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0" yWindow="0" windowWidth="20490" windowHeight="7755" firstSheet="3" activeTab="6"/>
  </bookViews>
  <sheets>
    <sheet name="Sheet3" sheetId="21" state="hidden" r:id="rId1"/>
    <sheet name="DETAILED" sheetId="15" state="hidden" r:id="rId2"/>
    <sheet name="Final" sheetId="1" state="hidden" r:id="rId3"/>
    <sheet name="Main BBS -Revised ok" sheetId="9" r:id="rId4"/>
    <sheet name="Electrical" sheetId="14" state="hidden" r:id="rId5"/>
    <sheet name="Ex 2" sheetId="16" state="hidden" r:id="rId6"/>
    <sheet name="excess" sheetId="17" r:id="rId7"/>
    <sheet name="DETAILED (2)" sheetId="18" r:id="rId8"/>
    <sheet name="excess (2)" sheetId="19" state="hidden" r:id="rId9"/>
  </sheets>
  <externalReferences>
    <externalReference r:id="rId10"/>
    <externalReference r:id="rId11"/>
  </externalReferences>
  <definedNames>
    <definedName name="____A65539" localSheetId="7">#REF!</definedName>
    <definedName name="____A65539" localSheetId="8">#REF!</definedName>
    <definedName name="____A65539">#REF!</definedName>
    <definedName name="___A65539" localSheetId="7">#REF!</definedName>
    <definedName name="___A65539" localSheetId="8">#REF!</definedName>
    <definedName name="___A65539">#REF!</definedName>
    <definedName name="__A65539" localSheetId="7">#REF!</definedName>
    <definedName name="__A65539" localSheetId="8">#REF!</definedName>
    <definedName name="__A65539">#REF!</definedName>
    <definedName name="_A65539" localSheetId="7">#REF!</definedName>
    <definedName name="_A65539" localSheetId="8">#REF!</definedName>
    <definedName name="_A65539">#REF!</definedName>
    <definedName name="_xlnm._FilterDatabase" localSheetId="1" hidden="1">DETAILED!$B$1:$B$2000</definedName>
    <definedName name="_xlnm._FilterDatabase" localSheetId="7" hidden="1">'DETAILED (2)'!$B$1:$B$1929</definedName>
    <definedName name="_xlnm._FilterDatabase" localSheetId="5" hidden="1">'Ex 2'!$Q$1:$Q$229</definedName>
    <definedName name="_xlnm._FilterDatabase" localSheetId="6" hidden="1">excess!$A$5:$AA$6</definedName>
    <definedName name="_xlnm._FilterDatabase" localSheetId="8" hidden="1">'excess (2)'!$A$5:$AA$6</definedName>
    <definedName name="_xlnm._FilterDatabase" localSheetId="2" hidden="1">Final!$O$1:$O$229</definedName>
    <definedName name="a" localSheetId="7">#REF!</definedName>
    <definedName name="a" localSheetId="8">#REF!</definedName>
    <definedName name="a">#REF!</definedName>
    <definedName name="a3424\" localSheetId="7">#REF!</definedName>
    <definedName name="a3424\" localSheetId="8">#REF!</definedName>
    <definedName name="a3424\">#REF!</definedName>
    <definedName name="ahfk" localSheetId="7">#REF!</definedName>
    <definedName name="ahfk" localSheetId="5">#REF!</definedName>
    <definedName name="ahfk" localSheetId="6">#REF!</definedName>
    <definedName name="ahfk" localSheetId="8">#REF!</definedName>
    <definedName name="ahfk">#REF!</definedName>
    <definedName name="ahh" localSheetId="7">#REF!</definedName>
    <definedName name="ahh" localSheetId="8">#REF!</definedName>
    <definedName name="ahh">#REF!</definedName>
    <definedName name="ass" localSheetId="7">#REF!</definedName>
    <definedName name="ass" localSheetId="8">#REF!</definedName>
    <definedName name="ass">#REF!</definedName>
    <definedName name="Beg_Bal" localSheetId="7">#REF!</definedName>
    <definedName name="Beg_Bal" localSheetId="8">#REF!</definedName>
    <definedName name="Beg_Bal">#REF!</definedName>
    <definedName name="c641." localSheetId="7">#REF!</definedName>
    <definedName name="c641." localSheetId="5">#REF!</definedName>
    <definedName name="c641." localSheetId="6">#REF!</definedName>
    <definedName name="c641." localSheetId="8">#REF!</definedName>
    <definedName name="c641.">#REF!</definedName>
    <definedName name="Data" localSheetId="7">#REF!</definedName>
    <definedName name="Data" localSheetId="8">#REF!</definedName>
    <definedName name="Data">#REF!</definedName>
    <definedName name="dd" localSheetId="7">#REF!</definedName>
    <definedName name="dd" localSheetId="8">#REF!</definedName>
    <definedName name="dd">#REF!</definedName>
    <definedName name="detpada" localSheetId="7">#REF!</definedName>
    <definedName name="detpada" localSheetId="5">#REF!</definedName>
    <definedName name="detpada" localSheetId="6">#REF!</definedName>
    <definedName name="detpada" localSheetId="8">#REF!</definedName>
    <definedName name="detpada">#REF!</definedName>
    <definedName name="df" localSheetId="7">#REF!</definedName>
    <definedName name="df" localSheetId="8">#REF!</definedName>
    <definedName name="df">#REF!</definedName>
    <definedName name="electri" localSheetId="7">#REF!</definedName>
    <definedName name="electri" localSheetId="5">#REF!</definedName>
    <definedName name="electri" localSheetId="6">#REF!</definedName>
    <definedName name="electri" localSheetId="8">#REF!</definedName>
    <definedName name="electri">#REF!</definedName>
    <definedName name="End_Bal" localSheetId="7">#REF!</definedName>
    <definedName name="End_Bal" localSheetId="8">#REF!</definedName>
    <definedName name="End_Bal">#REF!</definedName>
    <definedName name="er" localSheetId="7">#REF!</definedName>
    <definedName name="er" localSheetId="8">#REF!</definedName>
    <definedName name="er">#REF!</definedName>
    <definedName name="Extra_Pay" localSheetId="7">#REF!</definedName>
    <definedName name="Extra_Pay" localSheetId="8">#REF!</definedName>
    <definedName name="Extra_Pay">#REF!</definedName>
    <definedName name="fhd" localSheetId="7">#REF!</definedName>
    <definedName name="fhd" localSheetId="5">#REF!</definedName>
    <definedName name="fhd" localSheetId="6">#REF!</definedName>
    <definedName name="fhd" localSheetId="8">#REF!</definedName>
    <definedName name="fhd">#REF!</definedName>
    <definedName name="Full_Print" localSheetId="7">#REF!</definedName>
    <definedName name="Full_Print" localSheetId="8">#REF!</definedName>
    <definedName name="Full_Print">#REF!</definedName>
    <definedName name="Header_Row" localSheetId="7">ROW(#REF!)</definedName>
    <definedName name="Header_Row" localSheetId="8">ROW(#REF!)</definedName>
    <definedName name="Header_Row">ROW(#REF!)</definedName>
    <definedName name="hha" localSheetId="7">#REF!</definedName>
    <definedName name="hha" localSheetId="8">#REF!</definedName>
    <definedName name="hha">#REF!</definedName>
    <definedName name="hia" localSheetId="7">#REF!</definedName>
    <definedName name="hia" localSheetId="5">#REF!</definedName>
    <definedName name="hia" localSheetId="6">#REF!</definedName>
    <definedName name="hia" localSheetId="8">#REF!</definedName>
    <definedName name="hia">#REF!</definedName>
    <definedName name="hj" localSheetId="7">#REF!</definedName>
    <definedName name="hj" localSheetId="8">#REF!</definedName>
    <definedName name="hj">#REF!</definedName>
    <definedName name="i" localSheetId="7">#REF!</definedName>
    <definedName name="i" localSheetId="8">#REF!</definedName>
    <definedName name="i">#REF!</definedName>
    <definedName name="ins" localSheetId="7">#REF!</definedName>
    <definedName name="ins" localSheetId="5">#REF!</definedName>
    <definedName name="ins" localSheetId="6">#REF!</definedName>
    <definedName name="ins" localSheetId="8">#REF!</definedName>
    <definedName name="ins">#REF!</definedName>
    <definedName name="Int" localSheetId="7">#REF!</definedName>
    <definedName name="Int" localSheetId="8">#REF!</definedName>
    <definedName name="Int">#REF!</definedName>
    <definedName name="Interest_Rate" localSheetId="7">#REF!</definedName>
    <definedName name="Interest_Rate" localSheetId="8">#REF!</definedName>
    <definedName name="Interest_Rate">#REF!</definedName>
    <definedName name="k404." localSheetId="7">#REF!</definedName>
    <definedName name="k404." localSheetId="5">#REF!</definedName>
    <definedName name="k404." localSheetId="6">#REF!</definedName>
    <definedName name="k404." localSheetId="8">#REF!</definedName>
    <definedName name="k404.">#REF!</definedName>
    <definedName name="kasper" localSheetId="7">#REF!</definedName>
    <definedName name="kasper" localSheetId="8">#REF!</definedName>
    <definedName name="kasper">#REF!</definedName>
    <definedName name="Last_Row" localSheetId="7">IF('DETAILED (2)'!Values_Entered,'DETAILED (2)'!Header_Row+'DETAILED (2)'!Number_of_Payments,'DETAILED (2)'!Header_Row)</definedName>
    <definedName name="Last_Row" localSheetId="8">IF('excess (2)'!Values_Entered,'excess (2)'!Header_Row+'excess (2)'!Number_of_Payments,'excess (2)'!Header_Row)</definedName>
    <definedName name="Last_Row">IF('DETAILED (2)'!Values_Entered,Header_Row+'DETAILED (2)'!Number_of_Payments,Header_Row)</definedName>
    <definedName name="Loan_Amount" localSheetId="7">#REF!</definedName>
    <definedName name="Loan_Amount" localSheetId="8">#REF!</definedName>
    <definedName name="Loan_Amount">#REF!</definedName>
    <definedName name="Loan_Start" localSheetId="7">#REF!</definedName>
    <definedName name="Loan_Start" localSheetId="8">#REF!</definedName>
    <definedName name="Loan_Start">#REF!</definedName>
    <definedName name="Loan_Years" localSheetId="7">#REF!</definedName>
    <definedName name="Loan_Years" localSheetId="8">#REF!</definedName>
    <definedName name="Loan_Years">#REF!</definedName>
    <definedName name="name" localSheetId="7">#REF!</definedName>
    <definedName name="name" localSheetId="5">#REF!</definedName>
    <definedName name="name" localSheetId="8">#REF!</definedName>
    <definedName name="name">#REF!</definedName>
    <definedName name="Num_Pmt_Per_Year" localSheetId="7">#REF!</definedName>
    <definedName name="Num_Pmt_Per_Year" localSheetId="8">#REF!</definedName>
    <definedName name="Num_Pmt_Per_Year">#REF!</definedName>
    <definedName name="Number_of_Payments" localSheetId="7">MATCH(0.01,'DETAILED (2)'!End_Bal,-1)+1</definedName>
    <definedName name="Number_of_Payments" localSheetId="8">MATCH(0.01,'excess (2)'!End_Bal,-1)+1</definedName>
    <definedName name="Number_of_Payments">MATCH(0.01,End_Bal,-1)+1</definedName>
    <definedName name="Pay_Date" localSheetId="7">#REF!</definedName>
    <definedName name="Pay_Date" localSheetId="8">#REF!</definedName>
    <definedName name="Pay_Date">#REF!</definedName>
    <definedName name="Pay_Num" localSheetId="7">#REF!</definedName>
    <definedName name="Pay_Num" localSheetId="8">#REF!</definedName>
    <definedName name="Pay_Num">#REF!</definedName>
    <definedName name="payment" localSheetId="7">#REF!</definedName>
    <definedName name="payment" localSheetId="8">#REF!</definedName>
    <definedName name="payment">#REF!</definedName>
    <definedName name="Payment_Date" localSheetId="7">DATE(YEAR('DETAILED (2)'!Loan_Start),MONTH('DETAILED (2)'!Loan_Start)+Payment_Number,DAY('DETAILED (2)'!Loan_Start))</definedName>
    <definedName name="Payment_Date" localSheetId="8">DATE(YEAR('excess (2)'!Loan_Start),MONTH('excess (2)'!Loan_Start)+Payment_Number,DAY('excess (2)'!Loan_Start))</definedName>
    <definedName name="Payment_Date">DATE(YEAR(Loan_Start),MONTH(Loan_Start)+Payment_Number,DAY(Loan_Start))</definedName>
    <definedName name="pc" localSheetId="7">#REF!</definedName>
    <definedName name="pc" localSheetId="5">#REF!</definedName>
    <definedName name="pc" localSheetId="6">#REF!</definedName>
    <definedName name="pc" localSheetId="8">#REF!</definedName>
    <definedName name="pc">#REF!</definedName>
    <definedName name="prabhu" localSheetId="7">#REF!</definedName>
    <definedName name="prabhu" localSheetId="5">#REF!</definedName>
    <definedName name="prabhu" localSheetId="8">#REF!</definedName>
    <definedName name="prabhu" localSheetId="2">#REF!</definedName>
    <definedName name="prabhu">#REF!</definedName>
    <definedName name="Princ" localSheetId="7">#REF!</definedName>
    <definedName name="Princ" localSheetId="8">#REF!</definedName>
    <definedName name="Princ">#REF!</definedName>
    <definedName name="print" localSheetId="7">#REF!</definedName>
    <definedName name="print" localSheetId="5">#REF!</definedName>
    <definedName name="print" localSheetId="6">#REF!</definedName>
    <definedName name="print" localSheetId="8">#REF!</definedName>
    <definedName name="print">#REF!</definedName>
    <definedName name="_xlnm.Print_Area" localSheetId="1">DETAILED!$A$1:$J$1995</definedName>
    <definedName name="_xlnm.Print_Area" localSheetId="7">'DETAILED (2)'!$A$1:$J$1924</definedName>
    <definedName name="_xlnm.Print_Area" localSheetId="4">Electrical!$A$1:$X$52</definedName>
    <definedName name="_xlnm.Print_Area" localSheetId="5">'Ex 2'!$A$1:$R$216</definedName>
    <definedName name="_xlnm.Print_Area" localSheetId="6">excess!$A$1:$V$219</definedName>
    <definedName name="_xlnm.Print_Area" localSheetId="8">'excess (2)'!$A$1:$V$222</definedName>
    <definedName name="_xlnm.Print_Area" localSheetId="2">Final!$A$1:$P$216</definedName>
    <definedName name="_xlnm.Print_Area" localSheetId="3">'Main BBS -Revised ok'!$A$1:$X$96</definedName>
    <definedName name="_xlnm.Print_Area">#REF!</definedName>
    <definedName name="PRINT_AREA_MI" localSheetId="1">#REF!</definedName>
    <definedName name="PRINT_AREA_MI" localSheetId="7">#REF!</definedName>
    <definedName name="PRINT_AREA_MI" localSheetId="5">#REF!</definedName>
    <definedName name="PRINT_AREA_MI" localSheetId="6">#REF!</definedName>
    <definedName name="PRINT_AREA_MI" localSheetId="8">#REF!</definedName>
    <definedName name="PRINT_AREA_MI">#REF!</definedName>
    <definedName name="Print_Area_Reset" localSheetId="7">OFFSET('DETAILED (2)'!Full_Print,0,0,'DETAILED (2)'!Last_Row)</definedName>
    <definedName name="Print_Area_Reset" localSheetId="8">OFFSET('excess (2)'!Full_Print,0,0,'excess (2)'!Last_Row)</definedName>
    <definedName name="Print_Area_Reset">OFFSET(Full_Print,0,0,Last_Row)</definedName>
    <definedName name="_xlnm.Print_Titles" localSheetId="1">DETAILED!$3:$4</definedName>
    <definedName name="_xlnm.Print_Titles" localSheetId="7">'DETAILED (2)'!$3:$4</definedName>
    <definedName name="_xlnm.Print_Titles" localSheetId="4">Electrical!$2:$2</definedName>
    <definedName name="_xlnm.Print_Titles" localSheetId="5">'Ex 2'!$7:$8</definedName>
    <definedName name="_xlnm.Print_Titles" localSheetId="6">excess!$5:$6</definedName>
    <definedName name="_xlnm.Print_Titles" localSheetId="8">'excess (2)'!$5:$6</definedName>
    <definedName name="_xlnm.Print_Titles" localSheetId="2">Final!$7:$8</definedName>
    <definedName name="_xlnm.Print_Titles" localSheetId="3">'Main BBS -Revised ok'!$3:$4</definedName>
    <definedName name="_xlnm.Print_Titles">#REF!</definedName>
    <definedName name="PRINT_TITLES_MI" localSheetId="1">#REF!</definedName>
    <definedName name="PRINT_TITLES_MI" localSheetId="7">#REF!</definedName>
    <definedName name="PRINT_TITLES_MI" localSheetId="5">#REF!</definedName>
    <definedName name="PRINT_TITLES_MI" localSheetId="6">#REF!</definedName>
    <definedName name="PRINT_TITLES_MI" localSheetId="8">#REF!</definedName>
    <definedName name="PRINT_TITLES_MI">#REF!</definedName>
    <definedName name="ps_app" localSheetId="7">#REF!</definedName>
    <definedName name="ps_app" localSheetId="8">#REF!</definedName>
    <definedName name="ps_app">#REF!</definedName>
    <definedName name="ps_est" localSheetId="7">#REF!</definedName>
    <definedName name="ps_est" localSheetId="8">#REF!</definedName>
    <definedName name="ps_est">#REF!</definedName>
    <definedName name="ps_max" localSheetId="7">#REF!</definedName>
    <definedName name="ps_max" localSheetId="8">#REF!</definedName>
    <definedName name="ps_max">#REF!</definedName>
    <definedName name="ps_paid" localSheetId="7">#REF!</definedName>
    <definedName name="ps_paid" localSheetId="8">#REF!</definedName>
    <definedName name="ps_paid">#REF!</definedName>
    <definedName name="ps_quo" localSheetId="7">#REF!</definedName>
    <definedName name="ps_quo" localSheetId="8">#REF!</definedName>
    <definedName name="ps_quo">#REF!</definedName>
    <definedName name="ps_rec" localSheetId="7">#REF!</definedName>
    <definedName name="ps_rec" localSheetId="8">#REF!</definedName>
    <definedName name="ps_rec">#REF!</definedName>
    <definedName name="QQE" localSheetId="7">#REF!</definedName>
    <definedName name="QQE" localSheetId="5">#REF!</definedName>
    <definedName name="QQE" localSheetId="6">#REF!</definedName>
    <definedName name="QQE" localSheetId="8">#REF!</definedName>
    <definedName name="QQE">#REF!</definedName>
    <definedName name="QWE" localSheetId="7">#REF!</definedName>
    <definedName name="QWE" localSheetId="5">#REF!</definedName>
    <definedName name="QWE" localSheetId="6">#REF!</definedName>
    <definedName name="QWE" localSheetId="8">#REF!</definedName>
    <definedName name="QWE">#REF!</definedName>
    <definedName name="roya" localSheetId="7">#REF!</definedName>
    <definedName name="roya" localSheetId="5">#REF!</definedName>
    <definedName name="roya" localSheetId="6">#REF!</definedName>
    <definedName name="roya" localSheetId="8">#REF!</definedName>
    <definedName name="roya">#REF!</definedName>
    <definedName name="Sched_Pay" localSheetId="7">#REF!</definedName>
    <definedName name="Sched_Pay" localSheetId="8">#REF!</definedName>
    <definedName name="Sched_Pay">#REF!</definedName>
    <definedName name="Scheduled_Extra_Payments" localSheetId="7">#REF!</definedName>
    <definedName name="Scheduled_Extra_Payments" localSheetId="8">#REF!</definedName>
    <definedName name="Scheduled_Extra_Payments">#REF!</definedName>
    <definedName name="Scheduled_Interest_Rate" localSheetId="7">#REF!</definedName>
    <definedName name="Scheduled_Interest_Rate" localSheetId="8">#REF!</definedName>
    <definedName name="Scheduled_Interest_Rate">#REF!</definedName>
    <definedName name="Scheduled_Monthly_Payment" localSheetId="7">#REF!</definedName>
    <definedName name="Scheduled_Monthly_Payment" localSheetId="8">#REF!</definedName>
    <definedName name="Scheduled_Monthly_Payment">#REF!</definedName>
    <definedName name="sheet" localSheetId="7">#REF!</definedName>
    <definedName name="sheet" localSheetId="8">#REF!</definedName>
    <definedName name="sheet">#REF!</definedName>
    <definedName name="sss" localSheetId="7">#REF!</definedName>
    <definedName name="sss" localSheetId="8">#REF!</definedName>
    <definedName name="sss">#REF!</definedName>
    <definedName name="sump" localSheetId="7">#REF!</definedName>
    <definedName name="sump" localSheetId="8">#REF!</definedName>
    <definedName name="sump">#REF!</definedName>
    <definedName name="tekhhh" localSheetId="7">#REF!</definedName>
    <definedName name="tekhhh" localSheetId="5">#REF!</definedName>
    <definedName name="tekhhh" localSheetId="8">#REF!</definedName>
    <definedName name="tekhhh">#REF!</definedName>
    <definedName name="Total_Interest" localSheetId="7">#REF!</definedName>
    <definedName name="Total_Interest" localSheetId="8">#REF!</definedName>
    <definedName name="Total_Interest">#REF!</definedName>
    <definedName name="Total_Pay" localSheetId="7">#REF!</definedName>
    <definedName name="Total_Pay" localSheetId="8">#REF!</definedName>
    <definedName name="Total_Pay">#REF!</definedName>
    <definedName name="Total_Payment" localSheetId="7">Scheduled_Payment+Extra_Payment</definedName>
    <definedName name="Total_Payment" localSheetId="8">Scheduled_Payment+Extra_Payment</definedName>
    <definedName name="Total_Payment">Scheduled_Payment+Extra_Payment</definedName>
    <definedName name="v_app" localSheetId="7">#REF!</definedName>
    <definedName name="v_app" localSheetId="8">#REF!</definedName>
    <definedName name="v_app">#REF!</definedName>
    <definedName name="v_est" localSheetId="7">#REF!</definedName>
    <definedName name="v_est" localSheetId="8">#REF!</definedName>
    <definedName name="v_est">#REF!</definedName>
    <definedName name="v_paid" localSheetId="7">#REF!</definedName>
    <definedName name="v_paid" localSheetId="8">#REF!</definedName>
    <definedName name="v_paid">#REF!</definedName>
    <definedName name="v_quo" localSheetId="7">#REF!</definedName>
    <definedName name="v_quo" localSheetId="8">#REF!</definedName>
    <definedName name="v_quo">#REF!</definedName>
    <definedName name="v_rec" localSheetId="7">#REF!</definedName>
    <definedName name="v_rec" localSheetId="8">#REF!</definedName>
    <definedName name="v_rec">#REF!</definedName>
    <definedName name="v_tot" localSheetId="7">#REF!</definedName>
    <definedName name="v_tot" localSheetId="8">#REF!</definedName>
    <definedName name="v_tot">#REF!</definedName>
    <definedName name="Values_Entered" localSheetId="7">IF('DETAILED (2)'!Loan_Amount*'DETAILED (2)'!Interest_Rate*'DETAILED (2)'!Loan_Years*'DETAILED (2)'!Loan_Start&gt;0,1,0)</definedName>
    <definedName name="Values_Entered" localSheetId="8">IF('excess (2)'!Loan_Amount*'excess (2)'!Interest_Rate*'excess (2)'!Loan_Years*'excess (2)'!Loan_Start&gt;0,1,0)</definedName>
    <definedName name="Values_Entered">IF(Loan_Amount*Interest_Rate*Loan_Years*Loan_Start&gt;0,1,0)</definedName>
    <definedName name="vignesh" localSheetId="7">#REF!</definedName>
    <definedName name="vignesh" localSheetId="8">#REF!</definedName>
    <definedName name="vignesh">#REF!</definedName>
    <definedName name="xgjhvfxfhkl" localSheetId="7">#REF!</definedName>
    <definedName name="xgjhvfxfhkl" localSheetId="8">#REF!</definedName>
    <definedName name="xgjhvfxfhkl">#REF!</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44" i="18"/>
  <c r="N1243"/>
  <c r="M1243"/>
  <c r="M1244" s="1"/>
  <c r="M1245" s="1"/>
  <c r="M1246" s="1"/>
  <c r="F208" i="17" l="1"/>
  <c r="H202" l="1"/>
  <c r="H201"/>
  <c r="H200"/>
  <c r="I984" i="18"/>
  <c r="I1753"/>
  <c r="I1731"/>
  <c r="I1729"/>
  <c r="I1724"/>
  <c r="I1221"/>
  <c r="I830"/>
  <c r="I527"/>
  <c r="I507"/>
  <c r="I225"/>
  <c r="F224"/>
  <c r="I223"/>
  <c r="I1187"/>
  <c r="I1185"/>
  <c r="I1184"/>
  <c r="I1183"/>
  <c r="F1180"/>
  <c r="I152"/>
  <c r="I222"/>
  <c r="I149"/>
  <c r="I1070"/>
  <c r="I948"/>
  <c r="W25" i="9"/>
  <c r="V25"/>
  <c r="U25"/>
  <c r="T25"/>
  <c r="S25"/>
  <c r="Q25"/>
  <c r="P25"/>
  <c r="R25" s="1"/>
  <c r="O25"/>
  <c r="W24"/>
  <c r="V24"/>
  <c r="U24"/>
  <c r="T24"/>
  <c r="S24"/>
  <c r="Q24"/>
  <c r="P24"/>
  <c r="O24"/>
  <c r="R24" s="1"/>
  <c r="W23"/>
  <c r="V23"/>
  <c r="U23"/>
  <c r="T23"/>
  <c r="S23"/>
  <c r="Q23"/>
  <c r="P23"/>
  <c r="R23" s="1"/>
  <c r="O23"/>
  <c r="I662" i="18"/>
  <c r="I661"/>
  <c r="I660"/>
  <c r="I659"/>
  <c r="I651"/>
  <c r="I650"/>
  <c r="I649"/>
  <c r="I648"/>
  <c r="F638"/>
  <c r="I638" s="1"/>
  <c r="I1264"/>
  <c r="I1446"/>
  <c r="I1415"/>
  <c r="I1380"/>
  <c r="I1323"/>
  <c r="I1316"/>
  <c r="I817"/>
  <c r="I818" s="1"/>
  <c r="I64" i="17" s="1"/>
  <c r="I119" l="1"/>
  <c r="M208" i="19" l="1"/>
  <c r="M209" s="1"/>
  <c r="W12" i="9"/>
  <c r="V12"/>
  <c r="U12"/>
  <c r="T12"/>
  <c r="S12"/>
  <c r="R12"/>
  <c r="P12"/>
  <c r="N12"/>
  <c r="O12" s="1"/>
  <c r="W10"/>
  <c r="V10"/>
  <c r="U10"/>
  <c r="T10"/>
  <c r="S10"/>
  <c r="R10"/>
  <c r="P10"/>
  <c r="N10"/>
  <c r="O10" s="1"/>
  <c r="W9"/>
  <c r="V9"/>
  <c r="U9"/>
  <c r="T9"/>
  <c r="R9"/>
  <c r="Q9"/>
  <c r="P9"/>
  <c r="O9"/>
  <c r="I1620" i="18"/>
  <c r="I1619"/>
  <c r="I1618"/>
  <c r="I492"/>
  <c r="I500"/>
  <c r="I499"/>
  <c r="I498"/>
  <c r="I181"/>
  <c r="I174"/>
  <c r="I175"/>
  <c r="I176"/>
  <c r="I177"/>
  <c r="I178"/>
  <c r="I179"/>
  <c r="I180"/>
  <c r="I182"/>
  <c r="I183"/>
  <c r="I184"/>
  <c r="I185"/>
  <c r="I186"/>
  <c r="I187"/>
  <c r="I188"/>
  <c r="I173"/>
  <c r="I167"/>
  <c r="I166"/>
  <c r="I108"/>
  <c r="I65"/>
  <c r="I64"/>
  <c r="I63"/>
  <c r="I62"/>
  <c r="I61"/>
  <c r="I60"/>
  <c r="I46"/>
  <c r="I37"/>
  <c r="I36"/>
  <c r="I14"/>
  <c r="I13"/>
  <c r="I31"/>
  <c r="I8"/>
  <c r="I119" i="19"/>
  <c r="J119" s="1"/>
  <c r="I1057" i="18"/>
  <c r="I1056"/>
  <c r="I995"/>
  <c r="I994"/>
  <c r="I993"/>
  <c r="I992"/>
  <c r="I991"/>
  <c r="I990"/>
  <c r="I989"/>
  <c r="I988"/>
  <c r="I946"/>
  <c r="I944"/>
  <c r="J950"/>
  <c r="I949"/>
  <c r="I947"/>
  <c r="I945"/>
  <c r="I943"/>
  <c r="I942"/>
  <c r="I941"/>
  <c r="I940"/>
  <c r="I939"/>
  <c r="I934"/>
  <c r="I933"/>
  <c r="I932"/>
  <c r="I931"/>
  <c r="I930"/>
  <c r="I929"/>
  <c r="I928"/>
  <c r="I927"/>
  <c r="I926"/>
  <c r="I925"/>
  <c r="I924"/>
  <c r="I923"/>
  <c r="I922"/>
  <c r="I921"/>
  <c r="I920"/>
  <c r="K89" i="19"/>
  <c r="J84"/>
  <c r="K83"/>
  <c r="P199"/>
  <c r="K199"/>
  <c r="Q199" s="1"/>
  <c r="R199" s="1"/>
  <c r="H199"/>
  <c r="F199"/>
  <c r="P198"/>
  <c r="H198"/>
  <c r="F198"/>
  <c r="P197"/>
  <c r="H197"/>
  <c r="F197"/>
  <c r="P196"/>
  <c r="H196"/>
  <c r="F196"/>
  <c r="P195"/>
  <c r="H195"/>
  <c r="F195"/>
  <c r="P194"/>
  <c r="H194"/>
  <c r="F194"/>
  <c r="P193"/>
  <c r="H193"/>
  <c r="F193"/>
  <c r="P192"/>
  <c r="H192"/>
  <c r="F192"/>
  <c r="P191"/>
  <c r="H191"/>
  <c r="F191"/>
  <c r="P190"/>
  <c r="H190"/>
  <c r="F190"/>
  <c r="H189"/>
  <c r="F189"/>
  <c r="P188"/>
  <c r="H188"/>
  <c r="F188"/>
  <c r="P187"/>
  <c r="H187"/>
  <c r="F187"/>
  <c r="P186"/>
  <c r="H186"/>
  <c r="F186"/>
  <c r="P185"/>
  <c r="H185"/>
  <c r="F185"/>
  <c r="P184"/>
  <c r="J184"/>
  <c r="G184"/>
  <c r="K184" s="1"/>
  <c r="F184"/>
  <c r="P183"/>
  <c r="J183"/>
  <c r="G183"/>
  <c r="K183" s="1"/>
  <c r="Q183" s="1"/>
  <c r="R183" s="1"/>
  <c r="F183"/>
  <c r="P182"/>
  <c r="J182"/>
  <c r="G182"/>
  <c r="K182" s="1"/>
  <c r="F182"/>
  <c r="P181"/>
  <c r="H181"/>
  <c r="F181"/>
  <c r="P180"/>
  <c r="H180"/>
  <c r="F180"/>
  <c r="P179"/>
  <c r="H179"/>
  <c r="F179"/>
  <c r="P178"/>
  <c r="H178"/>
  <c r="F178"/>
  <c r="P177"/>
  <c r="H177"/>
  <c r="F177"/>
  <c r="P176"/>
  <c r="H176"/>
  <c r="F176"/>
  <c r="P175"/>
  <c r="J175"/>
  <c r="G175"/>
  <c r="K175" s="1"/>
  <c r="F175"/>
  <c r="P174"/>
  <c r="J174"/>
  <c r="G174"/>
  <c r="F174"/>
  <c r="J173"/>
  <c r="G173"/>
  <c r="F173"/>
  <c r="P172"/>
  <c r="H172"/>
  <c r="F172"/>
  <c r="P171"/>
  <c r="J171"/>
  <c r="G171"/>
  <c r="F171"/>
  <c r="P170"/>
  <c r="H170"/>
  <c r="F170"/>
  <c r="P169"/>
  <c r="H169"/>
  <c r="F169"/>
  <c r="P168"/>
  <c r="H168"/>
  <c r="F168"/>
  <c r="P167"/>
  <c r="H167"/>
  <c r="F167"/>
  <c r="P166"/>
  <c r="H166"/>
  <c r="F166"/>
  <c r="P165"/>
  <c r="H165"/>
  <c r="F165"/>
  <c r="P164"/>
  <c r="H164"/>
  <c r="F164"/>
  <c r="P163"/>
  <c r="H163"/>
  <c r="F163"/>
  <c r="P162"/>
  <c r="H162"/>
  <c r="F162"/>
  <c r="P161"/>
  <c r="H161"/>
  <c r="F161"/>
  <c r="P160"/>
  <c r="H160"/>
  <c r="F160"/>
  <c r="P159"/>
  <c r="H159"/>
  <c r="F159"/>
  <c r="P158"/>
  <c r="H158"/>
  <c r="F158"/>
  <c r="H157"/>
  <c r="F157"/>
  <c r="R156"/>
  <c r="H156"/>
  <c r="F156"/>
  <c r="P155"/>
  <c r="H155"/>
  <c r="F155"/>
  <c r="P154"/>
  <c r="H154"/>
  <c r="F154"/>
  <c r="P153"/>
  <c r="H153"/>
  <c r="F153"/>
  <c r="P152"/>
  <c r="H152"/>
  <c r="F152"/>
  <c r="P151"/>
  <c r="H151"/>
  <c r="F151"/>
  <c r="P150"/>
  <c r="H150"/>
  <c r="F150"/>
  <c r="P149"/>
  <c r="H149"/>
  <c r="F149"/>
  <c r="P148"/>
  <c r="H148"/>
  <c r="F148"/>
  <c r="P147"/>
  <c r="H147"/>
  <c r="F147"/>
  <c r="P146"/>
  <c r="H146"/>
  <c r="F146"/>
  <c r="P145"/>
  <c r="H145"/>
  <c r="F145"/>
  <c r="H144"/>
  <c r="F144"/>
  <c r="P143"/>
  <c r="H143"/>
  <c r="F143"/>
  <c r="P142"/>
  <c r="H142"/>
  <c r="F142"/>
  <c r="P141"/>
  <c r="H141"/>
  <c r="F141"/>
  <c r="P140"/>
  <c r="H140"/>
  <c r="F140"/>
  <c r="P139"/>
  <c r="H139"/>
  <c r="F139"/>
  <c r="P138"/>
  <c r="H138"/>
  <c r="F138"/>
  <c r="P137"/>
  <c r="H137"/>
  <c r="F137"/>
  <c r="P136"/>
  <c r="H136"/>
  <c r="F136"/>
  <c r="P135"/>
  <c r="H135"/>
  <c r="F135"/>
  <c r="P134"/>
  <c r="H134"/>
  <c r="F134"/>
  <c r="H133"/>
  <c r="F133"/>
  <c r="H132"/>
  <c r="F132"/>
  <c r="P131"/>
  <c r="H131"/>
  <c r="F131"/>
  <c r="P130"/>
  <c r="H130"/>
  <c r="F130"/>
  <c r="P129"/>
  <c r="H129"/>
  <c r="F129"/>
  <c r="P128"/>
  <c r="H128"/>
  <c r="F128"/>
  <c r="P127"/>
  <c r="H127"/>
  <c r="F127"/>
  <c r="P126"/>
  <c r="H126"/>
  <c r="F126"/>
  <c r="P125"/>
  <c r="H125"/>
  <c r="F125"/>
  <c r="P124"/>
  <c r="H124"/>
  <c r="F124"/>
  <c r="P123"/>
  <c r="H123"/>
  <c r="F123"/>
  <c r="P122"/>
  <c r="H122"/>
  <c r="F122"/>
  <c r="H121"/>
  <c r="F121"/>
  <c r="P120"/>
  <c r="H120"/>
  <c r="F120"/>
  <c r="H119"/>
  <c r="F119"/>
  <c r="H118"/>
  <c r="F118"/>
  <c r="H117"/>
  <c r="F117"/>
  <c r="H116"/>
  <c r="F116"/>
  <c r="H115"/>
  <c r="F115"/>
  <c r="H114"/>
  <c r="F114"/>
  <c r="R113"/>
  <c r="H113"/>
  <c r="F113"/>
  <c r="R112"/>
  <c r="H112"/>
  <c r="F112"/>
  <c r="R111"/>
  <c r="H111"/>
  <c r="F111"/>
  <c r="R110"/>
  <c r="H110"/>
  <c r="F110"/>
  <c r="H109"/>
  <c r="F109"/>
  <c r="P108"/>
  <c r="H108"/>
  <c r="F108"/>
  <c r="H107"/>
  <c r="F107"/>
  <c r="P106"/>
  <c r="H106"/>
  <c r="F106"/>
  <c r="P105"/>
  <c r="H105"/>
  <c r="F105"/>
  <c r="P104"/>
  <c r="H104"/>
  <c r="F104"/>
  <c r="P103"/>
  <c r="K103"/>
  <c r="Q103" s="1"/>
  <c r="R103" s="1"/>
  <c r="J103"/>
  <c r="H103"/>
  <c r="F103"/>
  <c r="P102"/>
  <c r="H102"/>
  <c r="F102"/>
  <c r="P101"/>
  <c r="H101"/>
  <c r="F101"/>
  <c r="P100"/>
  <c r="H100"/>
  <c r="F100"/>
  <c r="P99"/>
  <c r="H99"/>
  <c r="F99"/>
  <c r="P98"/>
  <c r="K98"/>
  <c r="J98"/>
  <c r="H98"/>
  <c r="G98"/>
  <c r="F98"/>
  <c r="P97"/>
  <c r="J97"/>
  <c r="G97"/>
  <c r="F97"/>
  <c r="P96"/>
  <c r="H96"/>
  <c r="F96"/>
  <c r="P95"/>
  <c r="J95"/>
  <c r="G95"/>
  <c r="K95" s="1"/>
  <c r="Q95" s="1"/>
  <c r="R95" s="1"/>
  <c r="F95"/>
  <c r="P94"/>
  <c r="G94"/>
  <c r="H94" s="1"/>
  <c r="F94"/>
  <c r="P93"/>
  <c r="H93"/>
  <c r="F93"/>
  <c r="H92"/>
  <c r="F92"/>
  <c r="G91"/>
  <c r="F91"/>
  <c r="H90"/>
  <c r="F90"/>
  <c r="H89"/>
  <c r="F89"/>
  <c r="K88"/>
  <c r="Q88" s="1"/>
  <c r="R88" s="1"/>
  <c r="J88"/>
  <c r="H88"/>
  <c r="F88"/>
  <c r="R87"/>
  <c r="K87"/>
  <c r="O87" s="1"/>
  <c r="P87" s="1"/>
  <c r="J87"/>
  <c r="H87"/>
  <c r="F87"/>
  <c r="K86"/>
  <c r="Q86" s="1"/>
  <c r="R86" s="1"/>
  <c r="J86"/>
  <c r="H86"/>
  <c r="F86"/>
  <c r="R85"/>
  <c r="J85"/>
  <c r="K85"/>
  <c r="H85"/>
  <c r="F85"/>
  <c r="K84"/>
  <c r="H84"/>
  <c r="F84"/>
  <c r="J83"/>
  <c r="H83"/>
  <c r="F83"/>
  <c r="P82"/>
  <c r="K82"/>
  <c r="Q82" s="1"/>
  <c r="R82" s="1"/>
  <c r="J82"/>
  <c r="H82"/>
  <c r="F82"/>
  <c r="P81"/>
  <c r="H81"/>
  <c r="F81"/>
  <c r="R80"/>
  <c r="K80"/>
  <c r="O80" s="1"/>
  <c r="P80" s="1"/>
  <c r="J80"/>
  <c r="H80"/>
  <c r="F80"/>
  <c r="P79"/>
  <c r="J79"/>
  <c r="G79"/>
  <c r="K79" s="1"/>
  <c r="F79"/>
  <c r="P78"/>
  <c r="G78"/>
  <c r="F78"/>
  <c r="P77"/>
  <c r="G77"/>
  <c r="H77" s="1"/>
  <c r="F77"/>
  <c r="J76"/>
  <c r="G76"/>
  <c r="K76" s="1"/>
  <c r="O76" s="1"/>
  <c r="P76" s="1"/>
  <c r="F76"/>
  <c r="G75"/>
  <c r="H75" s="1"/>
  <c r="F75"/>
  <c r="H74"/>
  <c r="F74"/>
  <c r="J73"/>
  <c r="G73"/>
  <c r="K73" s="1"/>
  <c r="O73" s="1"/>
  <c r="P73" s="1"/>
  <c r="F73"/>
  <c r="P72"/>
  <c r="K72"/>
  <c r="Q72" s="1"/>
  <c r="R72" s="1"/>
  <c r="J72"/>
  <c r="H72"/>
  <c r="F72"/>
  <c r="H71"/>
  <c r="F71"/>
  <c r="P70"/>
  <c r="H70"/>
  <c r="F70"/>
  <c r="H69"/>
  <c r="F69"/>
  <c r="H68"/>
  <c r="F68"/>
  <c r="H67"/>
  <c r="F67"/>
  <c r="P66"/>
  <c r="H66"/>
  <c r="F66"/>
  <c r="P65"/>
  <c r="H65"/>
  <c r="F65"/>
  <c r="R64"/>
  <c r="H64"/>
  <c r="F64"/>
  <c r="P63"/>
  <c r="H63"/>
  <c r="F63"/>
  <c r="P62"/>
  <c r="H62"/>
  <c r="F62"/>
  <c r="P61"/>
  <c r="H61"/>
  <c r="F61"/>
  <c r="H60"/>
  <c r="F60"/>
  <c r="P59"/>
  <c r="H59"/>
  <c r="F59"/>
  <c r="P58"/>
  <c r="H58"/>
  <c r="F58"/>
  <c r="K57"/>
  <c r="J57"/>
  <c r="H57"/>
  <c r="F57"/>
  <c r="H56"/>
  <c r="F56"/>
  <c r="H55"/>
  <c r="F55"/>
  <c r="P54"/>
  <c r="H54"/>
  <c r="F54"/>
  <c r="P53"/>
  <c r="H53"/>
  <c r="F53"/>
  <c r="H52"/>
  <c r="F52"/>
  <c r="P51"/>
  <c r="H51"/>
  <c r="F51"/>
  <c r="P50"/>
  <c r="H50"/>
  <c r="F50"/>
  <c r="P49"/>
  <c r="H49"/>
  <c r="F49"/>
  <c r="P48"/>
  <c r="H48"/>
  <c r="F48"/>
  <c r="R47"/>
  <c r="H47"/>
  <c r="F47"/>
  <c r="P46"/>
  <c r="H46"/>
  <c r="F46"/>
  <c r="R45"/>
  <c r="H45"/>
  <c r="F45"/>
  <c r="R44"/>
  <c r="H44"/>
  <c r="F44"/>
  <c r="R43"/>
  <c r="H43"/>
  <c r="F43"/>
  <c r="H42"/>
  <c r="F42"/>
  <c r="R41"/>
  <c r="G41"/>
  <c r="F41"/>
  <c r="P40"/>
  <c r="G40"/>
  <c r="F40"/>
  <c r="P39"/>
  <c r="H39"/>
  <c r="F39"/>
  <c r="P38"/>
  <c r="H38"/>
  <c r="F38"/>
  <c r="P37"/>
  <c r="H37"/>
  <c r="F37"/>
  <c r="P36"/>
  <c r="J36"/>
  <c r="G36"/>
  <c r="F36"/>
  <c r="P35"/>
  <c r="H35"/>
  <c r="F35"/>
  <c r="P34"/>
  <c r="K34"/>
  <c r="Q34" s="1"/>
  <c r="R34" s="1"/>
  <c r="J34"/>
  <c r="H34"/>
  <c r="F34"/>
  <c r="P33"/>
  <c r="K33"/>
  <c r="J33"/>
  <c r="H33"/>
  <c r="F33"/>
  <c r="P32"/>
  <c r="J32"/>
  <c r="G32"/>
  <c r="F32"/>
  <c r="P31"/>
  <c r="H31"/>
  <c r="F31"/>
  <c r="P30"/>
  <c r="H30"/>
  <c r="F30"/>
  <c r="P29"/>
  <c r="K29"/>
  <c r="J29"/>
  <c r="H29"/>
  <c r="F29"/>
  <c r="P28"/>
  <c r="K28"/>
  <c r="Q28" s="1"/>
  <c r="R28" s="1"/>
  <c r="J28"/>
  <c r="H28"/>
  <c r="F28"/>
  <c r="P27"/>
  <c r="H27"/>
  <c r="F27"/>
  <c r="P26"/>
  <c r="H26"/>
  <c r="F26"/>
  <c r="P25"/>
  <c r="G25"/>
  <c r="H25" s="1"/>
  <c r="F25"/>
  <c r="P24"/>
  <c r="G24"/>
  <c r="H24" s="1"/>
  <c r="F24"/>
  <c r="H23"/>
  <c r="F23"/>
  <c r="R22"/>
  <c r="H22"/>
  <c r="F22"/>
  <c r="R21"/>
  <c r="H21"/>
  <c r="F21"/>
  <c r="R20"/>
  <c r="H20"/>
  <c r="F20"/>
  <c r="R19"/>
  <c r="H19"/>
  <c r="F19"/>
  <c r="R18"/>
  <c r="H18"/>
  <c r="F18"/>
  <c r="G17"/>
  <c r="H17" s="1"/>
  <c r="F17"/>
  <c r="R16"/>
  <c r="H16"/>
  <c r="F16"/>
  <c r="G15"/>
  <c r="F15"/>
  <c r="R14"/>
  <c r="G14"/>
  <c r="F14"/>
  <c r="P13"/>
  <c r="H13"/>
  <c r="F13"/>
  <c r="P12"/>
  <c r="H12"/>
  <c r="F12"/>
  <c r="J11"/>
  <c r="G11"/>
  <c r="K11" s="1"/>
  <c r="F11"/>
  <c r="R10"/>
  <c r="J10"/>
  <c r="G10"/>
  <c r="K10" s="1"/>
  <c r="O10" s="1"/>
  <c r="P10" s="1"/>
  <c r="F10"/>
  <c r="F200" s="1"/>
  <c r="J9"/>
  <c r="G9"/>
  <c r="K9" s="1"/>
  <c r="O9" s="1"/>
  <c r="P9" s="1"/>
  <c r="F9"/>
  <c r="P8"/>
  <c r="G8"/>
  <c r="H8" s="1"/>
  <c r="F8"/>
  <c r="K7"/>
  <c r="Q7" s="1"/>
  <c r="R7" s="1"/>
  <c r="J7"/>
  <c r="H7"/>
  <c r="I645" i="18"/>
  <c r="F647"/>
  <c r="I647" s="1"/>
  <c r="I646"/>
  <c r="F636"/>
  <c r="I636" s="1"/>
  <c r="I82"/>
  <c r="I9"/>
  <c r="I950" l="1"/>
  <c r="Q12" i="9"/>
  <c r="F201" i="19"/>
  <c r="F202" s="1"/>
  <c r="Q204" s="1"/>
  <c r="H9"/>
  <c r="H10"/>
  <c r="H73"/>
  <c r="H76"/>
  <c r="H95"/>
  <c r="H175"/>
  <c r="H183"/>
  <c r="Q10" i="9"/>
  <c r="S9"/>
  <c r="I996" i="18"/>
  <c r="I91" i="17" s="1"/>
  <c r="I189" i="18"/>
  <c r="K119" i="19"/>
  <c r="O119" s="1"/>
  <c r="P119" s="1"/>
  <c r="L80"/>
  <c r="M80" s="1"/>
  <c r="S80" s="1"/>
  <c r="L86"/>
  <c r="M86" s="1"/>
  <c r="I935" i="18"/>
  <c r="L28" i="19"/>
  <c r="M28" s="1"/>
  <c r="S28" s="1"/>
  <c r="L34"/>
  <c r="N34" s="1"/>
  <c r="T34" s="1"/>
  <c r="Q33"/>
  <c r="R33" s="1"/>
  <c r="L33"/>
  <c r="N33" s="1"/>
  <c r="O57"/>
  <c r="P57" s="1"/>
  <c r="L57"/>
  <c r="M57" s="1"/>
  <c r="L72"/>
  <c r="M72" s="1"/>
  <c r="S72" s="1"/>
  <c r="O11"/>
  <c r="P11" s="1"/>
  <c r="L11"/>
  <c r="Q9"/>
  <c r="R9" s="1"/>
  <c r="L7"/>
  <c r="L9"/>
  <c r="M9" s="1"/>
  <c r="S9" s="1"/>
  <c r="L10"/>
  <c r="M10" s="1"/>
  <c r="S10" s="1"/>
  <c r="H11"/>
  <c r="H14"/>
  <c r="H15"/>
  <c r="K32"/>
  <c r="H32"/>
  <c r="K36"/>
  <c r="H36"/>
  <c r="Q79"/>
  <c r="R79" s="1"/>
  <c r="L79"/>
  <c r="L83"/>
  <c r="Q83"/>
  <c r="R83" s="1"/>
  <c r="O83"/>
  <c r="P83" s="1"/>
  <c r="L84"/>
  <c r="Q84"/>
  <c r="R84" s="1"/>
  <c r="O84"/>
  <c r="P84" s="1"/>
  <c r="L85"/>
  <c r="O85"/>
  <c r="P85" s="1"/>
  <c r="O7"/>
  <c r="P7" s="1"/>
  <c r="Q29"/>
  <c r="R29" s="1"/>
  <c r="L29"/>
  <c r="M29" s="1"/>
  <c r="S29" s="1"/>
  <c r="H40"/>
  <c r="Q89"/>
  <c r="R89" s="1"/>
  <c r="O89"/>
  <c r="P89" s="1"/>
  <c r="L89"/>
  <c r="M89" s="1"/>
  <c r="H41"/>
  <c r="L73"/>
  <c r="M73" s="1"/>
  <c r="S73" s="1"/>
  <c r="L76"/>
  <c r="M76" s="1"/>
  <c r="S76" s="1"/>
  <c r="H78"/>
  <c r="H79"/>
  <c r="L82"/>
  <c r="M82" s="1"/>
  <c r="S82" s="1"/>
  <c r="O86"/>
  <c r="P86" s="1"/>
  <c r="L87"/>
  <c r="M87" s="1"/>
  <c r="S87" s="1"/>
  <c r="L88"/>
  <c r="M88" s="1"/>
  <c r="J89"/>
  <c r="H91"/>
  <c r="L95"/>
  <c r="M95" s="1"/>
  <c r="S95" s="1"/>
  <c r="Q98"/>
  <c r="R98" s="1"/>
  <c r="L98"/>
  <c r="M98" s="1"/>
  <c r="S98" s="1"/>
  <c r="O88"/>
  <c r="P88" s="1"/>
  <c r="K97"/>
  <c r="H97"/>
  <c r="L103"/>
  <c r="M103" s="1"/>
  <c r="S103" s="1"/>
  <c r="Q175"/>
  <c r="R175" s="1"/>
  <c r="L175"/>
  <c r="M175" s="1"/>
  <c r="S175" s="1"/>
  <c r="Q182"/>
  <c r="R182" s="1"/>
  <c r="L182"/>
  <c r="Q184"/>
  <c r="R184" s="1"/>
  <c r="L184"/>
  <c r="K171"/>
  <c r="H171"/>
  <c r="K173"/>
  <c r="H173"/>
  <c r="K174"/>
  <c r="H174"/>
  <c r="H182"/>
  <c r="L183"/>
  <c r="M183" s="1"/>
  <c r="S183" s="1"/>
  <c r="H184"/>
  <c r="L199"/>
  <c r="M199" s="1"/>
  <c r="S199" s="1"/>
  <c r="I169" i="18"/>
  <c r="I158"/>
  <c r="I84"/>
  <c r="I83"/>
  <c r="I81"/>
  <c r="I85"/>
  <c r="I76"/>
  <c r="J69"/>
  <c r="I69"/>
  <c r="J66"/>
  <c r="I49"/>
  <c r="I48"/>
  <c r="I47"/>
  <c r="I45"/>
  <c r="I57"/>
  <c r="I56"/>
  <c r="I55"/>
  <c r="I54"/>
  <c r="I58"/>
  <c r="I53"/>
  <c r="I59"/>
  <c r="I43"/>
  <c r="I44"/>
  <c r="J50"/>
  <c r="I42"/>
  <c r="I41"/>
  <c r="I40"/>
  <c r="I39"/>
  <c r="I38"/>
  <c r="I35"/>
  <c r="I34"/>
  <c r="I33"/>
  <c r="I32"/>
  <c r="I30"/>
  <c r="I29"/>
  <c r="J26"/>
  <c r="I26"/>
  <c r="J23"/>
  <c r="I23"/>
  <c r="J20"/>
  <c r="I19"/>
  <c r="I17"/>
  <c r="I16"/>
  <c r="I18"/>
  <c r="I15"/>
  <c r="I12"/>
  <c r="I10"/>
  <c r="I11"/>
  <c r="I7"/>
  <c r="I6"/>
  <c r="I1923"/>
  <c r="I1922"/>
  <c r="I1921"/>
  <c r="I1920"/>
  <c r="I1916"/>
  <c r="I1915"/>
  <c r="I1913"/>
  <c r="I1914"/>
  <c r="I1908"/>
  <c r="I1907"/>
  <c r="I1906"/>
  <c r="I1905"/>
  <c r="I1904"/>
  <c r="I1840"/>
  <c r="I1838"/>
  <c r="I1888"/>
  <c r="I1884"/>
  <c r="I1883"/>
  <c r="I1882"/>
  <c r="I1881"/>
  <c r="I1878"/>
  <c r="I1875"/>
  <c r="I1872"/>
  <c r="I1782"/>
  <c r="I1781"/>
  <c r="I1780"/>
  <c r="I1779"/>
  <c r="I1778"/>
  <c r="I1584"/>
  <c r="I1829"/>
  <c r="I1825"/>
  <c r="I1827" s="1"/>
  <c r="I1822"/>
  <c r="I1819"/>
  <c r="I177" i="17" s="1"/>
  <c r="I1816" i="18"/>
  <c r="I1813"/>
  <c r="I1636"/>
  <c r="I1635"/>
  <c r="I1674"/>
  <c r="I1673"/>
  <c r="I1669"/>
  <c r="I1668"/>
  <c r="I1667"/>
  <c r="I1666"/>
  <c r="I1665"/>
  <c r="I1664"/>
  <c r="I1663"/>
  <c r="I1662"/>
  <c r="I1660"/>
  <c r="I1659"/>
  <c r="I1658"/>
  <c r="I1657"/>
  <c r="I1656"/>
  <c r="I1655"/>
  <c r="I1654"/>
  <c r="I1653"/>
  <c r="I1652"/>
  <c r="I1651"/>
  <c r="I1650"/>
  <c r="I1649"/>
  <c r="I1648"/>
  <c r="I1647"/>
  <c r="I1646"/>
  <c r="I1645"/>
  <c r="I1644"/>
  <c r="I1643"/>
  <c r="I1642"/>
  <c r="I1868"/>
  <c r="I1867"/>
  <c r="I1866"/>
  <c r="I1865"/>
  <c r="I1864"/>
  <c r="I1863"/>
  <c r="I1862"/>
  <c r="I1861"/>
  <c r="I1860"/>
  <c r="I1859"/>
  <c r="I1858"/>
  <c r="I1857"/>
  <c r="I1856"/>
  <c r="I1855"/>
  <c r="I1854"/>
  <c r="I1853"/>
  <c r="I1852"/>
  <c r="I1851"/>
  <c r="I1850"/>
  <c r="I1849"/>
  <c r="I1848"/>
  <c r="I1847"/>
  <c r="I1846"/>
  <c r="I1845"/>
  <c r="I1844"/>
  <c r="I1843"/>
  <c r="I1835"/>
  <c r="I185" i="19" s="1"/>
  <c r="I1832" i="18"/>
  <c r="I1810"/>
  <c r="I1806"/>
  <c r="F1805"/>
  <c r="I1805" s="1"/>
  <c r="I1804"/>
  <c r="I1803"/>
  <c r="F1802"/>
  <c r="I1802" s="1"/>
  <c r="I1801"/>
  <c r="F1800"/>
  <c r="I1800" s="1"/>
  <c r="I1799"/>
  <c r="F1798"/>
  <c r="I1798" s="1"/>
  <c r="I1797"/>
  <c r="I1796"/>
  <c r="F1795"/>
  <c r="I1795" s="1"/>
  <c r="I1794"/>
  <c r="F1793"/>
  <c r="I1793" s="1"/>
  <c r="I1792"/>
  <c r="F1791"/>
  <c r="I1791" s="1"/>
  <c r="I1790"/>
  <c r="I1789"/>
  <c r="I1788"/>
  <c r="I1787"/>
  <c r="F1172"/>
  <c r="I1172" s="1"/>
  <c r="I1171"/>
  <c r="I1774"/>
  <c r="I1773"/>
  <c r="F1772"/>
  <c r="I1772" s="1"/>
  <c r="I1771"/>
  <c r="I1770"/>
  <c r="F1769"/>
  <c r="I1769" s="1"/>
  <c r="I1768"/>
  <c r="I1766"/>
  <c r="F1765"/>
  <c r="I1765" s="1"/>
  <c r="I1764"/>
  <c r="I1763"/>
  <c r="F1762"/>
  <c r="I1762" s="1"/>
  <c r="I1761"/>
  <c r="I1760"/>
  <c r="F1759"/>
  <c r="I1759" s="1"/>
  <c r="I1758"/>
  <c r="I1757"/>
  <c r="F1756"/>
  <c r="I1756" s="1"/>
  <c r="I1755"/>
  <c r="I1754"/>
  <c r="F1753"/>
  <c r="I1752"/>
  <c r="I1751"/>
  <c r="F1750"/>
  <c r="I1750" s="1"/>
  <c r="I1749"/>
  <c r="I1748"/>
  <c r="I1747"/>
  <c r="F1746"/>
  <c r="I1746" s="1"/>
  <c r="I1745"/>
  <c r="I1744"/>
  <c r="F1743"/>
  <c r="I1743" s="1"/>
  <c r="I1742"/>
  <c r="I1741"/>
  <c r="F1740"/>
  <c r="I1740" s="1"/>
  <c r="I1739"/>
  <c r="I1738"/>
  <c r="F1737"/>
  <c r="I1737" s="1"/>
  <c r="I1736"/>
  <c r="I1735"/>
  <c r="F1734"/>
  <c r="I1734" s="1"/>
  <c r="I1733"/>
  <c r="I1732"/>
  <c r="F1731"/>
  <c r="I1730"/>
  <c r="F1728"/>
  <c r="I1728" s="1"/>
  <c r="I1727"/>
  <c r="I1726"/>
  <c r="I1725"/>
  <c r="F1724"/>
  <c r="I1723"/>
  <c r="I1691"/>
  <c r="I1690"/>
  <c r="I1689"/>
  <c r="I1688"/>
  <c r="I1687"/>
  <c r="I1686"/>
  <c r="I1685"/>
  <c r="I1684"/>
  <c r="I1683"/>
  <c r="I1682"/>
  <c r="I1678"/>
  <c r="I1679" s="1"/>
  <c r="I1617"/>
  <c r="I1616"/>
  <c r="I1615"/>
  <c r="I1614"/>
  <c r="I1613"/>
  <c r="I1612"/>
  <c r="I1611"/>
  <c r="I1610"/>
  <c r="I1609"/>
  <c r="I1608"/>
  <c r="I1607"/>
  <c r="I1606"/>
  <c r="F1605"/>
  <c r="I1605" s="1"/>
  <c r="I1599"/>
  <c r="I1596"/>
  <c r="I1593"/>
  <c r="I1590"/>
  <c r="I1587"/>
  <c r="I1695"/>
  <c r="I1696" s="1"/>
  <c r="I1580"/>
  <c r="I1579"/>
  <c r="I1578"/>
  <c r="I1574"/>
  <c r="I1573"/>
  <c r="I1572"/>
  <c r="I1571"/>
  <c r="I1563"/>
  <c r="I148" i="17" s="1"/>
  <c r="I1559" i="18"/>
  <c r="I1558"/>
  <c r="I1556"/>
  <c r="I1553"/>
  <c r="I146" i="17" s="1"/>
  <c r="I1550" i="18"/>
  <c r="I145" i="17" s="1"/>
  <c r="I1546" i="18"/>
  <c r="I1545"/>
  <c r="I1544"/>
  <c r="I1543"/>
  <c r="I1542"/>
  <c r="I1541"/>
  <c r="I1539"/>
  <c r="I1538"/>
  <c r="I1537"/>
  <c r="I1536"/>
  <c r="I1535"/>
  <c r="I1534"/>
  <c r="I1533"/>
  <c r="I1532"/>
  <c r="I1531"/>
  <c r="I1527"/>
  <c r="I1526"/>
  <c r="I1525"/>
  <c r="I1524"/>
  <c r="I1523"/>
  <c r="I1522"/>
  <c r="I1521"/>
  <c r="I1520"/>
  <c r="I1519"/>
  <c r="I1518"/>
  <c r="I1517"/>
  <c r="I1516"/>
  <c r="I1515"/>
  <c r="I1514"/>
  <c r="I1513"/>
  <c r="I1512"/>
  <c r="I1511"/>
  <c r="I1510"/>
  <c r="I1509"/>
  <c r="I1508"/>
  <c r="I1507"/>
  <c r="I1501"/>
  <c r="I1500"/>
  <c r="I1499"/>
  <c r="I1498"/>
  <c r="I1497"/>
  <c r="I1496"/>
  <c r="I1495"/>
  <c r="I1494"/>
  <c r="I1493"/>
  <c r="I1492"/>
  <c r="I1491"/>
  <c r="I1490"/>
  <c r="I1489"/>
  <c r="I1488"/>
  <c r="I1487"/>
  <c r="I1486"/>
  <c r="I1485"/>
  <c r="I1484"/>
  <c r="I1480"/>
  <c r="I1479"/>
  <c r="I1478"/>
  <c r="I1477"/>
  <c r="I1476"/>
  <c r="I1475"/>
  <c r="I1474"/>
  <c r="I1473"/>
  <c r="I1472"/>
  <c r="I1471"/>
  <c r="I1470"/>
  <c r="I1469"/>
  <c r="I1468"/>
  <c r="I1467"/>
  <c r="I1466"/>
  <c r="I1465"/>
  <c r="I1464"/>
  <c r="I1463"/>
  <c r="I1462"/>
  <c r="I1461"/>
  <c r="I1460"/>
  <c r="I1459"/>
  <c r="I1458"/>
  <c r="I1457"/>
  <c r="I1456"/>
  <c r="I1452"/>
  <c r="I140" i="17" s="1"/>
  <c r="I1445" i="18"/>
  <c r="I1444"/>
  <c r="I1443"/>
  <c r="I1442"/>
  <c r="I1441"/>
  <c r="I1440"/>
  <c r="I1439"/>
  <c r="I1438"/>
  <c r="I1437"/>
  <c r="I1436"/>
  <c r="I1435"/>
  <c r="I1434"/>
  <c r="I1433"/>
  <c r="I1432"/>
  <c r="I1431"/>
  <c r="I1430"/>
  <c r="I1429"/>
  <c r="I1428"/>
  <c r="I1427"/>
  <c r="I1426"/>
  <c r="I1425"/>
  <c r="I1420"/>
  <c r="I1419"/>
  <c r="I1414"/>
  <c r="I1413"/>
  <c r="I1412"/>
  <c r="I1411"/>
  <c r="I1410"/>
  <c r="I1409"/>
  <c r="I1408"/>
  <c r="I1407"/>
  <c r="I1406"/>
  <c r="I1405"/>
  <c r="I1404"/>
  <c r="I1403"/>
  <c r="I1402"/>
  <c r="I1401"/>
  <c r="I1400"/>
  <c r="I1399"/>
  <c r="I1398"/>
  <c r="I1397"/>
  <c r="I1396"/>
  <c r="I1395"/>
  <c r="I1394"/>
  <c r="I1393"/>
  <c r="I1392"/>
  <c r="I1391"/>
  <c r="I1390"/>
  <c r="I1389"/>
  <c r="I1388"/>
  <c r="I1387"/>
  <c r="I1386"/>
  <c r="I1385"/>
  <c r="I1379"/>
  <c r="I1378"/>
  <c r="I1377"/>
  <c r="I1376"/>
  <c r="I1375"/>
  <c r="I1374"/>
  <c r="I1373"/>
  <c r="I1372"/>
  <c r="I1371"/>
  <c r="I1370"/>
  <c r="I1369"/>
  <c r="I1368"/>
  <c r="I1367"/>
  <c r="I1366"/>
  <c r="I1365"/>
  <c r="I1364"/>
  <c r="I1363"/>
  <c r="I1362"/>
  <c r="I1361"/>
  <c r="I1360"/>
  <c r="I1359"/>
  <c r="I1358"/>
  <c r="I1357"/>
  <c r="I1356"/>
  <c r="I1355"/>
  <c r="I1354"/>
  <c r="I1349"/>
  <c r="I135" i="17" s="1"/>
  <c r="I1346" i="18"/>
  <c r="I134" i="17" s="1"/>
  <c r="I1343" i="18"/>
  <c r="I133" i="17" s="1"/>
  <c r="I1340" i="18"/>
  <c r="I132" i="17" s="1"/>
  <c r="I1337" i="18"/>
  <c r="I131" i="17" s="1"/>
  <c r="I1334" i="18"/>
  <c r="I130" i="17" s="1"/>
  <c r="I1330" i="18"/>
  <c r="I129" i="17" s="1"/>
  <c r="I1327" i="18"/>
  <c r="I128" i="17" s="1"/>
  <c r="I1322" i="18"/>
  <c r="I1321"/>
  <c r="I1320"/>
  <c r="I1315"/>
  <c r="I1314"/>
  <c r="I1313"/>
  <c r="I1312"/>
  <c r="I1307"/>
  <c r="I1306"/>
  <c r="I1305"/>
  <c r="I1304"/>
  <c r="I1300"/>
  <c r="I124" i="17" s="1"/>
  <c r="I1296" i="18"/>
  <c r="I1297" s="1"/>
  <c r="I1292"/>
  <c r="I1291"/>
  <c r="I1290"/>
  <c r="I1289"/>
  <c r="I1285"/>
  <c r="I1284"/>
  <c r="I1283"/>
  <c r="I1282"/>
  <c r="I1281"/>
  <c r="I1277"/>
  <c r="I1276"/>
  <c r="I1275"/>
  <c r="I1274"/>
  <c r="I1263"/>
  <c r="I1262"/>
  <c r="I1261"/>
  <c r="I1260"/>
  <c r="I1259"/>
  <c r="I1258"/>
  <c r="I1257"/>
  <c r="I1256"/>
  <c r="I1251"/>
  <c r="I1250"/>
  <c r="I1249"/>
  <c r="I802"/>
  <c r="I798"/>
  <c r="I1238"/>
  <c r="I1245"/>
  <c r="I1244"/>
  <c r="I1243"/>
  <c r="I1242"/>
  <c r="I1241"/>
  <c r="I1235"/>
  <c r="I113" i="17" s="1"/>
  <c r="I1232" i="18"/>
  <c r="I112" i="17" s="1"/>
  <c r="I1220" i="18"/>
  <c r="I1219"/>
  <c r="I1218"/>
  <c r="I1217"/>
  <c r="I1216"/>
  <c r="I1215"/>
  <c r="I1214"/>
  <c r="I1213"/>
  <c r="I1212"/>
  <c r="I1211"/>
  <c r="I1210"/>
  <c r="I1209"/>
  <c r="I1208"/>
  <c r="I1207"/>
  <c r="I1206"/>
  <c r="I1205"/>
  <c r="I1204"/>
  <c r="I1203"/>
  <c r="I1202"/>
  <c r="I1201"/>
  <c r="I1200"/>
  <c r="I1199"/>
  <c r="I1198"/>
  <c r="I1197"/>
  <c r="I1196"/>
  <c r="I1195"/>
  <c r="I1194"/>
  <c r="I1193"/>
  <c r="I1192"/>
  <c r="I1191"/>
  <c r="I1186"/>
  <c r="I1182"/>
  <c r="F1181"/>
  <c r="I1181" s="1"/>
  <c r="I1180"/>
  <c r="I1179"/>
  <c r="I1178"/>
  <c r="F1177"/>
  <c r="I1177" s="1"/>
  <c r="I1176"/>
  <c r="I1170"/>
  <c r="I1169"/>
  <c r="I1168"/>
  <c r="I1167"/>
  <c r="I1166"/>
  <c r="I1165"/>
  <c r="I1164"/>
  <c r="I1163"/>
  <c r="I1162"/>
  <c r="I1161"/>
  <c r="I1160"/>
  <c r="I1159"/>
  <c r="I1158"/>
  <c r="I1157"/>
  <c r="I1156"/>
  <c r="I1155"/>
  <c r="I1154"/>
  <c r="I1153"/>
  <c r="I1152"/>
  <c r="I1151"/>
  <c r="I1146"/>
  <c r="I1145"/>
  <c r="F1144"/>
  <c r="I1144" s="1"/>
  <c r="I1143"/>
  <c r="I1142"/>
  <c r="F1141"/>
  <c r="I1141" s="1"/>
  <c r="I1140"/>
  <c r="I1139"/>
  <c r="F1138"/>
  <c r="I1138" s="1"/>
  <c r="I1136"/>
  <c r="I1135"/>
  <c r="F1134"/>
  <c r="I1134" s="1"/>
  <c r="I1133"/>
  <c r="I1132"/>
  <c r="F1131"/>
  <c r="I1131" s="1"/>
  <c r="I1130"/>
  <c r="I1129"/>
  <c r="I1128"/>
  <c r="F1127"/>
  <c r="I1127" s="1"/>
  <c r="I1126"/>
  <c r="I1125"/>
  <c r="F1124"/>
  <c r="I1124" s="1"/>
  <c r="I1123"/>
  <c r="I1122"/>
  <c r="I1121"/>
  <c r="I1120"/>
  <c r="F1119"/>
  <c r="I1119" s="1"/>
  <c r="I1115"/>
  <c r="I105" i="17" s="1"/>
  <c r="I1110" i="18"/>
  <c r="I1105"/>
  <c r="I1104"/>
  <c r="I1103"/>
  <c r="I1102"/>
  <c r="I1098"/>
  <c r="I1097"/>
  <c r="I1093"/>
  <c r="I100" i="17" s="1"/>
  <c r="I1088" i="18"/>
  <c r="I1087"/>
  <c r="I1085"/>
  <c r="I1084"/>
  <c r="I1083"/>
  <c r="I1718"/>
  <c r="I1717"/>
  <c r="I1716"/>
  <c r="I1715"/>
  <c r="I1711"/>
  <c r="I1710"/>
  <c r="I1079"/>
  <c r="I1078"/>
  <c r="I1077"/>
  <c r="I1073"/>
  <c r="I1072"/>
  <c r="I1071"/>
  <c r="I1065"/>
  <c r="I1064"/>
  <c r="I1063"/>
  <c r="I1062"/>
  <c r="I1061"/>
  <c r="I1060"/>
  <c r="I1059"/>
  <c r="I1058"/>
  <c r="F1055"/>
  <c r="I1055" s="1"/>
  <c r="I1054"/>
  <c r="I1053"/>
  <c r="I1049"/>
  <c r="I1048"/>
  <c r="I1047"/>
  <c r="I1046"/>
  <c r="I1045"/>
  <c r="I1044"/>
  <c r="I1043"/>
  <c r="I1042"/>
  <c r="I1041"/>
  <c r="I1040"/>
  <c r="I1039"/>
  <c r="I1038"/>
  <c r="I1037"/>
  <c r="I1036"/>
  <c r="I1035"/>
  <c r="I1034"/>
  <c r="I1033"/>
  <c r="I1032"/>
  <c r="I1031"/>
  <c r="I1030"/>
  <c r="I1029"/>
  <c r="I1028"/>
  <c r="I1027"/>
  <c r="I1026"/>
  <c r="I1025"/>
  <c r="I1024"/>
  <c r="I1023"/>
  <c r="I1022"/>
  <c r="I1021"/>
  <c r="I1020"/>
  <c r="I1019"/>
  <c r="I1018"/>
  <c r="I1017"/>
  <c r="I1016"/>
  <c r="I1015"/>
  <c r="I1014"/>
  <c r="I1013"/>
  <c r="I1012"/>
  <c r="I1011"/>
  <c r="I1010"/>
  <c r="I1009"/>
  <c r="I1008"/>
  <c r="I1007"/>
  <c r="I1006"/>
  <c r="I1005"/>
  <c r="I1004"/>
  <c r="I1003"/>
  <c r="I1002"/>
  <c r="I1001"/>
  <c r="I1000"/>
  <c r="I983"/>
  <c r="I982"/>
  <c r="I981"/>
  <c r="I980"/>
  <c r="I979"/>
  <c r="I978"/>
  <c r="I977"/>
  <c r="I976"/>
  <c r="I975"/>
  <c r="I974"/>
  <c r="I973"/>
  <c r="I972"/>
  <c r="I971"/>
  <c r="I970"/>
  <c r="I969"/>
  <c r="I968"/>
  <c r="I967"/>
  <c r="I966"/>
  <c r="I965"/>
  <c r="I961"/>
  <c r="I960"/>
  <c r="I959"/>
  <c r="I958"/>
  <c r="I957"/>
  <c r="I956"/>
  <c r="I955"/>
  <c r="I954"/>
  <c r="I953"/>
  <c r="I914"/>
  <c r="I911"/>
  <c r="I910"/>
  <c r="I909"/>
  <c r="I905"/>
  <c r="I904"/>
  <c r="I903"/>
  <c r="I902"/>
  <c r="I901"/>
  <c r="I900"/>
  <c r="I899"/>
  <c r="I898"/>
  <c r="I897"/>
  <c r="I896"/>
  <c r="I895"/>
  <c r="I891"/>
  <c r="I888"/>
  <c r="I887"/>
  <c r="I886"/>
  <c r="I885"/>
  <c r="I884"/>
  <c r="I883"/>
  <c r="I882"/>
  <c r="I881"/>
  <c r="I880"/>
  <c r="I879"/>
  <c r="I878"/>
  <c r="I877"/>
  <c r="I876"/>
  <c r="I875"/>
  <c r="I874"/>
  <c r="I873"/>
  <c r="I872"/>
  <c r="I871"/>
  <c r="I870"/>
  <c r="I869"/>
  <c r="I864"/>
  <c r="I863"/>
  <c r="I862"/>
  <c r="I861"/>
  <c r="I860"/>
  <c r="I859"/>
  <c r="I858"/>
  <c r="I857"/>
  <c r="I856"/>
  <c r="I855"/>
  <c r="I854"/>
  <c r="I853"/>
  <c r="I852"/>
  <c r="I851"/>
  <c r="I850"/>
  <c r="I849"/>
  <c r="I848"/>
  <c r="I847"/>
  <c r="I846"/>
  <c r="I845"/>
  <c r="I844"/>
  <c r="I843"/>
  <c r="I838"/>
  <c r="I837"/>
  <c r="I836"/>
  <c r="I835"/>
  <c r="I834"/>
  <c r="I833"/>
  <c r="I832"/>
  <c r="I831"/>
  <c r="I829"/>
  <c r="I828"/>
  <c r="I827"/>
  <c r="I826"/>
  <c r="I824"/>
  <c r="I823"/>
  <c r="I822"/>
  <c r="I813"/>
  <c r="I812"/>
  <c r="I811"/>
  <c r="I810"/>
  <c r="I809"/>
  <c r="I806"/>
  <c r="I1268"/>
  <c r="I1632"/>
  <c r="I1628"/>
  <c r="I1627"/>
  <c r="I1626"/>
  <c r="I1625"/>
  <c r="I794"/>
  <c r="I793"/>
  <c r="I792"/>
  <c r="I791"/>
  <c r="I790"/>
  <c r="I789"/>
  <c r="I788"/>
  <c r="I787"/>
  <c r="I783"/>
  <c r="I782"/>
  <c r="I781"/>
  <c r="I776"/>
  <c r="I777" s="1"/>
  <c r="I773"/>
  <c r="I769"/>
  <c r="I768"/>
  <c r="I767"/>
  <c r="I763"/>
  <c r="I762"/>
  <c r="I761"/>
  <c r="I757"/>
  <c r="I756"/>
  <c r="I755"/>
  <c r="I754"/>
  <c r="I753"/>
  <c r="I752"/>
  <c r="I751"/>
  <c r="I750"/>
  <c r="I749"/>
  <c r="I744"/>
  <c r="I743"/>
  <c r="I742"/>
  <c r="I741"/>
  <c r="I1703"/>
  <c r="I50" i="19" s="1"/>
  <c r="K50" s="1"/>
  <c r="L50" s="1"/>
  <c r="M50" s="1"/>
  <c r="S50" s="1"/>
  <c r="F737" i="18"/>
  <c r="I737" s="1"/>
  <c r="F736"/>
  <c r="I736" s="1"/>
  <c r="F735"/>
  <c r="I735" s="1"/>
  <c r="F734"/>
  <c r="I734" s="1"/>
  <c r="I733"/>
  <c r="I732"/>
  <c r="I731"/>
  <c r="I730"/>
  <c r="I729"/>
  <c r="I728"/>
  <c r="I727"/>
  <c r="I726"/>
  <c r="I725"/>
  <c r="I724"/>
  <c r="I723"/>
  <c r="I722"/>
  <c r="I721"/>
  <c r="I720"/>
  <c r="I716"/>
  <c r="I715"/>
  <c r="I711"/>
  <c r="I710"/>
  <c r="I709"/>
  <c r="I708"/>
  <c r="I707"/>
  <c r="I706"/>
  <c r="I705"/>
  <c r="I704"/>
  <c r="I703"/>
  <c r="I702"/>
  <c r="I701"/>
  <c r="I700"/>
  <c r="I696"/>
  <c r="I695"/>
  <c r="F694"/>
  <c r="I694" s="1"/>
  <c r="I693"/>
  <c r="F692"/>
  <c r="I692" s="1"/>
  <c r="I691"/>
  <c r="I690"/>
  <c r="I689"/>
  <c r="I688"/>
  <c r="I687"/>
  <c r="I686"/>
  <c r="I685"/>
  <c r="I684"/>
  <c r="I682"/>
  <c r="I681"/>
  <c r="I680"/>
  <c r="I679"/>
  <c r="I678"/>
  <c r="I677"/>
  <c r="I676"/>
  <c r="I675"/>
  <c r="I674"/>
  <c r="I673"/>
  <c r="I672"/>
  <c r="I671"/>
  <c r="I670"/>
  <c r="I669"/>
  <c r="I667"/>
  <c r="I1699"/>
  <c r="I90" i="17" s="1"/>
  <c r="I1899" i="18"/>
  <c r="I195" i="17" s="1"/>
  <c r="I1895" i="18"/>
  <c r="F1894"/>
  <c r="I1894" s="1"/>
  <c r="I1893"/>
  <c r="I1892"/>
  <c r="I1891"/>
  <c r="I658"/>
  <c r="I657"/>
  <c r="F656"/>
  <c r="I656" s="1"/>
  <c r="I663" s="1"/>
  <c r="I652"/>
  <c r="F644"/>
  <c r="I644" s="1"/>
  <c r="F643"/>
  <c r="I643" s="1"/>
  <c r="I639"/>
  <c r="I637"/>
  <c r="I1567"/>
  <c r="F1566"/>
  <c r="I1566" s="1"/>
  <c r="I631"/>
  <c r="I629"/>
  <c r="I628"/>
  <c r="I627"/>
  <c r="I626"/>
  <c r="I625"/>
  <c r="I624"/>
  <c r="I623"/>
  <c r="I622"/>
  <c r="I621"/>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I556"/>
  <c r="I555"/>
  <c r="I554"/>
  <c r="I553"/>
  <c r="I552"/>
  <c r="I551"/>
  <c r="I550"/>
  <c r="I549"/>
  <c r="I548"/>
  <c r="I547"/>
  <c r="I546"/>
  <c r="I545"/>
  <c r="I544"/>
  <c r="I543"/>
  <c r="I542"/>
  <c r="I541"/>
  <c r="I540"/>
  <c r="I539"/>
  <c r="I538"/>
  <c r="I537"/>
  <c r="I536"/>
  <c r="I535"/>
  <c r="I534"/>
  <c r="I533"/>
  <c r="I532"/>
  <c r="I531"/>
  <c r="F526"/>
  <c r="I526" s="1"/>
  <c r="I525"/>
  <c r="F524"/>
  <c r="I524" s="1"/>
  <c r="I523"/>
  <c r="F522"/>
  <c r="I522" s="1"/>
  <c r="I521"/>
  <c r="F520"/>
  <c r="I520" s="1"/>
  <c r="I519"/>
  <c r="F518"/>
  <c r="I518" s="1"/>
  <c r="I517"/>
  <c r="F516"/>
  <c r="I516" s="1"/>
  <c r="I515"/>
  <c r="I514"/>
  <c r="I513"/>
  <c r="I509"/>
  <c r="I506"/>
  <c r="F505"/>
  <c r="I505" s="1"/>
  <c r="I503"/>
  <c r="I502"/>
  <c r="I501"/>
  <c r="I497"/>
  <c r="I496"/>
  <c r="I495"/>
  <c r="I494"/>
  <c r="I493"/>
  <c r="I489"/>
  <c r="I488"/>
  <c r="I487"/>
  <c r="I486"/>
  <c r="I485"/>
  <c r="I484"/>
  <c r="F483"/>
  <c r="I483" s="1"/>
  <c r="I482"/>
  <c r="I481"/>
  <c r="I480"/>
  <c r="I479"/>
  <c r="I478"/>
  <c r="F477"/>
  <c r="I477" s="1"/>
  <c r="I476"/>
  <c r="F475"/>
  <c r="I475" s="1"/>
  <c r="I474"/>
  <c r="I473"/>
  <c r="F472"/>
  <c r="I472" s="1"/>
  <c r="F471"/>
  <c r="I471" s="1"/>
  <c r="F470"/>
  <c r="I470" s="1"/>
  <c r="I469"/>
  <c r="I468"/>
  <c r="I467"/>
  <c r="I466"/>
  <c r="I465"/>
  <c r="I464"/>
  <c r="I463"/>
  <c r="I462"/>
  <c r="I461"/>
  <c r="I460"/>
  <c r="I459"/>
  <c r="I458"/>
  <c r="I457"/>
  <c r="I456"/>
  <c r="I455"/>
  <c r="I454"/>
  <c r="I453"/>
  <c r="I452"/>
  <c r="I451"/>
  <c r="I450"/>
  <c r="I449"/>
  <c r="I448"/>
  <c r="I447"/>
  <c r="I446"/>
  <c r="I445"/>
  <c r="I444"/>
  <c r="I443"/>
  <c r="I442"/>
  <c r="I441"/>
  <c r="I438"/>
  <c r="I437"/>
  <c r="H436"/>
  <c r="F436"/>
  <c r="I435"/>
  <c r="I434"/>
  <c r="F433"/>
  <c r="I433" s="1"/>
  <c r="F432"/>
  <c r="I432" s="1"/>
  <c r="I431"/>
  <c r="I430"/>
  <c r="F429"/>
  <c r="I429" s="1"/>
  <c r="F428"/>
  <c r="I428" s="1"/>
  <c r="I427"/>
  <c r="I426"/>
  <c r="I425"/>
  <c r="I424"/>
  <c r="I423"/>
  <c r="I422"/>
  <c r="I421"/>
  <c r="I420"/>
  <c r="I419"/>
  <c r="I418"/>
  <c r="I417"/>
  <c r="I416"/>
  <c r="I415"/>
  <c r="I414"/>
  <c r="I413"/>
  <c r="I412"/>
  <c r="I411"/>
  <c r="F410"/>
  <c r="I410" s="1"/>
  <c r="I409"/>
  <c r="F408"/>
  <c r="I408" s="1"/>
  <c r="I407"/>
  <c r="F406"/>
  <c r="I406" s="1"/>
  <c r="I405"/>
  <c r="I404"/>
  <c r="F403"/>
  <c r="I403" s="1"/>
  <c r="F402"/>
  <c r="I402" s="1"/>
  <c r="F401"/>
  <c r="I401" s="1"/>
  <c r="F400"/>
  <c r="I400" s="1"/>
  <c r="F399"/>
  <c r="I399" s="1"/>
  <c r="F398"/>
  <c r="I398" s="1"/>
  <c r="F397"/>
  <c r="I397" s="1"/>
  <c r="I396"/>
  <c r="I394"/>
  <c r="I393"/>
  <c r="I392"/>
  <c r="I391"/>
  <c r="I390"/>
  <c r="I389"/>
  <c r="I388"/>
  <c r="I387"/>
  <c r="I386"/>
  <c r="I385"/>
  <c r="I384"/>
  <c r="I383"/>
  <c r="I382"/>
  <c r="I381"/>
  <c r="I380"/>
  <c r="I379"/>
  <c r="I378"/>
  <c r="I377"/>
  <c r="I376"/>
  <c r="I375"/>
  <c r="I374"/>
  <c r="I373"/>
  <c r="I372"/>
  <c r="I371"/>
  <c r="I370"/>
  <c r="I369"/>
  <c r="I368"/>
  <c r="F367"/>
  <c r="I367" s="1"/>
  <c r="I366"/>
  <c r="F365"/>
  <c r="I365" s="1"/>
  <c r="I364"/>
  <c r="F363"/>
  <c r="I363" s="1"/>
  <c r="F362"/>
  <c r="I362" s="1"/>
  <c r="I361"/>
  <c r="I360"/>
  <c r="F359"/>
  <c r="I359" s="1"/>
  <c r="I358"/>
  <c r="F357"/>
  <c r="I357" s="1"/>
  <c r="F356"/>
  <c r="I356" s="1"/>
  <c r="F355"/>
  <c r="I355" s="1"/>
  <c r="F354"/>
  <c r="I354" s="1"/>
  <c r="F353"/>
  <c r="I353" s="1"/>
  <c r="F352"/>
  <c r="I352" s="1"/>
  <c r="F351"/>
  <c r="I351" s="1"/>
  <c r="F350"/>
  <c r="I350" s="1"/>
  <c r="I349"/>
  <c r="I348"/>
  <c r="I347"/>
  <c r="I346"/>
  <c r="I345"/>
  <c r="I344"/>
  <c r="I343"/>
  <c r="I342"/>
  <c r="I341"/>
  <c r="I340"/>
  <c r="I339"/>
  <c r="I338"/>
  <c r="I337"/>
  <c r="I336"/>
  <c r="I335"/>
  <c r="I334"/>
  <c r="I333"/>
  <c r="I332"/>
  <c r="I331"/>
  <c r="I330"/>
  <c r="I329"/>
  <c r="I328"/>
  <c r="I327"/>
  <c r="I326"/>
  <c r="I325"/>
  <c r="I324"/>
  <c r="I323"/>
  <c r="I322"/>
  <c r="F321"/>
  <c r="I321" s="1"/>
  <c r="I320"/>
  <c r="F319"/>
  <c r="I319" s="1"/>
  <c r="I318"/>
  <c r="F317"/>
  <c r="I317" s="1"/>
  <c r="I316"/>
  <c r="F315"/>
  <c r="I315" s="1"/>
  <c r="F314"/>
  <c r="I314" s="1"/>
  <c r="I313"/>
  <c r="I312"/>
  <c r="F311"/>
  <c r="I311" s="1"/>
  <c r="F310"/>
  <c r="I310" s="1"/>
  <c r="I309"/>
  <c r="F308"/>
  <c r="I308" s="1"/>
  <c r="F307"/>
  <c r="I307" s="1"/>
  <c r="F306"/>
  <c r="I306" s="1"/>
  <c r="F305"/>
  <c r="I305" s="1"/>
  <c r="F304"/>
  <c r="I304" s="1"/>
  <c r="F303"/>
  <c r="I303" s="1"/>
  <c r="F302"/>
  <c r="I302" s="1"/>
  <c r="F301"/>
  <c r="I301" s="1"/>
  <c r="F300"/>
  <c r="I300" s="1"/>
  <c r="F299"/>
  <c r="I299" s="1"/>
  <c r="I298"/>
  <c r="I297"/>
  <c r="I296"/>
  <c r="I295"/>
  <c r="I294"/>
  <c r="F293"/>
  <c r="I293" s="1"/>
  <c r="I292"/>
  <c r="I291"/>
  <c r="I290"/>
  <c r="F289"/>
  <c r="I289" s="1"/>
  <c r="F288"/>
  <c r="I288" s="1"/>
  <c r="I287"/>
  <c r="I286"/>
  <c r="F285"/>
  <c r="I285" s="1"/>
  <c r="I284"/>
  <c r="F283"/>
  <c r="I283" s="1"/>
  <c r="I282"/>
  <c r="F281"/>
  <c r="I281" s="1"/>
  <c r="F280"/>
  <c r="I280" s="1"/>
  <c r="I279"/>
  <c r="I278"/>
  <c r="F277"/>
  <c r="I277" s="1"/>
  <c r="I276"/>
  <c r="I275"/>
  <c r="F274"/>
  <c r="I274" s="1"/>
  <c r="F273"/>
  <c r="I273" s="1"/>
  <c r="I272"/>
  <c r="I271"/>
  <c r="F270"/>
  <c r="I270" s="1"/>
  <c r="F269"/>
  <c r="I269" s="1"/>
  <c r="I264"/>
  <c r="I263"/>
  <c r="I262"/>
  <c r="I261"/>
  <c r="I260"/>
  <c r="I256"/>
  <c r="I255"/>
  <c r="I254"/>
  <c r="I253"/>
  <c r="I252"/>
  <c r="I251"/>
  <c r="I247"/>
  <c r="I246"/>
  <c r="I242"/>
  <c r="I241"/>
  <c r="I240"/>
  <c r="I239"/>
  <c r="I235"/>
  <c r="I236" s="1"/>
  <c r="I31" i="17" s="1"/>
  <c r="I231" i="18"/>
  <c r="I230"/>
  <c r="I229"/>
  <c r="I221"/>
  <c r="I220"/>
  <c r="I219"/>
  <c r="I218"/>
  <c r="I216"/>
  <c r="I215"/>
  <c r="I214"/>
  <c r="I210"/>
  <c r="I208"/>
  <c r="I207"/>
  <c r="I206"/>
  <c r="I205"/>
  <c r="I204"/>
  <c r="I203"/>
  <c r="I202"/>
  <c r="I201"/>
  <c r="I200"/>
  <c r="I198"/>
  <c r="I197"/>
  <c r="I196"/>
  <c r="I195"/>
  <c r="I194"/>
  <c r="I190"/>
  <c r="I168"/>
  <c r="I165"/>
  <c r="I164"/>
  <c r="I163"/>
  <c r="I162"/>
  <c r="I161"/>
  <c r="I153"/>
  <c r="I151"/>
  <c r="I224"/>
  <c r="I150"/>
  <c r="I148"/>
  <c r="I147"/>
  <c r="I146"/>
  <c r="I145"/>
  <c r="I144"/>
  <c r="I143"/>
  <c r="I142"/>
  <c r="I141"/>
  <c r="I140"/>
  <c r="I139"/>
  <c r="I138"/>
  <c r="I137"/>
  <c r="I136"/>
  <c r="I135"/>
  <c r="I134"/>
  <c r="I133"/>
  <c r="I132"/>
  <c r="I131"/>
  <c r="I130"/>
  <c r="I129"/>
  <c r="I125"/>
  <c r="I124"/>
  <c r="I123"/>
  <c r="I122"/>
  <c r="I121"/>
  <c r="I120"/>
  <c r="I119"/>
  <c r="I118"/>
  <c r="I117"/>
  <c r="I116"/>
  <c r="I115"/>
  <c r="I114"/>
  <c r="I110"/>
  <c r="I109"/>
  <c r="I104"/>
  <c r="G103"/>
  <c r="I103" s="1"/>
  <c r="I102"/>
  <c r="I101"/>
  <c r="I100"/>
  <c r="I99"/>
  <c r="I98"/>
  <c r="I97"/>
  <c r="I96"/>
  <c r="I95"/>
  <c r="I94"/>
  <c r="I93"/>
  <c r="I92"/>
  <c r="I91"/>
  <c r="I90"/>
  <c r="J78"/>
  <c r="I77"/>
  <c r="I75"/>
  <c r="I74"/>
  <c r="I72"/>
  <c r="I712" l="1"/>
  <c r="I1074"/>
  <c r="I91" i="19"/>
  <c r="J91" s="1"/>
  <c r="I653" i="18"/>
  <c r="I189" i="19"/>
  <c r="K189" s="1"/>
  <c r="O189" s="1"/>
  <c r="P189" s="1"/>
  <c r="I189" i="17"/>
  <c r="I191" i="19"/>
  <c r="J191" s="1"/>
  <c r="I191" i="17"/>
  <c r="I190" i="19"/>
  <c r="K190" s="1"/>
  <c r="Q190" s="1"/>
  <c r="R190" s="1"/>
  <c r="I190" i="17"/>
  <c r="I193" i="19"/>
  <c r="K193" s="1"/>
  <c r="I193" i="17"/>
  <c r="I1265" i="18"/>
  <c r="I117" i="17" s="1"/>
  <c r="I1381" i="18"/>
  <c r="I136" i="17" s="1"/>
  <c r="I1416" i="18"/>
  <c r="I137" i="17" s="1"/>
  <c r="I1447" i="18"/>
  <c r="I139" i="17" s="1"/>
  <c r="I1317" i="18"/>
  <c r="I126" i="17" s="1"/>
  <c r="I1324" i="18"/>
  <c r="I127" i="17" s="1"/>
  <c r="I68" i="19"/>
  <c r="J68" s="1"/>
  <c r="I68" i="17"/>
  <c r="I71" i="19"/>
  <c r="K71" s="1"/>
  <c r="L71" s="1"/>
  <c r="M71" s="1"/>
  <c r="S71" s="1"/>
  <c r="I71" i="17"/>
  <c r="M34" i="19"/>
  <c r="S34" s="1"/>
  <c r="I160"/>
  <c r="K160" s="1"/>
  <c r="I160" i="17"/>
  <c r="I128" i="19"/>
  <c r="J128" s="1"/>
  <c r="I130"/>
  <c r="J130" s="1"/>
  <c r="I132"/>
  <c r="J132" s="1"/>
  <c r="I134"/>
  <c r="J134" s="1"/>
  <c r="I146"/>
  <c r="J146" s="1"/>
  <c r="I154"/>
  <c r="J154" s="1"/>
  <c r="I154" i="17"/>
  <c r="I156" i="19"/>
  <c r="J156" s="1"/>
  <c r="I156" i="17"/>
  <c r="I181" i="19"/>
  <c r="K181" s="1"/>
  <c r="Q181" s="1"/>
  <c r="R181" s="1"/>
  <c r="I181" i="17"/>
  <c r="I176" i="19"/>
  <c r="K176" s="1"/>
  <c r="I176" i="17"/>
  <c r="I178" i="19"/>
  <c r="K178" s="1"/>
  <c r="I178" i="17"/>
  <c r="I180" i="19"/>
  <c r="J180" s="1"/>
  <c r="I180" i="17"/>
  <c r="I152" i="19"/>
  <c r="J152" s="1"/>
  <c r="I152" i="17"/>
  <c r="I186" i="19"/>
  <c r="K186" s="1"/>
  <c r="Q186" s="1"/>
  <c r="R186" s="1"/>
  <c r="I186" i="17"/>
  <c r="I118" i="19"/>
  <c r="K118" s="1"/>
  <c r="I118" i="17"/>
  <c r="I114" i="19"/>
  <c r="K114" s="1"/>
  <c r="I114" i="17"/>
  <c r="I123" i="19"/>
  <c r="J123" s="1"/>
  <c r="I123" i="17"/>
  <c r="I129" i="19"/>
  <c r="J129" s="1"/>
  <c r="I131"/>
  <c r="K131" s="1"/>
  <c r="I140"/>
  <c r="K140" s="1"/>
  <c r="I145"/>
  <c r="K145" s="1"/>
  <c r="I153"/>
  <c r="K153" s="1"/>
  <c r="I153" i="17"/>
  <c r="I155" i="19"/>
  <c r="J155" s="1"/>
  <c r="I155" i="17"/>
  <c r="I157" i="19"/>
  <c r="K157" s="1"/>
  <c r="I157" i="17"/>
  <c r="I165" i="19"/>
  <c r="J165" s="1"/>
  <c r="I165" i="17"/>
  <c r="I1807" i="18"/>
  <c r="I169" i="17" s="1"/>
  <c r="I170" i="19"/>
  <c r="J170" s="1"/>
  <c r="I170" i="17"/>
  <c r="I172" i="19"/>
  <c r="J172" s="1"/>
  <c r="I172" i="17"/>
  <c r="I177" i="19"/>
  <c r="K177" s="1"/>
  <c r="I179"/>
  <c r="K179" s="1"/>
  <c r="I179" i="17"/>
  <c r="I187" i="19"/>
  <c r="J187" s="1"/>
  <c r="I187" i="17"/>
  <c r="I56" i="19"/>
  <c r="K56" s="1"/>
  <c r="L56" s="1"/>
  <c r="M56" s="1"/>
  <c r="I56" i="17"/>
  <c r="I62" i="19"/>
  <c r="K62" s="1"/>
  <c r="Q62" s="1"/>
  <c r="R62" s="1"/>
  <c r="I62" i="17"/>
  <c r="I1173" i="18"/>
  <c r="I107" i="17" s="1"/>
  <c r="I1775" i="18"/>
  <c r="I167" i="17" s="1"/>
  <c r="I12" i="19"/>
  <c r="K12" s="1"/>
  <c r="Q12" s="1"/>
  <c r="R12" s="1"/>
  <c r="I12" i="17"/>
  <c r="I13" i="19"/>
  <c r="K13" s="1"/>
  <c r="I13" i="17"/>
  <c r="I16" i="19"/>
  <c r="K16" s="1"/>
  <c r="L16" s="1"/>
  <c r="M16" s="1"/>
  <c r="I16" i="17"/>
  <c r="I77" i="19"/>
  <c r="K77" s="1"/>
  <c r="Q77" s="1"/>
  <c r="R77" s="1"/>
  <c r="I77" i="17"/>
  <c r="I55" i="19"/>
  <c r="K55" s="1"/>
  <c r="Q55" s="1"/>
  <c r="R55" s="1"/>
  <c r="I55" i="17"/>
  <c r="I104" i="19"/>
  <c r="K104" s="1"/>
  <c r="I104" i="17"/>
  <c r="I23" i="19"/>
  <c r="K23" s="1"/>
  <c r="I23" i="17"/>
  <c r="I75" i="19"/>
  <c r="K75" s="1"/>
  <c r="O75" s="1"/>
  <c r="P75" s="1"/>
  <c r="I75" i="17"/>
  <c r="H200" i="19"/>
  <c r="H201"/>
  <c r="H202" s="1"/>
  <c r="I148"/>
  <c r="K148" s="1"/>
  <c r="I170" i="18"/>
  <c r="I24" i="17" s="1"/>
  <c r="K500" i="18"/>
  <c r="K499"/>
  <c r="K498"/>
  <c r="I191"/>
  <c r="I25" i="17" s="1"/>
  <c r="I126" i="18"/>
  <c r="I111"/>
  <c r="I20"/>
  <c r="I50"/>
  <c r="I14" i="17" s="1"/>
  <c r="I1917" i="18"/>
  <c r="S88" i="19"/>
  <c r="L119"/>
  <c r="M119" s="1"/>
  <c r="S119" s="1"/>
  <c r="N80"/>
  <c r="T80" s="1"/>
  <c r="N73"/>
  <c r="T73" s="1"/>
  <c r="I1066" i="18"/>
  <c r="I1909"/>
  <c r="S86" i="19"/>
  <c r="N95"/>
  <c r="T95" s="1"/>
  <c r="N86"/>
  <c r="T86" s="1"/>
  <c r="K191"/>
  <c r="I195"/>
  <c r="I112"/>
  <c r="I113"/>
  <c r="I135"/>
  <c r="I133"/>
  <c r="K185"/>
  <c r="J185"/>
  <c r="K91"/>
  <c r="I100"/>
  <c r="I105"/>
  <c r="S57"/>
  <c r="I81" i="17"/>
  <c r="I86" i="18"/>
  <c r="M33" i="19"/>
  <c r="S33" s="1"/>
  <c r="I962" i="18"/>
  <c r="I78" i="17" s="1"/>
  <c r="N57" i="19"/>
  <c r="T57" s="1"/>
  <c r="T33"/>
  <c r="N72"/>
  <c r="T72" s="1"/>
  <c r="N28"/>
  <c r="T28" s="1"/>
  <c r="I799" i="18"/>
  <c r="I60" i="17" s="1"/>
  <c r="I60" i="19"/>
  <c r="I64"/>
  <c r="J50"/>
  <c r="Q50"/>
  <c r="R50" s="1"/>
  <c r="I31"/>
  <c r="I90"/>
  <c r="I803" i="18"/>
  <c r="I61" i="17" s="1"/>
  <c r="I61" i="19"/>
  <c r="L171"/>
  <c r="Q171"/>
  <c r="R171" s="1"/>
  <c r="N184"/>
  <c r="T184" s="1"/>
  <c r="M184"/>
  <c r="S184" s="1"/>
  <c r="L97"/>
  <c r="Q97"/>
  <c r="R97" s="1"/>
  <c r="N98"/>
  <c r="T98" s="1"/>
  <c r="S89"/>
  <c r="N89"/>
  <c r="T89" s="1"/>
  <c r="N82"/>
  <c r="T82" s="1"/>
  <c r="N87"/>
  <c r="T87" s="1"/>
  <c r="N85"/>
  <c r="T85" s="1"/>
  <c r="M85"/>
  <c r="S85" s="1"/>
  <c r="N83"/>
  <c r="T83" s="1"/>
  <c r="M83"/>
  <c r="S83" s="1"/>
  <c r="N76"/>
  <c r="T76" s="1"/>
  <c r="N50"/>
  <c r="Q32"/>
  <c r="R32" s="1"/>
  <c r="L32"/>
  <c r="N11"/>
  <c r="T11" s="1"/>
  <c r="M11"/>
  <c r="S11" s="1"/>
  <c r="N10"/>
  <c r="T10" s="1"/>
  <c r="N199"/>
  <c r="T199" s="1"/>
  <c r="N183"/>
  <c r="T183" s="1"/>
  <c r="L174"/>
  <c r="Q174"/>
  <c r="R174" s="1"/>
  <c r="Q173"/>
  <c r="R173" s="1"/>
  <c r="O173"/>
  <c r="P173" s="1"/>
  <c r="L173"/>
  <c r="N182"/>
  <c r="T182" s="1"/>
  <c r="M182"/>
  <c r="S182" s="1"/>
  <c r="N175"/>
  <c r="T175" s="1"/>
  <c r="N103"/>
  <c r="T103" s="1"/>
  <c r="N88"/>
  <c r="T88" s="1"/>
  <c r="N84"/>
  <c r="T84" s="1"/>
  <c r="M84"/>
  <c r="S84" s="1"/>
  <c r="N79"/>
  <c r="T79" s="1"/>
  <c r="M79"/>
  <c r="S79" s="1"/>
  <c r="Q36"/>
  <c r="R36" s="1"/>
  <c r="L36"/>
  <c r="N29"/>
  <c r="T29" s="1"/>
  <c r="N9"/>
  <c r="T9" s="1"/>
  <c r="I66" i="18"/>
  <c r="I630"/>
  <c r="I666" s="1"/>
  <c r="I697" s="1"/>
  <c r="I46" i="17" s="1"/>
  <c r="I1568" i="18"/>
  <c r="I149" i="17" s="1"/>
  <c r="I1869" i="18"/>
  <c r="I1670"/>
  <c r="I1924"/>
  <c r="K433"/>
  <c r="I78"/>
  <c r="I17" i="17" s="1"/>
  <c r="I105" i="18"/>
  <c r="I243"/>
  <c r="I248"/>
  <c r="I37" i="17" s="1"/>
  <c r="I257" i="18"/>
  <c r="I38" i="17" s="1"/>
  <c r="I45"/>
  <c r="I717" i="18"/>
  <c r="I48" i="17" s="1"/>
  <c r="I758" i="18"/>
  <c r="I770"/>
  <c r="I784"/>
  <c r="I58" i="17" s="1"/>
  <c r="I912" i="18"/>
  <c r="I1080"/>
  <c r="I96" i="17" s="1"/>
  <c r="I1089" i="18"/>
  <c r="I99" i="17" s="1"/>
  <c r="I108"/>
  <c r="I1252" i="18"/>
  <c r="I1286"/>
  <c r="I1293"/>
  <c r="I1421"/>
  <c r="I138" i="17" s="1"/>
  <c r="I1502" i="18"/>
  <c r="I142" i="17" s="1"/>
  <c r="I1547" i="18"/>
  <c r="I144" i="17" s="1"/>
  <c r="I1692" i="18"/>
  <c r="I166" i="17" s="1"/>
  <c r="K401" i="18"/>
  <c r="I154"/>
  <c r="I22" i="17" s="1"/>
  <c r="I738" i="18"/>
  <c r="I49" i="17" s="1"/>
  <c r="I209" i="18"/>
  <c r="I211" s="1"/>
  <c r="I26" i="17" s="1"/>
  <c r="I27"/>
  <c r="I232" i="18"/>
  <c r="I30" i="17" s="1"/>
  <c r="I265" i="18"/>
  <c r="I39" i="17" s="1"/>
  <c r="K355" i="18"/>
  <c r="I436"/>
  <c r="K445" s="1"/>
  <c r="K505"/>
  <c r="I1896"/>
  <c r="I194" i="17" s="1"/>
  <c r="I745" i="18"/>
  <c r="I764"/>
  <c r="I795"/>
  <c r="I59" i="17" s="1"/>
  <c r="I814" i="18"/>
  <c r="I839"/>
  <c r="I865"/>
  <c r="I906"/>
  <c r="I1050"/>
  <c r="I1712"/>
  <c r="I1719"/>
  <c r="I1099"/>
  <c r="I102" i="17" s="1"/>
  <c r="I1106" i="18"/>
  <c r="I101" i="17" s="1"/>
  <c r="I1246" i="18"/>
  <c r="I115" i="17" s="1"/>
  <c r="I1278" i="18"/>
  <c r="I1308"/>
  <c r="I1481"/>
  <c r="I141" i="17" s="1"/>
  <c r="I1528" i="18"/>
  <c r="I143" i="17" s="1"/>
  <c r="I1560" i="18"/>
  <c r="I147" i="17" s="1"/>
  <c r="I1575" i="18"/>
  <c r="I1581"/>
  <c r="I1675"/>
  <c r="I1637"/>
  <c r="I1783"/>
  <c r="I168" i="17" s="1"/>
  <c r="I1885" i="18"/>
  <c r="K304"/>
  <c r="I41" i="17"/>
  <c r="I640" i="18"/>
  <c r="I43" i="17" s="1"/>
  <c r="K504" i="18"/>
  <c r="I490"/>
  <c r="K501" s="1"/>
  <c r="K496"/>
  <c r="I1147"/>
  <c r="I1629"/>
  <c r="I889"/>
  <c r="I1991" i="15"/>
  <c r="I1994"/>
  <c r="I1993"/>
  <c r="I1992"/>
  <c r="I1987"/>
  <c r="I1986"/>
  <c r="I1985"/>
  <c r="I1984"/>
  <c r="I1988" s="1"/>
  <c r="I1983"/>
  <c r="I1978"/>
  <c r="I1977"/>
  <c r="I1976"/>
  <c r="I1975"/>
  <c r="I1974"/>
  <c r="I1979" s="1"/>
  <c r="P198" i="17"/>
  <c r="F198"/>
  <c r="P197"/>
  <c r="H197"/>
  <c r="F197"/>
  <c r="P196"/>
  <c r="H196"/>
  <c r="F196"/>
  <c r="I137" i="19" l="1"/>
  <c r="K137" s="1"/>
  <c r="J193"/>
  <c r="Q189"/>
  <c r="R189" s="1"/>
  <c r="J190"/>
  <c r="J189"/>
  <c r="L190"/>
  <c r="M190" s="1"/>
  <c r="S190" s="1"/>
  <c r="L189"/>
  <c r="M189" s="1"/>
  <c r="S189" s="1"/>
  <c r="I192"/>
  <c r="J192" s="1"/>
  <c r="I192" i="17"/>
  <c r="I139" i="19"/>
  <c r="K139" s="1"/>
  <c r="I162"/>
  <c r="J162" s="1"/>
  <c r="I162" i="17"/>
  <c r="I136" i="19"/>
  <c r="K136" s="1"/>
  <c r="K128"/>
  <c r="Q128" s="1"/>
  <c r="R128" s="1"/>
  <c r="N71"/>
  <c r="Q71"/>
  <c r="R71" s="1"/>
  <c r="I14"/>
  <c r="J14" s="1"/>
  <c r="K68"/>
  <c r="Q68" s="1"/>
  <c r="R68" s="1"/>
  <c r="J71"/>
  <c r="I67"/>
  <c r="J67" s="1"/>
  <c r="I67" i="17"/>
  <c r="I69" i="19"/>
  <c r="J69" s="1"/>
  <c r="I69" i="17"/>
  <c r="I65" i="19"/>
  <c r="K65" s="1"/>
  <c r="I65" i="17"/>
  <c r="I70" i="19"/>
  <c r="K70" s="1"/>
  <c r="I70" i="17"/>
  <c r="I66" i="19"/>
  <c r="K66" s="1"/>
  <c r="I66" i="17"/>
  <c r="K129" i="19"/>
  <c r="L129" s="1"/>
  <c r="J12"/>
  <c r="K130"/>
  <c r="Q130" s="1"/>
  <c r="R130" s="1"/>
  <c r="J153"/>
  <c r="K156"/>
  <c r="O156" s="1"/>
  <c r="P156" s="1"/>
  <c r="K180"/>
  <c r="L180" s="1"/>
  <c r="J179"/>
  <c r="K172"/>
  <c r="Q172" s="1"/>
  <c r="R172" s="1"/>
  <c r="J157"/>
  <c r="J140"/>
  <c r="J114"/>
  <c r="K146"/>
  <c r="Q146" s="1"/>
  <c r="R146" s="1"/>
  <c r="J186"/>
  <c r="J176"/>
  <c r="L75"/>
  <c r="M75" s="1"/>
  <c r="S75" s="1"/>
  <c r="K187"/>
  <c r="L187" s="1"/>
  <c r="J177"/>
  <c r="K170"/>
  <c r="L170" s="1"/>
  <c r="L181"/>
  <c r="M181" s="1"/>
  <c r="S181" s="1"/>
  <c r="K165"/>
  <c r="Q165" s="1"/>
  <c r="R165" s="1"/>
  <c r="K155"/>
  <c r="L155" s="1"/>
  <c r="J145"/>
  <c r="J131"/>
  <c r="K123"/>
  <c r="L123" s="1"/>
  <c r="J160"/>
  <c r="K154"/>
  <c r="L154" s="1"/>
  <c r="K132"/>
  <c r="L132" s="1"/>
  <c r="J118"/>
  <c r="K152"/>
  <c r="L152" s="1"/>
  <c r="J178"/>
  <c r="K134"/>
  <c r="L134" s="1"/>
  <c r="J13"/>
  <c r="J181"/>
  <c r="O55"/>
  <c r="P55" s="1"/>
  <c r="L62"/>
  <c r="M62" s="1"/>
  <c r="S62" s="1"/>
  <c r="I164"/>
  <c r="K164" s="1"/>
  <c r="I164" i="17"/>
  <c r="I150" i="19"/>
  <c r="K150" s="1"/>
  <c r="I150" i="17"/>
  <c r="I143" i="19"/>
  <c r="J143" s="1"/>
  <c r="I125"/>
  <c r="J125" s="1"/>
  <c r="I125" i="17"/>
  <c r="I142" i="19"/>
  <c r="K142" s="1"/>
  <c r="I138"/>
  <c r="K138" s="1"/>
  <c r="I121"/>
  <c r="J121" s="1"/>
  <c r="I121" i="17"/>
  <c r="I47"/>
  <c r="I161"/>
  <c r="I198" i="19"/>
  <c r="J198" s="1"/>
  <c r="I198" i="17"/>
  <c r="J198" s="1"/>
  <c r="I188" i="19"/>
  <c r="K188" s="1"/>
  <c r="I188" i="17"/>
  <c r="I159" i="19"/>
  <c r="J159" s="1"/>
  <c r="I159" i="17"/>
  <c r="I151" i="19"/>
  <c r="J151" s="1"/>
  <c r="I151" i="17"/>
  <c r="I141" i="19"/>
  <c r="K141" s="1"/>
  <c r="I120"/>
  <c r="K120" s="1"/>
  <c r="I120" i="17"/>
  <c r="I144" i="19"/>
  <c r="J144" s="1"/>
  <c r="I122"/>
  <c r="J122" s="1"/>
  <c r="I122" i="17"/>
  <c r="I116" i="19"/>
  <c r="K116" s="1"/>
  <c r="I116" i="17"/>
  <c r="I163" i="19"/>
  <c r="J163" s="1"/>
  <c r="I163" i="17"/>
  <c r="I196" i="19"/>
  <c r="I196" i="17"/>
  <c r="J196" s="1"/>
  <c r="I197" i="19"/>
  <c r="I197" i="17"/>
  <c r="N56" i="19"/>
  <c r="T56" s="1"/>
  <c r="L55"/>
  <c r="M55" s="1"/>
  <c r="J23"/>
  <c r="O16"/>
  <c r="P16" s="1"/>
  <c r="S16" s="1"/>
  <c r="J62"/>
  <c r="J104"/>
  <c r="J148"/>
  <c r="N16"/>
  <c r="T16" s="1"/>
  <c r="L12"/>
  <c r="M12" s="1"/>
  <c r="S12" s="1"/>
  <c r="J55"/>
  <c r="J16"/>
  <c r="O56"/>
  <c r="P56" s="1"/>
  <c r="S56" s="1"/>
  <c r="J56"/>
  <c r="J75"/>
  <c r="L77"/>
  <c r="M77" s="1"/>
  <c r="S77" s="1"/>
  <c r="J77"/>
  <c r="I106"/>
  <c r="J106" s="1"/>
  <c r="I106" i="17"/>
  <c r="I92" i="19"/>
  <c r="I92" i="17"/>
  <c r="I63" i="19"/>
  <c r="J63" s="1"/>
  <c r="I63" i="17"/>
  <c r="I53" i="19"/>
  <c r="J53" s="1"/>
  <c r="I53" i="17"/>
  <c r="I52" i="19"/>
  <c r="J52" s="1"/>
  <c r="I52" i="17"/>
  <c r="I35" i="19"/>
  <c r="K35" s="1"/>
  <c r="I35" i="17"/>
  <c r="I94" i="19"/>
  <c r="K94" s="1"/>
  <c r="I94" i="17"/>
  <c r="I8" i="19"/>
  <c r="J8" s="1"/>
  <c r="I8" i="17"/>
  <c r="I21" i="19"/>
  <c r="I21" i="17"/>
  <c r="I51" i="19"/>
  <c r="K51" s="1"/>
  <c r="I51" i="17"/>
  <c r="I54" i="19"/>
  <c r="J54" s="1"/>
  <c r="I54" i="17"/>
  <c r="I19" i="19"/>
  <c r="I19" i="17"/>
  <c r="I15" i="19"/>
  <c r="J15" s="1"/>
  <c r="I15" i="17"/>
  <c r="I44" i="19"/>
  <c r="J44" s="1"/>
  <c r="I44" i="17"/>
  <c r="I18" i="19"/>
  <c r="K18" s="1"/>
  <c r="O18" s="1"/>
  <c r="P18" s="1"/>
  <c r="I18" i="17"/>
  <c r="I93" i="19"/>
  <c r="J93" s="1"/>
  <c r="I93" i="17"/>
  <c r="I20" i="19"/>
  <c r="I20" i="17"/>
  <c r="I147" i="19"/>
  <c r="K147" s="1"/>
  <c r="N119"/>
  <c r="T119" s="1"/>
  <c r="L186"/>
  <c r="N186" s="1"/>
  <c r="T186" s="1"/>
  <c r="N189"/>
  <c r="T189" s="1"/>
  <c r="I127"/>
  <c r="J137"/>
  <c r="O91"/>
  <c r="P91" s="1"/>
  <c r="L91"/>
  <c r="L193"/>
  <c r="Q193"/>
  <c r="R193" s="1"/>
  <c r="L157"/>
  <c r="O157"/>
  <c r="P157" s="1"/>
  <c r="Q157"/>
  <c r="R157" s="1"/>
  <c r="Q153"/>
  <c r="R153" s="1"/>
  <c r="L153"/>
  <c r="Q145"/>
  <c r="R145" s="1"/>
  <c r="L145"/>
  <c r="L140"/>
  <c r="Q140"/>
  <c r="R140" s="1"/>
  <c r="K133"/>
  <c r="J133"/>
  <c r="Q131"/>
  <c r="R131" s="1"/>
  <c r="L131"/>
  <c r="O114"/>
  <c r="P114" s="1"/>
  <c r="L114"/>
  <c r="K113"/>
  <c r="J113"/>
  <c r="Q160"/>
  <c r="R160" s="1"/>
  <c r="L160"/>
  <c r="K112"/>
  <c r="J112"/>
  <c r="L118"/>
  <c r="O118"/>
  <c r="P118" s="1"/>
  <c r="J195"/>
  <c r="K195"/>
  <c r="Q178"/>
  <c r="R178" s="1"/>
  <c r="L178"/>
  <c r="L176"/>
  <c r="Q176"/>
  <c r="R176" s="1"/>
  <c r="I169"/>
  <c r="I117"/>
  <c r="I194"/>
  <c r="J194" s="1"/>
  <c r="I167"/>
  <c r="I168"/>
  <c r="I126"/>
  <c r="I115"/>
  <c r="I166"/>
  <c r="I149"/>
  <c r="Q179"/>
  <c r="R179" s="1"/>
  <c r="L179"/>
  <c r="Q177"/>
  <c r="R177" s="1"/>
  <c r="L177"/>
  <c r="L185"/>
  <c r="Q185"/>
  <c r="R185" s="1"/>
  <c r="K135"/>
  <c r="J135"/>
  <c r="Q148"/>
  <c r="R148" s="1"/>
  <c r="L148"/>
  <c r="Q191"/>
  <c r="R191" s="1"/>
  <c r="L191"/>
  <c r="I102"/>
  <c r="I108"/>
  <c r="I99"/>
  <c r="I101"/>
  <c r="I107"/>
  <c r="K105"/>
  <c r="J105"/>
  <c r="J100"/>
  <c r="K100"/>
  <c r="L104"/>
  <c r="Q104"/>
  <c r="R104" s="1"/>
  <c r="I632" i="18"/>
  <c r="I439"/>
  <c r="T50" i="19"/>
  <c r="I41"/>
  <c r="I78"/>
  <c r="I30"/>
  <c r="I96"/>
  <c r="I48"/>
  <c r="I45"/>
  <c r="I37"/>
  <c r="I17"/>
  <c r="Q23"/>
  <c r="R23" s="1"/>
  <c r="L23"/>
  <c r="O23"/>
  <c r="P23" s="1"/>
  <c r="Q13"/>
  <c r="R13" s="1"/>
  <c r="L13"/>
  <c r="K64"/>
  <c r="J64"/>
  <c r="K60"/>
  <c r="J60"/>
  <c r="I43"/>
  <c r="I81"/>
  <c r="I59"/>
  <c r="I39"/>
  <c r="I27"/>
  <c r="I49"/>
  <c r="I58"/>
  <c r="I47"/>
  <c r="I38"/>
  <c r="I24"/>
  <c r="I46"/>
  <c r="J61"/>
  <c r="K61"/>
  <c r="K90"/>
  <c r="J90"/>
  <c r="J31"/>
  <c r="K31"/>
  <c r="I26"/>
  <c r="I22"/>
  <c r="I25"/>
  <c r="M173"/>
  <c r="S173" s="1"/>
  <c r="N173"/>
  <c r="T173" s="1"/>
  <c r="M174"/>
  <c r="S174" s="1"/>
  <c r="N174"/>
  <c r="T174" s="1"/>
  <c r="M97"/>
  <c r="S97" s="1"/>
  <c r="N97"/>
  <c r="T97" s="1"/>
  <c r="M171"/>
  <c r="S171" s="1"/>
  <c r="N171"/>
  <c r="T171" s="1"/>
  <c r="M36"/>
  <c r="S36" s="1"/>
  <c r="N36"/>
  <c r="T36" s="1"/>
  <c r="M32"/>
  <c r="S32" s="1"/>
  <c r="N32"/>
  <c r="T32" s="1"/>
  <c r="K446" i="18"/>
  <c r="I1222"/>
  <c r="I1604"/>
  <c r="I1621" s="1"/>
  <c r="I158" i="17" s="1"/>
  <c r="K503" i="18"/>
  <c r="K502"/>
  <c r="I1995" i="15"/>
  <c r="W37" i="9"/>
  <c r="V37"/>
  <c r="U37"/>
  <c r="T37"/>
  <c r="S37"/>
  <c r="R37"/>
  <c r="P37"/>
  <c r="O37"/>
  <c r="W36"/>
  <c r="V36"/>
  <c r="U36"/>
  <c r="T36"/>
  <c r="S36"/>
  <c r="R36"/>
  <c r="P36"/>
  <c r="O36"/>
  <c r="W35"/>
  <c r="V35"/>
  <c r="U35"/>
  <c r="T35"/>
  <c r="S35"/>
  <c r="Q35"/>
  <c r="P35"/>
  <c r="O35"/>
  <c r="W34"/>
  <c r="V34"/>
  <c r="U34"/>
  <c r="T34"/>
  <c r="S34"/>
  <c r="R34"/>
  <c r="P34"/>
  <c r="O34"/>
  <c r="W33"/>
  <c r="V33"/>
  <c r="U33"/>
  <c r="T33"/>
  <c r="S33"/>
  <c r="R33"/>
  <c r="P33"/>
  <c r="O33"/>
  <c r="W32"/>
  <c r="V32"/>
  <c r="U32"/>
  <c r="T32"/>
  <c r="S32"/>
  <c r="Q32"/>
  <c r="P32"/>
  <c r="O32"/>
  <c r="W31"/>
  <c r="V31"/>
  <c r="U31"/>
  <c r="T31"/>
  <c r="S31"/>
  <c r="R31"/>
  <c r="P31"/>
  <c r="O31"/>
  <c r="W30"/>
  <c r="V30"/>
  <c r="U30"/>
  <c r="T30"/>
  <c r="S30"/>
  <c r="Q30"/>
  <c r="P30"/>
  <c r="O30"/>
  <c r="W90"/>
  <c r="V90"/>
  <c r="U90"/>
  <c r="T90"/>
  <c r="S90"/>
  <c r="Q90"/>
  <c r="P90"/>
  <c r="O90"/>
  <c r="W87"/>
  <c r="V87"/>
  <c r="U87"/>
  <c r="T87"/>
  <c r="S87"/>
  <c r="Q87"/>
  <c r="P87"/>
  <c r="O87"/>
  <c r="W86"/>
  <c r="V86"/>
  <c r="U86"/>
  <c r="T86"/>
  <c r="S86"/>
  <c r="Q86"/>
  <c r="P86"/>
  <c r="O86"/>
  <c r="W88"/>
  <c r="V88"/>
  <c r="U88"/>
  <c r="T88"/>
  <c r="S88"/>
  <c r="P88"/>
  <c r="O88"/>
  <c r="W85"/>
  <c r="V85"/>
  <c r="U85"/>
  <c r="T85"/>
  <c r="S85"/>
  <c r="Q85"/>
  <c r="P85"/>
  <c r="O85"/>
  <c r="W84"/>
  <c r="V84"/>
  <c r="U84"/>
  <c r="T84"/>
  <c r="S84"/>
  <c r="Q84"/>
  <c r="P84"/>
  <c r="O84"/>
  <c r="W82"/>
  <c r="V82"/>
  <c r="U82"/>
  <c r="T82"/>
  <c r="S82"/>
  <c r="Q82"/>
  <c r="P82"/>
  <c r="O82"/>
  <c r="W81"/>
  <c r="V81"/>
  <c r="U81"/>
  <c r="T81"/>
  <c r="S81"/>
  <c r="Q81"/>
  <c r="P81"/>
  <c r="O81"/>
  <c r="W89"/>
  <c r="V89"/>
  <c r="U89"/>
  <c r="T89"/>
  <c r="S89"/>
  <c r="P89"/>
  <c r="O89"/>
  <c r="W83"/>
  <c r="V83"/>
  <c r="U83"/>
  <c r="T83"/>
  <c r="S83"/>
  <c r="Q83"/>
  <c r="P83"/>
  <c r="O83"/>
  <c r="W80"/>
  <c r="V80"/>
  <c r="U80"/>
  <c r="T80"/>
  <c r="S80"/>
  <c r="Q80"/>
  <c r="P80"/>
  <c r="O80"/>
  <c r="W77"/>
  <c r="V77"/>
  <c r="U77"/>
  <c r="T77"/>
  <c r="S77"/>
  <c r="R77"/>
  <c r="P77"/>
  <c r="O77"/>
  <c r="W76"/>
  <c r="V76"/>
  <c r="T76"/>
  <c r="S76"/>
  <c r="R76"/>
  <c r="Q76"/>
  <c r="P76"/>
  <c r="O76"/>
  <c r="W75"/>
  <c r="V75"/>
  <c r="U75"/>
  <c r="T75"/>
  <c r="S75"/>
  <c r="R75"/>
  <c r="P75"/>
  <c r="O75"/>
  <c r="W74"/>
  <c r="V74"/>
  <c r="T74"/>
  <c r="S74"/>
  <c r="R74"/>
  <c r="Q74"/>
  <c r="P74"/>
  <c r="O74"/>
  <c r="W73"/>
  <c r="V73"/>
  <c r="U73"/>
  <c r="T73"/>
  <c r="S73"/>
  <c r="R73"/>
  <c r="P73"/>
  <c r="O73"/>
  <c r="W72"/>
  <c r="V72"/>
  <c r="T72"/>
  <c r="S72"/>
  <c r="R72"/>
  <c r="Q72"/>
  <c r="P72"/>
  <c r="O72"/>
  <c r="W78"/>
  <c r="V78"/>
  <c r="T78"/>
  <c r="S78"/>
  <c r="R78"/>
  <c r="Q78"/>
  <c r="P78"/>
  <c r="O78"/>
  <c r="W68"/>
  <c r="V68"/>
  <c r="U68"/>
  <c r="T68"/>
  <c r="S68"/>
  <c r="Q68"/>
  <c r="P68"/>
  <c r="O68"/>
  <c r="W67"/>
  <c r="V67"/>
  <c r="U67"/>
  <c r="T67"/>
  <c r="S67"/>
  <c r="Q67"/>
  <c r="P67"/>
  <c r="O67"/>
  <c r="W65"/>
  <c r="V65"/>
  <c r="U65"/>
  <c r="T65"/>
  <c r="S65"/>
  <c r="R65"/>
  <c r="P65"/>
  <c r="O65"/>
  <c r="W64"/>
  <c r="V64"/>
  <c r="U64"/>
  <c r="T64"/>
  <c r="R64"/>
  <c r="Q64"/>
  <c r="P64"/>
  <c r="O64"/>
  <c r="W63"/>
  <c r="V63"/>
  <c r="U63"/>
  <c r="T63"/>
  <c r="S63"/>
  <c r="R63"/>
  <c r="P63"/>
  <c r="O63"/>
  <c r="W62"/>
  <c r="V62"/>
  <c r="U62"/>
  <c r="T62"/>
  <c r="R62"/>
  <c r="Q62"/>
  <c r="P62"/>
  <c r="O62"/>
  <c r="W66"/>
  <c r="V66"/>
  <c r="U66"/>
  <c r="T66"/>
  <c r="Q66"/>
  <c r="P66"/>
  <c r="O66"/>
  <c r="S66" s="1"/>
  <c r="W69"/>
  <c r="V69"/>
  <c r="U69"/>
  <c r="P69"/>
  <c r="O69"/>
  <c r="W60"/>
  <c r="V60"/>
  <c r="U60"/>
  <c r="T60"/>
  <c r="S60"/>
  <c r="R60"/>
  <c r="P60"/>
  <c r="O60"/>
  <c r="W59"/>
  <c r="V59"/>
  <c r="U59"/>
  <c r="T59"/>
  <c r="S59"/>
  <c r="R59"/>
  <c r="P59"/>
  <c r="O59"/>
  <c r="W58"/>
  <c r="V58"/>
  <c r="U58"/>
  <c r="T58"/>
  <c r="S58"/>
  <c r="Q58"/>
  <c r="P58"/>
  <c r="O58"/>
  <c r="W57"/>
  <c r="V57"/>
  <c r="U57"/>
  <c r="T57"/>
  <c r="S57"/>
  <c r="R57"/>
  <c r="P57"/>
  <c r="O57"/>
  <c r="W56"/>
  <c r="V56"/>
  <c r="U56"/>
  <c r="T56"/>
  <c r="S56"/>
  <c r="Q56"/>
  <c r="P56"/>
  <c r="O56"/>
  <c r="W55"/>
  <c r="V55"/>
  <c r="U55"/>
  <c r="T55"/>
  <c r="S55"/>
  <c r="R55"/>
  <c r="P55"/>
  <c r="O55"/>
  <c r="W54"/>
  <c r="V54"/>
  <c r="U54"/>
  <c r="T54"/>
  <c r="S54"/>
  <c r="Q54"/>
  <c r="P54"/>
  <c r="O54"/>
  <c r="W53"/>
  <c r="V53"/>
  <c r="U53"/>
  <c r="T53"/>
  <c r="R53"/>
  <c r="P53"/>
  <c r="O53"/>
  <c r="S53" s="1"/>
  <c r="W52"/>
  <c r="V52"/>
  <c r="U52"/>
  <c r="T52"/>
  <c r="S52"/>
  <c r="R52"/>
  <c r="P52"/>
  <c r="O52"/>
  <c r="W51"/>
  <c r="V51"/>
  <c r="U51"/>
  <c r="T51"/>
  <c r="S51"/>
  <c r="Q51"/>
  <c r="P51"/>
  <c r="O51"/>
  <c r="W50"/>
  <c r="V50"/>
  <c r="U50"/>
  <c r="T50"/>
  <c r="S50"/>
  <c r="R50"/>
  <c r="P50"/>
  <c r="O50"/>
  <c r="W49"/>
  <c r="V49"/>
  <c r="U49"/>
  <c r="T49"/>
  <c r="S49"/>
  <c r="Q49"/>
  <c r="P49"/>
  <c r="O49"/>
  <c r="W48"/>
  <c r="V48"/>
  <c r="U48"/>
  <c r="T48"/>
  <c r="S48"/>
  <c r="R48"/>
  <c r="P48"/>
  <c r="O48"/>
  <c r="W47"/>
  <c r="V47"/>
  <c r="U47"/>
  <c r="T47"/>
  <c r="S47"/>
  <c r="Q47"/>
  <c r="P47"/>
  <c r="O47"/>
  <c r="W45"/>
  <c r="V45"/>
  <c r="U45"/>
  <c r="T45"/>
  <c r="S45"/>
  <c r="R45"/>
  <c r="P45"/>
  <c r="O45"/>
  <c r="W44"/>
  <c r="V44"/>
  <c r="U44"/>
  <c r="T44"/>
  <c r="S44"/>
  <c r="Q44"/>
  <c r="P44"/>
  <c r="O44"/>
  <c r="W40"/>
  <c r="V40"/>
  <c r="U40"/>
  <c r="T40"/>
  <c r="S40"/>
  <c r="R40"/>
  <c r="P40"/>
  <c r="O40"/>
  <c r="W39"/>
  <c r="V39"/>
  <c r="U39"/>
  <c r="T39"/>
  <c r="S39"/>
  <c r="Q39"/>
  <c r="P39"/>
  <c r="O39"/>
  <c r="W28"/>
  <c r="V28"/>
  <c r="U28"/>
  <c r="T28"/>
  <c r="S28"/>
  <c r="P28"/>
  <c r="O28"/>
  <c r="W27"/>
  <c r="V27"/>
  <c r="U27"/>
  <c r="T27"/>
  <c r="S27"/>
  <c r="P27"/>
  <c r="O27"/>
  <c r="W26"/>
  <c r="V26"/>
  <c r="U26"/>
  <c r="T26"/>
  <c r="S26"/>
  <c r="Q26"/>
  <c r="P26"/>
  <c r="O26"/>
  <c r="W7"/>
  <c r="V7"/>
  <c r="U7"/>
  <c r="T7"/>
  <c r="S7"/>
  <c r="Q7"/>
  <c r="P7"/>
  <c r="O7"/>
  <c r="W22"/>
  <c r="V22"/>
  <c r="U22"/>
  <c r="T22"/>
  <c r="S22"/>
  <c r="R22"/>
  <c r="P22"/>
  <c r="O22"/>
  <c r="W21"/>
  <c r="V21"/>
  <c r="U21"/>
  <c r="T21"/>
  <c r="R21"/>
  <c r="Q21"/>
  <c r="P21"/>
  <c r="O21"/>
  <c r="W20"/>
  <c r="V20"/>
  <c r="U20"/>
  <c r="T20"/>
  <c r="R20"/>
  <c r="Q20"/>
  <c r="P20"/>
  <c r="O20"/>
  <c r="W18"/>
  <c r="V18"/>
  <c r="U18"/>
  <c r="T18"/>
  <c r="R18"/>
  <c r="Q18"/>
  <c r="P18"/>
  <c r="O18"/>
  <c r="W15"/>
  <c r="V15"/>
  <c r="U15"/>
  <c r="T15"/>
  <c r="R15"/>
  <c r="Q15"/>
  <c r="P15"/>
  <c r="O15"/>
  <c r="W19"/>
  <c r="V19"/>
  <c r="U19"/>
  <c r="T19"/>
  <c r="S19"/>
  <c r="R19"/>
  <c r="P19"/>
  <c r="O19"/>
  <c r="W17"/>
  <c r="V17"/>
  <c r="U17"/>
  <c r="T17"/>
  <c r="R17"/>
  <c r="Q17"/>
  <c r="P17"/>
  <c r="O17"/>
  <c r="R27" l="1"/>
  <c r="R28"/>
  <c r="J139" i="19"/>
  <c r="K192"/>
  <c r="Q192" s="1"/>
  <c r="R192" s="1"/>
  <c r="N190"/>
  <c r="T190" s="1"/>
  <c r="J136"/>
  <c r="K162"/>
  <c r="L162" s="1"/>
  <c r="L128"/>
  <c r="N128" s="1"/>
  <c r="T128" s="1"/>
  <c r="K69"/>
  <c r="L69" s="1"/>
  <c r="J70"/>
  <c r="K67"/>
  <c r="O67" s="1"/>
  <c r="P67" s="1"/>
  <c r="L68"/>
  <c r="M68" s="1"/>
  <c r="J66"/>
  <c r="T71"/>
  <c r="K14"/>
  <c r="L14" s="1"/>
  <c r="O68"/>
  <c r="P68" s="1"/>
  <c r="J65"/>
  <c r="Q155"/>
  <c r="R155" s="1"/>
  <c r="N181"/>
  <c r="T181" s="1"/>
  <c r="J138"/>
  <c r="O132"/>
  <c r="P132" s="1"/>
  <c r="L156"/>
  <c r="N156" s="1"/>
  <c r="T156" s="1"/>
  <c r="Q180"/>
  <c r="R180" s="1"/>
  <c r="L146"/>
  <c r="N146" s="1"/>
  <c r="T146" s="1"/>
  <c r="Q134"/>
  <c r="R134" s="1"/>
  <c r="L130"/>
  <c r="N130" s="1"/>
  <c r="T130" s="1"/>
  <c r="Q129"/>
  <c r="R129" s="1"/>
  <c r="K144"/>
  <c r="L144" s="1"/>
  <c r="L172"/>
  <c r="N172" s="1"/>
  <c r="T172" s="1"/>
  <c r="K15"/>
  <c r="L15" s="1"/>
  <c r="K54"/>
  <c r="Q54" s="1"/>
  <c r="R54" s="1"/>
  <c r="K106"/>
  <c r="L106" s="1"/>
  <c r="K151"/>
  <c r="Q151" s="1"/>
  <c r="R151" s="1"/>
  <c r="Q187"/>
  <c r="R187" s="1"/>
  <c r="Q152"/>
  <c r="R152" s="1"/>
  <c r="N77"/>
  <c r="T77" s="1"/>
  <c r="Q154"/>
  <c r="R154" s="1"/>
  <c r="K163"/>
  <c r="L163" s="1"/>
  <c r="J120"/>
  <c r="J116"/>
  <c r="K143"/>
  <c r="L143" s="1"/>
  <c r="Q170"/>
  <c r="R170" s="1"/>
  <c r="J150"/>
  <c r="K52"/>
  <c r="O52" s="1"/>
  <c r="P52" s="1"/>
  <c r="K63"/>
  <c r="Q63" s="1"/>
  <c r="R63" s="1"/>
  <c r="N12"/>
  <c r="T12" s="1"/>
  <c r="Q123"/>
  <c r="R123" s="1"/>
  <c r="L165"/>
  <c r="M165" s="1"/>
  <c r="S165" s="1"/>
  <c r="K121"/>
  <c r="L121" s="1"/>
  <c r="J142"/>
  <c r="J141"/>
  <c r="J164"/>
  <c r="K122"/>
  <c r="Q122" s="1"/>
  <c r="R122" s="1"/>
  <c r="K125"/>
  <c r="Q125" s="1"/>
  <c r="R125" s="1"/>
  <c r="K159"/>
  <c r="L159" s="1"/>
  <c r="J188"/>
  <c r="K198"/>
  <c r="L198" s="1"/>
  <c r="K196" i="17"/>
  <c r="Q196" s="1"/>
  <c r="R196" s="1"/>
  <c r="N75" i="19"/>
  <c r="T75" s="1"/>
  <c r="J35"/>
  <c r="J51"/>
  <c r="K8"/>
  <c r="L8" s="1"/>
  <c r="K53"/>
  <c r="L53" s="1"/>
  <c r="K44"/>
  <c r="L44" s="1"/>
  <c r="N44" s="1"/>
  <c r="T44" s="1"/>
  <c r="J94"/>
  <c r="S55"/>
  <c r="J147"/>
  <c r="K198" i="17"/>
  <c r="Q198" s="1"/>
  <c r="R198" s="1"/>
  <c r="N62" i="19"/>
  <c r="T62" s="1"/>
  <c r="N55"/>
  <c r="T55" s="1"/>
  <c r="K197" i="17"/>
  <c r="J197"/>
  <c r="J197" i="19"/>
  <c r="K197"/>
  <c r="K196"/>
  <c r="J196"/>
  <c r="L18"/>
  <c r="K93"/>
  <c r="L93" s="1"/>
  <c r="M93" s="1"/>
  <c r="S93" s="1"/>
  <c r="J18"/>
  <c r="I42" i="17"/>
  <c r="K1618" i="18"/>
  <c r="K1619"/>
  <c r="K1620"/>
  <c r="I508"/>
  <c r="I510" s="1"/>
  <c r="I40" i="17" s="1"/>
  <c r="K492" i="18"/>
  <c r="M186" i="19"/>
  <c r="S186" s="1"/>
  <c r="K495" i="18"/>
  <c r="N180" i="19"/>
  <c r="M180"/>
  <c r="S180" s="1"/>
  <c r="N191"/>
  <c r="T191" s="1"/>
  <c r="M191"/>
  <c r="S191" s="1"/>
  <c r="M132"/>
  <c r="N132"/>
  <c r="T132" s="1"/>
  <c r="M148"/>
  <c r="S148" s="1"/>
  <c r="N148"/>
  <c r="T148" s="1"/>
  <c r="M177"/>
  <c r="S177" s="1"/>
  <c r="N177"/>
  <c r="T177" s="1"/>
  <c r="L136"/>
  <c r="Q136"/>
  <c r="R136" s="1"/>
  <c r="Q144"/>
  <c r="R144" s="1"/>
  <c r="N176"/>
  <c r="T176" s="1"/>
  <c r="M176"/>
  <c r="S176" s="1"/>
  <c r="M118"/>
  <c r="S118" s="1"/>
  <c r="N118"/>
  <c r="T118" s="1"/>
  <c r="L112"/>
  <c r="O112"/>
  <c r="P112" s="1"/>
  <c r="L113"/>
  <c r="O113"/>
  <c r="P113" s="1"/>
  <c r="Q133"/>
  <c r="R133" s="1"/>
  <c r="L133"/>
  <c r="O133"/>
  <c r="P133" s="1"/>
  <c r="N140"/>
  <c r="T140" s="1"/>
  <c r="M140"/>
  <c r="S140" s="1"/>
  <c r="M170"/>
  <c r="S170" s="1"/>
  <c r="N170"/>
  <c r="M187"/>
  <c r="S187" s="1"/>
  <c r="N187"/>
  <c r="M91"/>
  <c r="S91" s="1"/>
  <c r="N91"/>
  <c r="T91" s="1"/>
  <c r="L137"/>
  <c r="Q137"/>
  <c r="R137" s="1"/>
  <c r="J127"/>
  <c r="K127"/>
  <c r="I158"/>
  <c r="M134"/>
  <c r="S134" s="1"/>
  <c r="N134"/>
  <c r="M152"/>
  <c r="S152" s="1"/>
  <c r="N152"/>
  <c r="M154"/>
  <c r="S154" s="1"/>
  <c r="N154"/>
  <c r="N123"/>
  <c r="M123"/>
  <c r="S123" s="1"/>
  <c r="N155"/>
  <c r="M155"/>
  <c r="S155" s="1"/>
  <c r="M179"/>
  <c r="S179" s="1"/>
  <c r="N179"/>
  <c r="T179" s="1"/>
  <c r="Q147"/>
  <c r="R147" s="1"/>
  <c r="L147"/>
  <c r="I42"/>
  <c r="J42" s="1"/>
  <c r="N129"/>
  <c r="M129"/>
  <c r="S129" s="1"/>
  <c r="Q135"/>
  <c r="R135" s="1"/>
  <c r="L135"/>
  <c r="N185"/>
  <c r="T185" s="1"/>
  <c r="M185"/>
  <c r="S185" s="1"/>
  <c r="J149"/>
  <c r="K149"/>
  <c r="L138"/>
  <c r="Q138"/>
  <c r="R138" s="1"/>
  <c r="L142"/>
  <c r="Q142"/>
  <c r="R142" s="1"/>
  <c r="J166"/>
  <c r="K166"/>
  <c r="K115"/>
  <c r="J115"/>
  <c r="Q120"/>
  <c r="R120" s="1"/>
  <c r="L120"/>
  <c r="K126"/>
  <c r="J126"/>
  <c r="L141"/>
  <c r="Q141"/>
  <c r="R141" s="1"/>
  <c r="L164"/>
  <c r="Q164"/>
  <c r="R164" s="1"/>
  <c r="J168"/>
  <c r="K168"/>
  <c r="K167"/>
  <c r="J167"/>
  <c r="L116"/>
  <c r="O116"/>
  <c r="P116" s="1"/>
  <c r="L139"/>
  <c r="Q139"/>
  <c r="R139" s="1"/>
  <c r="K194"/>
  <c r="K117"/>
  <c r="J117"/>
  <c r="K169"/>
  <c r="J169"/>
  <c r="N178"/>
  <c r="T178" s="1"/>
  <c r="M178"/>
  <c r="S178" s="1"/>
  <c r="Q195"/>
  <c r="R195" s="1"/>
  <c r="L195"/>
  <c r="M160"/>
  <c r="S160" s="1"/>
  <c r="N160"/>
  <c r="T160" s="1"/>
  <c r="M114"/>
  <c r="S114" s="1"/>
  <c r="N114"/>
  <c r="T114" s="1"/>
  <c r="N131"/>
  <c r="T131" s="1"/>
  <c r="M131"/>
  <c r="S131" s="1"/>
  <c r="M145"/>
  <c r="S145" s="1"/>
  <c r="N145"/>
  <c r="T145" s="1"/>
  <c r="M153"/>
  <c r="S153" s="1"/>
  <c r="N153"/>
  <c r="T153" s="1"/>
  <c r="N157"/>
  <c r="T157" s="1"/>
  <c r="M157"/>
  <c r="S157" s="1"/>
  <c r="M193"/>
  <c r="S193" s="1"/>
  <c r="N193"/>
  <c r="T193" s="1"/>
  <c r="Q188"/>
  <c r="R188" s="1"/>
  <c r="L188"/>
  <c r="L150"/>
  <c r="Q150"/>
  <c r="R150" s="1"/>
  <c r="Q94"/>
  <c r="R94" s="1"/>
  <c r="L94"/>
  <c r="L100"/>
  <c r="Q100"/>
  <c r="R100" s="1"/>
  <c r="K107"/>
  <c r="J107"/>
  <c r="J101"/>
  <c r="K101"/>
  <c r="K99"/>
  <c r="J99"/>
  <c r="K108"/>
  <c r="J108"/>
  <c r="J102"/>
  <c r="K102"/>
  <c r="M104"/>
  <c r="S104" s="1"/>
  <c r="N104"/>
  <c r="T104" s="1"/>
  <c r="Q105"/>
  <c r="R105" s="1"/>
  <c r="L105"/>
  <c r="K493" i="18"/>
  <c r="I1190"/>
  <c r="I1223" s="1"/>
  <c r="K494"/>
  <c r="K497"/>
  <c r="L90" i="19"/>
  <c r="O90"/>
  <c r="P90" s="1"/>
  <c r="Q61"/>
  <c r="R61" s="1"/>
  <c r="L61"/>
  <c r="O60"/>
  <c r="P60" s="1"/>
  <c r="L60"/>
  <c r="O64"/>
  <c r="P64" s="1"/>
  <c r="L64"/>
  <c r="M23"/>
  <c r="S23" s="1"/>
  <c r="N23"/>
  <c r="T23" s="1"/>
  <c r="J17"/>
  <c r="K17"/>
  <c r="J37"/>
  <c r="K37"/>
  <c r="J45"/>
  <c r="K45"/>
  <c r="K48"/>
  <c r="J48"/>
  <c r="L70"/>
  <c r="Q70"/>
  <c r="R70" s="1"/>
  <c r="J96"/>
  <c r="K96"/>
  <c r="J30"/>
  <c r="K30"/>
  <c r="J78"/>
  <c r="K78"/>
  <c r="J92"/>
  <c r="K92"/>
  <c r="J41"/>
  <c r="K41"/>
  <c r="L31"/>
  <c r="Q31"/>
  <c r="R31" s="1"/>
  <c r="K46"/>
  <c r="J46"/>
  <c r="J24"/>
  <c r="K24"/>
  <c r="Q35"/>
  <c r="R35" s="1"/>
  <c r="L35"/>
  <c r="J38"/>
  <c r="K38"/>
  <c r="K47"/>
  <c r="J47"/>
  <c r="J58"/>
  <c r="K58"/>
  <c r="K49"/>
  <c r="J49"/>
  <c r="K27"/>
  <c r="J27"/>
  <c r="J39"/>
  <c r="K39"/>
  <c r="L51"/>
  <c r="Q51"/>
  <c r="R51" s="1"/>
  <c r="K59"/>
  <c r="J59"/>
  <c r="Q65"/>
  <c r="R65" s="1"/>
  <c r="L65"/>
  <c r="K81"/>
  <c r="J81"/>
  <c r="J43"/>
  <c r="K43"/>
  <c r="M13"/>
  <c r="S13" s="1"/>
  <c r="N13"/>
  <c r="T13" s="1"/>
  <c r="Q66"/>
  <c r="R66" s="1"/>
  <c r="L66"/>
  <c r="J21"/>
  <c r="K21"/>
  <c r="J25"/>
  <c r="K25"/>
  <c r="K22"/>
  <c r="J22"/>
  <c r="K26"/>
  <c r="J26"/>
  <c r="K19"/>
  <c r="J19"/>
  <c r="K20"/>
  <c r="J20"/>
  <c r="R30" i="9"/>
  <c r="Q34"/>
  <c r="Q36"/>
  <c r="Q37"/>
  <c r="R35"/>
  <c r="Q31"/>
  <c r="Q33"/>
  <c r="R32"/>
  <c r="Q89"/>
  <c r="R90"/>
  <c r="R86"/>
  <c r="R87"/>
  <c r="Q88"/>
  <c r="S15"/>
  <c r="R7"/>
  <c r="U78"/>
  <c r="R82"/>
  <c r="R84"/>
  <c r="R85"/>
  <c r="R88"/>
  <c r="R81"/>
  <c r="R83"/>
  <c r="U76"/>
  <c r="Q77"/>
  <c r="R80"/>
  <c r="R89"/>
  <c r="U74"/>
  <c r="Q75"/>
  <c r="U72"/>
  <c r="Q73"/>
  <c r="S64"/>
  <c r="Q65"/>
  <c r="R68"/>
  <c r="T69"/>
  <c r="R67"/>
  <c r="Q63"/>
  <c r="R69"/>
  <c r="R66"/>
  <c r="S62"/>
  <c r="Q59"/>
  <c r="Q69"/>
  <c r="Q57"/>
  <c r="R58"/>
  <c r="S69"/>
  <c r="Q60"/>
  <c r="Q52"/>
  <c r="R56"/>
  <c r="Q55"/>
  <c r="R54"/>
  <c r="R51"/>
  <c r="Q53"/>
  <c r="Q48"/>
  <c r="R49"/>
  <c r="Q50"/>
  <c r="R39"/>
  <c r="R47"/>
  <c r="Q40"/>
  <c r="Q45"/>
  <c r="R44"/>
  <c r="S17"/>
  <c r="S18"/>
  <c r="S20"/>
  <c r="S21"/>
  <c r="R26"/>
  <c r="Q28"/>
  <c r="Q22"/>
  <c r="Q27"/>
  <c r="Q19"/>
  <c r="J22" i="15"/>
  <c r="J12"/>
  <c r="J9"/>
  <c r="I828"/>
  <c r="I829"/>
  <c r="I827"/>
  <c r="I1360"/>
  <c r="I1361"/>
  <c r="I1359"/>
  <c r="I871"/>
  <c r="I1436"/>
  <c r="I1455"/>
  <c r="I1452"/>
  <c r="I1449"/>
  <c r="I1446"/>
  <c r="I1657"/>
  <c r="I1687"/>
  <c r="I1690"/>
  <c r="I1696"/>
  <c r="I1699"/>
  <c r="I1711"/>
  <c r="I1710"/>
  <c r="I1709"/>
  <c r="I1708"/>
  <c r="I1707"/>
  <c r="I1706"/>
  <c r="F1705"/>
  <c r="I1705" s="1"/>
  <c r="I1911"/>
  <c r="I1914"/>
  <c r="I1917"/>
  <c r="I1920"/>
  <c r="I1923"/>
  <c r="I1636"/>
  <c r="I1635"/>
  <c r="I1493"/>
  <c r="I1514"/>
  <c r="I1492"/>
  <c r="I1491"/>
  <c r="I1469"/>
  <c r="I1464"/>
  <c r="I1463"/>
  <c r="I1462"/>
  <c r="I1461"/>
  <c r="I965"/>
  <c r="I916"/>
  <c r="I909"/>
  <c r="I889"/>
  <c r="I890"/>
  <c r="L192" i="19" l="1"/>
  <c r="M192" s="1"/>
  <c r="S192" s="1"/>
  <c r="Q162"/>
  <c r="R162" s="1"/>
  <c r="M128"/>
  <c r="S128" s="1"/>
  <c r="M130"/>
  <c r="S130" s="1"/>
  <c r="L67"/>
  <c r="N67" s="1"/>
  <c r="O69"/>
  <c r="P69" s="1"/>
  <c r="N68"/>
  <c r="T68" s="1"/>
  <c r="Q67"/>
  <c r="R67" s="1"/>
  <c r="Q69"/>
  <c r="R69" s="1"/>
  <c r="O14"/>
  <c r="P14" s="1"/>
  <c r="S68"/>
  <c r="T155"/>
  <c r="M156"/>
  <c r="S156" s="1"/>
  <c r="L54"/>
  <c r="N54" s="1"/>
  <c r="T54" s="1"/>
  <c r="T129"/>
  <c r="L122"/>
  <c r="N122" s="1"/>
  <c r="T122" s="1"/>
  <c r="M146"/>
  <c r="S146" s="1"/>
  <c r="S132"/>
  <c r="T180"/>
  <c r="Q53"/>
  <c r="R53" s="1"/>
  <c r="L151"/>
  <c r="N151" s="1"/>
  <c r="T151" s="1"/>
  <c r="T134"/>
  <c r="M172"/>
  <c r="S172" s="1"/>
  <c r="Q143"/>
  <c r="R143" s="1"/>
  <c r="Q198"/>
  <c r="R198" s="1"/>
  <c r="L196" i="17"/>
  <c r="N196" s="1"/>
  <c r="T196" s="1"/>
  <c r="M44" i="19"/>
  <c r="Q106"/>
  <c r="R106" s="1"/>
  <c r="N165"/>
  <c r="T165" s="1"/>
  <c r="T187"/>
  <c r="O144"/>
  <c r="P144" s="1"/>
  <c r="O15"/>
  <c r="P15" s="1"/>
  <c r="N93"/>
  <c r="T170"/>
  <c r="L125"/>
  <c r="N125" s="1"/>
  <c r="T125" s="1"/>
  <c r="L63"/>
  <c r="N63" s="1"/>
  <c r="T63" s="1"/>
  <c r="T154"/>
  <c r="T152"/>
  <c r="O121"/>
  <c r="P121" s="1"/>
  <c r="L198" i="17"/>
  <c r="N198" s="1"/>
  <c r="T198" s="1"/>
  <c r="Q8" i="19"/>
  <c r="R8" s="1"/>
  <c r="L52"/>
  <c r="M52" s="1"/>
  <c r="S52" s="1"/>
  <c r="Q163"/>
  <c r="R163" s="1"/>
  <c r="Q159"/>
  <c r="R159" s="1"/>
  <c r="Q121"/>
  <c r="R121" s="1"/>
  <c r="T123"/>
  <c r="O44"/>
  <c r="P44" s="1"/>
  <c r="S44" s="1"/>
  <c r="I1226" i="18"/>
  <c r="I109" i="17"/>
  <c r="Q197" i="19"/>
  <c r="R197" s="1"/>
  <c r="L197"/>
  <c r="Q196"/>
  <c r="R196" s="1"/>
  <c r="L196"/>
  <c r="Q197" i="17"/>
  <c r="R197" s="1"/>
  <c r="L197"/>
  <c r="M18" i="19"/>
  <c r="S18" s="1"/>
  <c r="N18"/>
  <c r="T18" s="1"/>
  <c r="I40"/>
  <c r="J40" s="1"/>
  <c r="Q93"/>
  <c r="R93" s="1"/>
  <c r="T93" s="1"/>
  <c r="M198"/>
  <c r="S198" s="1"/>
  <c r="N198"/>
  <c r="T198" s="1"/>
  <c r="K42"/>
  <c r="Q42" s="1"/>
  <c r="R42" s="1"/>
  <c r="N135"/>
  <c r="T135" s="1"/>
  <c r="M135"/>
  <c r="S135" s="1"/>
  <c r="M137"/>
  <c r="S137" s="1"/>
  <c r="N137"/>
  <c r="T137" s="1"/>
  <c r="M133"/>
  <c r="S133" s="1"/>
  <c r="N133"/>
  <c r="T133" s="1"/>
  <c r="M125"/>
  <c r="S125" s="1"/>
  <c r="M136"/>
  <c r="S136" s="1"/>
  <c r="N136"/>
  <c r="T136" s="1"/>
  <c r="M121"/>
  <c r="N121"/>
  <c r="M188"/>
  <c r="S188" s="1"/>
  <c r="N188"/>
  <c r="T188" s="1"/>
  <c r="M195"/>
  <c r="S195" s="1"/>
  <c r="N195"/>
  <c r="T195" s="1"/>
  <c r="Q168"/>
  <c r="R168" s="1"/>
  <c r="L168"/>
  <c r="N120"/>
  <c r="T120" s="1"/>
  <c r="M120"/>
  <c r="S120" s="1"/>
  <c r="L166"/>
  <c r="Q166"/>
  <c r="R166" s="1"/>
  <c r="Q149"/>
  <c r="R149" s="1"/>
  <c r="L149"/>
  <c r="M163"/>
  <c r="S163" s="1"/>
  <c r="N163"/>
  <c r="M162"/>
  <c r="S162" s="1"/>
  <c r="N162"/>
  <c r="M159"/>
  <c r="S159" s="1"/>
  <c r="N159"/>
  <c r="M150"/>
  <c r="S150" s="1"/>
  <c r="N150"/>
  <c r="T150" s="1"/>
  <c r="L169"/>
  <c r="Q169"/>
  <c r="R169" s="1"/>
  <c r="L117"/>
  <c r="O117"/>
  <c r="P117" s="1"/>
  <c r="Q194"/>
  <c r="R194" s="1"/>
  <c r="L194"/>
  <c r="M139"/>
  <c r="S139" s="1"/>
  <c r="N139"/>
  <c r="T139" s="1"/>
  <c r="M116"/>
  <c r="S116" s="1"/>
  <c r="N116"/>
  <c r="T116" s="1"/>
  <c r="Q167"/>
  <c r="R167" s="1"/>
  <c r="L167"/>
  <c r="N164"/>
  <c r="T164" s="1"/>
  <c r="M164"/>
  <c r="S164" s="1"/>
  <c r="M141"/>
  <c r="S141" s="1"/>
  <c r="N141"/>
  <c r="T141" s="1"/>
  <c r="Q126"/>
  <c r="R126" s="1"/>
  <c r="L126"/>
  <c r="O115"/>
  <c r="P115" s="1"/>
  <c r="L115"/>
  <c r="N142"/>
  <c r="T142" s="1"/>
  <c r="M142"/>
  <c r="S142" s="1"/>
  <c r="N138"/>
  <c r="T138" s="1"/>
  <c r="M138"/>
  <c r="S138" s="1"/>
  <c r="N147"/>
  <c r="T147" s="1"/>
  <c r="M147"/>
  <c r="S147" s="1"/>
  <c r="J158"/>
  <c r="K158"/>
  <c r="Q127"/>
  <c r="R127" s="1"/>
  <c r="L127"/>
  <c r="M113"/>
  <c r="S113" s="1"/>
  <c r="N113"/>
  <c r="T113" s="1"/>
  <c r="M112"/>
  <c r="S112" s="1"/>
  <c r="N112"/>
  <c r="T112" s="1"/>
  <c r="M143"/>
  <c r="S143" s="1"/>
  <c r="N143"/>
  <c r="M144"/>
  <c r="N144"/>
  <c r="T144" s="1"/>
  <c r="I109"/>
  <c r="M106"/>
  <c r="S106" s="1"/>
  <c r="N106"/>
  <c r="M105"/>
  <c r="S105" s="1"/>
  <c r="N105"/>
  <c r="T105" s="1"/>
  <c r="Q102"/>
  <c r="R102" s="1"/>
  <c r="L102"/>
  <c r="L101"/>
  <c r="Q101"/>
  <c r="R101" s="1"/>
  <c r="M94"/>
  <c r="S94" s="1"/>
  <c r="N94"/>
  <c r="T94" s="1"/>
  <c r="Q108"/>
  <c r="R108" s="1"/>
  <c r="L108"/>
  <c r="L99"/>
  <c r="Q99"/>
  <c r="R99" s="1"/>
  <c r="O107"/>
  <c r="P107" s="1"/>
  <c r="L107"/>
  <c r="M100"/>
  <c r="S100" s="1"/>
  <c r="N100"/>
  <c r="T100" s="1"/>
  <c r="M53"/>
  <c r="S53" s="1"/>
  <c r="N53"/>
  <c r="M54"/>
  <c r="S54" s="1"/>
  <c r="O43"/>
  <c r="P43" s="1"/>
  <c r="L43"/>
  <c r="M65"/>
  <c r="S65" s="1"/>
  <c r="N65"/>
  <c r="T65" s="1"/>
  <c r="L39"/>
  <c r="Q39"/>
  <c r="R39" s="1"/>
  <c r="Q58"/>
  <c r="R58" s="1"/>
  <c r="L58"/>
  <c r="L38"/>
  <c r="Q38"/>
  <c r="R38" s="1"/>
  <c r="N35"/>
  <c r="T35" s="1"/>
  <c r="M35"/>
  <c r="S35" s="1"/>
  <c r="Q24"/>
  <c r="R24" s="1"/>
  <c r="L24"/>
  <c r="O41"/>
  <c r="P41" s="1"/>
  <c r="L41"/>
  <c r="O92"/>
  <c r="P92" s="1"/>
  <c r="L92"/>
  <c r="Q78"/>
  <c r="R78" s="1"/>
  <c r="L78"/>
  <c r="L30"/>
  <c r="Q30"/>
  <c r="R30" s="1"/>
  <c r="Q96"/>
  <c r="R96" s="1"/>
  <c r="L96"/>
  <c r="L45"/>
  <c r="O45"/>
  <c r="P45" s="1"/>
  <c r="Q37"/>
  <c r="R37" s="1"/>
  <c r="L37"/>
  <c r="Q17"/>
  <c r="R17" s="1"/>
  <c r="L17"/>
  <c r="O17"/>
  <c r="P17" s="1"/>
  <c r="M15"/>
  <c r="N15"/>
  <c r="T15" s="1"/>
  <c r="M8"/>
  <c r="S8" s="1"/>
  <c r="N8"/>
  <c r="M64"/>
  <c r="S64" s="1"/>
  <c r="N64"/>
  <c r="T64" s="1"/>
  <c r="N60"/>
  <c r="T60" s="1"/>
  <c r="M60"/>
  <c r="S60" s="1"/>
  <c r="N69"/>
  <c r="M69"/>
  <c r="M90"/>
  <c r="S90" s="1"/>
  <c r="N90"/>
  <c r="T90" s="1"/>
  <c r="M66"/>
  <c r="S66" s="1"/>
  <c r="N66"/>
  <c r="T66" s="1"/>
  <c r="Q81"/>
  <c r="R81" s="1"/>
  <c r="L81"/>
  <c r="L59"/>
  <c r="Q59"/>
  <c r="R59" s="1"/>
  <c r="M51"/>
  <c r="S51" s="1"/>
  <c r="N51"/>
  <c r="T51" s="1"/>
  <c r="L27"/>
  <c r="Q27"/>
  <c r="R27" s="1"/>
  <c r="Q49"/>
  <c r="R49" s="1"/>
  <c r="L49"/>
  <c r="O47"/>
  <c r="P47" s="1"/>
  <c r="L47"/>
  <c r="L46"/>
  <c r="Q46"/>
  <c r="R46" s="1"/>
  <c r="M14"/>
  <c r="S14" s="1"/>
  <c r="N14"/>
  <c r="T14" s="1"/>
  <c r="M31"/>
  <c r="S31" s="1"/>
  <c r="N31"/>
  <c r="T31" s="1"/>
  <c r="N70"/>
  <c r="T70" s="1"/>
  <c r="M70"/>
  <c r="S70" s="1"/>
  <c r="Q48"/>
  <c r="R48" s="1"/>
  <c r="L48"/>
  <c r="N52"/>
  <c r="T52" s="1"/>
  <c r="N61"/>
  <c r="T61" s="1"/>
  <c r="M61"/>
  <c r="S61" s="1"/>
  <c r="O20"/>
  <c r="P20" s="1"/>
  <c r="L20"/>
  <c r="L19"/>
  <c r="O19"/>
  <c r="P19" s="1"/>
  <c r="Q26"/>
  <c r="R26" s="1"/>
  <c r="L26"/>
  <c r="O22"/>
  <c r="P22" s="1"/>
  <c r="L22"/>
  <c r="Q25"/>
  <c r="R25" s="1"/>
  <c r="L25"/>
  <c r="L21"/>
  <c r="O21"/>
  <c r="P21" s="1"/>
  <c r="I830" i="15"/>
  <c r="I1362"/>
  <c r="I1138"/>
  <c r="I1137"/>
  <c r="I1136"/>
  <c r="I1135"/>
  <c r="I1134"/>
  <c r="I1133"/>
  <c r="I1132"/>
  <c r="I1131"/>
  <c r="I1126"/>
  <c r="I1083"/>
  <c r="I1082"/>
  <c r="I1081"/>
  <c r="I1073"/>
  <c r="I1074"/>
  <c r="I1075"/>
  <c r="I1076"/>
  <c r="I1077"/>
  <c r="I1078"/>
  <c r="I1079"/>
  <c r="I1080"/>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072"/>
  <c r="B1068"/>
  <c r="I1057"/>
  <c r="I1051"/>
  <c r="I1042"/>
  <c r="I294"/>
  <c r="F704"/>
  <c r="F694"/>
  <c r="I694" s="1"/>
  <c r="F688"/>
  <c r="I688" s="1"/>
  <c r="F681"/>
  <c r="I539"/>
  <c r="I538"/>
  <c r="I537"/>
  <c r="I534"/>
  <c r="I533"/>
  <c r="I246"/>
  <c r="I196"/>
  <c r="I193"/>
  <c r="I197"/>
  <c r="I195"/>
  <c r="I194"/>
  <c r="I192"/>
  <c r="I191"/>
  <c r="I77"/>
  <c r="I182"/>
  <c r="M196" i="17" l="1"/>
  <c r="S196" s="1"/>
  <c r="M67" i="19"/>
  <c r="S67" s="1"/>
  <c r="N192"/>
  <c r="T192" s="1"/>
  <c r="M122"/>
  <c r="S122" s="1"/>
  <c r="T162"/>
  <c r="T67"/>
  <c r="S69"/>
  <c r="T69"/>
  <c r="M198" i="17"/>
  <c r="S198" s="1"/>
  <c r="K40" i="19"/>
  <c r="L40" s="1"/>
  <c r="M63"/>
  <c r="S63" s="1"/>
  <c r="T159"/>
  <c r="M151"/>
  <c r="S151" s="1"/>
  <c r="S121"/>
  <c r="L42"/>
  <c r="N42" s="1"/>
  <c r="T42" s="1"/>
  <c r="S15"/>
  <c r="T53"/>
  <c r="T106"/>
  <c r="T143"/>
  <c r="T8"/>
  <c r="S144"/>
  <c r="T163"/>
  <c r="T121"/>
  <c r="N197" i="17"/>
  <c r="T197" s="1"/>
  <c r="M197"/>
  <c r="S197" s="1"/>
  <c r="M196" i="19"/>
  <c r="S196" s="1"/>
  <c r="N196"/>
  <c r="T196" s="1"/>
  <c r="N197"/>
  <c r="T197" s="1"/>
  <c r="M197"/>
  <c r="S197" s="1"/>
  <c r="I110" i="17"/>
  <c r="I110" i="19"/>
  <c r="O42"/>
  <c r="P42" s="1"/>
  <c r="M117"/>
  <c r="S117" s="1"/>
  <c r="N117"/>
  <c r="T117" s="1"/>
  <c r="M169"/>
  <c r="S169" s="1"/>
  <c r="N169"/>
  <c r="T169" s="1"/>
  <c r="N149"/>
  <c r="T149" s="1"/>
  <c r="M149"/>
  <c r="S149" s="1"/>
  <c r="M168"/>
  <c r="S168" s="1"/>
  <c r="N168"/>
  <c r="T168" s="1"/>
  <c r="M127"/>
  <c r="S127" s="1"/>
  <c r="N127"/>
  <c r="T127" s="1"/>
  <c r="L158"/>
  <c r="Q158"/>
  <c r="R158" s="1"/>
  <c r="M115"/>
  <c r="S115" s="1"/>
  <c r="N115"/>
  <c r="T115" s="1"/>
  <c r="M126"/>
  <c r="S126" s="1"/>
  <c r="N126"/>
  <c r="T126" s="1"/>
  <c r="M167"/>
  <c r="S167" s="1"/>
  <c r="N167"/>
  <c r="T167" s="1"/>
  <c r="M194"/>
  <c r="S194" s="1"/>
  <c r="N194"/>
  <c r="T194" s="1"/>
  <c r="N166"/>
  <c r="T166" s="1"/>
  <c r="M166"/>
  <c r="S166" s="1"/>
  <c r="M107"/>
  <c r="S107" s="1"/>
  <c r="N107"/>
  <c r="T107" s="1"/>
  <c r="M108"/>
  <c r="S108" s="1"/>
  <c r="N108"/>
  <c r="T108" s="1"/>
  <c r="M102"/>
  <c r="S102" s="1"/>
  <c r="N102"/>
  <c r="T102" s="1"/>
  <c r="J109"/>
  <c r="K109"/>
  <c r="M99"/>
  <c r="S99" s="1"/>
  <c r="N99"/>
  <c r="T99" s="1"/>
  <c r="M101"/>
  <c r="S101" s="1"/>
  <c r="N101"/>
  <c r="T101" s="1"/>
  <c r="M46"/>
  <c r="S46" s="1"/>
  <c r="N46"/>
  <c r="T46" s="1"/>
  <c r="M27"/>
  <c r="S27" s="1"/>
  <c r="N27"/>
  <c r="T27" s="1"/>
  <c r="M59"/>
  <c r="S59" s="1"/>
  <c r="N59"/>
  <c r="T59" s="1"/>
  <c r="N45"/>
  <c r="T45" s="1"/>
  <c r="M45"/>
  <c r="S45" s="1"/>
  <c r="N30"/>
  <c r="T30" s="1"/>
  <c r="M30"/>
  <c r="S30" s="1"/>
  <c r="M24"/>
  <c r="S24" s="1"/>
  <c r="N24"/>
  <c r="T24" s="1"/>
  <c r="M58"/>
  <c r="S58" s="1"/>
  <c r="N58"/>
  <c r="T58" s="1"/>
  <c r="M43"/>
  <c r="S43" s="1"/>
  <c r="N43"/>
  <c r="T43" s="1"/>
  <c r="M48"/>
  <c r="S48" s="1"/>
  <c r="N48"/>
  <c r="T48" s="1"/>
  <c r="N47"/>
  <c r="T47" s="1"/>
  <c r="M47"/>
  <c r="S47" s="1"/>
  <c r="N49"/>
  <c r="T49" s="1"/>
  <c r="M49"/>
  <c r="S49" s="1"/>
  <c r="M81"/>
  <c r="S81" s="1"/>
  <c r="N81"/>
  <c r="T81" s="1"/>
  <c r="M17"/>
  <c r="S17" s="1"/>
  <c r="N17"/>
  <c r="T17" s="1"/>
  <c r="N37"/>
  <c r="T37" s="1"/>
  <c r="M37"/>
  <c r="S37" s="1"/>
  <c r="M96"/>
  <c r="S96" s="1"/>
  <c r="N96"/>
  <c r="T96" s="1"/>
  <c r="M78"/>
  <c r="S78" s="1"/>
  <c r="N78"/>
  <c r="T78" s="1"/>
  <c r="N92"/>
  <c r="T92" s="1"/>
  <c r="M92"/>
  <c r="S92" s="1"/>
  <c r="M41"/>
  <c r="S41" s="1"/>
  <c r="N41"/>
  <c r="T41" s="1"/>
  <c r="N38"/>
  <c r="T38" s="1"/>
  <c r="M38"/>
  <c r="S38" s="1"/>
  <c r="M39"/>
  <c r="S39" s="1"/>
  <c r="N39"/>
  <c r="T39" s="1"/>
  <c r="M21"/>
  <c r="S21" s="1"/>
  <c r="N21"/>
  <c r="T21" s="1"/>
  <c r="M25"/>
  <c r="S25" s="1"/>
  <c r="N25"/>
  <c r="T25" s="1"/>
  <c r="M19"/>
  <c r="N19"/>
  <c r="M42"/>
  <c r="M22"/>
  <c r="S22" s="1"/>
  <c r="N22"/>
  <c r="T22" s="1"/>
  <c r="M26"/>
  <c r="S26" s="1"/>
  <c r="N26"/>
  <c r="T26" s="1"/>
  <c r="M20"/>
  <c r="S20" s="1"/>
  <c r="N20"/>
  <c r="T20" s="1"/>
  <c r="I1122" i="15"/>
  <c r="I198"/>
  <c r="I199" s="1"/>
  <c r="I64"/>
  <c r="I65"/>
  <c r="I66"/>
  <c r="I67"/>
  <c r="I68"/>
  <c r="I69"/>
  <c r="I70"/>
  <c r="I71"/>
  <c r="I72"/>
  <c r="I73"/>
  <c r="I74"/>
  <c r="I75"/>
  <c r="G76"/>
  <c r="I76" s="1"/>
  <c r="I27"/>
  <c r="J32"/>
  <c r="I30"/>
  <c r="I29"/>
  <c r="I28"/>
  <c r="I26"/>
  <c r="Q40" i="19" l="1"/>
  <c r="R40" s="1"/>
  <c r="J110"/>
  <c r="K110"/>
  <c r="S42"/>
  <c r="N158"/>
  <c r="T158" s="1"/>
  <c r="M158"/>
  <c r="S158" s="1"/>
  <c r="O109"/>
  <c r="P109" s="1"/>
  <c r="Q109"/>
  <c r="R109" s="1"/>
  <c r="L109"/>
  <c r="S19"/>
  <c r="T19"/>
  <c r="M40"/>
  <c r="S40" s="1"/>
  <c r="N40"/>
  <c r="I31" i="15"/>
  <c r="I32" s="1"/>
  <c r="I863"/>
  <c r="I862"/>
  <c r="T40" i="19" l="1"/>
  <c r="O110"/>
  <c r="P110" s="1"/>
  <c r="L110"/>
  <c r="M109"/>
  <c r="S109" s="1"/>
  <c r="N109"/>
  <c r="T109" s="1"/>
  <c r="J19" i="15"/>
  <c r="I19"/>
  <c r="J16"/>
  <c r="I16"/>
  <c r="J6"/>
  <c r="I6"/>
  <c r="M110" i="19" l="1"/>
  <c r="S110" s="1"/>
  <c r="N110"/>
  <c r="T110" s="1"/>
  <c r="I1030" i="15"/>
  <c r="I1029"/>
  <c r="I1028"/>
  <c r="I1027"/>
  <c r="I1020"/>
  <c r="I1018"/>
  <c r="I1016"/>
  <c r="I1010"/>
  <c r="I1009"/>
  <c r="I1003"/>
  <c r="I1355"/>
  <c r="I1356" s="1"/>
  <c r="I1351"/>
  <c r="K61" i="17" s="1"/>
  <c r="Q61" s="1"/>
  <c r="R61" s="1"/>
  <c r="I1347" i="15"/>
  <c r="I536"/>
  <c r="I535"/>
  <c r="I532"/>
  <c r="I111"/>
  <c r="K165" i="17"/>
  <c r="Q165" s="1"/>
  <c r="R165" s="1"/>
  <c r="I868" i="15"/>
  <c r="I864"/>
  <c r="I861"/>
  <c r="I1712"/>
  <c r="I1713"/>
  <c r="I1714"/>
  <c r="I1715"/>
  <c r="I1716"/>
  <c r="I1717"/>
  <c r="K119" i="17"/>
  <c r="O119" s="1"/>
  <c r="P119" s="1"/>
  <c r="I1344" i="15"/>
  <c r="I1305"/>
  <c r="I1312"/>
  <c r="I1311"/>
  <c r="I1310"/>
  <c r="I1309"/>
  <c r="I1306"/>
  <c r="I1307"/>
  <c r="I1308"/>
  <c r="I1299"/>
  <c r="I1295"/>
  <c r="I1304"/>
  <c r="I1303"/>
  <c r="I1302"/>
  <c r="I1301"/>
  <c r="I1300"/>
  <c r="I1298"/>
  <c r="I1297"/>
  <c r="I1296"/>
  <c r="I1294"/>
  <c r="I1293"/>
  <c r="I1292"/>
  <c r="I1291"/>
  <c r="I1290"/>
  <c r="I1289"/>
  <c r="I1288"/>
  <c r="I1287"/>
  <c r="I1286"/>
  <c r="I1285"/>
  <c r="I1284"/>
  <c r="I1283"/>
  <c r="I1004"/>
  <c r="I787"/>
  <c r="F746"/>
  <c r="I746" s="1"/>
  <c r="I748"/>
  <c r="I745"/>
  <c r="I747"/>
  <c r="F744"/>
  <c r="I744" s="1"/>
  <c r="I669"/>
  <c r="I284"/>
  <c r="I153"/>
  <c r="I79"/>
  <c r="K183" i="17"/>
  <c r="Q183" s="1"/>
  <c r="R183" s="1"/>
  <c r="K182"/>
  <c r="Q182" s="1"/>
  <c r="R182" s="1"/>
  <c r="K175"/>
  <c r="K173"/>
  <c r="L173" s="1"/>
  <c r="H98"/>
  <c r="H97"/>
  <c r="K95"/>
  <c r="K91"/>
  <c r="K79"/>
  <c r="Q79" s="1"/>
  <c r="R79" s="1"/>
  <c r="H78"/>
  <c r="K77"/>
  <c r="Q77" s="1"/>
  <c r="R77" s="1"/>
  <c r="K76"/>
  <c r="O76" s="1"/>
  <c r="P76" s="1"/>
  <c r="K75"/>
  <c r="O75" s="1"/>
  <c r="P75" s="1"/>
  <c r="H73"/>
  <c r="H41"/>
  <c r="I545" i="15"/>
  <c r="K32" i="17"/>
  <c r="Q32" s="1"/>
  <c r="R32" s="1"/>
  <c r="I225" i="15"/>
  <c r="K24" i="17"/>
  <c r="Q24" s="1"/>
  <c r="R24" s="1"/>
  <c r="K17"/>
  <c r="Q17" s="1"/>
  <c r="R17" s="1"/>
  <c r="K15"/>
  <c r="O15" s="1"/>
  <c r="P15" s="1"/>
  <c r="K14"/>
  <c r="K11"/>
  <c r="O11" s="1"/>
  <c r="P11" s="1"/>
  <c r="K9"/>
  <c r="Q9" s="1"/>
  <c r="R9" s="1"/>
  <c r="K8"/>
  <c r="Q8" s="1"/>
  <c r="R8" s="1"/>
  <c r="Q202"/>
  <c r="P199"/>
  <c r="K199"/>
  <c r="Q199" s="1"/>
  <c r="R199" s="1"/>
  <c r="J199"/>
  <c r="H199"/>
  <c r="F199"/>
  <c r="P195"/>
  <c r="H195"/>
  <c r="F195"/>
  <c r="P194"/>
  <c r="H194"/>
  <c r="F194"/>
  <c r="P193"/>
  <c r="H193"/>
  <c r="F193"/>
  <c r="P192"/>
  <c r="H192"/>
  <c r="F192"/>
  <c r="P191"/>
  <c r="H191"/>
  <c r="F191"/>
  <c r="P190"/>
  <c r="H190"/>
  <c r="F190"/>
  <c r="H189"/>
  <c r="F189"/>
  <c r="P188"/>
  <c r="H188"/>
  <c r="F188"/>
  <c r="P187"/>
  <c r="H187"/>
  <c r="F187"/>
  <c r="P186"/>
  <c r="H186"/>
  <c r="F186"/>
  <c r="P185"/>
  <c r="H185"/>
  <c r="F185"/>
  <c r="P184"/>
  <c r="J184"/>
  <c r="F184"/>
  <c r="P183"/>
  <c r="J183"/>
  <c r="F183"/>
  <c r="P182"/>
  <c r="J182"/>
  <c r="F182"/>
  <c r="P181"/>
  <c r="H181"/>
  <c r="F181"/>
  <c r="P180"/>
  <c r="H180"/>
  <c r="F180"/>
  <c r="P179"/>
  <c r="K179"/>
  <c r="J179"/>
  <c r="H179"/>
  <c r="F179"/>
  <c r="P178"/>
  <c r="K178"/>
  <c r="Q178" s="1"/>
  <c r="R178" s="1"/>
  <c r="J178"/>
  <c r="H178"/>
  <c r="F178"/>
  <c r="P177"/>
  <c r="K177"/>
  <c r="J177"/>
  <c r="H177"/>
  <c r="F177"/>
  <c r="P176"/>
  <c r="K176"/>
  <c r="Q176" s="1"/>
  <c r="R176" s="1"/>
  <c r="J176"/>
  <c r="H176"/>
  <c r="F176"/>
  <c r="P175"/>
  <c r="J175"/>
  <c r="F175"/>
  <c r="P174"/>
  <c r="K174"/>
  <c r="Q174" s="1"/>
  <c r="R174" s="1"/>
  <c r="J174"/>
  <c r="H174"/>
  <c r="F174"/>
  <c r="J173"/>
  <c r="F173"/>
  <c r="P172"/>
  <c r="K172"/>
  <c r="Q172" s="1"/>
  <c r="R172" s="1"/>
  <c r="J172"/>
  <c r="H172"/>
  <c r="F172"/>
  <c r="P171"/>
  <c r="J171"/>
  <c r="F171"/>
  <c r="P170"/>
  <c r="H170"/>
  <c r="F170"/>
  <c r="P169"/>
  <c r="H169"/>
  <c r="F169"/>
  <c r="P168"/>
  <c r="H168"/>
  <c r="F168"/>
  <c r="P167"/>
  <c r="H167"/>
  <c r="F167"/>
  <c r="P166"/>
  <c r="H166"/>
  <c r="F166"/>
  <c r="P165"/>
  <c r="H165"/>
  <c r="F165"/>
  <c r="P164"/>
  <c r="H164"/>
  <c r="F164"/>
  <c r="P163"/>
  <c r="H163"/>
  <c r="F163"/>
  <c r="P162"/>
  <c r="H162"/>
  <c r="F162"/>
  <c r="P161"/>
  <c r="H161"/>
  <c r="F161"/>
  <c r="P160"/>
  <c r="H160"/>
  <c r="F160"/>
  <c r="P159"/>
  <c r="H159"/>
  <c r="F159"/>
  <c r="P158"/>
  <c r="H158"/>
  <c r="F158"/>
  <c r="K157"/>
  <c r="Q157" s="1"/>
  <c r="R157" s="1"/>
  <c r="J157"/>
  <c r="H157"/>
  <c r="F157"/>
  <c r="R156"/>
  <c r="K156"/>
  <c r="O156" s="1"/>
  <c r="P156" s="1"/>
  <c r="J156"/>
  <c r="H156"/>
  <c r="F156"/>
  <c r="P155"/>
  <c r="H155"/>
  <c r="F155"/>
  <c r="P154"/>
  <c r="K154"/>
  <c r="Q154" s="1"/>
  <c r="R154" s="1"/>
  <c r="J154"/>
  <c r="H154"/>
  <c r="F154"/>
  <c r="P153"/>
  <c r="K153"/>
  <c r="Q153" s="1"/>
  <c r="R153" s="1"/>
  <c r="J153"/>
  <c r="H153"/>
  <c r="F153"/>
  <c r="P152"/>
  <c r="H152"/>
  <c r="F152"/>
  <c r="P151"/>
  <c r="H151"/>
  <c r="F151"/>
  <c r="P150"/>
  <c r="H150"/>
  <c r="F150"/>
  <c r="P149"/>
  <c r="H149"/>
  <c r="F149"/>
  <c r="P148"/>
  <c r="H148"/>
  <c r="F148"/>
  <c r="P147"/>
  <c r="H147"/>
  <c r="F147"/>
  <c r="P146"/>
  <c r="K146"/>
  <c r="Q146" s="1"/>
  <c r="R146" s="1"/>
  <c r="J146"/>
  <c r="H146"/>
  <c r="F146"/>
  <c r="P145"/>
  <c r="H145"/>
  <c r="F145"/>
  <c r="H144"/>
  <c r="F144"/>
  <c r="P143"/>
  <c r="H143"/>
  <c r="F143"/>
  <c r="P142"/>
  <c r="H142"/>
  <c r="F142"/>
  <c r="P141"/>
  <c r="H141"/>
  <c r="F141"/>
  <c r="P140"/>
  <c r="H140"/>
  <c r="F140"/>
  <c r="P139"/>
  <c r="H139"/>
  <c r="F139"/>
  <c r="P138"/>
  <c r="H138"/>
  <c r="F138"/>
  <c r="P137"/>
  <c r="H137"/>
  <c r="F137"/>
  <c r="P136"/>
  <c r="H136"/>
  <c r="F136"/>
  <c r="P135"/>
  <c r="K135"/>
  <c r="J135"/>
  <c r="H135"/>
  <c r="F135"/>
  <c r="P134"/>
  <c r="K134"/>
  <c r="Q134" s="1"/>
  <c r="R134" s="1"/>
  <c r="J134"/>
  <c r="H134"/>
  <c r="F134"/>
  <c r="K133"/>
  <c r="Q133" s="1"/>
  <c r="R133" s="1"/>
  <c r="J133"/>
  <c r="H133"/>
  <c r="F133"/>
  <c r="K132"/>
  <c r="J132"/>
  <c r="H132"/>
  <c r="F132"/>
  <c r="P131"/>
  <c r="H131"/>
  <c r="F131"/>
  <c r="P130"/>
  <c r="H130"/>
  <c r="F130"/>
  <c r="P129"/>
  <c r="K129"/>
  <c r="Q129" s="1"/>
  <c r="R129" s="1"/>
  <c r="J129"/>
  <c r="H129"/>
  <c r="F129"/>
  <c r="P128"/>
  <c r="H128"/>
  <c r="F128"/>
  <c r="P127"/>
  <c r="H127"/>
  <c r="F127"/>
  <c r="P126"/>
  <c r="H126"/>
  <c r="F126"/>
  <c r="P125"/>
  <c r="H125"/>
  <c r="F125"/>
  <c r="P124"/>
  <c r="H124"/>
  <c r="F124"/>
  <c r="P123"/>
  <c r="H123"/>
  <c r="F123"/>
  <c r="P122"/>
  <c r="H122"/>
  <c r="F122"/>
  <c r="H121"/>
  <c r="F121"/>
  <c r="P120"/>
  <c r="H120"/>
  <c r="F120"/>
  <c r="H119"/>
  <c r="F119"/>
  <c r="K118"/>
  <c r="L118" s="1"/>
  <c r="J118"/>
  <c r="H118"/>
  <c r="F118"/>
  <c r="H117"/>
  <c r="F117"/>
  <c r="K116"/>
  <c r="L116" s="1"/>
  <c r="J116"/>
  <c r="H116"/>
  <c r="F116"/>
  <c r="H115"/>
  <c r="F115"/>
  <c r="H114"/>
  <c r="F114"/>
  <c r="R113"/>
  <c r="H113"/>
  <c r="F113"/>
  <c r="R112"/>
  <c r="H112"/>
  <c r="F112"/>
  <c r="R111"/>
  <c r="H111"/>
  <c r="F111"/>
  <c r="R110"/>
  <c r="H110"/>
  <c r="F110"/>
  <c r="H109"/>
  <c r="F109"/>
  <c r="P108"/>
  <c r="H108"/>
  <c r="F108"/>
  <c r="H107"/>
  <c r="F107"/>
  <c r="P106"/>
  <c r="H106"/>
  <c r="F106"/>
  <c r="P105"/>
  <c r="H105"/>
  <c r="F105"/>
  <c r="P104"/>
  <c r="H104"/>
  <c r="F104"/>
  <c r="P103"/>
  <c r="K103"/>
  <c r="J103"/>
  <c r="H103"/>
  <c r="F103"/>
  <c r="P102"/>
  <c r="H102"/>
  <c r="F102"/>
  <c r="P101"/>
  <c r="H101"/>
  <c r="F101"/>
  <c r="P100"/>
  <c r="H100"/>
  <c r="F100"/>
  <c r="P99"/>
  <c r="H99"/>
  <c r="F99"/>
  <c r="P98"/>
  <c r="F98"/>
  <c r="P97"/>
  <c r="F97"/>
  <c r="P96"/>
  <c r="H96"/>
  <c r="F96"/>
  <c r="P95"/>
  <c r="J95"/>
  <c r="F95"/>
  <c r="P94"/>
  <c r="H94"/>
  <c r="F94"/>
  <c r="P93"/>
  <c r="H93"/>
  <c r="F93"/>
  <c r="F92"/>
  <c r="J91"/>
  <c r="F91"/>
  <c r="K90"/>
  <c r="O90" s="1"/>
  <c r="P90" s="1"/>
  <c r="J90"/>
  <c r="H90"/>
  <c r="F90"/>
  <c r="H89"/>
  <c r="F89"/>
  <c r="H88"/>
  <c r="F88"/>
  <c r="R87"/>
  <c r="H87"/>
  <c r="F87"/>
  <c r="H86"/>
  <c r="F86"/>
  <c r="R85"/>
  <c r="H85"/>
  <c r="F85"/>
  <c r="H84"/>
  <c r="F84"/>
  <c r="H83"/>
  <c r="F83"/>
  <c r="P82"/>
  <c r="H82"/>
  <c r="F82"/>
  <c r="P81"/>
  <c r="F81"/>
  <c r="R80"/>
  <c r="H80"/>
  <c r="F80"/>
  <c r="P79"/>
  <c r="J79"/>
  <c r="F79"/>
  <c r="P78"/>
  <c r="F78"/>
  <c r="P77"/>
  <c r="J77"/>
  <c r="F77"/>
  <c r="J76"/>
  <c r="F76"/>
  <c r="J75"/>
  <c r="F75"/>
  <c r="H74"/>
  <c r="F74"/>
  <c r="F73"/>
  <c r="P72"/>
  <c r="K72"/>
  <c r="Q72" s="1"/>
  <c r="R72" s="1"/>
  <c r="J72"/>
  <c r="H72"/>
  <c r="F72"/>
  <c r="H71"/>
  <c r="F71"/>
  <c r="P70"/>
  <c r="H70"/>
  <c r="F70"/>
  <c r="H69"/>
  <c r="F69"/>
  <c r="H68"/>
  <c r="F68"/>
  <c r="H67"/>
  <c r="F67"/>
  <c r="P66"/>
  <c r="H66"/>
  <c r="F66"/>
  <c r="P65"/>
  <c r="H65"/>
  <c r="F65"/>
  <c r="R64"/>
  <c r="H64"/>
  <c r="F64"/>
  <c r="P63"/>
  <c r="H63"/>
  <c r="F63"/>
  <c r="P62"/>
  <c r="H62"/>
  <c r="F62"/>
  <c r="P61"/>
  <c r="H61"/>
  <c r="F61"/>
  <c r="H60"/>
  <c r="F60"/>
  <c r="P59"/>
  <c r="H59"/>
  <c r="F59"/>
  <c r="P58"/>
  <c r="H58"/>
  <c r="F58"/>
  <c r="K57"/>
  <c r="O57" s="1"/>
  <c r="P57" s="1"/>
  <c r="J57"/>
  <c r="H57"/>
  <c r="F57"/>
  <c r="H56"/>
  <c r="F56"/>
  <c r="H55"/>
  <c r="F55"/>
  <c r="P54"/>
  <c r="K54"/>
  <c r="Q54" s="1"/>
  <c r="R54" s="1"/>
  <c r="J54"/>
  <c r="H54"/>
  <c r="F54"/>
  <c r="P53"/>
  <c r="H53"/>
  <c r="F53"/>
  <c r="H52"/>
  <c r="F52"/>
  <c r="P51"/>
  <c r="H51"/>
  <c r="F51"/>
  <c r="P50"/>
  <c r="H50"/>
  <c r="F50"/>
  <c r="P49"/>
  <c r="H49"/>
  <c r="F49"/>
  <c r="P48"/>
  <c r="H48"/>
  <c r="F48"/>
  <c r="R47"/>
  <c r="H47"/>
  <c r="F47"/>
  <c r="P46"/>
  <c r="H46"/>
  <c r="F46"/>
  <c r="R45"/>
  <c r="H45"/>
  <c r="F45"/>
  <c r="R44"/>
  <c r="H44"/>
  <c r="F44"/>
  <c r="R43"/>
  <c r="H43"/>
  <c r="F43"/>
  <c r="H42"/>
  <c r="F42"/>
  <c r="R41"/>
  <c r="F41"/>
  <c r="P40"/>
  <c r="F40"/>
  <c r="P39"/>
  <c r="H39"/>
  <c r="F39"/>
  <c r="P38"/>
  <c r="H38"/>
  <c r="F38"/>
  <c r="P37"/>
  <c r="H37"/>
  <c r="F37"/>
  <c r="P36"/>
  <c r="K36"/>
  <c r="Q36" s="1"/>
  <c r="R36" s="1"/>
  <c r="J36"/>
  <c r="H36"/>
  <c r="F36"/>
  <c r="P35"/>
  <c r="H35"/>
  <c r="F35"/>
  <c r="P34"/>
  <c r="K34"/>
  <c r="Q34" s="1"/>
  <c r="R34" s="1"/>
  <c r="J34"/>
  <c r="H34"/>
  <c r="F34"/>
  <c r="P33"/>
  <c r="K33"/>
  <c r="Q33" s="1"/>
  <c r="R33" s="1"/>
  <c r="J33"/>
  <c r="H33"/>
  <c r="F33"/>
  <c r="P32"/>
  <c r="J32"/>
  <c r="F32"/>
  <c r="P31"/>
  <c r="H31"/>
  <c r="F31"/>
  <c r="P30"/>
  <c r="H30"/>
  <c r="F30"/>
  <c r="P29"/>
  <c r="H29"/>
  <c r="F29"/>
  <c r="P28"/>
  <c r="H28"/>
  <c r="F28"/>
  <c r="P27"/>
  <c r="H27"/>
  <c r="F27"/>
  <c r="P26"/>
  <c r="H26"/>
  <c r="F26"/>
  <c r="P25"/>
  <c r="F25"/>
  <c r="P24"/>
  <c r="J24"/>
  <c r="F24"/>
  <c r="K23"/>
  <c r="Q23" s="1"/>
  <c r="R23" s="1"/>
  <c r="J23"/>
  <c r="H23"/>
  <c r="F23"/>
  <c r="R22"/>
  <c r="H22"/>
  <c r="F22"/>
  <c r="R21"/>
  <c r="H21"/>
  <c r="F21"/>
  <c r="R20"/>
  <c r="F20"/>
  <c r="R19"/>
  <c r="H19"/>
  <c r="F19"/>
  <c r="R18"/>
  <c r="K18"/>
  <c r="O18" s="1"/>
  <c r="P18" s="1"/>
  <c r="J18"/>
  <c r="H18"/>
  <c r="F18"/>
  <c r="J17"/>
  <c r="F17"/>
  <c r="R16"/>
  <c r="K16"/>
  <c r="O16" s="1"/>
  <c r="P16" s="1"/>
  <c r="J16"/>
  <c r="H16"/>
  <c r="F16"/>
  <c r="J15"/>
  <c r="F15"/>
  <c r="R14"/>
  <c r="J14"/>
  <c r="F14"/>
  <c r="P13"/>
  <c r="K13"/>
  <c r="Q13" s="1"/>
  <c r="R13" s="1"/>
  <c r="J13"/>
  <c r="H13"/>
  <c r="F13"/>
  <c r="P12"/>
  <c r="K12"/>
  <c r="Q12" s="1"/>
  <c r="R12" s="1"/>
  <c r="J12"/>
  <c r="H12"/>
  <c r="F12"/>
  <c r="J11"/>
  <c r="F11"/>
  <c r="R10"/>
  <c r="K10"/>
  <c r="O10" s="1"/>
  <c r="P10" s="1"/>
  <c r="J10"/>
  <c r="H10"/>
  <c r="F10"/>
  <c r="J9"/>
  <c r="F9"/>
  <c r="P8"/>
  <c r="J8"/>
  <c r="F8"/>
  <c r="K7"/>
  <c r="L7" s="1"/>
  <c r="J7"/>
  <c r="H7"/>
  <c r="F200" l="1"/>
  <c r="F201" s="1"/>
  <c r="F202" s="1"/>
  <c r="M206" s="1"/>
  <c r="M207" s="1"/>
  <c r="M208" s="1"/>
  <c r="M173"/>
  <c r="H11"/>
  <c r="H24"/>
  <c r="M116"/>
  <c r="M118"/>
  <c r="H9"/>
  <c r="H32"/>
  <c r="H40"/>
  <c r="H95"/>
  <c r="H173"/>
  <c r="H8"/>
  <c r="H75"/>
  <c r="H77"/>
  <c r="H79"/>
  <c r="H25"/>
  <c r="H15"/>
  <c r="H17"/>
  <c r="J165"/>
  <c r="I1352" i="15"/>
  <c r="J64" i="17"/>
  <c r="K64"/>
  <c r="O64" s="1"/>
  <c r="P64" s="1"/>
  <c r="J61"/>
  <c r="J119"/>
  <c r="L134"/>
  <c r="M134" s="1"/>
  <c r="S134" s="1"/>
  <c r="I865" i="15"/>
  <c r="K159" i="17" s="1"/>
  <c r="Q159" s="1"/>
  <c r="R159" s="1"/>
  <c r="L129"/>
  <c r="M129" s="1"/>
  <c r="S129" s="1"/>
  <c r="L178"/>
  <c r="M178" s="1"/>
  <c r="S178" s="1"/>
  <c r="L176"/>
  <c r="M176" s="1"/>
  <c r="S176" s="1"/>
  <c r="J160"/>
  <c r="K160"/>
  <c r="Q160" s="1"/>
  <c r="R160" s="1"/>
  <c r="L12"/>
  <c r="M12" s="1"/>
  <c r="S12" s="1"/>
  <c r="L18"/>
  <c r="M18" s="1"/>
  <c r="S18" s="1"/>
  <c r="L23"/>
  <c r="M23" s="1"/>
  <c r="L57"/>
  <c r="N57" s="1"/>
  <c r="T57" s="1"/>
  <c r="L72"/>
  <c r="M72" s="1"/>
  <c r="S72" s="1"/>
  <c r="L54"/>
  <c r="N54" s="1"/>
  <c r="T54" s="1"/>
  <c r="L61"/>
  <c r="M61" s="1"/>
  <c r="S61" s="1"/>
  <c r="J110"/>
  <c r="K110"/>
  <c r="O110" s="1"/>
  <c r="P110" s="1"/>
  <c r="L119"/>
  <c r="N119" s="1"/>
  <c r="T119" s="1"/>
  <c r="J114"/>
  <c r="K114"/>
  <c r="L114" s="1"/>
  <c r="M114" s="1"/>
  <c r="H183"/>
  <c r="H182"/>
  <c r="H175"/>
  <c r="L174"/>
  <c r="M174" s="1"/>
  <c r="S174" s="1"/>
  <c r="H92"/>
  <c r="O91"/>
  <c r="P91" s="1"/>
  <c r="L91"/>
  <c r="M91" s="1"/>
  <c r="H91"/>
  <c r="H81"/>
  <c r="H76"/>
  <c r="L75"/>
  <c r="M75" s="1"/>
  <c r="S75" s="1"/>
  <c r="L15"/>
  <c r="M15" s="1"/>
  <c r="S15" s="1"/>
  <c r="O14"/>
  <c r="P14" s="1"/>
  <c r="L14"/>
  <c r="M14" s="1"/>
  <c r="H14"/>
  <c r="L9"/>
  <c r="M9" s="1"/>
  <c r="Q95"/>
  <c r="R95" s="1"/>
  <c r="L95"/>
  <c r="M95" s="1"/>
  <c r="S95" s="1"/>
  <c r="Q103"/>
  <c r="R103" s="1"/>
  <c r="L103"/>
  <c r="M103" s="1"/>
  <c r="S103" s="1"/>
  <c r="Q135"/>
  <c r="R135" s="1"/>
  <c r="L135"/>
  <c r="M135" s="1"/>
  <c r="S135" s="1"/>
  <c r="L77"/>
  <c r="M77" s="1"/>
  <c r="S77" s="1"/>
  <c r="L79"/>
  <c r="M79" s="1"/>
  <c r="S79" s="1"/>
  <c r="O132"/>
  <c r="P132" s="1"/>
  <c r="L132"/>
  <c r="M132" s="1"/>
  <c r="Q175"/>
  <c r="R175" s="1"/>
  <c r="L175"/>
  <c r="M175" s="1"/>
  <c r="S175" s="1"/>
  <c r="Q177"/>
  <c r="R177" s="1"/>
  <c r="L177"/>
  <c r="M177" s="1"/>
  <c r="S177" s="1"/>
  <c r="Q179"/>
  <c r="R179" s="1"/>
  <c r="L179"/>
  <c r="M179" s="1"/>
  <c r="S179" s="1"/>
  <c r="K171"/>
  <c r="Q171" s="1"/>
  <c r="R171" s="1"/>
  <c r="H171"/>
  <c r="K184"/>
  <c r="Q184" s="1"/>
  <c r="R184" s="1"/>
  <c r="H184"/>
  <c r="N116"/>
  <c r="T116" s="1"/>
  <c r="L8"/>
  <c r="M8" s="1"/>
  <c r="S8" s="1"/>
  <c r="L13"/>
  <c r="M13" s="1"/>
  <c r="S13" s="1"/>
  <c r="O7"/>
  <c r="P7" s="1"/>
  <c r="Q7"/>
  <c r="R7" s="1"/>
  <c r="O9"/>
  <c r="P9" s="1"/>
  <c r="L10"/>
  <c r="M10" s="1"/>
  <c r="L11"/>
  <c r="M11" s="1"/>
  <c r="S11" s="1"/>
  <c r="L16"/>
  <c r="M16" s="1"/>
  <c r="S16" s="1"/>
  <c r="L17"/>
  <c r="M17" s="1"/>
  <c r="O23"/>
  <c r="P23" s="1"/>
  <c r="L24"/>
  <c r="M24" s="1"/>
  <c r="S24" s="1"/>
  <c r="L32"/>
  <c r="M32" s="1"/>
  <c r="S32" s="1"/>
  <c r="L33"/>
  <c r="M33" s="1"/>
  <c r="S33" s="1"/>
  <c r="L34"/>
  <c r="M34" s="1"/>
  <c r="S34" s="1"/>
  <c r="L36"/>
  <c r="M36" s="1"/>
  <c r="S36" s="1"/>
  <c r="M57"/>
  <c r="S57" s="1"/>
  <c r="O17"/>
  <c r="P17" s="1"/>
  <c r="L76"/>
  <c r="M76" s="1"/>
  <c r="S76" s="1"/>
  <c r="L90"/>
  <c r="M90" s="1"/>
  <c r="S90" s="1"/>
  <c r="O116"/>
  <c r="P116" s="1"/>
  <c r="N118"/>
  <c r="T118" s="1"/>
  <c r="O118"/>
  <c r="P118" s="1"/>
  <c r="L133"/>
  <c r="M133" s="1"/>
  <c r="L146"/>
  <c r="M146" s="1"/>
  <c r="S146" s="1"/>
  <c r="L153"/>
  <c r="M153" s="1"/>
  <c r="S153" s="1"/>
  <c r="L154"/>
  <c r="M154" s="1"/>
  <c r="S154" s="1"/>
  <c r="O133"/>
  <c r="P133" s="1"/>
  <c r="N173"/>
  <c r="L156"/>
  <c r="M156" s="1"/>
  <c r="S156" s="1"/>
  <c r="L157"/>
  <c r="M157" s="1"/>
  <c r="O173"/>
  <c r="P173" s="1"/>
  <c r="Q173"/>
  <c r="R173" s="1"/>
  <c r="O157"/>
  <c r="P157" s="1"/>
  <c r="L165"/>
  <c r="M165" s="1"/>
  <c r="S165" s="1"/>
  <c r="L172"/>
  <c r="M172" s="1"/>
  <c r="S172" s="1"/>
  <c r="L199"/>
  <c r="M199" s="1"/>
  <c r="S199" s="1"/>
  <c r="L182"/>
  <c r="M182" s="1"/>
  <c r="S182" s="1"/>
  <c r="L183"/>
  <c r="M183" s="1"/>
  <c r="S183" s="1"/>
  <c r="N179" l="1"/>
  <c r="S173"/>
  <c r="S116"/>
  <c r="S133"/>
  <c r="S118"/>
  <c r="L64"/>
  <c r="M64" s="1"/>
  <c r="S64" s="1"/>
  <c r="L159"/>
  <c r="M159" s="1"/>
  <c r="S159" s="1"/>
  <c r="S91"/>
  <c r="N72"/>
  <c r="T72" s="1"/>
  <c r="L171"/>
  <c r="M171" s="1"/>
  <c r="S171" s="1"/>
  <c r="N135"/>
  <c r="T135" s="1"/>
  <c r="N95"/>
  <c r="T95" s="1"/>
  <c r="S157"/>
  <c r="S23"/>
  <c r="N103"/>
  <c r="T103" s="1"/>
  <c r="N134"/>
  <c r="T134" s="1"/>
  <c r="L160"/>
  <c r="M160" s="1"/>
  <c r="S160" s="1"/>
  <c r="L110"/>
  <c r="N91"/>
  <c r="T91" s="1"/>
  <c r="J159"/>
  <c r="S17"/>
  <c r="N174"/>
  <c r="T174" s="1"/>
  <c r="N129"/>
  <c r="T129" s="1"/>
  <c r="N178"/>
  <c r="T178" s="1"/>
  <c r="N177"/>
  <c r="T177" s="1"/>
  <c r="N176"/>
  <c r="T176" s="1"/>
  <c r="M119"/>
  <c r="S119" s="1"/>
  <c r="O114"/>
  <c r="P114" s="1"/>
  <c r="S114" s="1"/>
  <c r="S14"/>
  <c r="N23"/>
  <c r="T23" s="1"/>
  <c r="N18"/>
  <c r="T18" s="1"/>
  <c r="N12"/>
  <c r="T12" s="1"/>
  <c r="M54"/>
  <c r="S54" s="1"/>
  <c r="N14"/>
  <c r="T14" s="1"/>
  <c r="N61"/>
  <c r="T61" s="1"/>
  <c r="N114"/>
  <c r="T114" s="1"/>
  <c r="N175"/>
  <c r="T175" s="1"/>
  <c r="N79"/>
  <c r="T79" s="1"/>
  <c r="N77"/>
  <c r="T77" s="1"/>
  <c r="N75"/>
  <c r="T75" s="1"/>
  <c r="N17"/>
  <c r="T17" s="1"/>
  <c r="N15"/>
  <c r="T15" s="1"/>
  <c r="S9"/>
  <c r="N9"/>
  <c r="T9" s="1"/>
  <c r="N76"/>
  <c r="T76" s="1"/>
  <c r="L184"/>
  <c r="M184" s="1"/>
  <c r="S184" s="1"/>
  <c r="N133"/>
  <c r="T133" s="1"/>
  <c r="N8"/>
  <c r="T8" s="1"/>
  <c r="T179"/>
  <c r="N132"/>
  <c r="T132" s="1"/>
  <c r="S132"/>
  <c r="N11"/>
  <c r="T11" s="1"/>
  <c r="N13"/>
  <c r="T13" s="1"/>
  <c r="N182"/>
  <c r="T182" s="1"/>
  <c r="N183"/>
  <c r="T183" s="1"/>
  <c r="N156"/>
  <c r="T156" s="1"/>
  <c r="N172"/>
  <c r="T172" s="1"/>
  <c r="N154"/>
  <c r="T154" s="1"/>
  <c r="N146"/>
  <c r="T146" s="1"/>
  <c r="N153"/>
  <c r="T153" s="1"/>
  <c r="N33"/>
  <c r="T33" s="1"/>
  <c r="S10"/>
  <c r="N36"/>
  <c r="T36" s="1"/>
  <c r="N34"/>
  <c r="T34" s="1"/>
  <c r="N32"/>
  <c r="T32" s="1"/>
  <c r="N24"/>
  <c r="T24" s="1"/>
  <c r="N16"/>
  <c r="T16" s="1"/>
  <c r="N10"/>
  <c r="T10" s="1"/>
  <c r="N199"/>
  <c r="T199" s="1"/>
  <c r="T173"/>
  <c r="N165"/>
  <c r="T165" s="1"/>
  <c r="N157"/>
  <c r="T157" s="1"/>
  <c r="N90"/>
  <c r="T90" s="1"/>
  <c r="J199" i="16"/>
  <c r="J198"/>
  <c r="J197"/>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J69"/>
  <c r="J70"/>
  <c r="J71"/>
  <c r="J72"/>
  <c r="J73"/>
  <c r="J74"/>
  <c r="J75"/>
  <c r="J76"/>
  <c r="J77"/>
  <c r="J78"/>
  <c r="J79"/>
  <c r="J80"/>
  <c r="J81"/>
  <c r="J82"/>
  <c r="J83"/>
  <c r="J84"/>
  <c r="J85"/>
  <c r="J86"/>
  <c r="J87"/>
  <c r="J88"/>
  <c r="J89"/>
  <c r="J90"/>
  <c r="J91"/>
  <c r="J92"/>
  <c r="J93"/>
  <c r="J94"/>
  <c r="J95"/>
  <c r="J96"/>
  <c r="J97"/>
  <c r="J98"/>
  <c r="J99"/>
  <c r="J100"/>
  <c r="J101"/>
  <c r="J102"/>
  <c r="J103"/>
  <c r="J104"/>
  <c r="J105"/>
  <c r="J106"/>
  <c r="J107"/>
  <c r="J108"/>
  <c r="J109"/>
  <c r="J110"/>
  <c r="J111"/>
  <c r="J112"/>
  <c r="J113"/>
  <c r="J114"/>
  <c r="J115"/>
  <c r="J116"/>
  <c r="J117"/>
  <c r="J118"/>
  <c r="J119"/>
  <c r="J120"/>
  <c r="J121"/>
  <c r="J122"/>
  <c r="J123"/>
  <c r="J124"/>
  <c r="J125"/>
  <c r="J126"/>
  <c r="J127"/>
  <c r="J128"/>
  <c r="J129"/>
  <c r="J130"/>
  <c r="J131"/>
  <c r="J132"/>
  <c r="J133"/>
  <c r="J134"/>
  <c r="J135"/>
  <c r="J136"/>
  <c r="J137"/>
  <c r="J138"/>
  <c r="J139"/>
  <c r="J140"/>
  <c r="J141"/>
  <c r="J142"/>
  <c r="J143"/>
  <c r="J144"/>
  <c r="J145"/>
  <c r="J146"/>
  <c r="J147"/>
  <c r="J148"/>
  <c r="J149"/>
  <c r="J150"/>
  <c r="J151"/>
  <c r="J152"/>
  <c r="J153"/>
  <c r="J154"/>
  <c r="J155"/>
  <c r="J156"/>
  <c r="J157"/>
  <c r="J158"/>
  <c r="J159"/>
  <c r="J160"/>
  <c r="J161"/>
  <c r="J162"/>
  <c r="J163"/>
  <c r="J164"/>
  <c r="J165"/>
  <c r="J166"/>
  <c r="J167"/>
  <c r="J168"/>
  <c r="J169"/>
  <c r="J170"/>
  <c r="J171"/>
  <c r="J172"/>
  <c r="J173"/>
  <c r="J174"/>
  <c r="J175"/>
  <c r="J176"/>
  <c r="J177"/>
  <c r="J178"/>
  <c r="J179"/>
  <c r="J180"/>
  <c r="J181"/>
  <c r="J182"/>
  <c r="J183"/>
  <c r="J184"/>
  <c r="J185"/>
  <c r="J186"/>
  <c r="J187"/>
  <c r="J188"/>
  <c r="J189"/>
  <c r="J190"/>
  <c r="J191"/>
  <c r="J192"/>
  <c r="J193"/>
  <c r="J194"/>
  <c r="J195"/>
  <c r="J196"/>
  <c r="J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9"/>
  <c r="C229"/>
  <c r="E208"/>
  <c r="E207"/>
  <c r="Q196"/>
  <c r="N196"/>
  <c r="O196" s="1"/>
  <c r="M196"/>
  <c r="H196"/>
  <c r="F196"/>
  <c r="Q195"/>
  <c r="N195"/>
  <c r="O195" s="1"/>
  <c r="M195"/>
  <c r="H195"/>
  <c r="F195"/>
  <c r="Q194"/>
  <c r="M194"/>
  <c r="N194" s="1"/>
  <c r="H194"/>
  <c r="F194"/>
  <c r="Q193"/>
  <c r="M193"/>
  <c r="N193" s="1"/>
  <c r="O193" s="1"/>
  <c r="H193"/>
  <c r="F193"/>
  <c r="Q192"/>
  <c r="M192"/>
  <c r="N192" s="1"/>
  <c r="H192"/>
  <c r="F192"/>
  <c r="Q191"/>
  <c r="N191"/>
  <c r="O191" s="1"/>
  <c r="M191"/>
  <c r="H191"/>
  <c r="F191"/>
  <c r="V190"/>
  <c r="U190"/>
  <c r="Q190"/>
  <c r="N190"/>
  <c r="O190" s="1"/>
  <c r="M190"/>
  <c r="H190"/>
  <c r="F190"/>
  <c r="V189"/>
  <c r="U189"/>
  <c r="Q189"/>
  <c r="M189"/>
  <c r="N189" s="1"/>
  <c r="O189" s="1"/>
  <c r="H189"/>
  <c r="F189"/>
  <c r="V188"/>
  <c r="Q188"/>
  <c r="M188"/>
  <c r="N188" s="1"/>
  <c r="P188" s="1"/>
  <c r="H188"/>
  <c r="F188"/>
  <c r="V187"/>
  <c r="Q187"/>
  <c r="M187"/>
  <c r="N187" s="1"/>
  <c r="H187"/>
  <c r="F187"/>
  <c r="V186"/>
  <c r="U186"/>
  <c r="Q186"/>
  <c r="M186"/>
  <c r="N186" s="1"/>
  <c r="O186" s="1"/>
  <c r="H186"/>
  <c r="F186"/>
  <c r="V185"/>
  <c r="U185"/>
  <c r="Q185"/>
  <c r="P185"/>
  <c r="N185"/>
  <c r="O185" s="1"/>
  <c r="M185"/>
  <c r="I185"/>
  <c r="H185"/>
  <c r="F185"/>
  <c r="Q184"/>
  <c r="N184"/>
  <c r="O184" s="1"/>
  <c r="M184"/>
  <c r="H184"/>
  <c r="F184"/>
  <c r="Q183"/>
  <c r="M183"/>
  <c r="N183" s="1"/>
  <c r="H183"/>
  <c r="F183"/>
  <c r="V182"/>
  <c r="U182"/>
  <c r="Q182"/>
  <c r="M182"/>
  <c r="N182" s="1"/>
  <c r="O182" s="1"/>
  <c r="H182"/>
  <c r="F182"/>
  <c r="V181"/>
  <c r="Q181"/>
  <c r="M181"/>
  <c r="N181" s="1"/>
  <c r="P181" s="1"/>
  <c r="H181"/>
  <c r="F181"/>
  <c r="V180"/>
  <c r="U180"/>
  <c r="Q180"/>
  <c r="M180"/>
  <c r="N180" s="1"/>
  <c r="P180" s="1"/>
  <c r="H180"/>
  <c r="F180"/>
  <c r="V179"/>
  <c r="U179"/>
  <c r="Q179"/>
  <c r="M179"/>
  <c r="N179" s="1"/>
  <c r="P179" s="1"/>
  <c r="H179"/>
  <c r="F179"/>
  <c r="V178"/>
  <c r="U178"/>
  <c r="S178"/>
  <c r="Q178"/>
  <c r="N178"/>
  <c r="O178" s="1"/>
  <c r="M178"/>
  <c r="H178"/>
  <c r="F178"/>
  <c r="V177"/>
  <c r="U177"/>
  <c r="Q177"/>
  <c r="M177"/>
  <c r="N177" s="1"/>
  <c r="O177" s="1"/>
  <c r="H177"/>
  <c r="F177"/>
  <c r="V176"/>
  <c r="U176"/>
  <c r="Q176"/>
  <c r="N176"/>
  <c r="O176" s="1"/>
  <c r="M176"/>
  <c r="H176"/>
  <c r="F176"/>
  <c r="V175"/>
  <c r="U175"/>
  <c r="Q175"/>
  <c r="N175"/>
  <c r="O175" s="1"/>
  <c r="M175"/>
  <c r="H175"/>
  <c r="F175"/>
  <c r="V174"/>
  <c r="U174"/>
  <c r="Q174"/>
  <c r="P174"/>
  <c r="N174"/>
  <c r="O174" s="1"/>
  <c r="M174"/>
  <c r="I174"/>
  <c r="H174"/>
  <c r="F174"/>
  <c r="V173"/>
  <c r="U173"/>
  <c r="Q173"/>
  <c r="M173"/>
  <c r="N173" s="1"/>
  <c r="O173" s="1"/>
  <c r="H173"/>
  <c r="F173"/>
  <c r="V172"/>
  <c r="U172"/>
  <c r="Q172"/>
  <c r="P172"/>
  <c r="N172"/>
  <c r="O172" s="1"/>
  <c r="M172"/>
  <c r="I172"/>
  <c r="H172"/>
  <c r="F172"/>
  <c r="V171"/>
  <c r="U171"/>
  <c r="Q171"/>
  <c r="N171"/>
  <c r="O171" s="1"/>
  <c r="M171"/>
  <c r="H171"/>
  <c r="F171"/>
  <c r="V170"/>
  <c r="U170"/>
  <c r="Q170"/>
  <c r="M170"/>
  <c r="N170" s="1"/>
  <c r="H170"/>
  <c r="F170"/>
  <c r="V169"/>
  <c r="U169"/>
  <c r="Q169"/>
  <c r="M169"/>
  <c r="N169" s="1"/>
  <c r="O169" s="1"/>
  <c r="H169"/>
  <c r="F169"/>
  <c r="V168"/>
  <c r="U168"/>
  <c r="Q168"/>
  <c r="M168"/>
  <c r="N168" s="1"/>
  <c r="H168"/>
  <c r="F168"/>
  <c r="V167"/>
  <c r="U167"/>
  <c r="Q167"/>
  <c r="N167"/>
  <c r="O167" s="1"/>
  <c r="M167"/>
  <c r="H167"/>
  <c r="F167"/>
  <c r="V166"/>
  <c r="U166"/>
  <c r="Q166"/>
  <c r="M166"/>
  <c r="N166" s="1"/>
  <c r="H166"/>
  <c r="F166"/>
  <c r="V165"/>
  <c r="U165"/>
  <c r="Q165"/>
  <c r="M165"/>
  <c r="N165" s="1"/>
  <c r="O165" s="1"/>
  <c r="H165"/>
  <c r="F165"/>
  <c r="U164"/>
  <c r="Q164"/>
  <c r="H164"/>
  <c r="F164"/>
  <c r="U163"/>
  <c r="Q163"/>
  <c r="M163"/>
  <c r="N163" s="1"/>
  <c r="O163" s="1"/>
  <c r="H163"/>
  <c r="F163"/>
  <c r="P163" s="1"/>
  <c r="U162"/>
  <c r="Q162"/>
  <c r="N162"/>
  <c r="M162"/>
  <c r="H162"/>
  <c r="F162"/>
  <c r="U161"/>
  <c r="Q161"/>
  <c r="M161"/>
  <c r="N161" s="1"/>
  <c r="O161" s="1"/>
  <c r="H161"/>
  <c r="F161"/>
  <c r="U160"/>
  <c r="Q160"/>
  <c r="M160"/>
  <c r="N160" s="1"/>
  <c r="O160" s="1"/>
  <c r="H160"/>
  <c r="F160"/>
  <c r="P160" s="1"/>
  <c r="U159"/>
  <c r="Q159"/>
  <c r="M159"/>
  <c r="N159" s="1"/>
  <c r="O159" s="1"/>
  <c r="H159"/>
  <c r="F159"/>
  <c r="U158"/>
  <c r="Q158"/>
  <c r="M158"/>
  <c r="N158" s="1"/>
  <c r="O158" s="1"/>
  <c r="H158"/>
  <c r="F158"/>
  <c r="P158" s="1"/>
  <c r="U157"/>
  <c r="Q157"/>
  <c r="N157"/>
  <c r="O157" s="1"/>
  <c r="M157"/>
  <c r="H157"/>
  <c r="F157"/>
  <c r="U156"/>
  <c r="Q156"/>
  <c r="M156"/>
  <c r="N156" s="1"/>
  <c r="H156"/>
  <c r="F156"/>
  <c r="P156" s="1"/>
  <c r="U155"/>
  <c r="Q155"/>
  <c r="M155"/>
  <c r="N155" s="1"/>
  <c r="O155" s="1"/>
  <c r="H155"/>
  <c r="F155"/>
  <c r="Q154"/>
  <c r="M154"/>
  <c r="N154" s="1"/>
  <c r="O154" s="1"/>
  <c r="V154"/>
  <c r="H154"/>
  <c r="F154"/>
  <c r="V153"/>
  <c r="U153"/>
  <c r="Q153"/>
  <c r="M153"/>
  <c r="N153" s="1"/>
  <c r="O153" s="1"/>
  <c r="H153"/>
  <c r="F153"/>
  <c r="Q152"/>
  <c r="M152"/>
  <c r="N152" s="1"/>
  <c r="O152" s="1"/>
  <c r="H152"/>
  <c r="F152"/>
  <c r="P152" s="1"/>
  <c r="Q151"/>
  <c r="M151"/>
  <c r="N151" s="1"/>
  <c r="O151" s="1"/>
  <c r="V151"/>
  <c r="H151"/>
  <c r="F151"/>
  <c r="Q150"/>
  <c r="N150"/>
  <c r="O150" s="1"/>
  <c r="M150"/>
  <c r="H150"/>
  <c r="F150"/>
  <c r="Q149"/>
  <c r="M149"/>
  <c r="N149" s="1"/>
  <c r="O149" s="1"/>
  <c r="V149"/>
  <c r="H149"/>
  <c r="F149"/>
  <c r="Q148"/>
  <c r="M148"/>
  <c r="N148" s="1"/>
  <c r="O148" s="1"/>
  <c r="H148"/>
  <c r="F148"/>
  <c r="Q147"/>
  <c r="M147"/>
  <c r="N147" s="1"/>
  <c r="O147" s="1"/>
  <c r="H147"/>
  <c r="F147"/>
  <c r="P147" s="1"/>
  <c r="Q146"/>
  <c r="M146"/>
  <c r="N146" s="1"/>
  <c r="O146" s="1"/>
  <c r="V146"/>
  <c r="H146"/>
  <c r="F146"/>
  <c r="V145"/>
  <c r="U145"/>
  <c r="Q145"/>
  <c r="O145"/>
  <c r="M145"/>
  <c r="N145" s="1"/>
  <c r="H145"/>
  <c r="F145"/>
  <c r="P145" s="1"/>
  <c r="Q144"/>
  <c r="N144"/>
  <c r="O144" s="1"/>
  <c r="M144"/>
  <c r="H144"/>
  <c r="F144"/>
  <c r="U143"/>
  <c r="Q143"/>
  <c r="M143"/>
  <c r="N143" s="1"/>
  <c r="O143" s="1"/>
  <c r="H143"/>
  <c r="F143"/>
  <c r="P143" s="1"/>
  <c r="Q142"/>
  <c r="M142"/>
  <c r="N142" s="1"/>
  <c r="O142" s="1"/>
  <c r="V142"/>
  <c r="H142"/>
  <c r="F142"/>
  <c r="V141"/>
  <c r="U141"/>
  <c r="Q141"/>
  <c r="M141"/>
  <c r="N141" s="1"/>
  <c r="O141" s="1"/>
  <c r="H141"/>
  <c r="F141"/>
  <c r="P141" s="1"/>
  <c r="Q140"/>
  <c r="M140"/>
  <c r="N140" s="1"/>
  <c r="O140" s="1"/>
  <c r="H140"/>
  <c r="F140"/>
  <c r="Q139"/>
  <c r="M139"/>
  <c r="N139" s="1"/>
  <c r="O139" s="1"/>
  <c r="V139"/>
  <c r="H139"/>
  <c r="F139"/>
  <c r="V138"/>
  <c r="U138"/>
  <c r="Q138"/>
  <c r="M138"/>
  <c r="N138" s="1"/>
  <c r="O138" s="1"/>
  <c r="H138"/>
  <c r="F138"/>
  <c r="V137"/>
  <c r="U137"/>
  <c r="Q137"/>
  <c r="M137"/>
  <c r="N137" s="1"/>
  <c r="O137" s="1"/>
  <c r="H137"/>
  <c r="F137"/>
  <c r="Q136"/>
  <c r="M136"/>
  <c r="N136" s="1"/>
  <c r="O136" s="1"/>
  <c r="H136"/>
  <c r="F136"/>
  <c r="P136" s="1"/>
  <c r="Q135"/>
  <c r="O135"/>
  <c r="M135"/>
  <c r="N135" s="1"/>
  <c r="V135"/>
  <c r="H135"/>
  <c r="F135"/>
  <c r="P135" s="1"/>
  <c r="V134"/>
  <c r="U134"/>
  <c r="Q134"/>
  <c r="M134"/>
  <c r="N134" s="1"/>
  <c r="O134" s="1"/>
  <c r="H134"/>
  <c r="F134"/>
  <c r="P134" s="1"/>
  <c r="Q133"/>
  <c r="M133"/>
  <c r="N133" s="1"/>
  <c r="O133" s="1"/>
  <c r="H133"/>
  <c r="F133"/>
  <c r="Q132"/>
  <c r="M132"/>
  <c r="N132" s="1"/>
  <c r="O132" s="1"/>
  <c r="V132"/>
  <c r="H132"/>
  <c r="F132"/>
  <c r="Q131"/>
  <c r="M131"/>
  <c r="N131" s="1"/>
  <c r="O131" s="1"/>
  <c r="H131"/>
  <c r="F131"/>
  <c r="P131" s="1"/>
  <c r="U130"/>
  <c r="Q130"/>
  <c r="M130"/>
  <c r="N130" s="1"/>
  <c r="O130" s="1"/>
  <c r="H130"/>
  <c r="F130"/>
  <c r="U129"/>
  <c r="Q129"/>
  <c r="M129"/>
  <c r="N129" s="1"/>
  <c r="O129" s="1"/>
  <c r="H129"/>
  <c r="F129"/>
  <c r="P129" s="1"/>
  <c r="Q128"/>
  <c r="M128"/>
  <c r="N128" s="1"/>
  <c r="O128" s="1"/>
  <c r="V128"/>
  <c r="H128"/>
  <c r="F128"/>
  <c r="V127"/>
  <c r="U127"/>
  <c r="Q127"/>
  <c r="M127"/>
  <c r="N127" s="1"/>
  <c r="O127" s="1"/>
  <c r="H127"/>
  <c r="F127"/>
  <c r="P127" s="1"/>
  <c r="V126"/>
  <c r="U126"/>
  <c r="Q126"/>
  <c r="M126"/>
  <c r="N126" s="1"/>
  <c r="O126" s="1"/>
  <c r="H126"/>
  <c r="F126"/>
  <c r="P126" s="1"/>
  <c r="V125"/>
  <c r="U125"/>
  <c r="Q125"/>
  <c r="O125"/>
  <c r="M125"/>
  <c r="N125" s="1"/>
  <c r="H125"/>
  <c r="F125"/>
  <c r="P125" s="1"/>
  <c r="Q124"/>
  <c r="M124"/>
  <c r="N124" s="1"/>
  <c r="O124" s="1"/>
  <c r="H124"/>
  <c r="F124"/>
  <c r="Q123"/>
  <c r="M123"/>
  <c r="N123" s="1"/>
  <c r="O123" s="1"/>
  <c r="V123"/>
  <c r="H123"/>
  <c r="F123"/>
  <c r="V122"/>
  <c r="U122"/>
  <c r="Q122"/>
  <c r="M122"/>
  <c r="N122" s="1"/>
  <c r="O122" s="1"/>
  <c r="H122"/>
  <c r="F122"/>
  <c r="Q121"/>
  <c r="M121"/>
  <c r="N121" s="1"/>
  <c r="O121" s="1"/>
  <c r="H121"/>
  <c r="F121"/>
  <c r="P121" s="1"/>
  <c r="Q120"/>
  <c r="M120"/>
  <c r="N120" s="1"/>
  <c r="O120" s="1"/>
  <c r="H120"/>
  <c r="F120"/>
  <c r="P120" s="1"/>
  <c r="U119"/>
  <c r="Q119"/>
  <c r="N119"/>
  <c r="O119" s="1"/>
  <c r="M119"/>
  <c r="H119"/>
  <c r="F119"/>
  <c r="U118"/>
  <c r="Q118"/>
  <c r="M118"/>
  <c r="N118" s="1"/>
  <c r="O118" s="1"/>
  <c r="H118"/>
  <c r="F118"/>
  <c r="P118" s="1"/>
  <c r="U117"/>
  <c r="Q117"/>
  <c r="N117"/>
  <c r="O117" s="1"/>
  <c r="M117"/>
  <c r="H117"/>
  <c r="F117"/>
  <c r="U116"/>
  <c r="Q116"/>
  <c r="M116"/>
  <c r="N116" s="1"/>
  <c r="O116" s="1"/>
  <c r="H116"/>
  <c r="F116"/>
  <c r="P116" s="1"/>
  <c r="U115"/>
  <c r="Q115"/>
  <c r="M115"/>
  <c r="N115" s="1"/>
  <c r="O115" s="1"/>
  <c r="H115"/>
  <c r="F115"/>
  <c r="U114"/>
  <c r="Q114"/>
  <c r="M114"/>
  <c r="N114" s="1"/>
  <c r="O114" s="1"/>
  <c r="H114"/>
  <c r="F114"/>
  <c r="P114" s="1"/>
  <c r="U113"/>
  <c r="Q113"/>
  <c r="M113"/>
  <c r="N113" s="1"/>
  <c r="O113" s="1"/>
  <c r="H113"/>
  <c r="F113"/>
  <c r="U112"/>
  <c r="Q112"/>
  <c r="M112"/>
  <c r="N112" s="1"/>
  <c r="O112" s="1"/>
  <c r="H112"/>
  <c r="F112"/>
  <c r="P112" s="1"/>
  <c r="U111"/>
  <c r="Q111"/>
  <c r="N111"/>
  <c r="O111" s="1"/>
  <c r="M111"/>
  <c r="H111"/>
  <c r="F111"/>
  <c r="U110"/>
  <c r="Q110"/>
  <c r="M110"/>
  <c r="N110" s="1"/>
  <c r="O110" s="1"/>
  <c r="H110"/>
  <c r="F110"/>
  <c r="P110" s="1"/>
  <c r="U109"/>
  <c r="V109" s="1"/>
  <c r="Q109"/>
  <c r="M109"/>
  <c r="N109" s="1"/>
  <c r="O109" s="1"/>
  <c r="S109"/>
  <c r="H109"/>
  <c r="F109"/>
  <c r="Q108"/>
  <c r="M108"/>
  <c r="N108" s="1"/>
  <c r="O108" s="1"/>
  <c r="H108"/>
  <c r="F108"/>
  <c r="P108" s="1"/>
  <c r="Q107"/>
  <c r="M107"/>
  <c r="N107" s="1"/>
  <c r="O107" s="1"/>
  <c r="V107"/>
  <c r="H107"/>
  <c r="F107"/>
  <c r="Q106"/>
  <c r="N106"/>
  <c r="O106" s="1"/>
  <c r="M106"/>
  <c r="H106"/>
  <c r="F106"/>
  <c r="U105"/>
  <c r="Q105"/>
  <c r="M105"/>
  <c r="N105" s="1"/>
  <c r="O105" s="1"/>
  <c r="H105"/>
  <c r="F105"/>
  <c r="P105" s="1"/>
  <c r="U104"/>
  <c r="Q104"/>
  <c r="N104"/>
  <c r="O104" s="1"/>
  <c r="M104"/>
  <c r="H104"/>
  <c r="F104"/>
  <c r="U103"/>
  <c r="Q103"/>
  <c r="M103"/>
  <c r="N103" s="1"/>
  <c r="O103" s="1"/>
  <c r="H103"/>
  <c r="F103"/>
  <c r="P103" s="1"/>
  <c r="U102"/>
  <c r="V102" s="1"/>
  <c r="S102"/>
  <c r="Q102"/>
  <c r="M102"/>
  <c r="N102" s="1"/>
  <c r="O102" s="1"/>
  <c r="H102"/>
  <c r="F102"/>
  <c r="P102" s="1"/>
  <c r="V101"/>
  <c r="U101"/>
  <c r="Q101"/>
  <c r="M101"/>
  <c r="N101" s="1"/>
  <c r="O101" s="1"/>
  <c r="H101"/>
  <c r="F101"/>
  <c r="P101" s="1"/>
  <c r="V100"/>
  <c r="U100"/>
  <c r="Q100"/>
  <c r="M100"/>
  <c r="N100" s="1"/>
  <c r="O100" s="1"/>
  <c r="H100"/>
  <c r="F100"/>
  <c r="P100" s="1"/>
  <c r="Q99"/>
  <c r="N99"/>
  <c r="O99" s="1"/>
  <c r="M99"/>
  <c r="H99"/>
  <c r="F99"/>
  <c r="U98"/>
  <c r="Q98"/>
  <c r="I98"/>
  <c r="M98" s="1"/>
  <c r="N98" s="1"/>
  <c r="O98" s="1"/>
  <c r="H98"/>
  <c r="F98"/>
  <c r="P98" s="1"/>
  <c r="U97"/>
  <c r="Q97"/>
  <c r="N97"/>
  <c r="O97" s="1"/>
  <c r="M97"/>
  <c r="H97"/>
  <c r="F97"/>
  <c r="V96"/>
  <c r="U96"/>
  <c r="Q96"/>
  <c r="M96"/>
  <c r="N96" s="1"/>
  <c r="O96" s="1"/>
  <c r="H96"/>
  <c r="F96"/>
  <c r="P96" s="1"/>
  <c r="V95"/>
  <c r="U95"/>
  <c r="Q95"/>
  <c r="M95"/>
  <c r="N95" s="1"/>
  <c r="O95" s="1"/>
  <c r="H95"/>
  <c r="F95"/>
  <c r="V94"/>
  <c r="U94"/>
  <c r="Q94"/>
  <c r="M94"/>
  <c r="N94" s="1"/>
  <c r="O94" s="1"/>
  <c r="H94"/>
  <c r="F94"/>
  <c r="P94" s="1"/>
  <c r="V93"/>
  <c r="U93"/>
  <c r="Q93"/>
  <c r="M93"/>
  <c r="N93" s="1"/>
  <c r="O93" s="1"/>
  <c r="H93"/>
  <c r="F93"/>
  <c r="V92"/>
  <c r="U92"/>
  <c r="Q92"/>
  <c r="M92"/>
  <c r="N92" s="1"/>
  <c r="O92" s="1"/>
  <c r="H92"/>
  <c r="F92"/>
  <c r="P92" s="1"/>
  <c r="V91"/>
  <c r="U91"/>
  <c r="Q91"/>
  <c r="M91"/>
  <c r="N91" s="1"/>
  <c r="O91" s="1"/>
  <c r="H91"/>
  <c r="F91"/>
  <c r="V90"/>
  <c r="U90"/>
  <c r="Q90"/>
  <c r="M90"/>
  <c r="N90" s="1"/>
  <c r="O90" s="1"/>
  <c r="H90"/>
  <c r="F90"/>
  <c r="P90" s="1"/>
  <c r="V89"/>
  <c r="U89"/>
  <c r="Q89"/>
  <c r="O89"/>
  <c r="M89"/>
  <c r="N89" s="1"/>
  <c r="H89"/>
  <c r="F89"/>
  <c r="P89" s="1"/>
  <c r="V88"/>
  <c r="U88"/>
  <c r="Q88"/>
  <c r="O88"/>
  <c r="M88"/>
  <c r="N88" s="1"/>
  <c r="H88"/>
  <c r="F88"/>
  <c r="P88" s="1"/>
  <c r="V87"/>
  <c r="U87"/>
  <c r="Q87"/>
  <c r="O87"/>
  <c r="M87"/>
  <c r="N87" s="1"/>
  <c r="H87"/>
  <c r="F87"/>
  <c r="P87" s="1"/>
  <c r="U86"/>
  <c r="Q86"/>
  <c r="N86"/>
  <c r="O86" s="1"/>
  <c r="M86"/>
  <c r="S86" s="1"/>
  <c r="H86"/>
  <c r="F86"/>
  <c r="P86" s="1"/>
  <c r="U85"/>
  <c r="Q85"/>
  <c r="M85"/>
  <c r="N85" s="1"/>
  <c r="O85" s="1"/>
  <c r="H85"/>
  <c r="F85"/>
  <c r="P85" s="1"/>
  <c r="U84"/>
  <c r="Q84"/>
  <c r="N84"/>
  <c r="O84" s="1"/>
  <c r="M84"/>
  <c r="H84"/>
  <c r="F84"/>
  <c r="U83"/>
  <c r="Q83"/>
  <c r="M83"/>
  <c r="N83" s="1"/>
  <c r="O83" s="1"/>
  <c r="H83"/>
  <c r="F83"/>
  <c r="P83" s="1"/>
  <c r="U82"/>
  <c r="Q82"/>
  <c r="M82"/>
  <c r="N82" s="1"/>
  <c r="O82" s="1"/>
  <c r="H82"/>
  <c r="F82"/>
  <c r="U81"/>
  <c r="Q81"/>
  <c r="M81"/>
  <c r="N81" s="1"/>
  <c r="O81" s="1"/>
  <c r="H81"/>
  <c r="F81"/>
  <c r="P81" s="1"/>
  <c r="U80"/>
  <c r="Q80"/>
  <c r="N80"/>
  <c r="O80" s="1"/>
  <c r="M80"/>
  <c r="H80"/>
  <c r="F80"/>
  <c r="U79"/>
  <c r="Q79"/>
  <c r="M79"/>
  <c r="N79" s="1"/>
  <c r="O79" s="1"/>
  <c r="H79"/>
  <c r="F79"/>
  <c r="P79" s="1"/>
  <c r="U78"/>
  <c r="Q78"/>
  <c r="M78"/>
  <c r="N78" s="1"/>
  <c r="O78" s="1"/>
  <c r="H78"/>
  <c r="F78"/>
  <c r="U77"/>
  <c r="Q77"/>
  <c r="M77"/>
  <c r="N77" s="1"/>
  <c r="O77" s="1"/>
  <c r="H77"/>
  <c r="F77"/>
  <c r="P77" s="1"/>
  <c r="U76"/>
  <c r="Q76"/>
  <c r="M76"/>
  <c r="N76" s="1"/>
  <c r="O76" s="1"/>
  <c r="H76"/>
  <c r="F76"/>
  <c r="U75"/>
  <c r="V75" s="1"/>
  <c r="Q75"/>
  <c r="M75"/>
  <c r="N75" s="1"/>
  <c r="O75" s="1"/>
  <c r="H75"/>
  <c r="F75"/>
  <c r="P75" s="1"/>
  <c r="U74"/>
  <c r="Q74"/>
  <c r="M74"/>
  <c r="N74" s="1"/>
  <c r="O74" s="1"/>
  <c r="H74"/>
  <c r="F74"/>
  <c r="Q73"/>
  <c r="M73"/>
  <c r="N73" s="1"/>
  <c r="O73" s="1"/>
  <c r="V73"/>
  <c r="H73"/>
  <c r="F73"/>
  <c r="V72"/>
  <c r="U72"/>
  <c r="Q72"/>
  <c r="M72"/>
  <c r="N72" s="1"/>
  <c r="O72" s="1"/>
  <c r="H72"/>
  <c r="F72"/>
  <c r="V71"/>
  <c r="U71"/>
  <c r="Q71"/>
  <c r="M71"/>
  <c r="N71" s="1"/>
  <c r="O71" s="1"/>
  <c r="H71"/>
  <c r="F71"/>
  <c r="Q70"/>
  <c r="M70"/>
  <c r="N70" s="1"/>
  <c r="O70" s="1"/>
  <c r="H70"/>
  <c r="F70"/>
  <c r="P70" s="1"/>
  <c r="Q69"/>
  <c r="O69"/>
  <c r="M69"/>
  <c r="N69" s="1"/>
  <c r="V69"/>
  <c r="H69"/>
  <c r="F69"/>
  <c r="P69" s="1"/>
  <c r="V68"/>
  <c r="U68"/>
  <c r="Q68"/>
  <c r="O68"/>
  <c r="M68"/>
  <c r="N68" s="1"/>
  <c r="H68"/>
  <c r="F68"/>
  <c r="P68" s="1"/>
  <c r="Q67"/>
  <c r="M67"/>
  <c r="N67" s="1"/>
  <c r="O67" s="1"/>
  <c r="H67"/>
  <c r="F67"/>
  <c r="U66"/>
  <c r="Q66"/>
  <c r="M66"/>
  <c r="N66" s="1"/>
  <c r="O66" s="1"/>
  <c r="H66"/>
  <c r="F66"/>
  <c r="P66" s="1"/>
  <c r="U65"/>
  <c r="Q65"/>
  <c r="N65"/>
  <c r="O65" s="1"/>
  <c r="M65"/>
  <c r="H65"/>
  <c r="F65"/>
  <c r="U64"/>
  <c r="Q64"/>
  <c r="M64"/>
  <c r="N64" s="1"/>
  <c r="O64" s="1"/>
  <c r="H64"/>
  <c r="F64"/>
  <c r="U63"/>
  <c r="Q63"/>
  <c r="M63"/>
  <c r="N63" s="1"/>
  <c r="O63" s="1"/>
  <c r="H63"/>
  <c r="F63"/>
  <c r="U62"/>
  <c r="Q62"/>
  <c r="M62"/>
  <c r="N62" s="1"/>
  <c r="O62" s="1"/>
  <c r="H62"/>
  <c r="F62"/>
  <c r="P62" s="1"/>
  <c r="U61"/>
  <c r="Q61"/>
  <c r="M61"/>
  <c r="N61" s="1"/>
  <c r="O61" s="1"/>
  <c r="H61"/>
  <c r="F61"/>
  <c r="U60"/>
  <c r="Q60"/>
  <c r="M60"/>
  <c r="N60" s="1"/>
  <c r="O60" s="1"/>
  <c r="H60"/>
  <c r="F60"/>
  <c r="P60" s="1"/>
  <c r="U59"/>
  <c r="Q59"/>
  <c r="M59"/>
  <c r="N59" s="1"/>
  <c r="O59" s="1"/>
  <c r="H59"/>
  <c r="F59"/>
  <c r="U58"/>
  <c r="Q58"/>
  <c r="M58"/>
  <c r="N58" s="1"/>
  <c r="O58" s="1"/>
  <c r="H58"/>
  <c r="F58"/>
  <c r="P58" s="1"/>
  <c r="U57"/>
  <c r="Q57"/>
  <c r="N57"/>
  <c r="O57" s="1"/>
  <c r="M57"/>
  <c r="H57"/>
  <c r="F57"/>
  <c r="U56"/>
  <c r="Q56"/>
  <c r="M56"/>
  <c r="N56" s="1"/>
  <c r="O56" s="1"/>
  <c r="H56"/>
  <c r="F56"/>
  <c r="P56" s="1"/>
  <c r="U55"/>
  <c r="Q55"/>
  <c r="M55"/>
  <c r="N55" s="1"/>
  <c r="O55" s="1"/>
  <c r="H55"/>
  <c r="F55"/>
  <c r="U54"/>
  <c r="Q54"/>
  <c r="M54"/>
  <c r="N54" s="1"/>
  <c r="O54" s="1"/>
  <c r="H54"/>
  <c r="F54"/>
  <c r="P54" s="1"/>
  <c r="U53"/>
  <c r="Q53"/>
  <c r="M53"/>
  <c r="N53" s="1"/>
  <c r="O53" s="1"/>
  <c r="H53"/>
  <c r="F53"/>
  <c r="U52"/>
  <c r="Q52"/>
  <c r="M52"/>
  <c r="N52" s="1"/>
  <c r="O52" s="1"/>
  <c r="H52"/>
  <c r="F52"/>
  <c r="P52" s="1"/>
  <c r="U51"/>
  <c r="Q51"/>
  <c r="M51"/>
  <c r="N51" s="1"/>
  <c r="O51" s="1"/>
  <c r="H51"/>
  <c r="F51"/>
  <c r="U50"/>
  <c r="Q50"/>
  <c r="M50"/>
  <c r="N50" s="1"/>
  <c r="O50" s="1"/>
  <c r="H50"/>
  <c r="F50"/>
  <c r="P50" s="1"/>
  <c r="U49"/>
  <c r="Q49"/>
  <c r="N49"/>
  <c r="O49" s="1"/>
  <c r="M49"/>
  <c r="H49"/>
  <c r="F49"/>
  <c r="U48"/>
  <c r="Q48"/>
  <c r="M48"/>
  <c r="N48" s="1"/>
  <c r="O48" s="1"/>
  <c r="H48"/>
  <c r="F48"/>
  <c r="P48" s="1"/>
  <c r="U47"/>
  <c r="Q47"/>
  <c r="N47"/>
  <c r="O47" s="1"/>
  <c r="M47"/>
  <c r="H47"/>
  <c r="F47"/>
  <c r="U46"/>
  <c r="Q46"/>
  <c r="M46"/>
  <c r="N46" s="1"/>
  <c r="O46" s="1"/>
  <c r="H46"/>
  <c r="F46"/>
  <c r="P46" s="1"/>
  <c r="U45"/>
  <c r="Q45"/>
  <c r="N45"/>
  <c r="O45" s="1"/>
  <c r="M45"/>
  <c r="H45"/>
  <c r="F45"/>
  <c r="U44"/>
  <c r="Q44"/>
  <c r="M44"/>
  <c r="N44" s="1"/>
  <c r="O44" s="1"/>
  <c r="H44"/>
  <c r="F44"/>
  <c r="P44" s="1"/>
  <c r="U43"/>
  <c r="Q43"/>
  <c r="M43"/>
  <c r="N43" s="1"/>
  <c r="O43" s="1"/>
  <c r="H43"/>
  <c r="F43"/>
  <c r="U42"/>
  <c r="Q42"/>
  <c r="M42"/>
  <c r="N42" s="1"/>
  <c r="O42" s="1"/>
  <c r="H42"/>
  <c r="F42"/>
  <c r="P42" s="1"/>
  <c r="U41"/>
  <c r="Q41"/>
  <c r="N41"/>
  <c r="O41" s="1"/>
  <c r="M41"/>
  <c r="H41"/>
  <c r="F41"/>
  <c r="U40"/>
  <c r="Q40"/>
  <c r="M40"/>
  <c r="N40" s="1"/>
  <c r="O40" s="1"/>
  <c r="H40"/>
  <c r="F40"/>
  <c r="P40" s="1"/>
  <c r="U39"/>
  <c r="Q39"/>
  <c r="N39"/>
  <c r="O39" s="1"/>
  <c r="M39"/>
  <c r="H39"/>
  <c r="F39"/>
  <c r="U38"/>
  <c r="Q38"/>
  <c r="M38"/>
  <c r="N38" s="1"/>
  <c r="O38" s="1"/>
  <c r="H38"/>
  <c r="F38"/>
  <c r="P38" s="1"/>
  <c r="U37"/>
  <c r="Q37"/>
  <c r="N37"/>
  <c r="O37" s="1"/>
  <c r="M37"/>
  <c r="H37"/>
  <c r="F37"/>
  <c r="U36"/>
  <c r="Q36"/>
  <c r="M36"/>
  <c r="N36" s="1"/>
  <c r="O36" s="1"/>
  <c r="H36"/>
  <c r="F36"/>
  <c r="P36" s="1"/>
  <c r="U35"/>
  <c r="Q35"/>
  <c r="M35"/>
  <c r="N35" s="1"/>
  <c r="O35" s="1"/>
  <c r="H35"/>
  <c r="F35"/>
  <c r="U34"/>
  <c r="Q34"/>
  <c r="M34"/>
  <c r="N34" s="1"/>
  <c r="O34" s="1"/>
  <c r="H34"/>
  <c r="F34"/>
  <c r="P34" s="1"/>
  <c r="U33"/>
  <c r="Q33"/>
  <c r="N33"/>
  <c r="O33" s="1"/>
  <c r="M33"/>
  <c r="H33"/>
  <c r="F33"/>
  <c r="U32"/>
  <c r="Q32"/>
  <c r="M32"/>
  <c r="N32" s="1"/>
  <c r="O32" s="1"/>
  <c r="H32"/>
  <c r="F32"/>
  <c r="P32" s="1"/>
  <c r="U31"/>
  <c r="Q31"/>
  <c r="N31"/>
  <c r="O31" s="1"/>
  <c r="M31"/>
  <c r="H31"/>
  <c r="F31"/>
  <c r="U30"/>
  <c r="Q30"/>
  <c r="M30"/>
  <c r="N30" s="1"/>
  <c r="O30" s="1"/>
  <c r="H30"/>
  <c r="F30"/>
  <c r="P30" s="1"/>
  <c r="U29"/>
  <c r="Q29"/>
  <c r="M29"/>
  <c r="N29" s="1"/>
  <c r="O29" s="1"/>
  <c r="H29"/>
  <c r="F29"/>
  <c r="U28"/>
  <c r="Q28"/>
  <c r="M28"/>
  <c r="N28" s="1"/>
  <c r="O28" s="1"/>
  <c r="H28"/>
  <c r="F28"/>
  <c r="P28" s="1"/>
  <c r="U27"/>
  <c r="Q27"/>
  <c r="M27"/>
  <c r="N27" s="1"/>
  <c r="O27" s="1"/>
  <c r="H27"/>
  <c r="F27"/>
  <c r="U26"/>
  <c r="Q26"/>
  <c r="M26"/>
  <c r="N26" s="1"/>
  <c r="O26" s="1"/>
  <c r="H26"/>
  <c r="F26"/>
  <c r="P26" s="1"/>
  <c r="U25"/>
  <c r="Q25"/>
  <c r="M25"/>
  <c r="N25" s="1"/>
  <c r="O25" s="1"/>
  <c r="H25"/>
  <c r="F25"/>
  <c r="U24"/>
  <c r="Q24"/>
  <c r="M24"/>
  <c r="N24" s="1"/>
  <c r="O24" s="1"/>
  <c r="H24"/>
  <c r="F24"/>
  <c r="P24" s="1"/>
  <c r="U23"/>
  <c r="Q23"/>
  <c r="M23"/>
  <c r="N23" s="1"/>
  <c r="O23" s="1"/>
  <c r="H23"/>
  <c r="F23"/>
  <c r="U22"/>
  <c r="Q22"/>
  <c r="M22"/>
  <c r="N22" s="1"/>
  <c r="O22" s="1"/>
  <c r="H22"/>
  <c r="F22"/>
  <c r="P22" s="1"/>
  <c r="U21"/>
  <c r="Q21"/>
  <c r="N21"/>
  <c r="O21" s="1"/>
  <c r="M21"/>
  <c r="H21"/>
  <c r="F21"/>
  <c r="U20"/>
  <c r="Q20"/>
  <c r="M20"/>
  <c r="N20" s="1"/>
  <c r="O20" s="1"/>
  <c r="H20"/>
  <c r="F20"/>
  <c r="P20" s="1"/>
  <c r="U19"/>
  <c r="Q19"/>
  <c r="M19"/>
  <c r="N19" s="1"/>
  <c r="O19" s="1"/>
  <c r="H19"/>
  <c r="F19"/>
  <c r="U18"/>
  <c r="Q18"/>
  <c r="M18"/>
  <c r="N18" s="1"/>
  <c r="O18" s="1"/>
  <c r="H18"/>
  <c r="F18"/>
  <c r="P18" s="1"/>
  <c r="U17"/>
  <c r="Q17"/>
  <c r="N17"/>
  <c r="O17" s="1"/>
  <c r="M17"/>
  <c r="H17"/>
  <c r="F17"/>
  <c r="U16"/>
  <c r="Q16"/>
  <c r="M16"/>
  <c r="N16" s="1"/>
  <c r="O16" s="1"/>
  <c r="H16"/>
  <c r="F16"/>
  <c r="P16" s="1"/>
  <c r="U15"/>
  <c r="Q15"/>
  <c r="M15"/>
  <c r="N15" s="1"/>
  <c r="O15" s="1"/>
  <c r="H15"/>
  <c r="F15"/>
  <c r="U14"/>
  <c r="Q14"/>
  <c r="M14"/>
  <c r="N14" s="1"/>
  <c r="O14" s="1"/>
  <c r="H14"/>
  <c r="F14"/>
  <c r="P14" s="1"/>
  <c r="U13"/>
  <c r="Q13"/>
  <c r="M13"/>
  <c r="N13" s="1"/>
  <c r="O13" s="1"/>
  <c r="H13"/>
  <c r="F13"/>
  <c r="U12"/>
  <c r="Q12"/>
  <c r="M12"/>
  <c r="N12" s="1"/>
  <c r="O12" s="1"/>
  <c r="H12"/>
  <c r="F12"/>
  <c r="P12" s="1"/>
  <c r="U11"/>
  <c r="Q11"/>
  <c r="M11"/>
  <c r="N11" s="1"/>
  <c r="O11" s="1"/>
  <c r="H11"/>
  <c r="F11"/>
  <c r="U10"/>
  <c r="Q10"/>
  <c r="M10"/>
  <c r="N10" s="1"/>
  <c r="H10"/>
  <c r="F10"/>
  <c r="P10" s="1"/>
  <c r="Q9"/>
  <c r="M9"/>
  <c r="N9" s="1"/>
  <c r="H9"/>
  <c r="F9"/>
  <c r="F197" s="1"/>
  <c r="I1805" i="15"/>
  <c r="I1806"/>
  <c r="F1820"/>
  <c r="I1820" s="1"/>
  <c r="I1819"/>
  <c r="F1818"/>
  <c r="I1818" s="1"/>
  <c r="I1817"/>
  <c r="F1816"/>
  <c r="I1816" s="1"/>
  <c r="I1815"/>
  <c r="I1824"/>
  <c r="F1823"/>
  <c r="I1823" s="1"/>
  <c r="I1822"/>
  <c r="I1821"/>
  <c r="F1813"/>
  <c r="F1811"/>
  <c r="F1809"/>
  <c r="N64" i="17" l="1"/>
  <c r="T64" s="1"/>
  <c r="N159"/>
  <c r="T159" s="1"/>
  <c r="N171"/>
  <c r="T171" s="1"/>
  <c r="N160"/>
  <c r="T160" s="1"/>
  <c r="M110"/>
  <c r="S110" s="1"/>
  <c r="N110"/>
  <c r="T110" s="1"/>
  <c r="N184"/>
  <c r="T184" s="1"/>
  <c r="P196" i="16"/>
  <c r="O194"/>
  <c r="P194"/>
  <c r="O192"/>
  <c r="P192"/>
  <c r="P190"/>
  <c r="O187"/>
  <c r="P187"/>
  <c r="O183"/>
  <c r="P183"/>
  <c r="P178"/>
  <c r="P176"/>
  <c r="O170"/>
  <c r="P170"/>
  <c r="O168"/>
  <c r="P168"/>
  <c r="O166"/>
  <c r="P166"/>
  <c r="P162"/>
  <c r="P161"/>
  <c r="P159"/>
  <c r="P157"/>
  <c r="P151"/>
  <c r="P150"/>
  <c r="P146"/>
  <c r="P144"/>
  <c r="P142"/>
  <c r="P140"/>
  <c r="P133"/>
  <c r="P130"/>
  <c r="P128"/>
  <c r="P124"/>
  <c r="P119"/>
  <c r="P117"/>
  <c r="P115"/>
  <c r="P113"/>
  <c r="P111"/>
  <c r="S199"/>
  <c r="P107"/>
  <c r="P106"/>
  <c r="P104"/>
  <c r="P99"/>
  <c r="P97"/>
  <c r="P84"/>
  <c r="P82"/>
  <c r="P80"/>
  <c r="P78"/>
  <c r="P76"/>
  <c r="P74"/>
  <c r="P67"/>
  <c r="P65"/>
  <c r="P63"/>
  <c r="P61"/>
  <c r="P59"/>
  <c r="P57"/>
  <c r="P55"/>
  <c r="P53"/>
  <c r="P51"/>
  <c r="P49"/>
  <c r="P47"/>
  <c r="P45"/>
  <c r="P43"/>
  <c r="P41"/>
  <c r="P39"/>
  <c r="P37"/>
  <c r="P35"/>
  <c r="P33"/>
  <c r="P31"/>
  <c r="P29"/>
  <c r="P27"/>
  <c r="P25"/>
  <c r="P23"/>
  <c r="P21"/>
  <c r="P19"/>
  <c r="P17"/>
  <c r="P15"/>
  <c r="P13"/>
  <c r="P11"/>
  <c r="P64"/>
  <c r="F199"/>
  <c r="F198"/>
  <c r="O9"/>
  <c r="P9"/>
  <c r="O10"/>
  <c r="V34"/>
  <c r="V36"/>
  <c r="V38"/>
  <c r="V42"/>
  <c r="V44"/>
  <c r="V46"/>
  <c r="V48"/>
  <c r="V50"/>
  <c r="V54"/>
  <c r="V58"/>
  <c r="V60"/>
  <c r="V64"/>
  <c r="V10"/>
  <c r="V12"/>
  <c r="V14"/>
  <c r="V16"/>
  <c r="V18"/>
  <c r="V20"/>
  <c r="V22"/>
  <c r="V24"/>
  <c r="V26"/>
  <c r="V28"/>
  <c r="V30"/>
  <c r="V32"/>
  <c r="V40"/>
  <c r="V52"/>
  <c r="V56"/>
  <c r="V62"/>
  <c r="V66"/>
  <c r="V70"/>
  <c r="V77"/>
  <c r="V79"/>
  <c r="V81"/>
  <c r="V83"/>
  <c r="V85"/>
  <c r="V11"/>
  <c r="V13"/>
  <c r="V15"/>
  <c r="V17"/>
  <c r="V19"/>
  <c r="V21"/>
  <c r="V23"/>
  <c r="V25"/>
  <c r="V27"/>
  <c r="V29"/>
  <c r="V31"/>
  <c r="V33"/>
  <c r="V35"/>
  <c r="V37"/>
  <c r="V39"/>
  <c r="V41"/>
  <c r="V43"/>
  <c r="V45"/>
  <c r="V47"/>
  <c r="V49"/>
  <c r="V51"/>
  <c r="V53"/>
  <c r="V55"/>
  <c r="V57"/>
  <c r="V59"/>
  <c r="V61"/>
  <c r="V63"/>
  <c r="V65"/>
  <c r="V67"/>
  <c r="P71"/>
  <c r="P72"/>
  <c r="P73"/>
  <c r="V74"/>
  <c r="V76"/>
  <c r="V78"/>
  <c r="V80"/>
  <c r="V82"/>
  <c r="V84"/>
  <c r="V86"/>
  <c r="P91"/>
  <c r="P93"/>
  <c r="P95"/>
  <c r="V98"/>
  <c r="V103"/>
  <c r="V105"/>
  <c r="V108"/>
  <c r="V110"/>
  <c r="V112"/>
  <c r="V116"/>
  <c r="V121"/>
  <c r="V129"/>
  <c r="H197"/>
  <c r="V97"/>
  <c r="V99"/>
  <c r="V104"/>
  <c r="V106"/>
  <c r="P109"/>
  <c r="V111"/>
  <c r="V113"/>
  <c r="V115"/>
  <c r="V117"/>
  <c r="V119"/>
  <c r="P122"/>
  <c r="P123"/>
  <c r="V124"/>
  <c r="V130"/>
  <c r="P132"/>
  <c r="V133"/>
  <c r="P137"/>
  <c r="P138"/>
  <c r="P139"/>
  <c r="V140"/>
  <c r="V144"/>
  <c r="P148"/>
  <c r="P149"/>
  <c r="V150"/>
  <c r="P155"/>
  <c r="O156"/>
  <c r="V114"/>
  <c r="V118"/>
  <c r="V131"/>
  <c r="V136"/>
  <c r="V143"/>
  <c r="V147"/>
  <c r="V152"/>
  <c r="P153"/>
  <c r="P154"/>
  <c r="V155"/>
  <c r="V157"/>
  <c r="V159"/>
  <c r="V161"/>
  <c r="O162"/>
  <c r="V163"/>
  <c r="V156"/>
  <c r="V158"/>
  <c r="V160"/>
  <c r="V162"/>
  <c r="V164"/>
  <c r="M164"/>
  <c r="N164" s="1"/>
  <c r="O164" s="1"/>
  <c r="P165"/>
  <c r="P167"/>
  <c r="P169"/>
  <c r="P171"/>
  <c r="P173"/>
  <c r="P175"/>
  <c r="P177"/>
  <c r="O179"/>
  <c r="O180"/>
  <c r="O181"/>
  <c r="P182"/>
  <c r="P184"/>
  <c r="P186"/>
  <c r="O188"/>
  <c r="P189"/>
  <c r="P191"/>
  <c r="P193"/>
  <c r="P195"/>
  <c r="F1799" i="15"/>
  <c r="I1798"/>
  <c r="I1796"/>
  <c r="F1795"/>
  <c r="F1792"/>
  <c r="I1789"/>
  <c r="F1788"/>
  <c r="I1788" s="1"/>
  <c r="I1787"/>
  <c r="I1786"/>
  <c r="F1785"/>
  <c r="I1785" s="1"/>
  <c r="I1784"/>
  <c r="F1782"/>
  <c r="I1780"/>
  <c r="F1779"/>
  <c r="I1779" s="1"/>
  <c r="I1778"/>
  <c r="I1777"/>
  <c r="F1776"/>
  <c r="I1775"/>
  <c r="I1774"/>
  <c r="F1773"/>
  <c r="I1773" s="1"/>
  <c r="I1772"/>
  <c r="F1769"/>
  <c r="I1767"/>
  <c r="F1766"/>
  <c r="I1766" s="1"/>
  <c r="I1765"/>
  <c r="F1763"/>
  <c r="F1760"/>
  <c r="F1757"/>
  <c r="F1754"/>
  <c r="F1751"/>
  <c r="F1747"/>
  <c r="I1740"/>
  <c r="I1736"/>
  <c r="I1731"/>
  <c r="I1734"/>
  <c r="I1693"/>
  <c r="I1421"/>
  <c r="I1420"/>
  <c r="I1419"/>
  <c r="I1418"/>
  <c r="I1410"/>
  <c r="I1401"/>
  <c r="I1397"/>
  <c r="I1396"/>
  <c r="I1395"/>
  <c r="I1394"/>
  <c r="I1374"/>
  <c r="I1372"/>
  <c r="I1371"/>
  <c r="I1338"/>
  <c r="I1337"/>
  <c r="I1276"/>
  <c r="I1269"/>
  <c r="I1272"/>
  <c r="F1275"/>
  <c r="I1275" s="1"/>
  <c r="F1274"/>
  <c r="I1274" s="1"/>
  <c r="I1273"/>
  <c r="F1270"/>
  <c r="I1257"/>
  <c r="I1256"/>
  <c r="I1255"/>
  <c r="I1254"/>
  <c r="I1246"/>
  <c r="F1237"/>
  <c r="I1237" s="1"/>
  <c r="I1239"/>
  <c r="I1238"/>
  <c r="F1234"/>
  <c r="I1234" s="1"/>
  <c r="I1236"/>
  <c r="I1235"/>
  <c r="F1231"/>
  <c r="I1229"/>
  <c r="I1228"/>
  <c r="F1227"/>
  <c r="I1227" s="1"/>
  <c r="I1226"/>
  <c r="I1225"/>
  <c r="F1224"/>
  <c r="I1224" s="1"/>
  <c r="F1220"/>
  <c r="F1217"/>
  <c r="I1213"/>
  <c r="F1212"/>
  <c r="I1176"/>
  <c r="I1049"/>
  <c r="I1048"/>
  <c r="I1047"/>
  <c r="I1046"/>
  <c r="I1038"/>
  <c r="I1039"/>
  <c r="I1000"/>
  <c r="I999"/>
  <c r="I1001"/>
  <c r="I997"/>
  <c r="J155" i="17" l="1"/>
  <c r="K155"/>
  <c r="H198" i="16"/>
  <c r="H199"/>
  <c r="V198"/>
  <c r="N197"/>
  <c r="P164"/>
  <c r="P197" s="1"/>
  <c r="O197"/>
  <c r="I1398" i="15"/>
  <c r="I1050"/>
  <c r="I1052" s="1"/>
  <c r="I1053" s="1"/>
  <c r="I786"/>
  <c r="I785"/>
  <c r="I784"/>
  <c r="I783"/>
  <c r="I782"/>
  <c r="I781"/>
  <c r="I780"/>
  <c r="I779"/>
  <c r="I778"/>
  <c r="I777"/>
  <c r="I776"/>
  <c r="I775"/>
  <c r="I763"/>
  <c r="I762"/>
  <c r="I761"/>
  <c r="I764"/>
  <c r="I759"/>
  <c r="I758"/>
  <c r="I757"/>
  <c r="I756"/>
  <c r="I743"/>
  <c r="I742"/>
  <c r="I741"/>
  <c r="I740"/>
  <c r="I739"/>
  <c r="I738"/>
  <c r="I737"/>
  <c r="I736"/>
  <c r="I734"/>
  <c r="I733"/>
  <c r="I732"/>
  <c r="I731"/>
  <c r="I730"/>
  <c r="I729"/>
  <c r="I728"/>
  <c r="I727"/>
  <c r="I726"/>
  <c r="I725"/>
  <c r="I724"/>
  <c r="I723"/>
  <c r="I722"/>
  <c r="I721"/>
  <c r="I719"/>
  <c r="I662"/>
  <c r="I704"/>
  <c r="F689"/>
  <c r="I689" s="1"/>
  <c r="F687"/>
  <c r="I687" s="1"/>
  <c r="F682"/>
  <c r="F674"/>
  <c r="I665"/>
  <c r="I664"/>
  <c r="I666"/>
  <c r="I663"/>
  <c r="I667"/>
  <c r="I661"/>
  <c r="I660"/>
  <c r="I655"/>
  <c r="I651"/>
  <c r="I628"/>
  <c r="I625"/>
  <c r="I632"/>
  <c r="I631"/>
  <c r="I630"/>
  <c r="I647"/>
  <c r="I646"/>
  <c r="I645"/>
  <c r="I644"/>
  <c r="I643"/>
  <c r="I642"/>
  <c r="I641"/>
  <c r="I640"/>
  <c r="I639"/>
  <c r="I638"/>
  <c r="I637"/>
  <c r="I636"/>
  <c r="I635"/>
  <c r="I634"/>
  <c r="I633"/>
  <c r="I629"/>
  <c r="I627"/>
  <c r="I626"/>
  <c r="I624"/>
  <c r="I623"/>
  <c r="I608"/>
  <c r="I605"/>
  <c r="I606"/>
  <c r="I619"/>
  <c r="I618"/>
  <c r="I617"/>
  <c r="I616"/>
  <c r="I615"/>
  <c r="I614"/>
  <c r="I613"/>
  <c r="I603"/>
  <c r="I598"/>
  <c r="I527"/>
  <c r="I528"/>
  <c r="I525"/>
  <c r="I526"/>
  <c r="I594"/>
  <c r="I595"/>
  <c r="I593"/>
  <c r="I592"/>
  <c r="I591"/>
  <c r="I586"/>
  <c r="I584"/>
  <c r="I583"/>
  <c r="I582"/>
  <c r="I581"/>
  <c r="I580"/>
  <c r="I579"/>
  <c r="I578"/>
  <c r="I585"/>
  <c r="I576"/>
  <c r="I575"/>
  <c r="I574"/>
  <c r="I573"/>
  <c r="I572"/>
  <c r="I571"/>
  <c r="I570"/>
  <c r="F563"/>
  <c r="I563" s="1"/>
  <c r="I560"/>
  <c r="I558"/>
  <c r="I556"/>
  <c r="F555"/>
  <c r="I555" s="1"/>
  <c r="I554"/>
  <c r="I552"/>
  <c r="I562"/>
  <c r="F561"/>
  <c r="I561" s="1"/>
  <c r="F557"/>
  <c r="I557" s="1"/>
  <c r="F553"/>
  <c r="I553" s="1"/>
  <c r="F559"/>
  <c r="I559" s="1"/>
  <c r="I550"/>
  <c r="K122" i="17" l="1"/>
  <c r="J122"/>
  <c r="Q155"/>
  <c r="R155" s="1"/>
  <c r="L155"/>
  <c r="P198" i="16"/>
  <c r="P199" s="1"/>
  <c r="N198"/>
  <c r="N199" s="1"/>
  <c r="O198"/>
  <c r="O199" s="1"/>
  <c r="F541" i="15"/>
  <c r="I541" s="1"/>
  <c r="I542"/>
  <c r="F523"/>
  <c r="I521"/>
  <c r="I516"/>
  <c r="I522"/>
  <c r="I520"/>
  <c r="F517"/>
  <c r="I519"/>
  <c r="I518"/>
  <c r="F515"/>
  <c r="I517"/>
  <c r="I515"/>
  <c r="F511"/>
  <c r="I511" s="1"/>
  <c r="F510"/>
  <c r="I510" s="1"/>
  <c r="I514"/>
  <c r="F512"/>
  <c r="I512" s="1"/>
  <c r="I513"/>
  <c r="I507"/>
  <c r="I506"/>
  <c r="I505"/>
  <c r="I504"/>
  <c r="I503"/>
  <c r="I502"/>
  <c r="I499"/>
  <c r="I501"/>
  <c r="I500"/>
  <c r="I498"/>
  <c r="I497"/>
  <c r="I496"/>
  <c r="I495"/>
  <c r="I494"/>
  <c r="I489"/>
  <c r="I492"/>
  <c r="I491"/>
  <c r="I490"/>
  <c r="I493"/>
  <c r="I488"/>
  <c r="I487"/>
  <c r="I486"/>
  <c r="I485"/>
  <c r="I484"/>
  <c r="I483"/>
  <c r="I482"/>
  <c r="H476"/>
  <c r="F476"/>
  <c r="I478"/>
  <c r="I477"/>
  <c r="I475"/>
  <c r="I474"/>
  <c r="F473"/>
  <c r="I473" s="1"/>
  <c r="F472"/>
  <c r="I472" s="1"/>
  <c r="I471"/>
  <c r="I470"/>
  <c r="F469"/>
  <c r="I469" s="1"/>
  <c r="F468"/>
  <c r="I468" s="1"/>
  <c r="I467"/>
  <c r="I466"/>
  <c r="I459"/>
  <c r="F443"/>
  <c r="I443" s="1"/>
  <c r="F442"/>
  <c r="I442" s="1"/>
  <c r="F441"/>
  <c r="F440"/>
  <c r="I440" s="1"/>
  <c r="F439"/>
  <c r="I439" s="1"/>
  <c r="F438"/>
  <c r="I438" s="1"/>
  <c r="F437"/>
  <c r="I437" s="1"/>
  <c r="I465"/>
  <c r="I464"/>
  <c r="I463"/>
  <c r="I462"/>
  <c r="I461"/>
  <c r="I460"/>
  <c r="I458"/>
  <c r="I457"/>
  <c r="I456"/>
  <c r="I455"/>
  <c r="I454"/>
  <c r="I453"/>
  <c r="I452"/>
  <c r="I451"/>
  <c r="F450"/>
  <c r="I450" s="1"/>
  <c r="I449"/>
  <c r="F448"/>
  <c r="I448" s="1"/>
  <c r="I447"/>
  <c r="F446"/>
  <c r="I446" s="1"/>
  <c r="I445"/>
  <c r="I444"/>
  <c r="I441"/>
  <c r="I436"/>
  <c r="F396"/>
  <c r="F395"/>
  <c r="I543" l="1"/>
  <c r="M155" i="17"/>
  <c r="S155" s="1"/>
  <c r="N155"/>
  <c r="T155" s="1"/>
  <c r="Q122"/>
  <c r="R122" s="1"/>
  <c r="L122"/>
  <c r="E210" i="16"/>
  <c r="P203"/>
  <c r="S202"/>
  <c r="E214"/>
  <c r="E209"/>
  <c r="E212" s="1"/>
  <c r="E213" s="1"/>
  <c r="E215"/>
  <c r="N201"/>
  <c r="E211"/>
  <c r="P204"/>
  <c r="K473" i="15"/>
  <c r="I476"/>
  <c r="K485" s="1"/>
  <c r="F399"/>
  <c r="I399" s="1"/>
  <c r="F394"/>
  <c r="I394" s="1"/>
  <c r="I434"/>
  <c r="I433"/>
  <c r="I432"/>
  <c r="I431"/>
  <c r="I430"/>
  <c r="I429"/>
  <c r="I428"/>
  <c r="I427"/>
  <c r="I426"/>
  <c r="I425"/>
  <c r="I424"/>
  <c r="I423"/>
  <c r="I422"/>
  <c r="I421"/>
  <c r="I420"/>
  <c r="I419"/>
  <c r="I418"/>
  <c r="I417"/>
  <c r="I416"/>
  <c r="I415"/>
  <c r="I414"/>
  <c r="I413"/>
  <c r="I412"/>
  <c r="I411"/>
  <c r="I410"/>
  <c r="I409"/>
  <c r="I408"/>
  <c r="F407"/>
  <c r="I407" s="1"/>
  <c r="I406"/>
  <c r="F405"/>
  <c r="I405" s="1"/>
  <c r="I404"/>
  <c r="F403"/>
  <c r="I403" s="1"/>
  <c r="F402"/>
  <c r="I402" s="1"/>
  <c r="I401"/>
  <c r="I400"/>
  <c r="I398"/>
  <c r="F397"/>
  <c r="I397" s="1"/>
  <c r="I396"/>
  <c r="I395"/>
  <c r="F393"/>
  <c r="I393" s="1"/>
  <c r="F392"/>
  <c r="I392" s="1"/>
  <c r="F391"/>
  <c r="I391" s="1"/>
  <c r="F390"/>
  <c r="I390" s="1"/>
  <c r="I370"/>
  <c r="I369"/>
  <c r="I377"/>
  <c r="I373"/>
  <c r="I375"/>
  <c r="I372"/>
  <c r="I371"/>
  <c r="I379"/>
  <c r="I378"/>
  <c r="I388"/>
  <c r="I387"/>
  <c r="I386"/>
  <c r="I363"/>
  <c r="F361"/>
  <c r="I361" s="1"/>
  <c r="I360"/>
  <c r="I349"/>
  <c r="I374"/>
  <c r="I380"/>
  <c r="I376"/>
  <c r="F355"/>
  <c r="I355" s="1"/>
  <c r="F354"/>
  <c r="I354" s="1"/>
  <c r="I356"/>
  <c r="F348"/>
  <c r="I348" s="1"/>
  <c r="F347"/>
  <c r="I347" s="1"/>
  <c r="F351"/>
  <c r="F350"/>
  <c r="F346"/>
  <c r="F345"/>
  <c r="F344"/>
  <c r="F343"/>
  <c r="F342"/>
  <c r="F341"/>
  <c r="F340"/>
  <c r="F339"/>
  <c r="I178"/>
  <c r="I337"/>
  <c r="I336"/>
  <c r="I335"/>
  <c r="I334"/>
  <c r="F333"/>
  <c r="I333" s="1"/>
  <c r="I332"/>
  <c r="I331"/>
  <c r="I330"/>
  <c r="F329"/>
  <c r="I329" s="1"/>
  <c r="F328"/>
  <c r="I328" s="1"/>
  <c r="I324"/>
  <c r="F320"/>
  <c r="I320" s="1"/>
  <c r="F317"/>
  <c r="I316"/>
  <c r="I317"/>
  <c r="I315"/>
  <c r="F314"/>
  <c r="F313"/>
  <c r="I311"/>
  <c r="F310"/>
  <c r="I310" s="1"/>
  <c r="F309"/>
  <c r="I301"/>
  <c r="I302"/>
  <c r="I291"/>
  <c r="I289"/>
  <c r="I266"/>
  <c r="I265"/>
  <c r="I264"/>
  <c r="I258"/>
  <c r="I257"/>
  <c r="I256"/>
  <c r="I255"/>
  <c r="I253"/>
  <c r="I252"/>
  <c r="I251"/>
  <c r="I244"/>
  <c r="I243"/>
  <c r="I242"/>
  <c r="I241"/>
  <c r="I240"/>
  <c r="I239"/>
  <c r="I238"/>
  <c r="I237"/>
  <c r="I236"/>
  <c r="I234"/>
  <c r="I233"/>
  <c r="I232"/>
  <c r="I231"/>
  <c r="I230"/>
  <c r="I217"/>
  <c r="I223"/>
  <c r="I222"/>
  <c r="I220"/>
  <c r="I221"/>
  <c r="I218"/>
  <c r="I215"/>
  <c r="I213"/>
  <c r="I209"/>
  <c r="I176"/>
  <c r="I177"/>
  <c r="I160"/>
  <c r="I171"/>
  <c r="I170"/>
  <c r="I141"/>
  <c r="I140"/>
  <c r="I106"/>
  <c r="I105"/>
  <c r="I180"/>
  <c r="I179"/>
  <c r="I175"/>
  <c r="I174"/>
  <c r="I173"/>
  <c r="I172"/>
  <c r="I169"/>
  <c r="I168"/>
  <c r="I167"/>
  <c r="I166"/>
  <c r="I165"/>
  <c r="I164"/>
  <c r="I163"/>
  <c r="I162"/>
  <c r="I161"/>
  <c r="I159"/>
  <c r="I158"/>
  <c r="I151"/>
  <c r="I150"/>
  <c r="I149"/>
  <c r="I147"/>
  <c r="I126"/>
  <c r="I148"/>
  <c r="I146"/>
  <c r="I145"/>
  <c r="I144"/>
  <c r="I143"/>
  <c r="I142"/>
  <c r="I139"/>
  <c r="I138"/>
  <c r="I137"/>
  <c r="I136"/>
  <c r="I135"/>
  <c r="I134"/>
  <c r="I133"/>
  <c r="I132"/>
  <c r="I131"/>
  <c r="I130"/>
  <c r="I129"/>
  <c r="I128"/>
  <c r="I127"/>
  <c r="I125"/>
  <c r="I124"/>
  <c r="I123"/>
  <c r="I122"/>
  <c r="I121"/>
  <c r="I112"/>
  <c r="M122" i="17" l="1"/>
  <c r="S122" s="1"/>
  <c r="N122"/>
  <c r="T122" s="1"/>
  <c r="P205" i="16"/>
  <c r="K441" i="15"/>
  <c r="I267"/>
  <c r="I259"/>
  <c r="I245"/>
  <c r="I247" s="1"/>
  <c r="I248" s="1"/>
  <c r="I260"/>
  <c r="I181"/>
  <c r="I110"/>
  <c r="I113"/>
  <c r="I102"/>
  <c r="I101"/>
  <c r="I100"/>
  <c r="I96"/>
  <c r="I99"/>
  <c r="I98"/>
  <c r="I97"/>
  <c r="I95"/>
  <c r="I94"/>
  <c r="I93"/>
  <c r="I91"/>
  <c r="I90"/>
  <c r="I89"/>
  <c r="I92"/>
  <c r="I88"/>
  <c r="I87"/>
  <c r="I63"/>
  <c r="I62"/>
  <c r="I61"/>
  <c r="I60"/>
  <c r="I59"/>
  <c r="I58"/>
  <c r="I57"/>
  <c r="I56"/>
  <c r="I55"/>
  <c r="I54"/>
  <c r="I53"/>
  <c r="I52"/>
  <c r="I51"/>
  <c r="I50"/>
  <c r="I49"/>
  <c r="I48"/>
  <c r="I47"/>
  <c r="I46"/>
  <c r="I45"/>
  <c r="I44"/>
  <c r="I43"/>
  <c r="I42"/>
  <c r="I41"/>
  <c r="I40"/>
  <c r="I78" l="1"/>
  <c r="I80" s="1"/>
  <c r="I81" s="1"/>
  <c r="I183"/>
  <c r="I184" s="1"/>
  <c r="J22" i="17" s="1"/>
  <c r="K27"/>
  <c r="J27"/>
  <c r="K26"/>
  <c r="J26"/>
  <c r="K22" l="1"/>
  <c r="O22" s="1"/>
  <c r="P22" s="1"/>
  <c r="Q26"/>
  <c r="R26" s="1"/>
  <c r="L26"/>
  <c r="Q27"/>
  <c r="R27" s="1"/>
  <c r="L27"/>
  <c r="K19"/>
  <c r="J19"/>
  <c r="I1143" i="15"/>
  <c r="I1130"/>
  <c r="F1129"/>
  <c r="I1129" s="1"/>
  <c r="I1128"/>
  <c r="I1127"/>
  <c r="O196" i="1"/>
  <c r="O195"/>
  <c r="O194"/>
  <c r="O193"/>
  <c r="O192"/>
  <c r="O191"/>
  <c r="O190"/>
  <c r="O189"/>
  <c r="O188"/>
  <c r="O187"/>
  <c r="O186"/>
  <c r="O185"/>
  <c r="O184"/>
  <c r="O183"/>
  <c r="O182"/>
  <c r="O181"/>
  <c r="O180"/>
  <c r="O179"/>
  <c r="O178"/>
  <c r="O177"/>
  <c r="O176"/>
  <c r="O175"/>
  <c r="O174"/>
  <c r="O173"/>
  <c r="O172"/>
  <c r="O171"/>
  <c r="O170"/>
  <c r="O169"/>
  <c r="O168"/>
  <c r="O167"/>
  <c r="O166"/>
  <c r="O165"/>
  <c r="O164"/>
  <c r="O163"/>
  <c r="O162"/>
  <c r="O161"/>
  <c r="O160"/>
  <c r="O159"/>
  <c r="O158"/>
  <c r="O157"/>
  <c r="O156"/>
  <c r="O155"/>
  <c r="O154"/>
  <c r="O153"/>
  <c r="O152"/>
  <c r="O151"/>
  <c r="O150"/>
  <c r="O149"/>
  <c r="O148"/>
  <c r="O147"/>
  <c r="O146"/>
  <c r="O145"/>
  <c r="O144"/>
  <c r="O143"/>
  <c r="O142"/>
  <c r="O141"/>
  <c r="O140"/>
  <c r="O139"/>
  <c r="O138"/>
  <c r="O137"/>
  <c r="O136"/>
  <c r="O135"/>
  <c r="O134"/>
  <c r="O133"/>
  <c r="O132"/>
  <c r="O131"/>
  <c r="O130"/>
  <c r="O129"/>
  <c r="O128"/>
  <c r="O127"/>
  <c r="O126"/>
  <c r="O125"/>
  <c r="O124"/>
  <c r="O123"/>
  <c r="O122"/>
  <c r="O121"/>
  <c r="O120"/>
  <c r="O119"/>
  <c r="O118"/>
  <c r="O117"/>
  <c r="O116"/>
  <c r="O115"/>
  <c r="O114"/>
  <c r="O113"/>
  <c r="O112"/>
  <c r="O111"/>
  <c r="O110"/>
  <c r="O109"/>
  <c r="O108"/>
  <c r="O107"/>
  <c r="O106"/>
  <c r="O105"/>
  <c r="O104"/>
  <c r="O103"/>
  <c r="O102"/>
  <c r="O101"/>
  <c r="O100"/>
  <c r="O99"/>
  <c r="O98"/>
  <c r="O97"/>
  <c r="O96"/>
  <c r="O95"/>
  <c r="O94"/>
  <c r="O93"/>
  <c r="O92"/>
  <c r="O91"/>
  <c r="O90"/>
  <c r="O89"/>
  <c r="O88"/>
  <c r="O87"/>
  <c r="O86"/>
  <c r="O85"/>
  <c r="O84"/>
  <c r="O83"/>
  <c r="O82"/>
  <c r="O81"/>
  <c r="O80"/>
  <c r="O79"/>
  <c r="O78"/>
  <c r="O77"/>
  <c r="O76"/>
  <c r="O75"/>
  <c r="O74"/>
  <c r="O73"/>
  <c r="O72"/>
  <c r="O71"/>
  <c r="O70"/>
  <c r="O69"/>
  <c r="O68"/>
  <c r="O67"/>
  <c r="O66"/>
  <c r="O65"/>
  <c r="O64"/>
  <c r="O63"/>
  <c r="O62"/>
  <c r="O61"/>
  <c r="O60"/>
  <c r="O59"/>
  <c r="O58"/>
  <c r="O57"/>
  <c r="O56"/>
  <c r="O55"/>
  <c r="O54"/>
  <c r="O53"/>
  <c r="O52"/>
  <c r="O51"/>
  <c r="O50"/>
  <c r="O49"/>
  <c r="O48"/>
  <c r="O47"/>
  <c r="O46"/>
  <c r="O45"/>
  <c r="O44"/>
  <c r="O43"/>
  <c r="O42"/>
  <c r="O41"/>
  <c r="O40"/>
  <c r="O39"/>
  <c r="O38"/>
  <c r="O37"/>
  <c r="O36"/>
  <c r="O35"/>
  <c r="O34"/>
  <c r="O33"/>
  <c r="O32"/>
  <c r="O31"/>
  <c r="O30"/>
  <c r="O29"/>
  <c r="O28"/>
  <c r="O27"/>
  <c r="O26"/>
  <c r="O25"/>
  <c r="O24"/>
  <c r="O23"/>
  <c r="O22"/>
  <c r="O21"/>
  <c r="O20"/>
  <c r="O19"/>
  <c r="O18"/>
  <c r="O17"/>
  <c r="O16"/>
  <c r="O15"/>
  <c r="O14"/>
  <c r="O13"/>
  <c r="O12"/>
  <c r="O11"/>
  <c r="O9"/>
  <c r="I123"/>
  <c r="K123"/>
  <c r="L123"/>
  <c r="I10"/>
  <c r="I11"/>
  <c r="K11"/>
  <c r="L11"/>
  <c r="I12"/>
  <c r="K12"/>
  <c r="L12"/>
  <c r="I13"/>
  <c r="K13"/>
  <c r="L13"/>
  <c r="I14"/>
  <c r="K14"/>
  <c r="L14"/>
  <c r="I15"/>
  <c r="K15"/>
  <c r="L15"/>
  <c r="I16"/>
  <c r="K16"/>
  <c r="L16"/>
  <c r="I17"/>
  <c r="K17"/>
  <c r="L17"/>
  <c r="I18"/>
  <c r="K18"/>
  <c r="L18"/>
  <c r="I19"/>
  <c r="K19"/>
  <c r="L19"/>
  <c r="I20"/>
  <c r="K20"/>
  <c r="L20"/>
  <c r="I21"/>
  <c r="K21"/>
  <c r="L21"/>
  <c r="I22"/>
  <c r="K22"/>
  <c r="L22"/>
  <c r="I23"/>
  <c r="K23"/>
  <c r="L23"/>
  <c r="I24"/>
  <c r="K24"/>
  <c r="L24"/>
  <c r="I25"/>
  <c r="K25"/>
  <c r="L25"/>
  <c r="I26"/>
  <c r="K26"/>
  <c r="L26"/>
  <c r="I27"/>
  <c r="K27"/>
  <c r="L27"/>
  <c r="I28"/>
  <c r="K28"/>
  <c r="L28"/>
  <c r="I29"/>
  <c r="K29"/>
  <c r="L29"/>
  <c r="I30"/>
  <c r="K30"/>
  <c r="L30"/>
  <c r="I31"/>
  <c r="K31"/>
  <c r="L31"/>
  <c r="I32"/>
  <c r="K32"/>
  <c r="L32"/>
  <c r="I33"/>
  <c r="K33"/>
  <c r="L33"/>
  <c r="I34"/>
  <c r="K34"/>
  <c r="L34"/>
  <c r="I35"/>
  <c r="K35"/>
  <c r="L35"/>
  <c r="I36"/>
  <c r="K36"/>
  <c r="L36"/>
  <c r="I37"/>
  <c r="K37"/>
  <c r="L37"/>
  <c r="I38"/>
  <c r="K38"/>
  <c r="L38"/>
  <c r="I39"/>
  <c r="K39"/>
  <c r="L39"/>
  <c r="I40"/>
  <c r="K40"/>
  <c r="L40"/>
  <c r="I41"/>
  <c r="K41"/>
  <c r="L41"/>
  <c r="I42"/>
  <c r="K42"/>
  <c r="L42"/>
  <c r="I43"/>
  <c r="K43"/>
  <c r="L43"/>
  <c r="I44"/>
  <c r="K44"/>
  <c r="L44"/>
  <c r="I45"/>
  <c r="K45"/>
  <c r="L45"/>
  <c r="I46"/>
  <c r="K46"/>
  <c r="L46"/>
  <c r="I47"/>
  <c r="K47"/>
  <c r="L47"/>
  <c r="I48"/>
  <c r="K48"/>
  <c r="L48"/>
  <c r="I49"/>
  <c r="K49"/>
  <c r="L49"/>
  <c r="I50"/>
  <c r="K50"/>
  <c r="L50"/>
  <c r="I51"/>
  <c r="K51"/>
  <c r="L51"/>
  <c r="I52"/>
  <c r="K52"/>
  <c r="L52"/>
  <c r="I53"/>
  <c r="K53"/>
  <c r="L53"/>
  <c r="I54"/>
  <c r="K54"/>
  <c r="L54"/>
  <c r="I55"/>
  <c r="K55"/>
  <c r="L55"/>
  <c r="I56"/>
  <c r="K56"/>
  <c r="L56"/>
  <c r="I57"/>
  <c r="K57"/>
  <c r="L57"/>
  <c r="I58"/>
  <c r="K58"/>
  <c r="L58"/>
  <c r="I59"/>
  <c r="K59"/>
  <c r="L59"/>
  <c r="I60"/>
  <c r="K60"/>
  <c r="L60"/>
  <c r="I61"/>
  <c r="K61"/>
  <c r="L61"/>
  <c r="I62"/>
  <c r="K62"/>
  <c r="L62"/>
  <c r="I63"/>
  <c r="K63"/>
  <c r="L63"/>
  <c r="I64"/>
  <c r="K64"/>
  <c r="L64"/>
  <c r="I65"/>
  <c r="K65"/>
  <c r="L65"/>
  <c r="I66"/>
  <c r="K66"/>
  <c r="L66"/>
  <c r="I67"/>
  <c r="K67"/>
  <c r="L67"/>
  <c r="I68"/>
  <c r="K68"/>
  <c r="L68"/>
  <c r="I69"/>
  <c r="K69"/>
  <c r="L69"/>
  <c r="I70"/>
  <c r="K70"/>
  <c r="L70"/>
  <c r="I71"/>
  <c r="K71"/>
  <c r="L71"/>
  <c r="I72"/>
  <c r="K72"/>
  <c r="L72"/>
  <c r="I73"/>
  <c r="K73"/>
  <c r="L73"/>
  <c r="I74"/>
  <c r="K74"/>
  <c r="L74"/>
  <c r="I75"/>
  <c r="K75"/>
  <c r="L75"/>
  <c r="I76"/>
  <c r="K76"/>
  <c r="L76"/>
  <c r="I77"/>
  <c r="K77"/>
  <c r="L77"/>
  <c r="I78"/>
  <c r="K78"/>
  <c r="L78"/>
  <c r="I79"/>
  <c r="K79"/>
  <c r="L79"/>
  <c r="I80"/>
  <c r="K80"/>
  <c r="L80"/>
  <c r="I81"/>
  <c r="K81"/>
  <c r="L81"/>
  <c r="I82"/>
  <c r="K82"/>
  <c r="L82"/>
  <c r="I83"/>
  <c r="K83"/>
  <c r="L83"/>
  <c r="I84"/>
  <c r="K84"/>
  <c r="L84"/>
  <c r="I85"/>
  <c r="K85"/>
  <c r="L85"/>
  <c r="I86"/>
  <c r="K86"/>
  <c r="L86"/>
  <c r="I87"/>
  <c r="K87"/>
  <c r="L87"/>
  <c r="I88"/>
  <c r="K88"/>
  <c r="L88"/>
  <c r="I89"/>
  <c r="K89"/>
  <c r="L89"/>
  <c r="I90"/>
  <c r="K90"/>
  <c r="L90"/>
  <c r="I91"/>
  <c r="K91"/>
  <c r="L91"/>
  <c r="I92"/>
  <c r="K92"/>
  <c r="L92"/>
  <c r="I93"/>
  <c r="K93"/>
  <c r="L93"/>
  <c r="I94"/>
  <c r="K94"/>
  <c r="L94"/>
  <c r="I95"/>
  <c r="K95"/>
  <c r="L95"/>
  <c r="I96"/>
  <c r="K96"/>
  <c r="L96"/>
  <c r="I97"/>
  <c r="K97"/>
  <c r="L97"/>
  <c r="I98"/>
  <c r="K98"/>
  <c r="L98"/>
  <c r="I99"/>
  <c r="K99"/>
  <c r="L99"/>
  <c r="I100"/>
  <c r="K100"/>
  <c r="L100"/>
  <c r="I101"/>
  <c r="K101"/>
  <c r="L101"/>
  <c r="I102"/>
  <c r="K102"/>
  <c r="L102"/>
  <c r="I103"/>
  <c r="K103"/>
  <c r="L103"/>
  <c r="I104"/>
  <c r="K104"/>
  <c r="L104"/>
  <c r="I105"/>
  <c r="K105"/>
  <c r="L105"/>
  <c r="I106"/>
  <c r="K106"/>
  <c r="L106"/>
  <c r="I107"/>
  <c r="K107"/>
  <c r="L107"/>
  <c r="I108"/>
  <c r="K108"/>
  <c r="L108"/>
  <c r="I109"/>
  <c r="K109"/>
  <c r="L109"/>
  <c r="I110"/>
  <c r="K110"/>
  <c r="L110"/>
  <c r="I111"/>
  <c r="K111"/>
  <c r="L111"/>
  <c r="I112"/>
  <c r="K112"/>
  <c r="L112"/>
  <c r="I113"/>
  <c r="K113"/>
  <c r="L113"/>
  <c r="I114"/>
  <c r="K114"/>
  <c r="L114"/>
  <c r="I115"/>
  <c r="K115"/>
  <c r="L115"/>
  <c r="I116"/>
  <c r="K116"/>
  <c r="L116"/>
  <c r="I117"/>
  <c r="K117"/>
  <c r="L117"/>
  <c r="I118"/>
  <c r="K118"/>
  <c r="L118"/>
  <c r="I119"/>
  <c r="K119"/>
  <c r="L119"/>
  <c r="I120"/>
  <c r="K120"/>
  <c r="L120"/>
  <c r="I121"/>
  <c r="K121"/>
  <c r="L121"/>
  <c r="I122"/>
  <c r="K122"/>
  <c r="L122"/>
  <c r="I124"/>
  <c r="K124"/>
  <c r="L124"/>
  <c r="I125"/>
  <c r="K125"/>
  <c r="L125"/>
  <c r="I126"/>
  <c r="K126"/>
  <c r="L126"/>
  <c r="I127"/>
  <c r="K127"/>
  <c r="L127"/>
  <c r="I128"/>
  <c r="K128"/>
  <c r="L128"/>
  <c r="I129"/>
  <c r="K129"/>
  <c r="L129"/>
  <c r="I130"/>
  <c r="K130"/>
  <c r="L130"/>
  <c r="I131"/>
  <c r="K131"/>
  <c r="L131"/>
  <c r="I132"/>
  <c r="K132"/>
  <c r="L132"/>
  <c r="I133"/>
  <c r="K133"/>
  <c r="L133"/>
  <c r="I134"/>
  <c r="K134"/>
  <c r="L134"/>
  <c r="I135"/>
  <c r="K135"/>
  <c r="L135"/>
  <c r="I136"/>
  <c r="K136"/>
  <c r="L136"/>
  <c r="I137"/>
  <c r="K137"/>
  <c r="L137"/>
  <c r="I138"/>
  <c r="K138"/>
  <c r="L138"/>
  <c r="I139"/>
  <c r="K139"/>
  <c r="L139"/>
  <c r="I140"/>
  <c r="K140"/>
  <c r="L140"/>
  <c r="I141"/>
  <c r="K141"/>
  <c r="L141"/>
  <c r="I142"/>
  <c r="K142"/>
  <c r="L142"/>
  <c r="I143"/>
  <c r="K143"/>
  <c r="L143"/>
  <c r="I144"/>
  <c r="K144"/>
  <c r="L144"/>
  <c r="I145"/>
  <c r="K145"/>
  <c r="L145"/>
  <c r="I146"/>
  <c r="K146"/>
  <c r="L146"/>
  <c r="I147"/>
  <c r="K147"/>
  <c r="L147"/>
  <c r="I148"/>
  <c r="K148"/>
  <c r="L148"/>
  <c r="I149"/>
  <c r="K149"/>
  <c r="L149"/>
  <c r="I150"/>
  <c r="K150"/>
  <c r="L150"/>
  <c r="I151"/>
  <c r="K151"/>
  <c r="L151"/>
  <c r="I152"/>
  <c r="K152"/>
  <c r="L152"/>
  <c r="I153"/>
  <c r="K153"/>
  <c r="L153"/>
  <c r="I154"/>
  <c r="K154"/>
  <c r="L154"/>
  <c r="I155"/>
  <c r="K155"/>
  <c r="L155"/>
  <c r="I156"/>
  <c r="K156"/>
  <c r="L156"/>
  <c r="I157"/>
  <c r="K157"/>
  <c r="L157"/>
  <c r="I158"/>
  <c r="K158"/>
  <c r="L158"/>
  <c r="I159"/>
  <c r="K159"/>
  <c r="L159"/>
  <c r="I160"/>
  <c r="K160"/>
  <c r="L160"/>
  <c r="I161"/>
  <c r="K161"/>
  <c r="L161"/>
  <c r="I162"/>
  <c r="K162"/>
  <c r="L162"/>
  <c r="I163"/>
  <c r="K163"/>
  <c r="L163"/>
  <c r="I164"/>
  <c r="K164"/>
  <c r="L164"/>
  <c r="I165"/>
  <c r="K165"/>
  <c r="L165"/>
  <c r="I166"/>
  <c r="K166"/>
  <c r="L166"/>
  <c r="I167"/>
  <c r="K167"/>
  <c r="L167"/>
  <c r="I168"/>
  <c r="K168"/>
  <c r="L168"/>
  <c r="I169"/>
  <c r="K169"/>
  <c r="L169"/>
  <c r="I170"/>
  <c r="K170"/>
  <c r="L170"/>
  <c r="I171"/>
  <c r="K171"/>
  <c r="L171"/>
  <c r="I172"/>
  <c r="K172"/>
  <c r="L172"/>
  <c r="I173"/>
  <c r="K173"/>
  <c r="L173"/>
  <c r="I174"/>
  <c r="K174"/>
  <c r="L174"/>
  <c r="I175"/>
  <c r="K175"/>
  <c r="L175"/>
  <c r="I176"/>
  <c r="K176"/>
  <c r="L176"/>
  <c r="I177"/>
  <c r="K177"/>
  <c r="L177"/>
  <c r="I178"/>
  <c r="K178"/>
  <c r="L178"/>
  <c r="I179"/>
  <c r="K179"/>
  <c r="L179"/>
  <c r="I180"/>
  <c r="K180"/>
  <c r="L180"/>
  <c r="I181"/>
  <c r="K181"/>
  <c r="L181"/>
  <c r="I182"/>
  <c r="K182"/>
  <c r="L182"/>
  <c r="I183"/>
  <c r="K183"/>
  <c r="L183"/>
  <c r="I184"/>
  <c r="K184"/>
  <c r="L184"/>
  <c r="I185"/>
  <c r="K185"/>
  <c r="L185"/>
  <c r="I186"/>
  <c r="K186"/>
  <c r="L186"/>
  <c r="I187"/>
  <c r="K187"/>
  <c r="L187"/>
  <c r="I188"/>
  <c r="K188"/>
  <c r="L188"/>
  <c r="I189"/>
  <c r="K189"/>
  <c r="L189"/>
  <c r="I190"/>
  <c r="K190"/>
  <c r="L190"/>
  <c r="I191"/>
  <c r="K191"/>
  <c r="L191"/>
  <c r="I192"/>
  <c r="K192"/>
  <c r="L192"/>
  <c r="I193"/>
  <c r="K193"/>
  <c r="L193"/>
  <c r="I194"/>
  <c r="K194"/>
  <c r="L194"/>
  <c r="I195"/>
  <c r="K195"/>
  <c r="L195"/>
  <c r="I196"/>
  <c r="K196"/>
  <c r="L196"/>
  <c r="I9"/>
  <c r="K9"/>
  <c r="L9"/>
  <c r="O10"/>
  <c r="H196"/>
  <c r="H195"/>
  <c r="H194"/>
  <c r="H193"/>
  <c r="H192"/>
  <c r="H191"/>
  <c r="H190"/>
  <c r="H189"/>
  <c r="H188"/>
  <c r="H187"/>
  <c r="H186"/>
  <c r="H185"/>
  <c r="H184"/>
  <c r="H183"/>
  <c r="H182"/>
  <c r="H181"/>
  <c r="H180"/>
  <c r="H179"/>
  <c r="H178"/>
  <c r="H177"/>
  <c r="H176"/>
  <c r="H175"/>
  <c r="H174"/>
  <c r="H173"/>
  <c r="H172"/>
  <c r="H171"/>
  <c r="H170"/>
  <c r="H169"/>
  <c r="H168"/>
  <c r="H167"/>
  <c r="H166"/>
  <c r="H165"/>
  <c r="H164"/>
  <c r="H163"/>
  <c r="H162"/>
  <c r="H161"/>
  <c r="H160"/>
  <c r="H159"/>
  <c r="H158"/>
  <c r="H157"/>
  <c r="H156"/>
  <c r="H155"/>
  <c r="H154"/>
  <c r="H153"/>
  <c r="H152"/>
  <c r="H151"/>
  <c r="H150"/>
  <c r="H149"/>
  <c r="H148"/>
  <c r="H147"/>
  <c r="H146"/>
  <c r="H145"/>
  <c r="H144"/>
  <c r="H143"/>
  <c r="H142"/>
  <c r="H141"/>
  <c r="H140"/>
  <c r="H139"/>
  <c r="H138"/>
  <c r="H137"/>
  <c r="H136"/>
  <c r="H135"/>
  <c r="H134"/>
  <c r="H133"/>
  <c r="H132"/>
  <c r="H131"/>
  <c r="H130"/>
  <c r="H129"/>
  <c r="H128"/>
  <c r="H127"/>
  <c r="H126"/>
  <c r="H125"/>
  <c r="H124"/>
  <c r="H123"/>
  <c r="H122"/>
  <c r="H121"/>
  <c r="H120"/>
  <c r="H119"/>
  <c r="H118"/>
  <c r="H117"/>
  <c r="H116"/>
  <c r="H115"/>
  <c r="H114"/>
  <c r="H113"/>
  <c r="H112"/>
  <c r="H111"/>
  <c r="H110"/>
  <c r="H109"/>
  <c r="H108"/>
  <c r="H107"/>
  <c r="H106"/>
  <c r="H105"/>
  <c r="H104"/>
  <c r="H103"/>
  <c r="H102"/>
  <c r="H101"/>
  <c r="H100"/>
  <c r="H99"/>
  <c r="H98"/>
  <c r="H97"/>
  <c r="H96"/>
  <c r="H95"/>
  <c r="H94"/>
  <c r="H93"/>
  <c r="H92"/>
  <c r="H91"/>
  <c r="H90"/>
  <c r="H89"/>
  <c r="H88"/>
  <c r="H87"/>
  <c r="H86"/>
  <c r="H85"/>
  <c r="H84"/>
  <c r="H83"/>
  <c r="H82"/>
  <c r="H81"/>
  <c r="H80"/>
  <c r="H79"/>
  <c r="H78"/>
  <c r="H77"/>
  <c r="H76"/>
  <c r="H75"/>
  <c r="H74"/>
  <c r="H73"/>
  <c r="H72"/>
  <c r="H71"/>
  <c r="H70"/>
  <c r="H69"/>
  <c r="H68"/>
  <c r="H67"/>
  <c r="H66"/>
  <c r="H65"/>
  <c r="H64"/>
  <c r="H63"/>
  <c r="H62"/>
  <c r="H61"/>
  <c r="H60"/>
  <c r="H59"/>
  <c r="H58"/>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9"/>
  <c r="F9"/>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N114"/>
  <c r="N118"/>
  <c r="N122"/>
  <c r="N126"/>
  <c r="M43"/>
  <c r="M132"/>
  <c r="M128"/>
  <c r="M124"/>
  <c r="M120"/>
  <c r="M116"/>
  <c r="M112"/>
  <c r="N64"/>
  <c r="N60"/>
  <c r="N56"/>
  <c r="N52"/>
  <c r="N48"/>
  <c r="N44"/>
  <c r="N40"/>
  <c r="N36"/>
  <c r="N32"/>
  <c r="M131"/>
  <c r="M115"/>
  <c r="N79"/>
  <c r="M59"/>
  <c r="M55"/>
  <c r="M39"/>
  <c r="N131"/>
  <c r="M123"/>
  <c r="M127"/>
  <c r="M119"/>
  <c r="M130"/>
  <c r="M126"/>
  <c r="M122"/>
  <c r="M118"/>
  <c r="M114"/>
  <c r="N66"/>
  <c r="N62"/>
  <c r="N58"/>
  <c r="N54"/>
  <c r="N50"/>
  <c r="N46"/>
  <c r="N42"/>
  <c r="N38"/>
  <c r="N34"/>
  <c r="N80"/>
  <c r="M80"/>
  <c r="N76"/>
  <c r="M76"/>
  <c r="N72"/>
  <c r="M72"/>
  <c r="N68"/>
  <c r="M68"/>
  <c r="N45"/>
  <c r="M45"/>
  <c r="N61"/>
  <c r="M61"/>
  <c r="N106"/>
  <c r="M106"/>
  <c r="N98"/>
  <c r="M98"/>
  <c r="N90"/>
  <c r="M90"/>
  <c r="N82"/>
  <c r="M82"/>
  <c r="N74"/>
  <c r="M74"/>
  <c r="N109"/>
  <c r="M109"/>
  <c r="N97"/>
  <c r="M97"/>
  <c r="N85"/>
  <c r="M85"/>
  <c r="N69"/>
  <c r="M69"/>
  <c r="N78"/>
  <c r="M78"/>
  <c r="N94"/>
  <c r="M94"/>
  <c r="N110"/>
  <c r="M110"/>
  <c r="N24"/>
  <c r="M24"/>
  <c r="N16"/>
  <c r="M16"/>
  <c r="N13"/>
  <c r="M13"/>
  <c r="N29"/>
  <c r="M29"/>
  <c r="N53"/>
  <c r="M53"/>
  <c r="N9"/>
  <c r="M9"/>
  <c r="N105"/>
  <c r="M105"/>
  <c r="N93"/>
  <c r="M93"/>
  <c r="N89"/>
  <c r="M89"/>
  <c r="N83"/>
  <c r="M83"/>
  <c r="N28"/>
  <c r="M28"/>
  <c r="N20"/>
  <c r="M20"/>
  <c r="N12"/>
  <c r="M12"/>
  <c r="N21"/>
  <c r="M21"/>
  <c r="N37"/>
  <c r="M37"/>
  <c r="N73"/>
  <c r="M73"/>
  <c r="N91"/>
  <c r="M91"/>
  <c r="N84"/>
  <c r="M84"/>
  <c r="N92"/>
  <c r="M92"/>
  <c r="N100"/>
  <c r="M100"/>
  <c r="N108"/>
  <c r="M108"/>
  <c r="N111"/>
  <c r="M111"/>
  <c r="N103"/>
  <c r="M103"/>
  <c r="N95"/>
  <c r="M95"/>
  <c r="N87"/>
  <c r="M87"/>
  <c r="N75"/>
  <c r="M75"/>
  <c r="N71"/>
  <c r="M71"/>
  <c r="N67"/>
  <c r="M67"/>
  <c r="N77"/>
  <c r="M77"/>
  <c r="N99"/>
  <c r="M99"/>
  <c r="N101"/>
  <c r="M101"/>
  <c r="N81"/>
  <c r="M81"/>
  <c r="N70"/>
  <c r="M70"/>
  <c r="N86"/>
  <c r="M86"/>
  <c r="N102"/>
  <c r="M102"/>
  <c r="N30"/>
  <c r="M30"/>
  <c r="N26"/>
  <c r="M26"/>
  <c r="N22"/>
  <c r="M22"/>
  <c r="N18"/>
  <c r="M18"/>
  <c r="N14"/>
  <c r="M14"/>
  <c r="N17"/>
  <c r="M17"/>
  <c r="N25"/>
  <c r="M25"/>
  <c r="N33"/>
  <c r="M33"/>
  <c r="N41"/>
  <c r="M41"/>
  <c r="N49"/>
  <c r="M49"/>
  <c r="N57"/>
  <c r="M57"/>
  <c r="N65"/>
  <c r="M65"/>
  <c r="N107"/>
  <c r="M107"/>
  <c r="N88"/>
  <c r="M88"/>
  <c r="N96"/>
  <c r="M96"/>
  <c r="N104"/>
  <c r="M104"/>
  <c r="N11"/>
  <c r="N15"/>
  <c r="N19"/>
  <c r="N23"/>
  <c r="N27"/>
  <c r="N31"/>
  <c r="N35"/>
  <c r="N39"/>
  <c r="N43"/>
  <c r="N47"/>
  <c r="N51"/>
  <c r="N55"/>
  <c r="N59"/>
  <c r="N63"/>
  <c r="M35"/>
  <c r="M51"/>
  <c r="M79"/>
  <c r="N130"/>
  <c r="N112"/>
  <c r="N116"/>
  <c r="N120"/>
  <c r="N124"/>
  <c r="M11"/>
  <c r="M15"/>
  <c r="M19"/>
  <c r="M23"/>
  <c r="M27"/>
  <c r="M31"/>
  <c r="M47"/>
  <c r="M63"/>
  <c r="N135"/>
  <c r="M135"/>
  <c r="N141"/>
  <c r="M141"/>
  <c r="N147"/>
  <c r="M147"/>
  <c r="N151"/>
  <c r="M151"/>
  <c r="N157"/>
  <c r="M157"/>
  <c r="N163"/>
  <c r="M163"/>
  <c r="N169"/>
  <c r="M169"/>
  <c r="N173"/>
  <c r="M173"/>
  <c r="N177"/>
  <c r="M177"/>
  <c r="N181"/>
  <c r="M181"/>
  <c r="N183"/>
  <c r="M183"/>
  <c r="N187"/>
  <c r="M187"/>
  <c r="N195"/>
  <c r="M195"/>
  <c r="M32"/>
  <c r="M36"/>
  <c r="M40"/>
  <c r="M44"/>
  <c r="M48"/>
  <c r="M52"/>
  <c r="M56"/>
  <c r="M60"/>
  <c r="M64"/>
  <c r="M117"/>
  <c r="N117"/>
  <c r="M125"/>
  <c r="N125"/>
  <c r="N133"/>
  <c r="M133"/>
  <c r="N139"/>
  <c r="M139"/>
  <c r="N145"/>
  <c r="M145"/>
  <c r="N153"/>
  <c r="M153"/>
  <c r="N159"/>
  <c r="M159"/>
  <c r="N167"/>
  <c r="M167"/>
  <c r="N191"/>
  <c r="M191"/>
  <c r="M129"/>
  <c r="N129"/>
  <c r="N137"/>
  <c r="M137"/>
  <c r="N143"/>
  <c r="M143"/>
  <c r="N149"/>
  <c r="M149"/>
  <c r="N155"/>
  <c r="M155"/>
  <c r="N161"/>
  <c r="M161"/>
  <c r="N165"/>
  <c r="M165"/>
  <c r="N171"/>
  <c r="M171"/>
  <c r="N175"/>
  <c r="M175"/>
  <c r="N179"/>
  <c r="M179"/>
  <c r="N185"/>
  <c r="M185"/>
  <c r="N189"/>
  <c r="M189"/>
  <c r="N193"/>
  <c r="M193"/>
  <c r="M34"/>
  <c r="M38"/>
  <c r="M42"/>
  <c r="M46"/>
  <c r="M50"/>
  <c r="M54"/>
  <c r="M58"/>
  <c r="M62"/>
  <c r="M66"/>
  <c r="M113"/>
  <c r="N113"/>
  <c r="M121"/>
  <c r="N121"/>
  <c r="N128"/>
  <c r="N132"/>
  <c r="N134"/>
  <c r="M134"/>
  <c r="N136"/>
  <c r="M136"/>
  <c r="N138"/>
  <c r="M138"/>
  <c r="N140"/>
  <c r="M140"/>
  <c r="N142"/>
  <c r="M142"/>
  <c r="N144"/>
  <c r="M144"/>
  <c r="N146"/>
  <c r="M146"/>
  <c r="N148"/>
  <c r="M148"/>
  <c r="N150"/>
  <c r="M150"/>
  <c r="N152"/>
  <c r="M152"/>
  <c r="N154"/>
  <c r="M154"/>
  <c r="N156"/>
  <c r="M156"/>
  <c r="N158"/>
  <c r="M158"/>
  <c r="N160"/>
  <c r="M160"/>
  <c r="N162"/>
  <c r="M162"/>
  <c r="N164"/>
  <c r="M164"/>
  <c r="N166"/>
  <c r="M166"/>
  <c r="N168"/>
  <c r="M168"/>
  <c r="N170"/>
  <c r="M170"/>
  <c r="N172"/>
  <c r="M172"/>
  <c r="N174"/>
  <c r="M174"/>
  <c r="N176"/>
  <c r="M176"/>
  <c r="N178"/>
  <c r="M178"/>
  <c r="N180"/>
  <c r="M180"/>
  <c r="N182"/>
  <c r="M182"/>
  <c r="N184"/>
  <c r="M184"/>
  <c r="N186"/>
  <c r="M186"/>
  <c r="N188"/>
  <c r="M188"/>
  <c r="N190"/>
  <c r="M190"/>
  <c r="N192"/>
  <c r="M192"/>
  <c r="N194"/>
  <c r="M194"/>
  <c r="N196"/>
  <c r="M196"/>
  <c r="N115"/>
  <c r="N119"/>
  <c r="N123"/>
  <c r="N127"/>
  <c r="I1945" i="15"/>
  <c r="I1943"/>
  <c r="I1968"/>
  <c r="I1964"/>
  <c r="I1963"/>
  <c r="I1962"/>
  <c r="I1961"/>
  <c r="I1958"/>
  <c r="I1955"/>
  <c r="I1952"/>
  <c r="I1939"/>
  <c r="I1938"/>
  <c r="I1937"/>
  <c r="I1936"/>
  <c r="I1935"/>
  <c r="I1940" s="1"/>
  <c r="I1932"/>
  <c r="I1929"/>
  <c r="I1926"/>
  <c r="I1907"/>
  <c r="I1906"/>
  <c r="I1902"/>
  <c r="I1901"/>
  <c r="I1897"/>
  <c r="I1896"/>
  <c r="I1895"/>
  <c r="I1894"/>
  <c r="I1893"/>
  <c r="I1892"/>
  <c r="I1891"/>
  <c r="I1890"/>
  <c r="I1888"/>
  <c r="I1887"/>
  <c r="I1886"/>
  <c r="I1885"/>
  <c r="I1884"/>
  <c r="I1883"/>
  <c r="I1882"/>
  <c r="I1881"/>
  <c r="I1880"/>
  <c r="I1879"/>
  <c r="I1878"/>
  <c r="I1877"/>
  <c r="I1876"/>
  <c r="I1875"/>
  <c r="I1874"/>
  <c r="I1873"/>
  <c r="I1872"/>
  <c r="I1871"/>
  <c r="I1870"/>
  <c r="I1864"/>
  <c r="I1863"/>
  <c r="I1862"/>
  <c r="I1861"/>
  <c r="I1860"/>
  <c r="I1859"/>
  <c r="I1858"/>
  <c r="I1857"/>
  <c r="I1856"/>
  <c r="I1855"/>
  <c r="I1854"/>
  <c r="I1853"/>
  <c r="I1852"/>
  <c r="I1851"/>
  <c r="I1850"/>
  <c r="I1849"/>
  <c r="I1848"/>
  <c r="I1847"/>
  <c r="I1846"/>
  <c r="I1845"/>
  <c r="I1844"/>
  <c r="I1843"/>
  <c r="I1842"/>
  <c r="I1841"/>
  <c r="I1840"/>
  <c r="I1839"/>
  <c r="I1835"/>
  <c r="I185" i="17" s="1"/>
  <c r="I1832" i="15"/>
  <c r="I1829"/>
  <c r="I1814"/>
  <c r="I1813"/>
  <c r="I1812"/>
  <c r="I1811"/>
  <c r="I1810"/>
  <c r="I1809"/>
  <c r="I1808"/>
  <c r="I1807"/>
  <c r="I1799"/>
  <c r="I1797"/>
  <c r="I1795"/>
  <c r="I1794"/>
  <c r="I1793"/>
  <c r="I1792"/>
  <c r="I1791"/>
  <c r="I1783"/>
  <c r="I1782"/>
  <c r="I1781"/>
  <c r="I1771"/>
  <c r="I1770"/>
  <c r="I1769"/>
  <c r="I1768"/>
  <c r="I1764"/>
  <c r="I1763"/>
  <c r="I1762"/>
  <c r="I1761"/>
  <c r="I1760"/>
  <c r="I1759"/>
  <c r="I1758"/>
  <c r="I1757"/>
  <c r="I1756"/>
  <c r="I1755"/>
  <c r="I1753"/>
  <c r="I1752"/>
  <c r="I1751"/>
  <c r="I1750"/>
  <c r="I1749"/>
  <c r="I1748"/>
  <c r="I1746"/>
  <c r="I1739"/>
  <c r="I1738"/>
  <c r="I1737"/>
  <c r="I1735"/>
  <c r="I1733"/>
  <c r="I1732"/>
  <c r="I1722"/>
  <c r="I1683"/>
  <c r="I1684" s="1"/>
  <c r="I1679"/>
  <c r="I1678"/>
  <c r="I1677"/>
  <c r="I1673"/>
  <c r="I1672"/>
  <c r="I1671"/>
  <c r="I1670"/>
  <c r="I1667"/>
  <c r="I1663"/>
  <c r="I1662"/>
  <c r="I1660"/>
  <c r="I1654"/>
  <c r="I1650"/>
  <c r="I1649"/>
  <c r="I1648"/>
  <c r="I1647"/>
  <c r="I1646"/>
  <c r="I1645"/>
  <c r="I1643"/>
  <c r="I1642"/>
  <c r="I1641"/>
  <c r="I1640"/>
  <c r="I1639"/>
  <c r="I1638"/>
  <c r="I1637"/>
  <c r="I1631"/>
  <c r="I1630"/>
  <c r="I1629"/>
  <c r="I1628"/>
  <c r="I1627"/>
  <c r="I1626"/>
  <c r="I1625"/>
  <c r="I1624"/>
  <c r="I1623"/>
  <c r="I1622"/>
  <c r="I1621"/>
  <c r="I1620"/>
  <c r="I1619"/>
  <c r="I1618"/>
  <c r="I1617"/>
  <c r="I1616"/>
  <c r="I1615"/>
  <c r="I1614"/>
  <c r="I1613"/>
  <c r="I1612"/>
  <c r="I1611"/>
  <c r="I1605"/>
  <c r="I1604"/>
  <c r="I1603"/>
  <c r="I1602"/>
  <c r="I1601"/>
  <c r="I1600"/>
  <c r="I1599"/>
  <c r="I1598"/>
  <c r="I1597"/>
  <c r="I1596"/>
  <c r="I1595"/>
  <c r="I1594"/>
  <c r="I1593"/>
  <c r="I1592"/>
  <c r="I1591"/>
  <c r="I1590"/>
  <c r="I1589"/>
  <c r="I1588"/>
  <c r="I1584"/>
  <c r="I1583"/>
  <c r="I1582"/>
  <c r="I1581"/>
  <c r="I1580"/>
  <c r="I1579"/>
  <c r="I1578"/>
  <c r="I1577"/>
  <c r="I1576"/>
  <c r="I1575"/>
  <c r="I1574"/>
  <c r="I1573"/>
  <c r="I1572"/>
  <c r="I1571"/>
  <c r="I1570"/>
  <c r="I1569"/>
  <c r="I1568"/>
  <c r="I1567"/>
  <c r="I1566"/>
  <c r="I1565"/>
  <c r="I1564"/>
  <c r="I1563"/>
  <c r="I1562"/>
  <c r="I1561"/>
  <c r="I1560"/>
  <c r="I1556"/>
  <c r="I1552"/>
  <c r="I1551"/>
  <c r="I1550"/>
  <c r="I1549"/>
  <c r="I1548"/>
  <c r="I1547"/>
  <c r="I1546"/>
  <c r="I1545"/>
  <c r="I1544"/>
  <c r="I1543"/>
  <c r="I1542"/>
  <c r="I1541"/>
  <c r="I1540"/>
  <c r="I1539"/>
  <c r="I1538"/>
  <c r="I1537"/>
  <c r="I1536"/>
  <c r="I1535"/>
  <c r="I1534"/>
  <c r="I1533"/>
  <c r="I1532"/>
  <c r="I1527"/>
  <c r="I1526"/>
  <c r="I1525"/>
  <c r="I1524"/>
  <c r="I1520"/>
  <c r="I1519"/>
  <c r="I1518"/>
  <c r="I1517"/>
  <c r="I1516"/>
  <c r="I1515"/>
  <c r="I1513"/>
  <c r="I1512"/>
  <c r="I1511"/>
  <c r="I1510"/>
  <c r="I1509"/>
  <c r="I1508"/>
  <c r="I1507"/>
  <c r="I1506"/>
  <c r="I1505"/>
  <c r="I1504"/>
  <c r="I1503"/>
  <c r="I1502"/>
  <c r="I1501"/>
  <c r="I1500"/>
  <c r="I1499"/>
  <c r="I1498"/>
  <c r="I1497"/>
  <c r="I1496"/>
  <c r="I1495"/>
  <c r="I1494"/>
  <c r="I1486"/>
  <c r="I1485"/>
  <c r="I1484"/>
  <c r="I1483"/>
  <c r="I1482"/>
  <c r="I1481"/>
  <c r="I1480"/>
  <c r="I1479"/>
  <c r="I1478"/>
  <c r="I1477"/>
  <c r="I1476"/>
  <c r="I1475"/>
  <c r="I1474"/>
  <c r="I1473"/>
  <c r="I1472"/>
  <c r="I1471"/>
  <c r="I1470"/>
  <c r="I1468"/>
  <c r="I1467"/>
  <c r="I1466"/>
  <c r="I1465"/>
  <c r="I1443"/>
  <c r="I1440"/>
  <c r="I1433"/>
  <c r="I1428"/>
  <c r="I1427"/>
  <c r="I1426"/>
  <c r="I1413"/>
  <c r="I1412"/>
  <c r="I1411"/>
  <c r="I1406"/>
  <c r="I1405"/>
  <c r="I1402"/>
  <c r="I1390"/>
  <c r="I1389"/>
  <c r="I1388"/>
  <c r="I1387"/>
  <c r="I1386"/>
  <c r="I1382"/>
  <c r="I1381"/>
  <c r="I1380"/>
  <c r="I1379"/>
  <c r="I1373"/>
  <c r="I1370"/>
  <c r="I1369"/>
  <c r="I1368"/>
  <c r="I1367"/>
  <c r="I1348"/>
  <c r="I1339"/>
  <c r="I1336"/>
  <c r="I1335"/>
  <c r="I1331"/>
  <c r="I1332" s="1"/>
  <c r="I1327"/>
  <c r="I1328" s="1"/>
  <c r="I1322"/>
  <c r="I1323" s="1"/>
  <c r="I1324" s="1"/>
  <c r="I1277"/>
  <c r="I1271"/>
  <c r="I1270"/>
  <c r="I1264"/>
  <c r="I1263"/>
  <c r="I1262"/>
  <c r="I1261"/>
  <c r="I1260"/>
  <c r="I1259"/>
  <c r="I1258"/>
  <c r="I1253"/>
  <c r="I1252"/>
  <c r="I1251"/>
  <c r="I1250"/>
  <c r="I1249"/>
  <c r="I1248"/>
  <c r="I1247"/>
  <c r="I1245"/>
  <c r="I1233"/>
  <c r="I1232"/>
  <c r="I1231"/>
  <c r="I1223"/>
  <c r="I1222"/>
  <c r="I1221"/>
  <c r="I1220"/>
  <c r="I1219"/>
  <c r="I1218"/>
  <c r="I1217"/>
  <c r="I1216"/>
  <c r="I1215"/>
  <c r="I1214"/>
  <c r="I1212"/>
  <c r="I1207"/>
  <c r="I1208" s="1"/>
  <c r="I1202"/>
  <c r="I1196"/>
  <c r="I1195"/>
  <c r="I1194"/>
  <c r="I1193"/>
  <c r="I1188"/>
  <c r="I1187"/>
  <c r="I1182"/>
  <c r="I1183" s="1"/>
  <c r="I1175"/>
  <c r="I1173"/>
  <c r="I1172"/>
  <c r="I1171"/>
  <c r="I1167"/>
  <c r="I1166"/>
  <c r="I1165"/>
  <c r="I1164"/>
  <c r="I1160"/>
  <c r="I1159"/>
  <c r="I1152"/>
  <c r="I1151"/>
  <c r="I1150"/>
  <c r="I1145"/>
  <c r="I1144"/>
  <c r="I1063"/>
  <c r="I1064" s="1"/>
  <c r="I1056"/>
  <c r="I1040"/>
  <c r="I1037"/>
  <c r="I1036"/>
  <c r="I1026"/>
  <c r="I1025"/>
  <c r="I1024"/>
  <c r="I1023"/>
  <c r="I1021"/>
  <c r="I1022"/>
  <c r="I1019"/>
  <c r="I1017"/>
  <c r="I1015"/>
  <c r="I1014"/>
  <c r="I1013"/>
  <c r="I1012"/>
  <c r="I1011"/>
  <c r="I1002"/>
  <c r="I998"/>
  <c r="I996"/>
  <c r="I995"/>
  <c r="I980"/>
  <c r="I977"/>
  <c r="I976"/>
  <c r="I975"/>
  <c r="I971"/>
  <c r="I970"/>
  <c r="I969"/>
  <c r="I968"/>
  <c r="I967"/>
  <c r="I966"/>
  <c r="I964"/>
  <c r="I963"/>
  <c r="I962"/>
  <c r="I961"/>
  <c r="I957"/>
  <c r="I954"/>
  <c r="I953"/>
  <c r="I952"/>
  <c r="I951"/>
  <c r="I950"/>
  <c r="I949"/>
  <c r="I948"/>
  <c r="I947"/>
  <c r="I946"/>
  <c r="I945"/>
  <c r="I944"/>
  <c r="I943"/>
  <c r="I942"/>
  <c r="I941"/>
  <c r="I940"/>
  <c r="I939"/>
  <c r="I938"/>
  <c r="I937"/>
  <c r="I936"/>
  <c r="I935"/>
  <c r="I930"/>
  <c r="I929"/>
  <c r="I928"/>
  <c r="I927"/>
  <c r="I926"/>
  <c r="I925"/>
  <c r="I924"/>
  <c r="I923"/>
  <c r="I922"/>
  <c r="I921"/>
  <c r="I920"/>
  <c r="I919"/>
  <c r="I918"/>
  <c r="I917"/>
  <c r="I915"/>
  <c r="I914"/>
  <c r="I913"/>
  <c r="I912"/>
  <c r="I911"/>
  <c r="I910"/>
  <c r="I904"/>
  <c r="I903"/>
  <c r="I902"/>
  <c r="I901"/>
  <c r="I900"/>
  <c r="I899"/>
  <c r="I898"/>
  <c r="I897"/>
  <c r="I896"/>
  <c r="I895"/>
  <c r="I894"/>
  <c r="I893"/>
  <c r="I892"/>
  <c r="I888"/>
  <c r="I883"/>
  <c r="I882"/>
  <c r="I881"/>
  <c r="I880"/>
  <c r="I879"/>
  <c r="I876"/>
  <c r="I855"/>
  <c r="I854"/>
  <c r="I853"/>
  <c r="I852"/>
  <c r="I851"/>
  <c r="I850"/>
  <c r="I849"/>
  <c r="I848"/>
  <c r="I843"/>
  <c r="I842"/>
  <c r="I841"/>
  <c r="I836"/>
  <c r="I837" s="1"/>
  <c r="I833"/>
  <c r="I823"/>
  <c r="I822"/>
  <c r="I821"/>
  <c r="I817"/>
  <c r="I816"/>
  <c r="I815"/>
  <c r="I814"/>
  <c r="I813"/>
  <c r="I812"/>
  <c r="I811"/>
  <c r="I810"/>
  <c r="I809"/>
  <c r="I804"/>
  <c r="I803"/>
  <c r="I802"/>
  <c r="I801"/>
  <c r="I797"/>
  <c r="F792"/>
  <c r="I792" s="1"/>
  <c r="F791"/>
  <c r="I791" s="1"/>
  <c r="F790"/>
  <c r="I790" s="1"/>
  <c r="F789"/>
  <c r="I789" s="1"/>
  <c r="I788"/>
  <c r="I770"/>
  <c r="I769"/>
  <c r="I760"/>
  <c r="I755"/>
  <c r="I754"/>
  <c r="I753"/>
  <c r="I714"/>
  <c r="I715" s="1"/>
  <c r="I710"/>
  <c r="I711" s="1"/>
  <c r="I705"/>
  <c r="I703"/>
  <c r="I702"/>
  <c r="I701"/>
  <c r="I696"/>
  <c r="I695"/>
  <c r="I682"/>
  <c r="I681"/>
  <c r="I675"/>
  <c r="I674"/>
  <c r="I659"/>
  <c r="I658"/>
  <c r="I657"/>
  <c r="I656"/>
  <c r="I654"/>
  <c r="I653"/>
  <c r="I652"/>
  <c r="I650"/>
  <c r="I649"/>
  <c r="I648"/>
  <c r="I622"/>
  <c r="I621"/>
  <c r="I620"/>
  <c r="I612"/>
  <c r="I611"/>
  <c r="I610"/>
  <c r="I609"/>
  <c r="I607"/>
  <c r="I604"/>
  <c r="I602"/>
  <c r="I601"/>
  <c r="I600"/>
  <c r="I599"/>
  <c r="I597"/>
  <c r="I596"/>
  <c r="I590"/>
  <c r="I589"/>
  <c r="I588"/>
  <c r="I587"/>
  <c r="I577"/>
  <c r="I569"/>
  <c r="I551"/>
  <c r="I529"/>
  <c r="I524"/>
  <c r="I523"/>
  <c r="I509"/>
  <c r="I508"/>
  <c r="I481"/>
  <c r="I389"/>
  <c r="I385"/>
  <c r="I384"/>
  <c r="I383"/>
  <c r="I382"/>
  <c r="I381"/>
  <c r="I368"/>
  <c r="I367"/>
  <c r="I366"/>
  <c r="I365"/>
  <c r="I364"/>
  <c r="I362"/>
  <c r="F359"/>
  <c r="I359" s="1"/>
  <c r="I358"/>
  <c r="F357"/>
  <c r="I357" s="1"/>
  <c r="I353"/>
  <c r="I352"/>
  <c r="I351"/>
  <c r="I350"/>
  <c r="I346"/>
  <c r="I345"/>
  <c r="I344"/>
  <c r="I343"/>
  <c r="I342"/>
  <c r="I341"/>
  <c r="I340"/>
  <c r="I339"/>
  <c r="I338"/>
  <c r="I327"/>
  <c r="I326"/>
  <c r="F325"/>
  <c r="I325" s="1"/>
  <c r="F323"/>
  <c r="I323" s="1"/>
  <c r="I322"/>
  <c r="F321"/>
  <c r="I321" s="1"/>
  <c r="I319"/>
  <c r="I318"/>
  <c r="I314"/>
  <c r="I313"/>
  <c r="I312"/>
  <c r="I303"/>
  <c r="I300"/>
  <c r="I299"/>
  <c r="I293"/>
  <c r="I292"/>
  <c r="I290"/>
  <c r="I283"/>
  <c r="I279"/>
  <c r="I278"/>
  <c r="I277"/>
  <c r="I276"/>
  <c r="I271"/>
  <c r="I272" s="1"/>
  <c r="I273" s="1"/>
  <c r="I219"/>
  <c r="I216"/>
  <c r="I214"/>
  <c r="I211"/>
  <c r="I210"/>
  <c r="I208"/>
  <c r="I207"/>
  <c r="I206"/>
  <c r="I205"/>
  <c r="I204"/>
  <c r="I120"/>
  <c r="I152" s="1"/>
  <c r="I154" s="1"/>
  <c r="I109"/>
  <c r="I108"/>
  <c r="I107"/>
  <c r="I104"/>
  <c r="I103"/>
  <c r="I86"/>
  <c r="I85"/>
  <c r="I84"/>
  <c r="W46" i="14"/>
  <c r="W49"/>
  <c r="V46"/>
  <c r="V49"/>
  <c r="U46"/>
  <c r="U49"/>
  <c r="H10" i="1"/>
  <c r="W79" i="9"/>
  <c r="V79"/>
  <c r="T79"/>
  <c r="S79"/>
  <c r="R79"/>
  <c r="P79"/>
  <c r="O79"/>
  <c r="W46"/>
  <c r="V46"/>
  <c r="U46"/>
  <c r="T46"/>
  <c r="R46"/>
  <c r="P46"/>
  <c r="S46" s="1"/>
  <c r="O46"/>
  <c r="W43"/>
  <c r="V43"/>
  <c r="U43"/>
  <c r="T43"/>
  <c r="R43"/>
  <c r="P43"/>
  <c r="O43"/>
  <c r="W42"/>
  <c r="V42"/>
  <c r="U42"/>
  <c r="T42"/>
  <c r="R42"/>
  <c r="P42"/>
  <c r="O42"/>
  <c r="W41"/>
  <c r="V41"/>
  <c r="U41"/>
  <c r="T41"/>
  <c r="S41"/>
  <c r="P41"/>
  <c r="O41"/>
  <c r="Q41" s="1"/>
  <c r="S42"/>
  <c r="X46" i="14"/>
  <c r="T46"/>
  <c r="S46"/>
  <c r="P46"/>
  <c r="O46"/>
  <c r="N46"/>
  <c r="M46"/>
  <c r="L46"/>
  <c r="K46"/>
  <c r="J46"/>
  <c r="I46"/>
  <c r="H46"/>
  <c r="G46"/>
  <c r="F46"/>
  <c r="E46"/>
  <c r="D46"/>
  <c r="C46"/>
  <c r="Q45"/>
  <c r="K10" i="1"/>
  <c r="L10"/>
  <c r="L197"/>
  <c r="L198"/>
  <c r="L199"/>
  <c r="F10"/>
  <c r="F197"/>
  <c r="N10"/>
  <c r="N197"/>
  <c r="N198"/>
  <c r="N199"/>
  <c r="M10"/>
  <c r="M197"/>
  <c r="M198"/>
  <c r="M199"/>
  <c r="O13" i="9"/>
  <c r="P13"/>
  <c r="Q13"/>
  <c r="R13"/>
  <c r="T13"/>
  <c r="U13"/>
  <c r="V13"/>
  <c r="O11"/>
  <c r="P11"/>
  <c r="Q11"/>
  <c r="R11"/>
  <c r="T11"/>
  <c r="U11"/>
  <c r="V11"/>
  <c r="O14"/>
  <c r="P14"/>
  <c r="Q14"/>
  <c r="R14"/>
  <c r="T14"/>
  <c r="U14"/>
  <c r="V14"/>
  <c r="O16"/>
  <c r="P16"/>
  <c r="R16"/>
  <c r="S16"/>
  <c r="T16"/>
  <c r="U16"/>
  <c r="V16"/>
  <c r="W11"/>
  <c r="W16"/>
  <c r="O8"/>
  <c r="W14"/>
  <c r="W8"/>
  <c r="V8"/>
  <c r="U8"/>
  <c r="T8"/>
  <c r="S8"/>
  <c r="Q8"/>
  <c r="P8"/>
  <c r="W6"/>
  <c r="V6"/>
  <c r="U6"/>
  <c r="T6"/>
  <c r="S6"/>
  <c r="R6"/>
  <c r="Q6"/>
  <c r="S153" i="1"/>
  <c r="Q102"/>
  <c r="Q109"/>
  <c r="Z13" i="14"/>
  <c r="Z12"/>
  <c r="X48"/>
  <c r="X49"/>
  <c r="T49"/>
  <c r="S49"/>
  <c r="P49"/>
  <c r="K49"/>
  <c r="J49"/>
  <c r="I49"/>
  <c r="H49"/>
  <c r="G49"/>
  <c r="R42"/>
  <c r="Q41"/>
  <c r="R40"/>
  <c r="Q39"/>
  <c r="R27"/>
  <c r="Q27"/>
  <c r="R35"/>
  <c r="Q35"/>
  <c r="R34"/>
  <c r="Q34"/>
  <c r="R33"/>
  <c r="Q33"/>
  <c r="Q32"/>
  <c r="R31"/>
  <c r="Q31"/>
  <c r="Q30"/>
  <c r="R29"/>
  <c r="Q29"/>
  <c r="R28"/>
  <c r="Q28"/>
  <c r="R22"/>
  <c r="Q22"/>
  <c r="R6"/>
  <c r="R7"/>
  <c r="R8"/>
  <c r="R15"/>
  <c r="R16"/>
  <c r="R17"/>
  <c r="R18"/>
  <c r="R19"/>
  <c r="R20"/>
  <c r="R21"/>
  <c r="R23"/>
  <c r="Q6"/>
  <c r="Q7"/>
  <c r="Q8"/>
  <c r="Q15"/>
  <c r="Q16"/>
  <c r="Q17"/>
  <c r="Q18"/>
  <c r="Q19"/>
  <c r="Q20"/>
  <c r="Q21"/>
  <c r="Q23"/>
  <c r="Q44"/>
  <c r="Q4"/>
  <c r="Q5"/>
  <c r="R46"/>
  <c r="R49"/>
  <c r="Q46"/>
  <c r="Q49"/>
  <c r="L51"/>
  <c r="N51"/>
  <c r="M55"/>
  <c r="C229" i="1"/>
  <c r="Q178"/>
  <c r="E207"/>
  <c r="E208"/>
  <c r="S173"/>
  <c r="T173"/>
  <c r="S172"/>
  <c r="T172"/>
  <c r="S170"/>
  <c r="T170"/>
  <c r="S169"/>
  <c r="T169"/>
  <c r="S167"/>
  <c r="T167"/>
  <c r="S161"/>
  <c r="T161"/>
  <c r="S182"/>
  <c r="T182"/>
  <c r="S176"/>
  <c r="T176"/>
  <c r="S166"/>
  <c r="T166"/>
  <c r="S165"/>
  <c r="T165"/>
  <c r="T144"/>
  <c r="S143"/>
  <c r="T143"/>
  <c r="T142"/>
  <c r="S141"/>
  <c r="T141"/>
  <c r="S137"/>
  <c r="T137"/>
  <c r="S126"/>
  <c r="T126"/>
  <c r="S104"/>
  <c r="T104"/>
  <c r="T181"/>
  <c r="T73"/>
  <c r="S71"/>
  <c r="T71"/>
  <c r="S61"/>
  <c r="T61"/>
  <c r="S60"/>
  <c r="T60"/>
  <c r="S58"/>
  <c r="T58"/>
  <c r="S116"/>
  <c r="T116"/>
  <c r="S115"/>
  <c r="T115"/>
  <c r="S76"/>
  <c r="T76"/>
  <c r="S43"/>
  <c r="T43"/>
  <c r="S42"/>
  <c r="T42"/>
  <c r="S41"/>
  <c r="T41"/>
  <c r="S40"/>
  <c r="T40"/>
  <c r="S39"/>
  <c r="T39"/>
  <c r="S38"/>
  <c r="T38"/>
  <c r="S37"/>
  <c r="T37"/>
  <c r="S33"/>
  <c r="T33"/>
  <c r="S32"/>
  <c r="T32"/>
  <c r="S31"/>
  <c r="T31"/>
  <c r="S11"/>
  <c r="T11"/>
  <c r="S10"/>
  <c r="T10"/>
  <c r="T99"/>
  <c r="T67"/>
  <c r="T69"/>
  <c r="T70"/>
  <c r="T106"/>
  <c r="T107"/>
  <c r="T108"/>
  <c r="T121"/>
  <c r="T123"/>
  <c r="T124"/>
  <c r="T128"/>
  <c r="T131"/>
  <c r="T132"/>
  <c r="T133"/>
  <c r="T135"/>
  <c r="T136"/>
  <c r="T139"/>
  <c r="T140"/>
  <c r="T146"/>
  <c r="T147"/>
  <c r="T149"/>
  <c r="T150"/>
  <c r="T151"/>
  <c r="T152"/>
  <c r="T154"/>
  <c r="T187"/>
  <c r="T188"/>
  <c r="S12"/>
  <c r="T12"/>
  <c r="S13"/>
  <c r="T13"/>
  <c r="S14"/>
  <c r="T14"/>
  <c r="S15"/>
  <c r="T15"/>
  <c r="S16"/>
  <c r="T16"/>
  <c r="S17"/>
  <c r="T17"/>
  <c r="S18"/>
  <c r="T18"/>
  <c r="S19"/>
  <c r="T19"/>
  <c r="S20"/>
  <c r="T20"/>
  <c r="S21"/>
  <c r="T21"/>
  <c r="S22"/>
  <c r="T22"/>
  <c r="S23"/>
  <c r="T23"/>
  <c r="S24"/>
  <c r="T24"/>
  <c r="S25"/>
  <c r="T25"/>
  <c r="S26"/>
  <c r="T26"/>
  <c r="S27"/>
  <c r="T27"/>
  <c r="S28"/>
  <c r="T28"/>
  <c r="S29"/>
  <c r="T29"/>
  <c r="S30"/>
  <c r="T30"/>
  <c r="S44"/>
  <c r="T44"/>
  <c r="S45"/>
  <c r="T45"/>
  <c r="S46"/>
  <c r="T46"/>
  <c r="S47"/>
  <c r="T47"/>
  <c r="S56"/>
  <c r="T56"/>
  <c r="S59"/>
  <c r="T59"/>
  <c r="S74"/>
  <c r="T74"/>
  <c r="S75"/>
  <c r="T75"/>
  <c r="S77"/>
  <c r="T77"/>
  <c r="S78"/>
  <c r="T78"/>
  <c r="S79"/>
  <c r="T79"/>
  <c r="S80"/>
  <c r="T80"/>
  <c r="S81"/>
  <c r="T81"/>
  <c r="S82"/>
  <c r="T82"/>
  <c r="S83"/>
  <c r="T83"/>
  <c r="S84"/>
  <c r="T84"/>
  <c r="S85"/>
  <c r="T85"/>
  <c r="S86"/>
  <c r="T86"/>
  <c r="S87"/>
  <c r="T87"/>
  <c r="S88"/>
  <c r="T88"/>
  <c r="S89"/>
  <c r="T89"/>
  <c r="S90"/>
  <c r="T90"/>
  <c r="S91"/>
  <c r="T91"/>
  <c r="S92"/>
  <c r="T92"/>
  <c r="S93"/>
  <c r="T93"/>
  <c r="S94"/>
  <c r="T94"/>
  <c r="S95"/>
  <c r="T95"/>
  <c r="S96"/>
  <c r="T96"/>
  <c r="S97"/>
  <c r="T97"/>
  <c r="S98"/>
  <c r="T98"/>
  <c r="S101"/>
  <c r="T101"/>
  <c r="S102"/>
  <c r="T102"/>
  <c r="S103"/>
  <c r="T103"/>
  <c r="S114"/>
  <c r="T114"/>
  <c r="S117"/>
  <c r="T117"/>
  <c r="S118"/>
  <c r="T118"/>
  <c r="S119"/>
  <c r="T119"/>
  <c r="S158"/>
  <c r="T158"/>
  <c r="S168"/>
  <c r="T168"/>
  <c r="S171"/>
  <c r="T171"/>
  <c r="S177"/>
  <c r="T177"/>
  <c r="S178"/>
  <c r="T178"/>
  <c r="S179"/>
  <c r="T179"/>
  <c r="S180"/>
  <c r="T180"/>
  <c r="S34"/>
  <c r="T34"/>
  <c r="S35"/>
  <c r="T35"/>
  <c r="S36"/>
  <c r="T36"/>
  <c r="S48"/>
  <c r="T48"/>
  <c r="S49"/>
  <c r="T49"/>
  <c r="S50"/>
  <c r="T50"/>
  <c r="S51"/>
  <c r="T51"/>
  <c r="S52"/>
  <c r="T52"/>
  <c r="S53"/>
  <c r="T53"/>
  <c r="S54"/>
  <c r="T54"/>
  <c r="S55"/>
  <c r="T55"/>
  <c r="S57"/>
  <c r="T57"/>
  <c r="S62"/>
  <c r="T62"/>
  <c r="S63"/>
  <c r="T63"/>
  <c r="S64"/>
  <c r="T64"/>
  <c r="S65"/>
  <c r="T65"/>
  <c r="S66"/>
  <c r="T66"/>
  <c r="S68"/>
  <c r="T68"/>
  <c r="S72"/>
  <c r="T72"/>
  <c r="S100"/>
  <c r="T100"/>
  <c r="S105"/>
  <c r="T105"/>
  <c r="S109"/>
  <c r="T109"/>
  <c r="S110"/>
  <c r="T110"/>
  <c r="S111"/>
  <c r="T111"/>
  <c r="S112"/>
  <c r="T112"/>
  <c r="S113"/>
  <c r="T113"/>
  <c r="S122"/>
  <c r="T122"/>
  <c r="S125"/>
  <c r="T125"/>
  <c r="S127"/>
  <c r="T127"/>
  <c r="S129"/>
  <c r="T129"/>
  <c r="S130"/>
  <c r="T130"/>
  <c r="S134"/>
  <c r="T134"/>
  <c r="S138"/>
  <c r="T138"/>
  <c r="S145"/>
  <c r="T145"/>
  <c r="T153"/>
  <c r="S155"/>
  <c r="T155"/>
  <c r="S156"/>
  <c r="T156"/>
  <c r="S157"/>
  <c r="T157"/>
  <c r="S159"/>
  <c r="T159"/>
  <c r="S160"/>
  <c r="T160"/>
  <c r="S162"/>
  <c r="T162"/>
  <c r="S163"/>
  <c r="T163"/>
  <c r="S164"/>
  <c r="T164"/>
  <c r="S174"/>
  <c r="T174"/>
  <c r="S175"/>
  <c r="T175"/>
  <c r="S185"/>
  <c r="T185"/>
  <c r="S186"/>
  <c r="T186"/>
  <c r="S189"/>
  <c r="T189"/>
  <c r="S190"/>
  <c r="T190"/>
  <c r="T198"/>
  <c r="F198"/>
  <c r="F199"/>
  <c r="Q86"/>
  <c r="Q199"/>
  <c r="L201"/>
  <c r="E209"/>
  <c r="E212"/>
  <c r="E213"/>
  <c r="E210"/>
  <c r="N203"/>
  <c r="E211"/>
  <c r="N204"/>
  <c r="E215"/>
  <c r="E214"/>
  <c r="Q202"/>
  <c r="N205"/>
  <c r="H197"/>
  <c r="H198"/>
  <c r="H199"/>
  <c r="V91" i="9" l="1"/>
  <c r="T91"/>
  <c r="S13"/>
  <c r="U79"/>
  <c r="U91" s="1"/>
  <c r="Q43"/>
  <c r="Q79"/>
  <c r="S43"/>
  <c r="Q46"/>
  <c r="Q42"/>
  <c r="R41"/>
  <c r="R8"/>
  <c r="S11"/>
  <c r="Q16"/>
  <c r="S14"/>
  <c r="I1521" i="15"/>
  <c r="I1139"/>
  <c r="K93" i="17" s="1"/>
  <c r="I1146" i="15"/>
  <c r="I1147" s="1"/>
  <c r="I1058"/>
  <c r="I1059" s="1"/>
  <c r="I706"/>
  <c r="I707" s="1"/>
  <c r="I295"/>
  <c r="I296" s="1"/>
  <c r="L22" i="17"/>
  <c r="N22" s="1"/>
  <c r="T22" s="1"/>
  <c r="K28"/>
  <c r="J28"/>
  <c r="I1031" i="15"/>
  <c r="I1032" s="1"/>
  <c r="K60" i="17"/>
  <c r="J60"/>
  <c r="I114" i="15"/>
  <c r="J195" i="17"/>
  <c r="K195"/>
  <c r="J181"/>
  <c r="K181"/>
  <c r="J190"/>
  <c r="K190"/>
  <c r="K193"/>
  <c r="J193"/>
  <c r="K187"/>
  <c r="J187"/>
  <c r="J170"/>
  <c r="K170"/>
  <c r="K185"/>
  <c r="J185"/>
  <c r="J180"/>
  <c r="K180"/>
  <c r="K189"/>
  <c r="J189"/>
  <c r="K191"/>
  <c r="J191"/>
  <c r="J186"/>
  <c r="K186"/>
  <c r="I793" i="15"/>
  <c r="I794" s="1"/>
  <c r="I1005"/>
  <c r="J55" i="17"/>
  <c r="K55"/>
  <c r="K71"/>
  <c r="J71"/>
  <c r="J73"/>
  <c r="K73"/>
  <c r="J100"/>
  <c r="K100"/>
  <c r="K105"/>
  <c r="J105"/>
  <c r="J112"/>
  <c r="K112"/>
  <c r="K130"/>
  <c r="J130"/>
  <c r="J140"/>
  <c r="K140"/>
  <c r="J56"/>
  <c r="K56"/>
  <c r="K86"/>
  <c r="J86"/>
  <c r="K89"/>
  <c r="J89"/>
  <c r="J104"/>
  <c r="K104"/>
  <c r="K113"/>
  <c r="J113"/>
  <c r="J128"/>
  <c r="K128"/>
  <c r="K131"/>
  <c r="J131"/>
  <c r="K145"/>
  <c r="J145"/>
  <c r="J148"/>
  <c r="K148"/>
  <c r="I1741" i="15"/>
  <c r="I1742" s="1"/>
  <c r="K152" i="17"/>
  <c r="J152"/>
  <c r="K123"/>
  <c r="J123"/>
  <c r="J68"/>
  <c r="K68"/>
  <c r="K62"/>
  <c r="J62"/>
  <c r="J31"/>
  <c r="K31"/>
  <c r="M27"/>
  <c r="S27" s="1"/>
  <c r="N27"/>
  <c r="T27" s="1"/>
  <c r="M26"/>
  <c r="S26" s="1"/>
  <c r="N26"/>
  <c r="T26" s="1"/>
  <c r="I155" i="15"/>
  <c r="L19" i="17"/>
  <c r="O19"/>
  <c r="P19" s="1"/>
  <c r="I1825" i="15"/>
  <c r="I1826" s="1"/>
  <c r="I1606"/>
  <c r="I1651"/>
  <c r="I1391"/>
  <c r="I1414"/>
  <c r="I1375"/>
  <c r="I1376" s="1"/>
  <c r="I1265"/>
  <c r="I1266" s="1"/>
  <c r="I1240"/>
  <c r="I1177"/>
  <c r="I1178" s="1"/>
  <c r="I676"/>
  <c r="I677" s="1"/>
  <c r="I668"/>
  <c r="I718" s="1"/>
  <c r="I749" s="1"/>
  <c r="I530"/>
  <c r="I1704" s="1"/>
  <c r="K535"/>
  <c r="K540"/>
  <c r="K541"/>
  <c r="K395"/>
  <c r="I304"/>
  <c r="I305" s="1"/>
  <c r="I280"/>
  <c r="I224"/>
  <c r="I226" s="1"/>
  <c r="I227" s="1"/>
  <c r="I771"/>
  <c r="I772" s="1"/>
  <c r="I1800"/>
  <c r="I1801" s="1"/>
  <c r="I1674"/>
  <c r="I805"/>
  <c r="I905"/>
  <c r="I1407"/>
  <c r="I268"/>
  <c r="I697"/>
  <c r="I765"/>
  <c r="I766" s="1"/>
  <c r="I955"/>
  <c r="I972"/>
  <c r="I1340"/>
  <c r="I1341" s="1"/>
  <c r="I1383"/>
  <c r="I1422"/>
  <c r="I1423" s="1"/>
  <c r="I1429"/>
  <c r="I1430" s="1"/>
  <c r="I1487"/>
  <c r="I1528"/>
  <c r="I1553"/>
  <c r="I1680"/>
  <c r="I1865"/>
  <c r="I1941"/>
  <c r="I1161"/>
  <c r="I1189"/>
  <c r="I1190" s="1"/>
  <c r="I690"/>
  <c r="I798"/>
  <c r="I818"/>
  <c r="I1123"/>
  <c r="I1153"/>
  <c r="I1154" s="1"/>
  <c r="I1168"/>
  <c r="I1197"/>
  <c r="I1198" s="1"/>
  <c r="I1278"/>
  <c r="I1279" s="1"/>
  <c r="I1585"/>
  <c r="I1632"/>
  <c r="I1664"/>
  <c r="I285"/>
  <c r="I286" s="1"/>
  <c r="I683"/>
  <c r="I824"/>
  <c r="I844"/>
  <c r="I845" s="1"/>
  <c r="I856"/>
  <c r="I857" s="1"/>
  <c r="I884"/>
  <c r="I931"/>
  <c r="I978"/>
  <c r="I1898"/>
  <c r="I1903"/>
  <c r="I1908"/>
  <c r="I1965"/>
  <c r="I309"/>
  <c r="I479" s="1"/>
  <c r="K534" s="1"/>
  <c r="I564"/>
  <c r="I1041"/>
  <c r="R91" i="9" l="1"/>
  <c r="Q91"/>
  <c r="S91"/>
  <c r="I1718" i="15"/>
  <c r="I1719" s="1"/>
  <c r="J158" i="17" s="1"/>
  <c r="J93"/>
  <c r="J94"/>
  <c r="K94"/>
  <c r="L93"/>
  <c r="Q93"/>
  <c r="R93" s="1"/>
  <c r="J92"/>
  <c r="K92"/>
  <c r="K85"/>
  <c r="L85" s="1"/>
  <c r="J85"/>
  <c r="I1043" i="15"/>
  <c r="I1044" s="1"/>
  <c r="J83" i="17" s="1"/>
  <c r="M22"/>
  <c r="S22" s="1"/>
  <c r="I1006" i="15"/>
  <c r="K539"/>
  <c r="I544"/>
  <c r="I546" s="1"/>
  <c r="I547" s="1"/>
  <c r="K537"/>
  <c r="K538"/>
  <c r="I1282"/>
  <c r="I1313" s="1"/>
  <c r="K533"/>
  <c r="K82" i="17"/>
  <c r="Q82" s="1"/>
  <c r="R82" s="1"/>
  <c r="J82"/>
  <c r="I684" i="15"/>
  <c r="I691"/>
  <c r="I698"/>
  <c r="Q28" i="17"/>
  <c r="R28" s="1"/>
  <c r="L28"/>
  <c r="I565" i="15"/>
  <c r="J41" i="17" s="1"/>
  <c r="J81"/>
  <c r="K81"/>
  <c r="J80"/>
  <c r="K80"/>
  <c r="O60"/>
  <c r="P60" s="1"/>
  <c r="L60"/>
  <c r="J169"/>
  <c r="K169"/>
  <c r="J166"/>
  <c r="K166"/>
  <c r="Q186"/>
  <c r="R186" s="1"/>
  <c r="L186"/>
  <c r="Q180"/>
  <c r="R180" s="1"/>
  <c r="L180"/>
  <c r="Q170"/>
  <c r="R170" s="1"/>
  <c r="L170"/>
  <c r="L190"/>
  <c r="Q190"/>
  <c r="R190" s="1"/>
  <c r="Q181"/>
  <c r="R181" s="1"/>
  <c r="L181"/>
  <c r="Q195"/>
  <c r="R195" s="1"/>
  <c r="L195"/>
  <c r="J162"/>
  <c r="K162"/>
  <c r="J168"/>
  <c r="K168"/>
  <c r="J167"/>
  <c r="K167"/>
  <c r="J192"/>
  <c r="K192"/>
  <c r="J164"/>
  <c r="K164"/>
  <c r="J194"/>
  <c r="K194"/>
  <c r="K188"/>
  <c r="J188"/>
  <c r="Q191"/>
  <c r="R191" s="1"/>
  <c r="L191"/>
  <c r="L189"/>
  <c r="O189"/>
  <c r="P189" s="1"/>
  <c r="Q189"/>
  <c r="R189" s="1"/>
  <c r="Q185"/>
  <c r="R185" s="1"/>
  <c r="L185"/>
  <c r="Q187"/>
  <c r="R187" s="1"/>
  <c r="L187"/>
  <c r="Q193"/>
  <c r="R193" s="1"/>
  <c r="L193"/>
  <c r="K163"/>
  <c r="J163"/>
  <c r="K70"/>
  <c r="J70"/>
  <c r="J63"/>
  <c r="K63"/>
  <c r="J58"/>
  <c r="K58"/>
  <c r="J147"/>
  <c r="K147"/>
  <c r="J141"/>
  <c r="K141"/>
  <c r="J101"/>
  <c r="K101"/>
  <c r="J96"/>
  <c r="K96"/>
  <c r="J50"/>
  <c r="K50"/>
  <c r="J102"/>
  <c r="K102"/>
  <c r="J139"/>
  <c r="K139"/>
  <c r="J137"/>
  <c r="K137"/>
  <c r="J127"/>
  <c r="K127"/>
  <c r="J120"/>
  <c r="K120"/>
  <c r="J88"/>
  <c r="K88"/>
  <c r="J67"/>
  <c r="K67"/>
  <c r="J124"/>
  <c r="K124"/>
  <c r="J51"/>
  <c r="K51"/>
  <c r="J149"/>
  <c r="K149"/>
  <c r="K107"/>
  <c r="J107"/>
  <c r="J117"/>
  <c r="K117"/>
  <c r="K121"/>
  <c r="J121"/>
  <c r="J142"/>
  <c r="K142"/>
  <c r="Q152"/>
  <c r="R152" s="1"/>
  <c r="L152"/>
  <c r="Q148"/>
  <c r="R148" s="1"/>
  <c r="L148"/>
  <c r="Q128"/>
  <c r="R128" s="1"/>
  <c r="L128"/>
  <c r="Q104"/>
  <c r="R104" s="1"/>
  <c r="L104"/>
  <c r="L56"/>
  <c r="O56"/>
  <c r="P56" s="1"/>
  <c r="Q140"/>
  <c r="R140" s="1"/>
  <c r="L140"/>
  <c r="L112"/>
  <c r="O112"/>
  <c r="P112" s="1"/>
  <c r="Q100"/>
  <c r="R100" s="1"/>
  <c r="L100"/>
  <c r="O73"/>
  <c r="P73" s="1"/>
  <c r="L73"/>
  <c r="Q55"/>
  <c r="R55" s="1"/>
  <c r="O55"/>
  <c r="P55" s="1"/>
  <c r="L55"/>
  <c r="K158"/>
  <c r="K87"/>
  <c r="J87"/>
  <c r="K66"/>
  <c r="J66"/>
  <c r="J59"/>
  <c r="K59"/>
  <c r="K53"/>
  <c r="J53"/>
  <c r="K143"/>
  <c r="J143"/>
  <c r="J108"/>
  <c r="K108"/>
  <c r="J98"/>
  <c r="K98"/>
  <c r="J52"/>
  <c r="K52"/>
  <c r="K97"/>
  <c r="J97"/>
  <c r="J151"/>
  <c r="K151"/>
  <c r="K138"/>
  <c r="J138"/>
  <c r="J136"/>
  <c r="K136"/>
  <c r="J126"/>
  <c r="K126"/>
  <c r="J115"/>
  <c r="K115"/>
  <c r="K84"/>
  <c r="J84"/>
  <c r="J47"/>
  <c r="K47"/>
  <c r="K65"/>
  <c r="J65"/>
  <c r="J150"/>
  <c r="K150"/>
  <c r="J48"/>
  <c r="K48"/>
  <c r="J125"/>
  <c r="K125"/>
  <c r="J144"/>
  <c r="K144"/>
  <c r="Q145"/>
  <c r="R145" s="1"/>
  <c r="L145"/>
  <c r="Q131"/>
  <c r="R131" s="1"/>
  <c r="L131"/>
  <c r="L113"/>
  <c r="O113"/>
  <c r="P113" s="1"/>
  <c r="Q89"/>
  <c r="R89" s="1"/>
  <c r="L89"/>
  <c r="O89"/>
  <c r="P89" s="1"/>
  <c r="Q86"/>
  <c r="R86" s="1"/>
  <c r="O86"/>
  <c r="P86" s="1"/>
  <c r="L86"/>
  <c r="Q130"/>
  <c r="R130" s="1"/>
  <c r="L130"/>
  <c r="Q105"/>
  <c r="R105" s="1"/>
  <c r="L105"/>
  <c r="Q71"/>
  <c r="R71" s="1"/>
  <c r="L71"/>
  <c r="L123"/>
  <c r="Q123"/>
  <c r="R123" s="1"/>
  <c r="K99"/>
  <c r="J99"/>
  <c r="J69"/>
  <c r="K69"/>
  <c r="Q68"/>
  <c r="R68" s="1"/>
  <c r="O68"/>
  <c r="P68" s="1"/>
  <c r="L68"/>
  <c r="Q62"/>
  <c r="R62" s="1"/>
  <c r="L62"/>
  <c r="K49"/>
  <c r="J49"/>
  <c r="K38"/>
  <c r="J38"/>
  <c r="I750" i="15"/>
  <c r="I670"/>
  <c r="K37" i="17"/>
  <c r="J37"/>
  <c r="K39"/>
  <c r="J39"/>
  <c r="J25"/>
  <c r="K25"/>
  <c r="Q31"/>
  <c r="R31" s="1"/>
  <c r="L31"/>
  <c r="K30"/>
  <c r="J30"/>
  <c r="J35"/>
  <c r="K35"/>
  <c r="K21"/>
  <c r="J21"/>
  <c r="M19"/>
  <c r="N19"/>
  <c r="I1241" i="15"/>
  <c r="I1314"/>
  <c r="I1726"/>
  <c r="I1727" s="1"/>
  <c r="I1728" s="1"/>
  <c r="K532"/>
  <c r="K536"/>
  <c r="K344"/>
  <c r="K486" s="1"/>
  <c r="X91" i="9" l="1"/>
  <c r="X92" s="1"/>
  <c r="Q94" i="17"/>
  <c r="R94" s="1"/>
  <c r="L94"/>
  <c r="M93"/>
  <c r="S93" s="1"/>
  <c r="N93"/>
  <c r="T93" s="1"/>
  <c r="O92"/>
  <c r="P92" s="1"/>
  <c r="L92"/>
  <c r="O85"/>
  <c r="P85" s="1"/>
  <c r="K83"/>
  <c r="Q83" s="1"/>
  <c r="R83" s="1"/>
  <c r="K78"/>
  <c r="L78" s="1"/>
  <c r="J78"/>
  <c r="J29"/>
  <c r="K29"/>
  <c r="L29" s="1"/>
  <c r="L82"/>
  <c r="N82" s="1"/>
  <c r="T82" s="1"/>
  <c r="J44"/>
  <c r="K44"/>
  <c r="O44" s="1"/>
  <c r="P44" s="1"/>
  <c r="K45"/>
  <c r="O45" s="1"/>
  <c r="P45" s="1"/>
  <c r="J45"/>
  <c r="J43"/>
  <c r="K43"/>
  <c r="O43" s="1"/>
  <c r="P43" s="1"/>
  <c r="M28"/>
  <c r="S28" s="1"/>
  <c r="N28"/>
  <c r="T28" s="1"/>
  <c r="K41"/>
  <c r="L41" s="1"/>
  <c r="I671" i="15"/>
  <c r="Q81" i="17"/>
  <c r="R81" s="1"/>
  <c r="L81"/>
  <c r="O80"/>
  <c r="P80" s="1"/>
  <c r="L80"/>
  <c r="M60"/>
  <c r="S60" s="1"/>
  <c r="N60"/>
  <c r="T60" s="1"/>
  <c r="M191"/>
  <c r="S191" s="1"/>
  <c r="N191"/>
  <c r="T191" s="1"/>
  <c r="Q194"/>
  <c r="R194" s="1"/>
  <c r="L194"/>
  <c r="Q164"/>
  <c r="R164" s="1"/>
  <c r="L164"/>
  <c r="Q192"/>
  <c r="R192" s="1"/>
  <c r="L192"/>
  <c r="Q167"/>
  <c r="R167" s="1"/>
  <c r="L167"/>
  <c r="Q168"/>
  <c r="R168" s="1"/>
  <c r="L168"/>
  <c r="Q162"/>
  <c r="R162" s="1"/>
  <c r="L162"/>
  <c r="M195"/>
  <c r="S195" s="1"/>
  <c r="N195"/>
  <c r="T195" s="1"/>
  <c r="M181"/>
  <c r="S181" s="1"/>
  <c r="N181"/>
  <c r="T181" s="1"/>
  <c r="M170"/>
  <c r="S170" s="1"/>
  <c r="N170"/>
  <c r="T170" s="1"/>
  <c r="M180"/>
  <c r="S180" s="1"/>
  <c r="N180"/>
  <c r="T180" s="1"/>
  <c r="M186"/>
  <c r="S186" s="1"/>
  <c r="N186"/>
  <c r="T186" s="1"/>
  <c r="Q166"/>
  <c r="R166" s="1"/>
  <c r="L166"/>
  <c r="Q169"/>
  <c r="R169" s="1"/>
  <c r="L169"/>
  <c r="K161"/>
  <c r="J161"/>
  <c r="M193"/>
  <c r="S193" s="1"/>
  <c r="N193"/>
  <c r="T193" s="1"/>
  <c r="M187"/>
  <c r="S187" s="1"/>
  <c r="N187"/>
  <c r="T187" s="1"/>
  <c r="M185"/>
  <c r="S185" s="1"/>
  <c r="N185"/>
  <c r="T185" s="1"/>
  <c r="M189"/>
  <c r="S189" s="1"/>
  <c r="N189"/>
  <c r="T189" s="1"/>
  <c r="Q188"/>
  <c r="R188" s="1"/>
  <c r="L188"/>
  <c r="M190"/>
  <c r="S190" s="1"/>
  <c r="N190"/>
  <c r="T190" s="1"/>
  <c r="Q163"/>
  <c r="R163" s="1"/>
  <c r="L163"/>
  <c r="K106"/>
  <c r="J106"/>
  <c r="M113"/>
  <c r="S113" s="1"/>
  <c r="N113"/>
  <c r="T113" s="1"/>
  <c r="Q65"/>
  <c r="R65" s="1"/>
  <c r="L65"/>
  <c r="Q84"/>
  <c r="R84" s="1"/>
  <c r="O84"/>
  <c r="P84" s="1"/>
  <c r="L84"/>
  <c r="Q138"/>
  <c r="R138" s="1"/>
  <c r="L138"/>
  <c r="Q97"/>
  <c r="R97" s="1"/>
  <c r="L97"/>
  <c r="Q143"/>
  <c r="R143" s="1"/>
  <c r="L143"/>
  <c r="Q53"/>
  <c r="R53" s="1"/>
  <c r="L53"/>
  <c r="Q66"/>
  <c r="R66" s="1"/>
  <c r="L66"/>
  <c r="O87"/>
  <c r="P87" s="1"/>
  <c r="L87"/>
  <c r="Q158"/>
  <c r="R158" s="1"/>
  <c r="L158"/>
  <c r="M73"/>
  <c r="S73" s="1"/>
  <c r="N73"/>
  <c r="T73" s="1"/>
  <c r="M85"/>
  <c r="S85" s="1"/>
  <c r="N85"/>
  <c r="T85" s="1"/>
  <c r="M100"/>
  <c r="S100" s="1"/>
  <c r="N100"/>
  <c r="T100" s="1"/>
  <c r="M140"/>
  <c r="S140" s="1"/>
  <c r="N140"/>
  <c r="T140" s="1"/>
  <c r="M104"/>
  <c r="S104" s="1"/>
  <c r="N104"/>
  <c r="T104" s="1"/>
  <c r="M128"/>
  <c r="S128" s="1"/>
  <c r="N128"/>
  <c r="T128" s="1"/>
  <c r="M148"/>
  <c r="S148" s="1"/>
  <c r="N148"/>
  <c r="T148" s="1"/>
  <c r="M152"/>
  <c r="S152" s="1"/>
  <c r="N152"/>
  <c r="T152" s="1"/>
  <c r="Q142"/>
  <c r="R142" s="1"/>
  <c r="L142"/>
  <c r="O117"/>
  <c r="P117" s="1"/>
  <c r="L117"/>
  <c r="Q149"/>
  <c r="R149" s="1"/>
  <c r="L149"/>
  <c r="Q51"/>
  <c r="R51" s="1"/>
  <c r="L51"/>
  <c r="Q124"/>
  <c r="R124" s="1"/>
  <c r="L124"/>
  <c r="Q67"/>
  <c r="R67" s="1"/>
  <c r="O67"/>
  <c r="P67" s="1"/>
  <c r="L67"/>
  <c r="Q88"/>
  <c r="R88" s="1"/>
  <c r="L88"/>
  <c r="O88"/>
  <c r="P88" s="1"/>
  <c r="Q120"/>
  <c r="R120" s="1"/>
  <c r="L120"/>
  <c r="Q127"/>
  <c r="R127" s="1"/>
  <c r="L127"/>
  <c r="Q137"/>
  <c r="R137" s="1"/>
  <c r="L137"/>
  <c r="Q139"/>
  <c r="R139" s="1"/>
  <c r="L139"/>
  <c r="Q102"/>
  <c r="R102" s="1"/>
  <c r="L102"/>
  <c r="L50"/>
  <c r="Q50"/>
  <c r="R50" s="1"/>
  <c r="Q96"/>
  <c r="R96" s="1"/>
  <c r="L96"/>
  <c r="Q101"/>
  <c r="R101" s="1"/>
  <c r="L101"/>
  <c r="Q141"/>
  <c r="R141" s="1"/>
  <c r="L141"/>
  <c r="Q147"/>
  <c r="R147" s="1"/>
  <c r="L147"/>
  <c r="Q58"/>
  <c r="R58" s="1"/>
  <c r="L58"/>
  <c r="Q63"/>
  <c r="R63" s="1"/>
  <c r="L63"/>
  <c r="M71"/>
  <c r="S71" s="1"/>
  <c r="N71"/>
  <c r="T71" s="1"/>
  <c r="M82"/>
  <c r="S82" s="1"/>
  <c r="M105"/>
  <c r="S105" s="1"/>
  <c r="N105"/>
  <c r="T105" s="1"/>
  <c r="M130"/>
  <c r="S130" s="1"/>
  <c r="N130"/>
  <c r="T130" s="1"/>
  <c r="M86"/>
  <c r="S86" s="1"/>
  <c r="N86"/>
  <c r="T86" s="1"/>
  <c r="M89"/>
  <c r="S89" s="1"/>
  <c r="N89"/>
  <c r="T89" s="1"/>
  <c r="M131"/>
  <c r="S131" s="1"/>
  <c r="N131"/>
  <c r="T131" s="1"/>
  <c r="M145"/>
  <c r="S145" s="1"/>
  <c r="N145"/>
  <c r="T145" s="1"/>
  <c r="L144"/>
  <c r="O144"/>
  <c r="P144" s="1"/>
  <c r="Q144"/>
  <c r="R144" s="1"/>
  <c r="Q125"/>
  <c r="R125" s="1"/>
  <c r="L125"/>
  <c r="Q48"/>
  <c r="R48" s="1"/>
  <c r="L48"/>
  <c r="Q150"/>
  <c r="R150" s="1"/>
  <c r="L150"/>
  <c r="L47"/>
  <c r="O47"/>
  <c r="P47" s="1"/>
  <c r="O115"/>
  <c r="P115" s="1"/>
  <c r="L115"/>
  <c r="Q126"/>
  <c r="R126" s="1"/>
  <c r="L126"/>
  <c r="Q136"/>
  <c r="R136" s="1"/>
  <c r="L136"/>
  <c r="Q151"/>
  <c r="R151" s="1"/>
  <c r="L151"/>
  <c r="L52"/>
  <c r="O52"/>
  <c r="P52" s="1"/>
  <c r="Q98"/>
  <c r="R98" s="1"/>
  <c r="L98"/>
  <c r="Q108"/>
  <c r="R108" s="1"/>
  <c r="L108"/>
  <c r="Q59"/>
  <c r="R59" s="1"/>
  <c r="L59"/>
  <c r="N55"/>
  <c r="T55" s="1"/>
  <c r="M55"/>
  <c r="S55" s="1"/>
  <c r="M112"/>
  <c r="S112" s="1"/>
  <c r="N112"/>
  <c r="T112" s="1"/>
  <c r="M56"/>
  <c r="S56" s="1"/>
  <c r="N56"/>
  <c r="T56" s="1"/>
  <c r="L121"/>
  <c r="O121"/>
  <c r="P121" s="1"/>
  <c r="Q121"/>
  <c r="R121" s="1"/>
  <c r="O107"/>
  <c r="P107" s="1"/>
  <c r="L107"/>
  <c r="Q70"/>
  <c r="R70" s="1"/>
  <c r="L70"/>
  <c r="M123"/>
  <c r="S123" s="1"/>
  <c r="N123"/>
  <c r="T123" s="1"/>
  <c r="L99"/>
  <c r="Q99"/>
  <c r="R99" s="1"/>
  <c r="Q69"/>
  <c r="R69" s="1"/>
  <c r="L69"/>
  <c r="O69"/>
  <c r="P69" s="1"/>
  <c r="M68"/>
  <c r="S68" s="1"/>
  <c r="N68"/>
  <c r="T68" s="1"/>
  <c r="M62"/>
  <c r="S62" s="1"/>
  <c r="N62"/>
  <c r="T62" s="1"/>
  <c r="Q49"/>
  <c r="R49" s="1"/>
  <c r="L49"/>
  <c r="K46"/>
  <c r="Q46" s="1"/>
  <c r="R46" s="1"/>
  <c r="J46"/>
  <c r="Q37"/>
  <c r="R37" s="1"/>
  <c r="L37"/>
  <c r="Q38"/>
  <c r="R38" s="1"/>
  <c r="L38"/>
  <c r="Q39"/>
  <c r="R39" s="1"/>
  <c r="L39"/>
  <c r="Q35"/>
  <c r="R35" s="1"/>
  <c r="L35"/>
  <c r="M31"/>
  <c r="S31" s="1"/>
  <c r="N31"/>
  <c r="T31" s="1"/>
  <c r="Q25"/>
  <c r="R25" s="1"/>
  <c r="L25"/>
  <c r="O21"/>
  <c r="P21" s="1"/>
  <c r="L21"/>
  <c r="Q30"/>
  <c r="R30" s="1"/>
  <c r="L30"/>
  <c r="T19"/>
  <c r="S19"/>
  <c r="I917" i="18" l="1"/>
  <c r="I74" i="19"/>
  <c r="I74" i="17"/>
  <c r="J74" s="1"/>
  <c r="I1229" i="18"/>
  <c r="I111" i="17" s="1"/>
  <c r="K111" s="1"/>
  <c r="K74"/>
  <c r="M94"/>
  <c r="S94" s="1"/>
  <c r="N94"/>
  <c r="T94" s="1"/>
  <c r="Q78"/>
  <c r="R78" s="1"/>
  <c r="Q29"/>
  <c r="R29" s="1"/>
  <c r="M92"/>
  <c r="S92" s="1"/>
  <c r="N92"/>
  <c r="T92" s="1"/>
  <c r="O83"/>
  <c r="P83" s="1"/>
  <c r="L83"/>
  <c r="N83" s="1"/>
  <c r="T83" s="1"/>
  <c r="O41"/>
  <c r="P41" s="1"/>
  <c r="L45"/>
  <c r="N45" s="1"/>
  <c r="T45" s="1"/>
  <c r="L44"/>
  <c r="N44" s="1"/>
  <c r="T44" s="1"/>
  <c r="L46"/>
  <c r="N46" s="1"/>
  <c r="T46" s="1"/>
  <c r="L43"/>
  <c r="M43" s="1"/>
  <c r="S43" s="1"/>
  <c r="J42"/>
  <c r="K42"/>
  <c r="O42" s="1"/>
  <c r="P42" s="1"/>
  <c r="M81"/>
  <c r="S81" s="1"/>
  <c r="N81"/>
  <c r="T81" s="1"/>
  <c r="M80"/>
  <c r="S80" s="1"/>
  <c r="N80"/>
  <c r="T80" s="1"/>
  <c r="M188"/>
  <c r="S188" s="1"/>
  <c r="N188"/>
  <c r="T188" s="1"/>
  <c r="Q161"/>
  <c r="R161" s="1"/>
  <c r="L161"/>
  <c r="M169"/>
  <c r="S169" s="1"/>
  <c r="N169"/>
  <c r="T169" s="1"/>
  <c r="M166"/>
  <c r="S166" s="1"/>
  <c r="N166"/>
  <c r="T166" s="1"/>
  <c r="M162"/>
  <c r="S162" s="1"/>
  <c r="N162"/>
  <c r="T162" s="1"/>
  <c r="M168"/>
  <c r="S168" s="1"/>
  <c r="N168"/>
  <c r="T168" s="1"/>
  <c r="M167"/>
  <c r="S167" s="1"/>
  <c r="N167"/>
  <c r="T167" s="1"/>
  <c r="M192"/>
  <c r="S192" s="1"/>
  <c r="N192"/>
  <c r="T192" s="1"/>
  <c r="M164"/>
  <c r="S164" s="1"/>
  <c r="N164"/>
  <c r="T164" s="1"/>
  <c r="M194"/>
  <c r="S194" s="1"/>
  <c r="N194"/>
  <c r="T194" s="1"/>
  <c r="M163"/>
  <c r="S163" s="1"/>
  <c r="N163"/>
  <c r="T163" s="1"/>
  <c r="M83"/>
  <c r="M52"/>
  <c r="S52" s="1"/>
  <c r="N52"/>
  <c r="T52" s="1"/>
  <c r="M47"/>
  <c r="S47" s="1"/>
  <c r="N47"/>
  <c r="T47" s="1"/>
  <c r="M50"/>
  <c r="S50" s="1"/>
  <c r="N50"/>
  <c r="T50" s="1"/>
  <c r="M88"/>
  <c r="S88" s="1"/>
  <c r="N88"/>
  <c r="T88" s="1"/>
  <c r="M67"/>
  <c r="S67" s="1"/>
  <c r="N67"/>
  <c r="T67" s="1"/>
  <c r="M65"/>
  <c r="S65" s="1"/>
  <c r="N65"/>
  <c r="T65" s="1"/>
  <c r="M70"/>
  <c r="S70" s="1"/>
  <c r="N70"/>
  <c r="T70" s="1"/>
  <c r="M107"/>
  <c r="S107" s="1"/>
  <c r="N107"/>
  <c r="T107" s="1"/>
  <c r="M121"/>
  <c r="S121" s="1"/>
  <c r="N121"/>
  <c r="T121" s="1"/>
  <c r="M59"/>
  <c r="S59" s="1"/>
  <c r="N59"/>
  <c r="T59" s="1"/>
  <c r="M108"/>
  <c r="S108" s="1"/>
  <c r="N108"/>
  <c r="T108" s="1"/>
  <c r="M98"/>
  <c r="S98" s="1"/>
  <c r="N98"/>
  <c r="T98" s="1"/>
  <c r="M151"/>
  <c r="S151" s="1"/>
  <c r="N151"/>
  <c r="T151" s="1"/>
  <c r="M136"/>
  <c r="S136" s="1"/>
  <c r="N136"/>
  <c r="T136" s="1"/>
  <c r="M126"/>
  <c r="S126" s="1"/>
  <c r="N126"/>
  <c r="T126" s="1"/>
  <c r="N115"/>
  <c r="T115" s="1"/>
  <c r="M115"/>
  <c r="S115" s="1"/>
  <c r="M150"/>
  <c r="S150" s="1"/>
  <c r="N150"/>
  <c r="T150" s="1"/>
  <c r="M48"/>
  <c r="S48" s="1"/>
  <c r="N48"/>
  <c r="T48" s="1"/>
  <c r="M125"/>
  <c r="S125" s="1"/>
  <c r="N125"/>
  <c r="T125" s="1"/>
  <c r="M144"/>
  <c r="S144" s="1"/>
  <c r="N144"/>
  <c r="T144" s="1"/>
  <c r="M63"/>
  <c r="S63" s="1"/>
  <c r="N63"/>
  <c r="T63" s="1"/>
  <c r="M58"/>
  <c r="S58" s="1"/>
  <c r="N58"/>
  <c r="T58" s="1"/>
  <c r="M147"/>
  <c r="S147" s="1"/>
  <c r="N147"/>
  <c r="T147" s="1"/>
  <c r="M141"/>
  <c r="S141" s="1"/>
  <c r="N141"/>
  <c r="T141" s="1"/>
  <c r="M101"/>
  <c r="S101" s="1"/>
  <c r="N101"/>
  <c r="T101" s="1"/>
  <c r="M96"/>
  <c r="S96" s="1"/>
  <c r="N96"/>
  <c r="T96" s="1"/>
  <c r="M102"/>
  <c r="S102" s="1"/>
  <c r="N102"/>
  <c r="T102" s="1"/>
  <c r="M139"/>
  <c r="S139" s="1"/>
  <c r="N139"/>
  <c r="T139" s="1"/>
  <c r="M137"/>
  <c r="S137" s="1"/>
  <c r="N137"/>
  <c r="T137" s="1"/>
  <c r="M127"/>
  <c r="S127" s="1"/>
  <c r="N127"/>
  <c r="T127" s="1"/>
  <c r="M120"/>
  <c r="S120" s="1"/>
  <c r="N120"/>
  <c r="T120" s="1"/>
  <c r="M124"/>
  <c r="S124" s="1"/>
  <c r="N124"/>
  <c r="T124" s="1"/>
  <c r="M51"/>
  <c r="S51" s="1"/>
  <c r="N51"/>
  <c r="T51" s="1"/>
  <c r="M149"/>
  <c r="S149" s="1"/>
  <c r="N149"/>
  <c r="T149" s="1"/>
  <c r="N117"/>
  <c r="T117" s="1"/>
  <c r="M117"/>
  <c r="S117" s="1"/>
  <c r="M142"/>
  <c r="S142" s="1"/>
  <c r="N142"/>
  <c r="T142" s="1"/>
  <c r="M158"/>
  <c r="S158" s="1"/>
  <c r="N158"/>
  <c r="T158" s="1"/>
  <c r="M87"/>
  <c r="S87" s="1"/>
  <c r="N87"/>
  <c r="T87" s="1"/>
  <c r="M66"/>
  <c r="S66" s="1"/>
  <c r="N66"/>
  <c r="T66" s="1"/>
  <c r="N53"/>
  <c r="T53" s="1"/>
  <c r="M53"/>
  <c r="S53" s="1"/>
  <c r="M143"/>
  <c r="S143" s="1"/>
  <c r="N143"/>
  <c r="T143" s="1"/>
  <c r="M97"/>
  <c r="S97" s="1"/>
  <c r="N97"/>
  <c r="T97" s="1"/>
  <c r="M138"/>
  <c r="S138" s="1"/>
  <c r="N138"/>
  <c r="T138" s="1"/>
  <c r="M84"/>
  <c r="S84" s="1"/>
  <c r="N84"/>
  <c r="T84" s="1"/>
  <c r="L106"/>
  <c r="Q106"/>
  <c r="R106" s="1"/>
  <c r="M99"/>
  <c r="S99" s="1"/>
  <c r="N99"/>
  <c r="T99" s="1"/>
  <c r="M78"/>
  <c r="S78" s="1"/>
  <c r="N78"/>
  <c r="M69"/>
  <c r="S69" s="1"/>
  <c r="N69"/>
  <c r="T69" s="1"/>
  <c r="M49"/>
  <c r="S49" s="1"/>
  <c r="N49"/>
  <c r="T49" s="1"/>
  <c r="J40"/>
  <c r="K40"/>
  <c r="M38"/>
  <c r="S38" s="1"/>
  <c r="N38"/>
  <c r="T38" s="1"/>
  <c r="N41"/>
  <c r="T41" s="1"/>
  <c r="M41"/>
  <c r="M37"/>
  <c r="S37" s="1"/>
  <c r="N37"/>
  <c r="T37" s="1"/>
  <c r="N39"/>
  <c r="T39" s="1"/>
  <c r="M39"/>
  <c r="S39" s="1"/>
  <c r="M25"/>
  <c r="S25" s="1"/>
  <c r="N25"/>
  <c r="T25" s="1"/>
  <c r="M35"/>
  <c r="S35" s="1"/>
  <c r="N35"/>
  <c r="T35" s="1"/>
  <c r="M30"/>
  <c r="S30" s="1"/>
  <c r="N30"/>
  <c r="T30" s="1"/>
  <c r="M29"/>
  <c r="S29" s="1"/>
  <c r="N29"/>
  <c r="M21"/>
  <c r="S21" s="1"/>
  <c r="N21"/>
  <c r="T21" s="1"/>
  <c r="T78" l="1"/>
  <c r="J111"/>
  <c r="O111"/>
  <c r="P111" s="1"/>
  <c r="L111"/>
  <c r="M111" s="1"/>
  <c r="I111" i="19"/>
  <c r="J111" s="1"/>
  <c r="I161"/>
  <c r="K74"/>
  <c r="J74"/>
  <c r="Q74" i="17"/>
  <c r="R74" s="1"/>
  <c r="L74"/>
  <c r="O74"/>
  <c r="P74" s="1"/>
  <c r="T29"/>
  <c r="S41"/>
  <c r="Q42"/>
  <c r="R42" s="1"/>
  <c r="S83"/>
  <c r="M45"/>
  <c r="S45" s="1"/>
  <c r="M46"/>
  <c r="S46" s="1"/>
  <c r="M44"/>
  <c r="S44" s="1"/>
  <c r="N43"/>
  <c r="T43" s="1"/>
  <c r="L42"/>
  <c r="N42" s="1"/>
  <c r="M161"/>
  <c r="S161" s="1"/>
  <c r="N161"/>
  <c r="T161" s="1"/>
  <c r="M106"/>
  <c r="S106" s="1"/>
  <c r="N106"/>
  <c r="T106" s="1"/>
  <c r="L40"/>
  <c r="Q40"/>
  <c r="R40" s="1"/>
  <c r="K111" i="19" l="1"/>
  <c r="L111" s="1"/>
  <c r="N111" i="17"/>
  <c r="T111" s="1"/>
  <c r="S111"/>
  <c r="K161" i="19"/>
  <c r="J161"/>
  <c r="Q74"/>
  <c r="R74" s="1"/>
  <c r="L74"/>
  <c r="O74"/>
  <c r="P74" s="1"/>
  <c r="N74" i="17"/>
  <c r="T74" s="1"/>
  <c r="M74"/>
  <c r="S74" s="1"/>
  <c r="T42"/>
  <c r="M42"/>
  <c r="S42" s="1"/>
  <c r="N40"/>
  <c r="M40"/>
  <c r="O111" i="19" l="1"/>
  <c r="P111" s="1"/>
  <c r="Q161"/>
  <c r="R161" s="1"/>
  <c r="L161"/>
  <c r="M74"/>
  <c r="S74" s="1"/>
  <c r="N74"/>
  <c r="T74" s="1"/>
  <c r="N111"/>
  <c r="T111" s="1"/>
  <c r="M111"/>
  <c r="T40" i="17"/>
  <c r="S40"/>
  <c r="I1315" i="15"/>
  <c r="I1316" s="1"/>
  <c r="S111" i="19" l="1"/>
  <c r="M161"/>
  <c r="S161" s="1"/>
  <c r="N161"/>
  <c r="T161" s="1"/>
  <c r="J109" i="17"/>
  <c r="K109"/>
  <c r="Q109" l="1"/>
  <c r="R109" s="1"/>
  <c r="R200" s="1"/>
  <c r="R201" s="1"/>
  <c r="R202" s="1"/>
  <c r="L109"/>
  <c r="O109"/>
  <c r="P109" s="1"/>
  <c r="M109" l="1"/>
  <c r="N109"/>
  <c r="S109" l="1"/>
  <c r="T109"/>
  <c r="I115" i="15"/>
  <c r="I116" s="1"/>
  <c r="I117" s="1"/>
  <c r="K20" i="17" s="1"/>
  <c r="H20"/>
  <c r="J20" l="1"/>
  <c r="J200" s="1"/>
  <c r="J201" l="1"/>
  <c r="J202" s="1"/>
  <c r="L20"/>
  <c r="O20"/>
  <c r="P20" s="1"/>
  <c r="P200" l="1"/>
  <c r="P201" s="1"/>
  <c r="P202" s="1"/>
  <c r="R203" s="1"/>
  <c r="N20"/>
  <c r="M20"/>
  <c r="M200" s="1"/>
  <c r="M201" s="1"/>
  <c r="M202" s="1"/>
  <c r="L200"/>
  <c r="L201" s="1"/>
  <c r="L202" s="1"/>
  <c r="F213" s="1"/>
  <c r="M210" l="1"/>
  <c r="M211" s="1"/>
  <c r="M209"/>
  <c r="Q209"/>
  <c r="Q212"/>
  <c r="Q213" s="1"/>
  <c r="T20"/>
  <c r="N200"/>
  <c r="N201" s="1"/>
  <c r="N202" s="1"/>
  <c r="S203" s="1"/>
  <c r="S20"/>
  <c r="M215" l="1"/>
  <c r="M216" s="1"/>
  <c r="M212"/>
  <c r="M213" s="1"/>
  <c r="R203" i="19"/>
  <c r="J201"/>
  <c r="J202" s="1"/>
  <c r="H206"/>
  <c r="H209" s="1"/>
  <c r="L201"/>
  <c r="L202" s="1"/>
  <c r="M201"/>
  <c r="M202" s="1"/>
  <c r="N203" s="1"/>
  <c r="N201"/>
  <c r="N202" s="1"/>
  <c r="M215" l="1"/>
  <c r="M218"/>
  <c r="M216"/>
  <c r="Q210"/>
  <c r="Q215"/>
  <c r="Q216" s="1"/>
  <c r="M210"/>
  <c r="M211" s="1"/>
  <c r="M212" s="1"/>
  <c r="L203"/>
  <c r="F208"/>
  <c r="F209" s="1"/>
  <c r="M219"/>
  <c r="G208"/>
  <c r="S203"/>
  <c r="M214" l="1"/>
  <c r="L204"/>
  <c r="Q213"/>
  <c r="Q214" s="1"/>
  <c r="J199"/>
  <c r="S124"/>
  <c r="J124"/>
  <c r="M124"/>
  <c r="N124"/>
  <c r="T124"/>
  <c r="L124"/>
  <c r="I1301" i="18"/>
  <c r="I124" i="19"/>
  <c r="K124"/>
  <c r="Q124"/>
  <c r="R124"/>
</calcChain>
</file>

<file path=xl/sharedStrings.xml><?xml version="1.0" encoding="utf-8"?>
<sst xmlns="http://schemas.openxmlformats.org/spreadsheetml/2006/main" count="10066" uniqueCount="1779">
  <si>
    <t>RS.</t>
  </si>
  <si>
    <t xml:space="preserve">Savings amount due to this proposal                                                    </t>
  </si>
  <si>
    <t xml:space="preserve">Exess amount due to this proposal                                              </t>
  </si>
  <si>
    <t xml:space="preserve">Percentage less                                                                                      </t>
  </si>
  <si>
    <t xml:space="preserve">Less amount                                                                                       </t>
  </si>
  <si>
    <t xml:space="preserve">Tender / Agreement value                                                                     </t>
  </si>
  <si>
    <t xml:space="preserve">Estimate amount put in tender                                                             </t>
  </si>
  <si>
    <t>As per Savings Amount</t>
  </si>
  <si>
    <t xml:space="preserve">Technically sanctioned amount                                                          </t>
  </si>
  <si>
    <t>Asper Excess Amount</t>
  </si>
  <si>
    <t xml:space="preserve">F.S. Allotted                                                                                             </t>
  </si>
  <si>
    <t>Total</t>
  </si>
  <si>
    <t>Cum</t>
  </si>
  <si>
    <t>b) Augering 30cm dia</t>
  </si>
  <si>
    <t>Savings</t>
  </si>
  <si>
    <t>Excess</t>
  </si>
  <si>
    <t>AMOUNT</t>
  </si>
  <si>
    <t>RATE</t>
  </si>
  <si>
    <t>Unit</t>
  </si>
  <si>
    <t>Remarks</t>
  </si>
  <si>
    <t>Difference</t>
  </si>
  <si>
    <t>Amount</t>
  </si>
  <si>
    <t>As per Aggrement</t>
  </si>
  <si>
    <t>Description</t>
  </si>
  <si>
    <t>Agt.Qty</t>
  </si>
  <si>
    <t>Sl. No</t>
  </si>
  <si>
    <t xml:space="preserve">Less Percentage                                </t>
  </si>
  <si>
    <t xml:space="preserve">Estimate Amount put in tender </t>
  </si>
  <si>
    <t>Agt Amount</t>
  </si>
  <si>
    <t xml:space="preserve">DDC       </t>
  </si>
  <si>
    <t xml:space="preserve">Estimate Amount                   </t>
  </si>
  <si>
    <t xml:space="preserve">Agt no          </t>
  </si>
  <si>
    <t xml:space="preserve">DHO      </t>
  </si>
  <si>
    <t xml:space="preserve">Estimate No                            </t>
  </si>
  <si>
    <t xml:space="preserve">FS Value  </t>
  </si>
  <si>
    <t>COMPARITIVE STATEMENT</t>
  </si>
  <si>
    <t>b. In First Floor</t>
  </si>
  <si>
    <t>c. In Second Floor</t>
  </si>
  <si>
    <t>d. In Third Floor</t>
  </si>
  <si>
    <t>c. In First Floor</t>
  </si>
  <si>
    <t>d. In Second Floor</t>
  </si>
  <si>
    <t>e. In Third Floor</t>
  </si>
  <si>
    <t>b. 75 mm wide</t>
  </si>
  <si>
    <t>c. 50 mm wide</t>
  </si>
  <si>
    <t>e. In Third floor</t>
  </si>
  <si>
    <t>c. In First floor</t>
  </si>
  <si>
    <t>d. In Second floor</t>
  </si>
  <si>
    <t>b.Plain surfaces such as Roof slab, floorslab, Beams, lintels, lofts, sill slab, staircase, portico slab and other similar works</t>
  </si>
  <si>
    <t>c.For Square and rectangular columns and small quantities</t>
  </si>
  <si>
    <t>d.Vertical wall</t>
  </si>
  <si>
    <t xml:space="preserve">b. 25 mm dia </t>
  </si>
  <si>
    <t>b. 75 mm dia.</t>
  </si>
  <si>
    <t>b. 160 mm UPVC Non Pressure  pipe</t>
  </si>
  <si>
    <t>b. Light point without ceiling rose</t>
  </si>
  <si>
    <t>56.3.1</t>
  </si>
  <si>
    <t>56.4.1</t>
  </si>
  <si>
    <t>57.1.1</t>
  </si>
  <si>
    <t>207.3.1</t>
  </si>
  <si>
    <t>359.3.1</t>
  </si>
  <si>
    <t>379.8.2</t>
  </si>
  <si>
    <t>G.I Pipe 20mm dia for Hot water line (Fully Concealed in walls)</t>
  </si>
  <si>
    <t>ANNEXURE</t>
  </si>
  <si>
    <t>1 Cum</t>
  </si>
  <si>
    <t>1 Sqm</t>
  </si>
  <si>
    <t>1 No</t>
  </si>
  <si>
    <t>1 Rmt</t>
  </si>
  <si>
    <t>1 MT</t>
  </si>
  <si>
    <t>Executed Quantity</t>
  </si>
  <si>
    <t>To be Executed Quantity</t>
  </si>
  <si>
    <t>QTY</t>
  </si>
  <si>
    <t>L</t>
  </si>
  <si>
    <t>B</t>
  </si>
  <si>
    <t>D</t>
  </si>
  <si>
    <t>x</t>
  </si>
  <si>
    <t>Say</t>
  </si>
  <si>
    <t>Sqm</t>
  </si>
  <si>
    <t>Rmt</t>
  </si>
  <si>
    <t>No</t>
  </si>
  <si>
    <t>MT</t>
  </si>
  <si>
    <t>Sub-Total -I</t>
  </si>
  <si>
    <t>Gst 12%</t>
  </si>
  <si>
    <t>Bar Bending Schedule</t>
  </si>
  <si>
    <t>Sl.No.</t>
  </si>
  <si>
    <t>Dia  ø</t>
  </si>
  <si>
    <t>Set</t>
  </si>
  <si>
    <t>Nos.</t>
  </si>
  <si>
    <t>Cutting Length (m)</t>
  </si>
  <si>
    <t>Total Length (m)</t>
  </si>
  <si>
    <t>Unit Weight</t>
  </si>
  <si>
    <t>Weight in kgs</t>
  </si>
  <si>
    <t xml:space="preserve">Value of work executed                                                            </t>
  </si>
  <si>
    <t xml:space="preserve">RS.   </t>
  </si>
  <si>
    <r>
      <t>Net savings</t>
    </r>
    <r>
      <rPr>
        <sz val="14"/>
        <rFont val="Times New Roman"/>
        <family val="1"/>
      </rPr>
      <t xml:space="preserve"> amount comparing to estimate value put in tender</t>
    </r>
  </si>
  <si>
    <r>
      <t>Net savings</t>
    </r>
    <r>
      <rPr>
        <sz val="14"/>
        <rFont val="Times New Roman"/>
        <family val="1"/>
      </rPr>
      <t xml:space="preserve"> percentage comparing to estimate value put in tender </t>
    </r>
  </si>
  <si>
    <t>22.3.3</t>
  </si>
  <si>
    <t>23.1.8</t>
  </si>
  <si>
    <t>ID</t>
  </si>
  <si>
    <t>Shape</t>
  </si>
  <si>
    <t>Length</t>
  </si>
  <si>
    <t>A</t>
  </si>
  <si>
    <t>C</t>
  </si>
  <si>
    <t>E</t>
  </si>
  <si>
    <t xml:space="preserve">Location </t>
  </si>
  <si>
    <t>Fan</t>
  </si>
  <si>
    <t xml:space="preserve">First Floor </t>
  </si>
  <si>
    <t>54.1.1</t>
  </si>
  <si>
    <t>54.2.1</t>
  </si>
  <si>
    <t>N/C : Tr.P.Manoharan, Chennai</t>
  </si>
  <si>
    <t>SE /03/2021-2022</t>
  </si>
  <si>
    <t>RS. 87,55,105.79</t>
  </si>
  <si>
    <t>RS.124.33 Lakhs</t>
  </si>
  <si>
    <t>Rs. 1,24,00,000.00</t>
  </si>
  <si>
    <t>CER No: 505/2019-2020</t>
  </si>
  <si>
    <t>12.07.2021</t>
  </si>
  <si>
    <t>11.03.2022</t>
  </si>
  <si>
    <t>Property room</t>
  </si>
  <si>
    <t>G.O.Ms.No.399 Home (Police -X) Dept, Dt: 02.08.2019</t>
  </si>
  <si>
    <t>CCTNS Room</t>
  </si>
  <si>
    <t>SI Room</t>
  </si>
  <si>
    <t>RS. 1,21,07,763.61</t>
  </si>
  <si>
    <t xml:space="preserve">(-) 27.69% </t>
  </si>
  <si>
    <t>S.No</t>
  </si>
  <si>
    <t>PC/HC room</t>
  </si>
  <si>
    <t>Third Floor</t>
  </si>
  <si>
    <t>In Third floor</t>
  </si>
  <si>
    <t>PCP Toilet</t>
  </si>
  <si>
    <t>Common Toilet</t>
  </si>
  <si>
    <t>Third Floor Toilet</t>
  </si>
  <si>
    <t>Nos</t>
  </si>
  <si>
    <t>Light point With Ceiling Rose</t>
  </si>
  <si>
    <t>Light point With out Ceiling Rose</t>
  </si>
  <si>
    <t>Satircase light point</t>
  </si>
  <si>
    <t xml:space="preserve">5A Convinient place </t>
  </si>
  <si>
    <t xml:space="preserve">15A Switch board </t>
  </si>
  <si>
    <t>5A Switch board itself</t>
  </si>
  <si>
    <t>Calling bell point</t>
  </si>
  <si>
    <t>AC Point</t>
  </si>
  <si>
    <t xml:space="preserve">Telephone Point </t>
  </si>
  <si>
    <t>TV Point</t>
  </si>
  <si>
    <t xml:space="preserve">4way DB </t>
  </si>
  <si>
    <t>6 Way DB</t>
  </si>
  <si>
    <t>18w LED Tub Light</t>
  </si>
  <si>
    <t xml:space="preserve">9W </t>
  </si>
  <si>
    <t>12W</t>
  </si>
  <si>
    <t xml:space="preserve">Bulk Head Fittings </t>
  </si>
  <si>
    <t xml:space="preserve">Exughst Fan </t>
  </si>
  <si>
    <t>Street Light</t>
  </si>
  <si>
    <t xml:space="preserve">Stilt Floor </t>
  </si>
  <si>
    <t>PCP Room</t>
  </si>
  <si>
    <t>Sentry Room</t>
  </si>
  <si>
    <t>Ammunitions room</t>
  </si>
  <si>
    <t xml:space="preserve">Fan Point </t>
  </si>
  <si>
    <t>Writer room</t>
  </si>
  <si>
    <t>Multiparpose room /Ins</t>
  </si>
  <si>
    <t>Inspector Room</t>
  </si>
  <si>
    <t>Inspector Room Toilet</t>
  </si>
  <si>
    <t>Meeting hall</t>
  </si>
  <si>
    <t>Second Floor</t>
  </si>
  <si>
    <t>Multiparpose room /PC/HC</t>
  </si>
  <si>
    <t>Men Rest Room</t>
  </si>
  <si>
    <t>Toilet</t>
  </si>
  <si>
    <t>Women Rest Room</t>
  </si>
  <si>
    <t>Pump set</t>
  </si>
  <si>
    <t>Bore well</t>
  </si>
  <si>
    <t>Sump</t>
  </si>
  <si>
    <t xml:space="preserve">Total Load </t>
  </si>
  <si>
    <t>or</t>
  </si>
  <si>
    <t>KW</t>
  </si>
  <si>
    <r>
      <rPr>
        <b/>
        <u/>
        <sz val="15"/>
        <color theme="1"/>
        <rFont val="Calibri"/>
        <family val="2"/>
        <scheme val="minor"/>
      </rPr>
      <t>Name Of Work:</t>
    </r>
    <r>
      <rPr>
        <b/>
        <sz val="15"/>
        <color theme="1"/>
        <rFont val="Calibri"/>
        <family val="2"/>
        <scheme val="minor"/>
      </rPr>
      <t xml:space="preserve"> Construction of New Police Station Building for S-9 Palavanthangal Police station at Palavanthangal in Chennai City.
</t>
    </r>
    <r>
      <rPr>
        <b/>
        <u/>
        <sz val="15"/>
        <color theme="1"/>
        <rFont val="Calibri"/>
        <family val="2"/>
        <scheme val="minor"/>
      </rPr>
      <t>EB Load Calculation</t>
    </r>
  </si>
  <si>
    <t xml:space="preserve">Load for Electrical Equipments in Watts </t>
  </si>
  <si>
    <t>Total Load in watts</t>
  </si>
  <si>
    <t>First Floor</t>
  </si>
  <si>
    <t>wash area</t>
  </si>
  <si>
    <t xml:space="preserve">Third floor </t>
  </si>
  <si>
    <t>Kg</t>
  </si>
  <si>
    <t>Inspector Toilet</t>
  </si>
  <si>
    <t>sqm</t>
  </si>
  <si>
    <t>Inspector toilet</t>
  </si>
  <si>
    <t xml:space="preserve">Strirrups </t>
  </si>
  <si>
    <t xml:space="preserve">Column rod </t>
  </si>
  <si>
    <t xml:space="preserve">Lapping </t>
  </si>
  <si>
    <t xml:space="preserve">Corridor </t>
  </si>
  <si>
    <t>Station Writer</t>
  </si>
  <si>
    <t>Rest Room</t>
  </si>
  <si>
    <t>CCTNS</t>
  </si>
  <si>
    <t>Passage</t>
  </si>
  <si>
    <t xml:space="preserve">Low Terrace </t>
  </si>
  <si>
    <t xml:space="preserve">Carparking </t>
  </si>
  <si>
    <t>Third floor</t>
  </si>
  <si>
    <t>Second floor</t>
  </si>
  <si>
    <t>First floor</t>
  </si>
  <si>
    <t>Writer</t>
  </si>
  <si>
    <t>Property</t>
  </si>
  <si>
    <t>Net Excess</t>
  </si>
  <si>
    <r>
      <t xml:space="preserve">Net Excess  </t>
    </r>
    <r>
      <rPr>
        <sz val="14"/>
        <rFont val="Times New Roman"/>
        <family val="1"/>
      </rPr>
      <t xml:space="preserve">amount comparing to agt - value                                         </t>
    </r>
  </si>
  <si>
    <r>
      <t xml:space="preserve">Net Excess </t>
    </r>
    <r>
      <rPr>
        <sz val="14"/>
        <rFont val="Times New Roman"/>
        <family val="1"/>
      </rPr>
      <t>percentage comparing to agt - value</t>
    </r>
  </si>
  <si>
    <t>Street light &amp; Metal Healied</t>
  </si>
  <si>
    <t>Corridor</t>
  </si>
  <si>
    <t xml:space="preserve">250W Metal Haleid </t>
  </si>
  <si>
    <t xml:space="preserve">Staircase </t>
  </si>
  <si>
    <t>S/C passage</t>
  </si>
  <si>
    <t>Head room</t>
  </si>
  <si>
    <t xml:space="preserve">Retaining wall </t>
  </si>
  <si>
    <t>Estimate Rate</t>
  </si>
  <si>
    <t>58.00</t>
  </si>
  <si>
    <t>95.00</t>
  </si>
  <si>
    <t>55.00</t>
  </si>
  <si>
    <t>1.50</t>
  </si>
  <si>
    <t>183.00</t>
  </si>
  <si>
    <t>128.00</t>
  </si>
  <si>
    <t>33.90</t>
  </si>
  <si>
    <t>34.00</t>
  </si>
  <si>
    <t>7463.70</t>
  </si>
  <si>
    <t>170.00</t>
  </si>
  <si>
    <t>445.00</t>
  </si>
  <si>
    <t>1272.00</t>
  </si>
  <si>
    <t>1664.00</t>
  </si>
  <si>
    <t>7542.00</t>
  </si>
  <si>
    <t>150.00</t>
  </si>
  <si>
    <t>431.00</t>
  </si>
  <si>
    <t>81.00</t>
  </si>
  <si>
    <t>372.00</t>
  </si>
  <si>
    <t>90.00</t>
  </si>
  <si>
    <t>60.00</t>
  </si>
  <si>
    <t>722.00</t>
  </si>
  <si>
    <t>73.90</t>
  </si>
  <si>
    <t>480.00</t>
  </si>
  <si>
    <t>1776.00</t>
  </si>
  <si>
    <t>1850.00</t>
  </si>
  <si>
    <t>5750.00</t>
  </si>
  <si>
    <t>600.00</t>
  </si>
  <si>
    <t>4200.00</t>
  </si>
  <si>
    <t>840.00</t>
  </si>
  <si>
    <t>720.00</t>
  </si>
  <si>
    <t>320.00</t>
  </si>
  <si>
    <t>450.00</t>
  </si>
  <si>
    <t>Estimate Amount</t>
  </si>
  <si>
    <t>Ab -Normal / Sub Normal</t>
  </si>
  <si>
    <t>Name of work: Construction of New Building For S4 Nandabakkam police station at chennai city.</t>
  </si>
  <si>
    <t>Detailed Estimate</t>
  </si>
  <si>
    <t>Item.no</t>
  </si>
  <si>
    <t>Description of work</t>
  </si>
  <si>
    <t>Measurements</t>
  </si>
  <si>
    <t>Units</t>
  </si>
  <si>
    <t>do</t>
  </si>
  <si>
    <t xml:space="preserve">Say </t>
  </si>
  <si>
    <t>say</t>
  </si>
  <si>
    <t>(a) Stilt Floor</t>
  </si>
  <si>
    <t>physically challenged</t>
  </si>
  <si>
    <t>d/f column</t>
  </si>
  <si>
    <t>(b) First Floor</t>
  </si>
  <si>
    <t>Alround</t>
  </si>
  <si>
    <t>Staircase/side wall</t>
  </si>
  <si>
    <t>(c) Second Floor</t>
  </si>
  <si>
    <t>Deduction</t>
  </si>
  <si>
    <t>W1</t>
  </si>
  <si>
    <t>V1</t>
  </si>
  <si>
    <r>
      <t>Brick partition wall in Cement Mortar 1:4</t>
    </r>
    <r>
      <rPr>
        <sz val="14"/>
        <rFont val="Times New Roman"/>
        <family val="1"/>
      </rPr>
      <t xml:space="preserve"> (One of cement and four of sand) </t>
    </r>
    <r>
      <rPr>
        <b/>
        <sz val="14"/>
        <rFont val="Times New Roman"/>
        <family val="1"/>
      </rPr>
      <t>114mm</t>
    </r>
    <r>
      <rPr>
        <sz val="14"/>
        <rFont val="Times New Roman"/>
        <family val="1"/>
      </rPr>
      <t xml:space="preserve"> thick for super structure in the following floors using chamber burnt bricks of size 9”x4½”x3” </t>
    </r>
    <r>
      <rPr>
        <b/>
        <sz val="14"/>
        <rFont val="Times New Roman"/>
        <family val="1"/>
      </rPr>
      <t>(23x11.4x7.5cm)</t>
    </r>
    <r>
      <rPr>
        <sz val="14"/>
        <rFont val="Times New Roman"/>
        <family val="1"/>
      </rPr>
      <t xml:space="preserve"> including labour for fixing the doors, windows and ventilator frames in position, fixing of hold fasts, scaffoldings, curing etc., complete in all respect complying with relevant standard specifications and drawings.</t>
    </r>
  </si>
  <si>
    <t>c) In First floor</t>
  </si>
  <si>
    <t>S.I front wall</t>
  </si>
  <si>
    <t>PC/HC front wall</t>
  </si>
  <si>
    <t>Common toilet front wall</t>
  </si>
  <si>
    <t xml:space="preserve">I/B Visitor &amp; Writer </t>
  </si>
  <si>
    <t>Ins Rest room front wall</t>
  </si>
  <si>
    <t>I/B toilet &amp; rest room</t>
  </si>
  <si>
    <t>D2</t>
  </si>
  <si>
    <t>D3</t>
  </si>
  <si>
    <t>d) In Second floor</t>
  </si>
  <si>
    <t>e) In Third floor</t>
  </si>
  <si>
    <r>
      <t>Brick partition walls 75mm</t>
    </r>
    <r>
      <rPr>
        <sz val="14"/>
        <rFont val="Times New Roman"/>
        <family val="1"/>
      </rPr>
      <t xml:space="preserve"> thick using </t>
    </r>
    <r>
      <rPr>
        <b/>
        <sz val="14"/>
        <rFont val="Times New Roman"/>
        <family val="1"/>
      </rPr>
      <t>chamber burnt bricks</t>
    </r>
    <r>
      <rPr>
        <sz val="14"/>
        <rFont val="Times New Roman"/>
        <family val="1"/>
      </rPr>
      <t xml:space="preserve"> of size 9”x4½”x3” (23x11.4x7.5cm) in cement mortar 1:4 (One of cement and four of sand) for super structure in the following floors including scaffoldings, curing etc., complete in all respect complying with relevant standard specifications and drawings.</t>
    </r>
  </si>
  <si>
    <t>SI &amp; Ins</t>
  </si>
  <si>
    <t xml:space="preserve">Pc/Hc </t>
  </si>
  <si>
    <t>(d) Third Floor</t>
  </si>
  <si>
    <t>Rest room men/women</t>
  </si>
  <si>
    <t>In First  floor</t>
  </si>
  <si>
    <t>In Second floor</t>
  </si>
  <si>
    <t>Each</t>
  </si>
  <si>
    <r>
      <t xml:space="preserve">Supplying of </t>
    </r>
    <r>
      <rPr>
        <b/>
        <sz val="14"/>
        <rFont val="Times New Roman"/>
        <family val="1"/>
      </rPr>
      <t>mild steel holdfasts</t>
    </r>
    <r>
      <rPr>
        <sz val="14"/>
        <rFont val="Times New Roman"/>
        <family val="1"/>
      </rPr>
      <t xml:space="preserve"> horizontally twisted of size 230x40x4mm with pair of suitable iron screws.</t>
    </r>
  </si>
  <si>
    <t>GF Door frame</t>
  </si>
  <si>
    <r>
      <t>Plastering the top of flooring</t>
    </r>
    <r>
      <rPr>
        <sz val="14"/>
        <rFont val="Times New Roman"/>
        <family val="1"/>
      </rPr>
      <t xml:space="preserve"> in cm 1:4 (One of cement and four of sand) 20mm thick including surface rendered smooth including providing proper slopes, thread lining, curing and 150mm wide skirting al-round with the same cement mortar etc., complete in all respects.</t>
    </r>
  </si>
  <si>
    <t>Ins chamber bott</t>
  </si>
  <si>
    <r>
      <t xml:space="preserve">Finishing the top of flooring with cement concrete 1:3 (One of cement and three of blue granite chips of size 10mm and below) 20 mm thick </t>
    </r>
    <r>
      <rPr>
        <b/>
        <sz val="14"/>
        <rFont val="Times New Roman"/>
        <family val="1"/>
      </rPr>
      <t xml:space="preserve">Ellis Pattern Flooring </t>
    </r>
    <r>
      <rPr>
        <sz val="14"/>
        <rFont val="Times New Roman"/>
        <family val="1"/>
      </rPr>
      <t>(No Sand) and surface rendered smooth including 150mm wide skirting, providing proper slopes, thread lining, curing etc., complete in all floors complying with relevant standard specifications.</t>
    </r>
  </si>
  <si>
    <t>For Arms &amp; Ammunition</t>
  </si>
  <si>
    <t xml:space="preserve">For lock up </t>
  </si>
  <si>
    <t>d/f WC</t>
  </si>
  <si>
    <r>
      <t>Weathering Course</t>
    </r>
    <r>
      <rPr>
        <sz val="14"/>
        <rFont val="Times New Roman"/>
        <family val="1"/>
      </rPr>
      <t xml:space="preserve"> with concrete broken brick jelly 20mm gauge in pure burnt stone lime slaked and screened (No Sand) over RCC Roof Slab with proportion of brick jelly to lime (fat lime) being 32: 12 1/2 by volume well beaten with wooden beaters for giving the required slope and thickness complying with relevant standard specification and as directed by the departmental officers.</t>
    </r>
  </si>
  <si>
    <r>
      <t>Plastering with cm 1:5</t>
    </r>
    <r>
      <rPr>
        <sz val="14"/>
        <rFont val="Times New Roman"/>
        <family val="1"/>
      </rPr>
      <t xml:space="preserve"> (One of cement and five of sand) 12mm thick finished with neat cement including providing band cornice, ceiling cornice, curing, scaffolding, etc., complete in all respects and complying with relevant standard specifications.</t>
    </r>
  </si>
  <si>
    <t>Ground/Stilt Floor</t>
  </si>
  <si>
    <t>Toilet (W &amp; M)</t>
  </si>
  <si>
    <t>outer</t>
  </si>
  <si>
    <t xml:space="preserve">Physical challenged </t>
  </si>
  <si>
    <t xml:space="preserve">do outer </t>
  </si>
  <si>
    <t>Add Jams For D</t>
  </si>
  <si>
    <t>Add Jams For D3</t>
  </si>
  <si>
    <t>W</t>
  </si>
  <si>
    <t>Add Jams For W</t>
  </si>
  <si>
    <t>Add Jams For W1</t>
  </si>
  <si>
    <t>Add Jams For V1</t>
  </si>
  <si>
    <t xml:space="preserve">S.I </t>
  </si>
  <si>
    <t>Ins</t>
  </si>
  <si>
    <t xml:space="preserve">rest room </t>
  </si>
  <si>
    <t xml:space="preserve">Corrridor </t>
  </si>
  <si>
    <t xml:space="preserve">Arm Ammunition </t>
  </si>
  <si>
    <t>Visitor area</t>
  </si>
  <si>
    <t>Add Jams For D2</t>
  </si>
  <si>
    <t>v1</t>
  </si>
  <si>
    <t>Add jams for v1</t>
  </si>
  <si>
    <t>V</t>
  </si>
  <si>
    <t>Add jams for V</t>
  </si>
  <si>
    <t>Cup Board Wall</t>
  </si>
  <si>
    <t>property</t>
  </si>
  <si>
    <t>Lock-up</t>
  </si>
  <si>
    <t>Rest room (women&amp; men)</t>
  </si>
  <si>
    <t>Inner Plastering Qty</t>
  </si>
  <si>
    <t>(A)</t>
  </si>
  <si>
    <t>Outer Plastering</t>
  </si>
  <si>
    <t>Basement alround</t>
  </si>
  <si>
    <t>Inspection Chamber Top</t>
  </si>
  <si>
    <t>Outside alround</t>
  </si>
  <si>
    <t>Sunshade/W</t>
  </si>
  <si>
    <t>Sunshade/W1</t>
  </si>
  <si>
    <t>Sunshade/D</t>
  </si>
  <si>
    <t>Outer Plastering Qty</t>
  </si>
  <si>
    <t>(B)</t>
  </si>
  <si>
    <r>
      <t>Plastering with CM 1:4</t>
    </r>
    <r>
      <rPr>
        <sz val="14"/>
        <rFont val="Times New Roman"/>
        <family val="1"/>
      </rPr>
      <t xml:space="preserve"> (one of cement and four of sand) 12mm thick finished with neat cement including providing band cornice, ceiling cornice, curing, scaffolding etc., complete in all respects and complying with standard specifications.</t>
    </r>
  </si>
  <si>
    <t>Ins chamber inside alround</t>
  </si>
  <si>
    <r>
      <t>Special ceiling plastering</t>
    </r>
    <r>
      <rPr>
        <sz val="14"/>
        <rFont val="Times New Roman"/>
        <family val="1"/>
      </rPr>
      <t xml:space="preserve"> in cement mortar 1:3 (One of cement and three of sand) 10mm thick for bottom of roof, stair, waist, landing and sunshades in all floors finished with neat cement including hacking the areas, providing band cornice, scaffolding, curing etc., complete.</t>
    </r>
  </si>
  <si>
    <t>In Ground/Stilt Floor</t>
  </si>
  <si>
    <t>d/f staircase</t>
  </si>
  <si>
    <t>In First Floor</t>
  </si>
  <si>
    <t>In Second Floor</t>
  </si>
  <si>
    <t>writer</t>
  </si>
  <si>
    <t>PC/HC</t>
  </si>
  <si>
    <t>In Third Floor</t>
  </si>
  <si>
    <t xml:space="preserve">plastering with CM 1:3 12mm thick mixed with water proof compound etc.., all complete </t>
  </si>
  <si>
    <t>water tank inner alround</t>
  </si>
  <si>
    <t>bottom</t>
  </si>
  <si>
    <r>
      <t xml:space="preserve">Plastering in cm 1:5  (One of cement and five of sand) 12mm thick for </t>
    </r>
    <r>
      <rPr>
        <b/>
        <sz val="14"/>
        <rFont val="Times New Roman"/>
        <family val="1"/>
      </rPr>
      <t>border</t>
    </r>
    <r>
      <rPr>
        <sz val="14"/>
        <rFont val="Times New Roman"/>
        <family val="1"/>
      </rPr>
      <t xml:space="preserve"> finish in all floors for elevation purposes, including scaffolding, curing, finishing etc., all complete.</t>
    </r>
  </si>
  <si>
    <t>a) 150mm wide</t>
  </si>
  <si>
    <t>b) 75mm wide</t>
  </si>
  <si>
    <t>c) 50mm wide</t>
  </si>
  <si>
    <t>V1 alround border</t>
  </si>
  <si>
    <t>V alround border</t>
  </si>
  <si>
    <t>Providing ornamental work engaging skilled Mason I class / Shape deign works/stapahy works as per the drawing including cost of materials like cement and labour charge and as directed by the departmental office all complete</t>
  </si>
  <si>
    <t xml:space="preserve">Providing ornamental border design for botton shape works (9" x9") 25mm thick Projection /Stapay works as per the drawing including cost of materials like cement and labour charge and as directed by the departmental office .,all complete. </t>
  </si>
  <si>
    <t>At Elevation</t>
  </si>
  <si>
    <t>nos</t>
  </si>
  <si>
    <t>Precast cement concrete Jally ventilator in cement concrete 1:2:4 (One of cement, two of sand, and four of hard broken stone jelly)  using 20mm gauge hard broken stone jelly for the following thickness excluding the cost and fabrication of reinforcement grills but including precasting, moulding, curing, finishing and fixing in position complying with relevant standard specifications etc., complete in the following floors.
50 mm thick</t>
  </si>
  <si>
    <r>
      <t>White washing three coats</t>
    </r>
    <r>
      <rPr>
        <sz val="14"/>
        <rFont val="Times New Roman"/>
        <family val="1"/>
      </rPr>
      <t xml:space="preserve"> using clean shell lime slaked including cost of lime, gum, blue, brushes, including scaffolding etc., complete in all respects</t>
    </r>
  </si>
  <si>
    <t>item no:35 special ceiling  plastering area</t>
  </si>
  <si>
    <r>
      <t xml:space="preserve">Supplying and fixing </t>
    </r>
    <r>
      <rPr>
        <b/>
        <sz val="14"/>
        <rFont val="Times New Roman"/>
        <family val="1"/>
      </rPr>
      <t>Mild Steel grills</t>
    </r>
    <r>
      <rPr>
        <sz val="14"/>
        <rFont val="Times New Roman"/>
        <family val="1"/>
      </rPr>
      <t xml:space="preserve"> as per the design approved to verandah enclosure or gate including one coat of primer and labour for fixing in position etc. all complete.</t>
    </r>
  </si>
  <si>
    <r>
      <t>Painting the new wood work</t>
    </r>
    <r>
      <rPr>
        <sz val="14"/>
        <rFont val="Times New Roman"/>
        <family val="1"/>
      </rPr>
      <t xml:space="preserve"> with two coats of approved first class synthetic enamel ready mixed paint in addition to one coat of primer of approved quality and shade, the paint should be supplied by the contractor at his own cost (The quality and the shade of paint should be got approved by the Executive Engineer before use) complying with relevant standard specifications.</t>
    </r>
  </si>
  <si>
    <t>For  door D</t>
  </si>
  <si>
    <t>For  door D2</t>
  </si>
  <si>
    <r>
      <t>Painting the new Iron work</t>
    </r>
    <r>
      <rPr>
        <sz val="14"/>
        <rFont val="Times New Roman"/>
        <family val="1"/>
      </rPr>
      <t xml:space="preserve">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r>
  </si>
  <si>
    <t>Rain Water PVC Pipe</t>
  </si>
  <si>
    <t>SWR PVC soil line 110mm dia</t>
  </si>
  <si>
    <t>75mm dia</t>
  </si>
  <si>
    <t>Water line ASTM pipe 32mm dia</t>
  </si>
  <si>
    <t>25mm dia</t>
  </si>
  <si>
    <r>
      <t>Supplying and fixing of 20mm</t>
    </r>
    <r>
      <rPr>
        <sz val="14"/>
        <rFont val="Times New Roman"/>
        <family val="1"/>
      </rPr>
      <t xml:space="preserve"> dia </t>
    </r>
    <r>
      <rPr>
        <b/>
        <sz val="14"/>
        <rFont val="Times New Roman"/>
        <family val="1"/>
      </rPr>
      <t>aluminium hanger rods</t>
    </r>
    <r>
      <rPr>
        <sz val="14"/>
        <rFont val="Times New Roman"/>
        <family val="1"/>
      </rPr>
      <t xml:space="preserve"> to the required length with aluminium end brackets including cost of screws, TW plugs and labour charges for fixing in postion etc. complete in all respects and as directed by the departmental officers</t>
    </r>
  </si>
  <si>
    <t>FF for toilet</t>
  </si>
  <si>
    <t>SF for toilet</t>
  </si>
  <si>
    <t>TF for Toilet</t>
  </si>
  <si>
    <r>
      <t xml:space="preserve">Supplying and fixing of </t>
    </r>
    <r>
      <rPr>
        <b/>
        <sz val="14"/>
        <rFont val="Times New Roman"/>
        <family val="1"/>
      </rPr>
      <t xml:space="preserve">aluminium towel rails </t>
    </r>
    <r>
      <rPr>
        <sz val="14"/>
        <rFont val="Times New Roman"/>
        <family val="1"/>
      </rPr>
      <t>of 75cm long, including cost of screws, TW plugs and labour charges for fixing in position etc. complete in all respects and as directed by the departmental officers.</t>
    </r>
  </si>
  <si>
    <t>GF for Toilet</t>
  </si>
  <si>
    <t>FF for Toilet,restroom,wash area</t>
  </si>
  <si>
    <t>SF for Toilet,restroom,wash area</t>
  </si>
  <si>
    <t>TF for Toilet,bath,urinal</t>
  </si>
  <si>
    <r>
      <t xml:space="preserve">Supplying and fixing of aluminium plate with </t>
    </r>
    <r>
      <rPr>
        <b/>
        <sz val="14"/>
        <rFont val="Times New Roman"/>
        <family val="1"/>
      </rPr>
      <t>five pins</t>
    </r>
    <r>
      <rPr>
        <sz val="14"/>
        <rFont val="Times New Roman"/>
        <family val="1"/>
      </rPr>
      <t xml:space="preserve"> for </t>
    </r>
    <r>
      <rPr>
        <b/>
        <sz val="14"/>
        <rFont val="Times New Roman"/>
        <family val="1"/>
      </rPr>
      <t>coat stand</t>
    </r>
    <r>
      <rPr>
        <sz val="14"/>
        <rFont val="Times New Roman"/>
        <family val="1"/>
      </rPr>
      <t xml:space="preserve"> including cost of plugs, nails, screws, and labour for fixing in position etc, all complete and as directed by the departmental officers.</t>
    </r>
  </si>
  <si>
    <t xml:space="preserve"> SI , Insp,rest room</t>
  </si>
  <si>
    <t>Rest Room (men &amp;women)</t>
  </si>
  <si>
    <r>
      <t xml:space="preserve">Providing and fixing iron chromium plated 8 gauge </t>
    </r>
    <r>
      <rPr>
        <b/>
        <sz val="14"/>
        <rFont val="Times New Roman"/>
        <family val="1"/>
      </rPr>
      <t>Picture hooks</t>
    </r>
    <r>
      <rPr>
        <sz val="14"/>
        <rFont val="Times New Roman"/>
        <family val="1"/>
      </rPr>
      <t xml:space="preserve"> including fixing in position etc., all complete in all respects and as directed by the departmental officers.</t>
    </r>
  </si>
  <si>
    <t xml:space="preserve">For door </t>
  </si>
  <si>
    <t xml:space="preserve">                                                                                                                             </t>
  </si>
  <si>
    <t>For Window</t>
  </si>
  <si>
    <t>For  Toilet</t>
  </si>
  <si>
    <t>No.s</t>
  </si>
  <si>
    <r>
      <t xml:space="preserve">Supply and planting of </t>
    </r>
    <r>
      <rPr>
        <b/>
        <sz val="14"/>
        <rFont val="Times New Roman"/>
        <family val="1"/>
      </rPr>
      <t>avenue trees</t>
    </r>
    <r>
      <rPr>
        <sz val="14"/>
        <rFont val="Times New Roman"/>
        <family val="1"/>
      </rPr>
      <t xml:space="preserve"> including earth work excavation for pit of size 60x60x60cm filled with manure for 20cm depth and filling with river sand and red earth mix in the ratio of 1:1 for 40cm depth in the same pit and planting  etc.,</t>
    </r>
  </si>
  <si>
    <t xml:space="preserve">For building </t>
  </si>
  <si>
    <r>
      <t xml:space="preserve">Supplying and fixing of triangular shape chicken mesh </t>
    </r>
    <r>
      <rPr>
        <b/>
        <sz val="14"/>
        <rFont val="Times New Roman"/>
        <family val="1"/>
      </rPr>
      <t xml:space="preserve">Tree guard </t>
    </r>
    <r>
      <rPr>
        <sz val="14"/>
        <rFont val="Times New Roman"/>
        <family val="1"/>
      </rPr>
      <t>using 8cm dia casurina vertical post and middle tie using country wood reeper of size 50x25mm and 25 gauge chicken mesh including labour charge for fixing the triangular tree guard and as directed by the departmental officers</t>
    </r>
  </si>
  <si>
    <t>For building trees</t>
  </si>
  <si>
    <t>No.</t>
  </si>
  <si>
    <t>Supplying, laying, fixing and jointing the following PVC pipes as per ASTM -D - 1785 of schedule 40 of wall thickness not less than the specified in IS 4985 suitable for plumbing by threading of wall thickness including the cost of suitable PVC/GI specials /GM specials like Elbow, Tee reducers, Plug, union,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t>
  </si>
  <si>
    <t>a. 32mm dia</t>
  </si>
  <si>
    <t>For building to tank</t>
  </si>
  <si>
    <t>For Tank</t>
  </si>
  <si>
    <t>Inter Connection</t>
  </si>
  <si>
    <t>b. 25mm dia</t>
  </si>
  <si>
    <t>Tank to Third floor toilet (men&amp; women)</t>
  </si>
  <si>
    <t>Add bath</t>
  </si>
  <si>
    <t>FF Inspector (toilet)</t>
  </si>
  <si>
    <t>SF common toilet</t>
  </si>
  <si>
    <t xml:space="preserve">SF lock up </t>
  </si>
  <si>
    <t>FF common toilet</t>
  </si>
  <si>
    <t>stilt floor toilet (men &amp; women)</t>
  </si>
  <si>
    <t>Supplying and fixing SFRC cover slab (heavy duty)</t>
  </si>
  <si>
    <t>a)600mmx600mm</t>
  </si>
  <si>
    <t>Inspection chamber</t>
  </si>
  <si>
    <t xml:space="preserve">b)300mmx300mm </t>
  </si>
  <si>
    <t>For gully trap</t>
  </si>
  <si>
    <t>supplying and Fixing CI Manhole cover 0.60mx.60m heavy weight with locking Arrangements</t>
  </si>
  <si>
    <t>For tank</t>
  </si>
  <si>
    <r>
      <t xml:space="preserve">Supplying and fixing 150mm x 100mm size stone ware </t>
    </r>
    <r>
      <rPr>
        <b/>
        <sz val="14"/>
        <rFont val="Times New Roman"/>
        <family val="1"/>
      </rPr>
      <t>Gully trap</t>
    </r>
    <r>
      <rPr>
        <sz val="14"/>
        <rFont val="Times New Roman"/>
        <family val="1"/>
      </rPr>
      <t xml:space="preserve"> with iron gratings over a bed of 150mm thick brick jelly concrete in CC 1:8:16 (one of cement, eight of sand and sixteen of broken brick jelly) using 40mm size brick jelly and brick masonry wall 114 mm thick using chamber burnt bricks of size 9”x4½”x3” (23x11.4x7.5cm) in Cm 1:5 (One of cement and five of sand) plastered with CM 1:3 (One of cement and three of sand) 12mm thick etc., complete and as directed by the departmental officers.</t>
    </r>
  </si>
  <si>
    <r>
      <t xml:space="preserve">Supplying and fixing of </t>
    </r>
    <r>
      <rPr>
        <b/>
        <sz val="14"/>
        <rFont val="Times New Roman"/>
        <family val="1"/>
      </rPr>
      <t>PVC Nahani Trap</t>
    </r>
    <r>
      <rPr>
        <sz val="14"/>
        <rFont val="Times New Roman"/>
        <family val="1"/>
      </rPr>
      <t xml:space="preserve"> not less than 75mm 4way / 2 way (Superior variety) having minimum of water seal of 50mm confirm to relevant I.S. specifications with its latest amendments including resting on the bed of brick jelly concrete 1:5:10 (One of cement, five of sand and ten of 40 mm gauge brick jelly) etc., complete as directed by the departmental officers (The PVC Nahani Trap should be got approved from the EE before use)</t>
    </r>
  </si>
  <si>
    <t xml:space="preserve">FF for Toilet </t>
  </si>
  <si>
    <t>TF for Bath</t>
  </si>
  <si>
    <r>
      <t xml:space="preserve">Supplying and fixing </t>
    </r>
    <r>
      <rPr>
        <b/>
        <sz val="14"/>
        <rFont val="Times New Roman"/>
        <family val="1"/>
      </rPr>
      <t>15amps 3 pin plug type socket</t>
    </r>
    <r>
      <rPr>
        <sz val="14"/>
        <rFont val="Times New Roman"/>
        <family val="1"/>
      </rPr>
      <t xml:space="preserve"> on a suitable MS box 16g thick concealed and covered with 3 mm thick laminated hylem sheet inclusive of all connections and cost of all materials.</t>
    </r>
  </si>
  <si>
    <t>Stilt floor</t>
  </si>
  <si>
    <t>physically changelled person/car parking</t>
  </si>
  <si>
    <t>Insp</t>
  </si>
  <si>
    <t>Toilets</t>
  </si>
  <si>
    <t>CCTNs</t>
  </si>
  <si>
    <t>station writer</t>
  </si>
  <si>
    <t>hall for SI</t>
  </si>
  <si>
    <t>Pc/Hc room</t>
  </si>
  <si>
    <t xml:space="preserve"> Insp</t>
  </si>
  <si>
    <r>
      <t xml:space="preserve">Supply and fixing of best approved superior variety concealed type </t>
    </r>
    <r>
      <rPr>
        <b/>
        <sz val="14"/>
        <rFont val="Times New Roman"/>
        <family val="1"/>
      </rPr>
      <t>Fibre box with M.S. Fan Hook</t>
    </r>
    <r>
      <rPr>
        <sz val="14"/>
        <rFont val="Times New Roman"/>
        <family val="1"/>
      </rPr>
      <t xml:space="preserve"> of 100mm dia, 75mm depth and 3mm thick including cost and fixing in position etc., complete and as directed by the departmental officers. (The quality should be got approved by the Executive Engineer before use).</t>
    </r>
  </si>
  <si>
    <t>physically challenged persons</t>
  </si>
  <si>
    <t xml:space="preserve">Inspector </t>
  </si>
  <si>
    <t>Inspector rest</t>
  </si>
  <si>
    <t xml:space="preserve">Sub Inspector </t>
  </si>
  <si>
    <t>corridor</t>
  </si>
  <si>
    <t>visitors area</t>
  </si>
  <si>
    <t>Rest room (men &amp;women)</t>
  </si>
  <si>
    <r>
      <t xml:space="preserve">Charges for assembling and </t>
    </r>
    <r>
      <rPr>
        <b/>
        <sz val="14"/>
        <rFont val="Times New Roman"/>
        <family val="1"/>
      </rPr>
      <t>fixing of ceiling fan</t>
    </r>
    <r>
      <rPr>
        <sz val="14"/>
        <rFont val="Times New Roman"/>
        <family val="1"/>
      </rPr>
      <t xml:space="preserve"> of different sweep with necessary connections and fixing of fan regulator on the existing board etc., all complete (Excluding cost of fan)</t>
    </r>
  </si>
  <si>
    <t>Rest Rm</t>
  </si>
  <si>
    <r>
      <t xml:space="preserve">Supplying and laying of </t>
    </r>
    <r>
      <rPr>
        <b/>
        <sz val="14"/>
        <rFont val="Times New Roman"/>
        <family val="1"/>
      </rPr>
      <t>8SWG GI wire</t>
    </r>
    <r>
      <rPr>
        <sz val="14"/>
        <rFont val="Times New Roman"/>
        <family val="1"/>
      </rPr>
      <t xml:space="preserve"> on wall below ground levels with necessary ‘U’ Nails, earth work excavation and refilling etc., including cost of all materials etc., all complete.</t>
    </r>
  </si>
  <si>
    <r>
      <t xml:space="preserve">Supplying, fixing and concealing T.W box of size 8"x6"x4" covered with 3mm thick hylem sheet including Cost of </t>
    </r>
    <r>
      <rPr>
        <b/>
        <sz val="14"/>
        <rFont val="Times New Roman"/>
        <family val="1"/>
      </rPr>
      <t>TV line socket / Telephone line Socket</t>
    </r>
    <r>
      <rPr>
        <sz val="14"/>
        <rFont val="Times New Roman"/>
        <family val="1"/>
      </rPr>
      <t xml:space="preserve"> etc., all complete and as directed by the departmental officers.</t>
    </r>
  </si>
  <si>
    <r>
      <t xml:space="preserve">Supplying, laying and concealing of PVC pipe of </t>
    </r>
    <r>
      <rPr>
        <b/>
        <sz val="14"/>
        <rFont val="Times New Roman"/>
        <family val="1"/>
      </rPr>
      <t>20mm dia</t>
    </r>
    <r>
      <rPr>
        <sz val="14"/>
        <rFont val="Times New Roman"/>
        <family val="1"/>
      </rPr>
      <t xml:space="preserve"> with necessary specials and other materials including Run of 1No.Fish wire (G.I.22g) for drawing </t>
    </r>
    <r>
      <rPr>
        <b/>
        <sz val="14"/>
        <rFont val="Times New Roman"/>
        <family val="1"/>
      </rPr>
      <t>cable for T.V./Telephone</t>
    </r>
    <r>
      <rPr>
        <sz val="14"/>
        <rFont val="Times New Roman"/>
        <family val="1"/>
      </rPr>
      <t xml:space="preserve"> etc., all complete and as directed by the departmental officers.</t>
    </r>
  </si>
  <si>
    <t>First floor PVC pipe</t>
  </si>
  <si>
    <t>Second floor PVC pipe</t>
  </si>
  <si>
    <t>Third floor PVC pipe</t>
  </si>
  <si>
    <r>
      <t xml:space="preserve">Providing </t>
    </r>
    <r>
      <rPr>
        <b/>
        <sz val="14"/>
        <rFont val="Times New Roman"/>
        <family val="1"/>
      </rPr>
      <t xml:space="preserve">Earthing Station </t>
    </r>
    <r>
      <rPr>
        <sz val="14"/>
        <rFont val="Times New Roman"/>
        <family val="1"/>
      </rPr>
      <t>IS3043 (Type I using pipe electrode as per IS 3043 using 2.5 mm of 40mm and 1m of 20 mm B class</t>
    </r>
  </si>
  <si>
    <t>Anticorrosive Treatment For steel grill</t>
  </si>
  <si>
    <t>As per steel qty</t>
  </si>
  <si>
    <t>Supplying and filling in foundation and basement with stone dust</t>
  </si>
  <si>
    <t>8.2.3.1</t>
  </si>
  <si>
    <t>Providing and laying in position, Standardised Concrete Mix M-25 Grade Concrete</t>
  </si>
  <si>
    <t>(b) In Ground Floor/Stilt Floor</t>
  </si>
  <si>
    <t>Sunshade</t>
  </si>
  <si>
    <t>V1 lintel</t>
  </si>
  <si>
    <t>Arms Ammunition</t>
  </si>
  <si>
    <t>W1 Lintel</t>
  </si>
  <si>
    <t>D3 lintel</t>
  </si>
  <si>
    <t>(e) In Third Floor</t>
  </si>
  <si>
    <t>parapet Column</t>
  </si>
  <si>
    <t>D  lintel</t>
  </si>
  <si>
    <t>water tank beam</t>
  </si>
  <si>
    <t>Slab</t>
  </si>
  <si>
    <t>tank cover slab</t>
  </si>
  <si>
    <t>d/f manhole</t>
  </si>
  <si>
    <t>14.2.I</t>
  </si>
  <si>
    <r>
      <t>Providing precast concrete slab for cupbo</t>
    </r>
    <r>
      <rPr>
        <sz val="14"/>
        <rFont val="Times New Roman"/>
        <family val="1"/>
      </rPr>
      <t xml:space="preserve">ard ward robes shelves, cover slab for chambers, Baffle walls side slabs of boxing around windows and other similar works in M25 Concrete etc., complete in the following floors (Measurement will be taken including bearing in wall also)                </t>
    </r>
    <r>
      <rPr>
        <b/>
        <sz val="14"/>
        <rFont val="Times New Roman"/>
        <family val="1"/>
      </rPr>
      <t>I a) 20mm thick</t>
    </r>
  </si>
  <si>
    <t>14.2.II</t>
  </si>
  <si>
    <t xml:space="preserve">Providing Precast cupboard slab      II 40mm thick </t>
  </si>
  <si>
    <t>(e) Third Floor</t>
  </si>
  <si>
    <t>Providing formwork and centering  for RCC sump including shuttering upto 3.30m thk</t>
  </si>
  <si>
    <t>a) For column footing,plinth beam,grade beam,raft beam,raft slab.etc</t>
  </si>
  <si>
    <t>b) plain surfaces such as beam, lintel,slabs,waist and landing slab etc. completed</t>
  </si>
  <si>
    <t>Inspector</t>
  </si>
  <si>
    <t>water tank base slab</t>
  </si>
  <si>
    <t>beam inner</t>
  </si>
  <si>
    <t>beam outer</t>
  </si>
  <si>
    <t>c) Square and rectangular column and small quantities</t>
  </si>
  <si>
    <t>d)Vertical wall</t>
  </si>
  <si>
    <t>tank inner</t>
  </si>
  <si>
    <t>tank outer</t>
  </si>
  <si>
    <t>21.5.2</t>
  </si>
  <si>
    <t>Providing and fixing Factory made polyvinyl chloride (PVC) Door frame of size 50 X 47 mm with a wall thickness of 5mm, made out Extruded 5mm rigid UPVC foam sheet</t>
  </si>
  <si>
    <t>In GF toilet door</t>
  </si>
  <si>
    <t xml:space="preserve">FF,SF &amp; TF for toilet </t>
  </si>
  <si>
    <t>21.6.1.3</t>
  </si>
  <si>
    <t xml:space="preserve">Supplying and fixing of  Monolithic RCC  door   frame of size 100 x 75 mm with one edge groove size          
 </t>
  </si>
  <si>
    <t>a. 900 x 2100 mm</t>
  </si>
  <si>
    <t>In First floor</t>
  </si>
  <si>
    <t>c.1000 x 2100mm</t>
  </si>
  <si>
    <t>In Stilt floor</t>
  </si>
  <si>
    <t>In Second  floor</t>
  </si>
  <si>
    <t>Proving T.W double leaf shutter with 9mm thick BWR plywood for cupboard/ward robes</t>
  </si>
  <si>
    <r>
      <rPr>
        <b/>
        <sz val="14"/>
        <rFont val="Times New Roman"/>
        <family val="1"/>
      </rPr>
      <t>Providing T.W double leaf shutter with 18mm thick BWR Ply wood</t>
    </r>
    <r>
      <rPr>
        <sz val="14"/>
        <rFont val="Times New Roman"/>
        <family val="1"/>
      </rPr>
      <t xml:space="preserve"> for Cupboard/ward robes shutters. All round frame made up of T.W scantling of 75mmx37.50mm and the styles made up of T.W scantlings of 75mmx37.50mm and shutter middle rail (Horizontal) made up up of T.W handle and brass screws, lock and key arrangements of best approved quality and also with two coats of approved 1st class synthetic enamel paint over one coat of primer and as directed by the departmental officers. (The quality and brand of materials should be got approved from the Executive Engineer before use.)</t>
    </r>
  </si>
  <si>
    <t>TW single leaf door shutters using 9mm tk. Phynol bonded BWR grade plywood</t>
  </si>
  <si>
    <t xml:space="preserve">b. 900 x 2100 mm </t>
  </si>
  <si>
    <t>In first floor</t>
  </si>
  <si>
    <t>In third floor</t>
  </si>
  <si>
    <t xml:space="preserve">Supply and fixing of steel door with M.S flat of size 50mmx10mm alround and the panel. </t>
  </si>
  <si>
    <t>a. 1000 x 2100 mm</t>
  </si>
  <si>
    <t>Lockup room</t>
  </si>
  <si>
    <t>Supply and fixing of steel Ventilator with iron bars &amp; MS flat of size 50x10mm alround and the panel.</t>
  </si>
  <si>
    <t xml:space="preserve">a. 1350 x 600 mm </t>
  </si>
  <si>
    <t>lock up</t>
  </si>
  <si>
    <r>
      <t>Supplying and fixing of Colour</t>
    </r>
    <r>
      <rPr>
        <b/>
        <sz val="14"/>
        <rFont val="Times New Roman"/>
        <family val="1"/>
      </rPr>
      <t xml:space="preserve"> glazed tiles</t>
    </r>
    <r>
      <rPr>
        <sz val="14"/>
        <rFont val="Times New Roman"/>
        <family val="1"/>
      </rPr>
      <t xml:space="preserve"> (Best approved quality and the same shall be got approved from the Executive Engineer before using) over cement plastering in CM 1:2 (One of cement and two of sand) 10mm thick including fixing in position, cutting the tiles to the required size wherever necessary, pointing the joints with </t>
    </r>
    <r>
      <rPr>
        <b/>
        <sz val="14"/>
        <rFont val="Times New Roman"/>
        <family val="1"/>
      </rPr>
      <t>Grout (Tile joint filler),</t>
    </r>
    <r>
      <rPr>
        <sz val="14"/>
        <rFont val="Times New Roman"/>
        <family val="1"/>
      </rPr>
      <t xml:space="preserve"> curing, finishing etc., all complete and as directed by the departmental officers.</t>
    </r>
  </si>
  <si>
    <t>Stilt Floor</t>
  </si>
  <si>
    <t>Toilet (men &amp; women)</t>
  </si>
  <si>
    <t>d/f for door</t>
  </si>
  <si>
    <t>add for jams</t>
  </si>
  <si>
    <t>Common tiolet</t>
  </si>
  <si>
    <t>Bath</t>
  </si>
  <si>
    <r>
      <t xml:space="preserve">Supplying and fixing of </t>
    </r>
    <r>
      <rPr>
        <b/>
        <sz val="14"/>
        <rFont val="Times New Roman"/>
        <family val="1"/>
      </rPr>
      <t>colour Ceramic Tiles Anti skid</t>
    </r>
    <r>
      <rPr>
        <sz val="14"/>
        <rFont val="Times New Roman"/>
        <family val="1"/>
      </rPr>
      <t xml:space="preserve"> without corrugated design for flooring and other similar works (Best approved quality, colour and shade shall be got approved from the Executive Engineer before using) over cement mortor 1:3 (One of cement and three of sand) 20mm thick including fixing in position, cutting the tiles to the required size wherever necessary, pointing the joints with </t>
    </r>
    <r>
      <rPr>
        <b/>
        <sz val="14"/>
        <rFont val="Times New Roman"/>
        <family val="1"/>
      </rPr>
      <t>Grout (Tile joint filler)</t>
    </r>
    <r>
      <rPr>
        <sz val="14"/>
        <rFont val="Times New Roman"/>
        <family val="1"/>
      </rPr>
      <t>, curing, finishing etc., all complete and as directed by the departmental officers</t>
    </r>
  </si>
  <si>
    <t>Ladies Toilet and Gents Toilet</t>
  </si>
  <si>
    <t>Add Floor Jambs</t>
  </si>
  <si>
    <t>d/f for wc</t>
  </si>
  <si>
    <t>Rest room(men &amp; women)Toilet</t>
  </si>
  <si>
    <t>Finshing the top of Terrace floor with one course of solar reflective Ceramic tiles (without base concrete)</t>
  </si>
  <si>
    <t xml:space="preserve">For S.F open terrace </t>
  </si>
  <si>
    <t>for skirting all round</t>
  </si>
  <si>
    <t>for skirting</t>
  </si>
  <si>
    <t>head room</t>
  </si>
  <si>
    <t>Painting primer coat using approved quality of white cement</t>
  </si>
  <si>
    <t xml:space="preserve">Painting the wall  two coats using OBD oil bound distemper </t>
  </si>
  <si>
    <t>Supplying ,Fabrication and placing the position 0f Mild steel / RTS grills(with out cement slurry wash) for all sizes of rods.</t>
  </si>
  <si>
    <t>As Per Barbending Schedule</t>
  </si>
  <si>
    <t xml:space="preserve"> </t>
  </si>
  <si>
    <t>Providing Rain water harvesting pit by augering 300mm dia bore pits to a depth of 5.50m overall depth and filling with stone jelly of 40mm size including earth work excavation 1m dia, 600mm depth and filling with filling sand to a depth of 300mm filling sand over the stone jelly and covered with Pre-cast RCC Perforated slab of standardized cement concrete M30 grade of 40mm thick excluding the cost and fabrication of reinforcement grills but including precasting, moulding, curing, finishing and fixing in position etc and all complete as directed by the departmental officer.</t>
  </si>
  <si>
    <t>a. For providing pit</t>
  </si>
  <si>
    <t>b. Augering 30 cm dia</t>
  </si>
  <si>
    <t>For Rain water</t>
  </si>
  <si>
    <t xml:space="preserve">Supplying &amp; laying of Rain water down fall pipe 110mm dia </t>
  </si>
  <si>
    <t>From Gully trap to Pit</t>
  </si>
  <si>
    <t>For Head room Terrace</t>
  </si>
  <si>
    <t>Providing Rain water Harvesting well ring of circular shape of 90cm dia, 60cm depth ( 30cm depth 2 Nos), 50mm thickness using Standadised Mix design M25 Using 20mm HBSJ including cost steel fabrication, labour charges, cost of material moulding, curing and hire charges for tools and plants etc., all complete and as directed by the departmental officers.</t>
  </si>
  <si>
    <t>for pit</t>
  </si>
  <si>
    <t>inspector toilet</t>
  </si>
  <si>
    <t>total</t>
  </si>
  <si>
    <r>
      <t xml:space="preserve">Supplying, laying, fixing and jointing the following </t>
    </r>
    <r>
      <rPr>
        <b/>
        <sz val="14"/>
        <rFont val="Times New Roman"/>
        <family val="1"/>
      </rPr>
      <t>PVC pipes as per ASTM D</t>
    </r>
    <r>
      <rPr>
        <sz val="14"/>
        <rFont val="Times New Roman"/>
        <family val="1"/>
      </rPr>
      <t xml:space="preserve"> - 1785 of schedule 40 of wall thickness not less than the specified in IS 4985 suitable for plumbing by threading of wall thickness including the cost of suitable PVC/GI specials / GM specials like Elbow, Tee reducers, Plug, unions, bend, coupler, nipple / GM gate valve, check and wheel valve etc., wherever required above the ground level including the cost of teflon tape etc., Fully concealed in walls to the proper gradient and Alignment and redoing the Chipped portion of Masonry etc., all complete and as directed by the departmental officers.</t>
    </r>
  </si>
  <si>
    <t>c) 20mm ASTM D schedule 40 threaded Pvc pipe with necessary PVC/GI specials</t>
  </si>
  <si>
    <t>For GF toilet inner line</t>
  </si>
  <si>
    <t>For TF toilet inner line</t>
  </si>
  <si>
    <r>
      <t>Supplying and fixing of porcelin</t>
    </r>
    <r>
      <rPr>
        <b/>
        <sz val="14"/>
        <rFont val="Times New Roman"/>
        <family val="1"/>
      </rPr>
      <t xml:space="preserve"> wash hand basin</t>
    </r>
    <r>
      <rPr>
        <sz val="14"/>
        <rFont val="Times New Roman"/>
        <family val="1"/>
      </rPr>
      <t xml:space="preserve"> (white without pedastal), superior variety of size 550x400mm with all accessories such as powder coated cast iron brackets, 32mm dia C.P. waste coupling, Rubber plug and aluminium chain, 32mm dia 'B' class G.I. / PVC waste pipe, Angle Valve, 15mm dia Nylon connection, 15mm dia Brass Nipples, 15mm C.P. pillar tap &amp; required grating etc., complete in all respects (wash hand basin shall be got approved by the Executive Engineer before fixing).</t>
    </r>
  </si>
  <si>
    <t>Stilt Floor Toilet</t>
  </si>
  <si>
    <t>TF for toilet</t>
  </si>
  <si>
    <t>Supplying and fixing of C.P Long body tap(Half Turn)</t>
  </si>
  <si>
    <t>GF/ Stilt for toilet</t>
  </si>
  <si>
    <t xml:space="preserve">Outer </t>
  </si>
  <si>
    <t>Supplying and fixing of CP Short body tap(Half Turn)</t>
  </si>
  <si>
    <t>Supplying and fixing of IWC in G.F</t>
  </si>
  <si>
    <t>GF toilet</t>
  </si>
  <si>
    <t>Supplying and fixing of IWC in  Other than GF</t>
  </si>
  <si>
    <t>Lockup Toilet</t>
  </si>
  <si>
    <t>Supplying and fixing of EWC (White)</t>
  </si>
  <si>
    <r>
      <t xml:space="preserve">Supplying and fixing the following dia PVC (SWR) pipe with ISI mark confirming to IS 13952:1992- type 'B' </t>
    </r>
    <r>
      <rPr>
        <b/>
        <sz val="14"/>
        <rFont val="Times New Roman"/>
        <family val="1"/>
      </rPr>
      <t>for soil line</t>
    </r>
    <r>
      <rPr>
        <sz val="14"/>
        <rFont val="Times New Roman"/>
        <family val="1"/>
      </rPr>
      <t xml:space="preserve"> </t>
    </r>
    <r>
      <rPr>
        <b/>
        <sz val="14"/>
        <rFont val="Times New Roman"/>
        <family val="1"/>
      </rPr>
      <t xml:space="preserve">with </t>
    </r>
    <r>
      <rPr>
        <sz val="14"/>
        <rFont val="Times New Roman"/>
        <family val="1"/>
      </rPr>
      <t>relevant specials confirming to IS 14735 including jointing with seal ring confirming to IS 5382 with leaving a gap about 10mm to allow thermal expansion, fixing the pipes into walls with necessary wooden plug, screws, holding wherever necessary and making good of the dismantled portion with necessary connections to sanitary fittings etc., complete in all respects and as directed by the departmental officers.</t>
    </r>
  </si>
  <si>
    <t>a. 110mm dia</t>
  </si>
  <si>
    <t>b. 75mm dia</t>
  </si>
  <si>
    <t>Supplying, Laying &amp; Concealing the 50mm dia PVC (SWR) Pipe with ISI Mark etc.,</t>
  </si>
  <si>
    <t>G.f, F.F , S.F ,T.F</t>
  </si>
  <si>
    <t xml:space="preserve">Supply and laying of SN8 PVC Pipe for Sewage </t>
  </si>
  <si>
    <t xml:space="preserve">A) 100mm dia </t>
  </si>
  <si>
    <t>Between I.C/I.C</t>
  </si>
  <si>
    <t xml:space="preserve">B) 160mm dia </t>
  </si>
  <si>
    <t>From Man hole to Septic Tank</t>
  </si>
  <si>
    <r>
      <t xml:space="preserve">Wiring with 1.5 sqmm </t>
    </r>
    <r>
      <rPr>
        <b/>
        <sz val="14"/>
        <rFont val="Times New Roman"/>
        <family val="1"/>
      </rPr>
      <t xml:space="preserve">PVC insulated single core multi strand fire retardant flexible copper cablewith ISI mark conforming to IS: 694/1990, </t>
    </r>
    <r>
      <rPr>
        <sz val="14"/>
        <rFont val="Times New Roman"/>
        <family val="1"/>
      </rPr>
      <t>1.1 K.v. grade cable with continuous earth by means of 1.5 sqmm</t>
    </r>
    <r>
      <rPr>
        <b/>
        <sz val="14"/>
        <rFont val="Times New Roman"/>
        <family val="1"/>
      </rPr>
      <t xml:space="preserve"> PVC insulated single core multi strand fire retardant flexible copper cable with ISI mark conforming to IS: 694/1990, </t>
    </r>
    <r>
      <rPr>
        <sz val="14"/>
        <rFont val="Times New Roman"/>
        <family val="1"/>
      </rPr>
      <t>1.1 k.v . grade cable in  fully concealed PVC rigid conduit pipe heavy duty with ISI mark with suitable size MS box of 16 g thick concealed and covered with 3mm thick laminated hylem sheet controlled by 5 amps flush type switch including circuit mains cost of all materials, specials etc., all complete.</t>
    </r>
  </si>
  <si>
    <t>a) light point with ceiling rose</t>
  </si>
  <si>
    <t xml:space="preserve">Rest room </t>
  </si>
  <si>
    <t>Arms &amp; ammunition</t>
  </si>
  <si>
    <t>PC/HC area</t>
  </si>
  <si>
    <t>Rest room</t>
  </si>
  <si>
    <t xml:space="preserve">property </t>
  </si>
  <si>
    <t>Rest room Men &amp;  women</t>
  </si>
  <si>
    <t xml:space="preserve">head room </t>
  </si>
  <si>
    <t>Bulk head Point</t>
  </si>
  <si>
    <t>street light</t>
  </si>
  <si>
    <t>b) Light point without ceiling rose</t>
  </si>
  <si>
    <t>In stilt floor</t>
  </si>
  <si>
    <t>Gents and Ladies Toilet</t>
  </si>
  <si>
    <t>In FF</t>
  </si>
  <si>
    <t>toilet</t>
  </si>
  <si>
    <t>In SF</t>
  </si>
  <si>
    <t>rest room</t>
  </si>
  <si>
    <t>In TF</t>
  </si>
  <si>
    <t>Rest room men &amp; women</t>
  </si>
  <si>
    <t xml:space="preserve">wash area </t>
  </si>
  <si>
    <t>bath</t>
  </si>
  <si>
    <t>c.Calling bell point with Buzzer/Calling bell</t>
  </si>
  <si>
    <t>F.F Inspector (L&amp;O)</t>
  </si>
  <si>
    <t xml:space="preserve">FF,SI </t>
  </si>
  <si>
    <t>S.F Inspector (Crime)</t>
  </si>
  <si>
    <t xml:space="preserve">SF,SI </t>
  </si>
  <si>
    <r>
      <t xml:space="preserve">Wiring with 1.5 sqmm </t>
    </r>
    <r>
      <rPr>
        <b/>
        <sz val="14"/>
        <rFont val="Times New Roman"/>
        <family val="1"/>
      </rPr>
      <t xml:space="preserve">PVC insulated single core multi strand fire retardant flexible copper cablewith ISI mark conforming to IS: 694/1990, </t>
    </r>
    <r>
      <rPr>
        <sz val="14"/>
        <rFont val="Times New Roman"/>
        <family val="1"/>
      </rPr>
      <t xml:space="preserve">1.1.k.v. grade cable with continuous earth by means of 1.5 sqmm </t>
    </r>
    <r>
      <rPr>
        <b/>
        <sz val="14"/>
        <rFont val="Times New Roman"/>
        <family val="1"/>
      </rPr>
      <t>PVC insulated single core multi strand fire retardant flexible copper cablewith ISI mark conforming to IS: 694/1990,</t>
    </r>
    <r>
      <rPr>
        <sz val="14"/>
        <rFont val="Times New Roman"/>
        <family val="1"/>
      </rPr>
      <t xml:space="preserve"> 1.1.k.v. grade cable in fully concealed PVC rigid conduit pipe heavy duty with ISI mark with suitable size MS box of 16g thick concealed and covered with 3mm thick laminated hylem sheet for </t>
    </r>
    <r>
      <rPr>
        <b/>
        <sz val="14"/>
        <rFont val="Times New Roman"/>
        <family val="1"/>
      </rPr>
      <t>Fan point</t>
    </r>
    <r>
      <rPr>
        <sz val="14"/>
        <rFont val="Times New Roman"/>
        <family val="1"/>
      </rPr>
      <t xml:space="preserve"> controlled by 5 amps flush type switch including circuit mains, cost of all materials, specials, etc., all complete.</t>
    </r>
  </si>
  <si>
    <r>
      <t xml:space="preserve">Wiring with 1.5 sqmm </t>
    </r>
    <r>
      <rPr>
        <b/>
        <sz val="14"/>
        <rFont val="Times New Roman"/>
        <family val="1"/>
      </rPr>
      <t>PVC insulated single core multi strand fire retardant flexible copper cablewith ISI mark conforming to IS: 694/1990,</t>
    </r>
    <r>
      <rPr>
        <sz val="14"/>
        <rFont val="Times New Roman"/>
        <family val="1"/>
      </rPr>
      <t xml:space="preserve"> 1.1.k.v. grade cable with continuous earth by means of 1.5 sqmm </t>
    </r>
    <r>
      <rPr>
        <b/>
        <sz val="14"/>
        <rFont val="Times New Roman"/>
        <family val="1"/>
      </rPr>
      <t>PVC insulated single core multi strand fire retardant flexible copper cablewith ISI mark conforming to IS: 694/1990,</t>
    </r>
    <r>
      <rPr>
        <sz val="14"/>
        <rFont val="Times New Roman"/>
        <family val="1"/>
      </rPr>
      <t xml:space="preserve"> 1.1.k.v. grade cable in fully concealed PVC rigid conduit pipe heavy duty with ISI mark with suitable size MS Box of 16g thick concealed and covered with 3mm thick laminated hylem sheet for</t>
    </r>
    <r>
      <rPr>
        <b/>
        <sz val="14"/>
        <rFont val="Times New Roman"/>
        <family val="1"/>
      </rPr>
      <t xml:space="preserve"> Staircase light point </t>
    </r>
    <r>
      <rPr>
        <sz val="14"/>
        <rFont val="Times New Roman"/>
        <family val="1"/>
      </rPr>
      <t>controlled by 5 amps flush type two way switch including circuit mains, cost of all materials, specials, etc., all complete.</t>
    </r>
  </si>
  <si>
    <t>Staircase Mid landing</t>
  </si>
  <si>
    <r>
      <t xml:space="preserve">Wiring with 1.5 sqmm </t>
    </r>
    <r>
      <rPr>
        <b/>
        <sz val="14"/>
        <rFont val="Times New Roman"/>
        <family val="1"/>
      </rPr>
      <t>PVC insulated single core multi strand fire retardant flexible copper cablewith ISI mark conforming to IS: 694/1990,</t>
    </r>
    <r>
      <rPr>
        <sz val="14"/>
        <rFont val="Times New Roman"/>
        <family val="1"/>
      </rPr>
      <t xml:space="preserve"> 1.1.k.v. grade cable with continuous earth by means of 1.5 sqmm </t>
    </r>
    <r>
      <rPr>
        <b/>
        <sz val="14"/>
        <rFont val="Times New Roman"/>
        <family val="1"/>
      </rPr>
      <t>PVC insulated single core multi strand fire retardant flexible copper cablewith ISI mark conforming to IS: 694/1990,</t>
    </r>
    <r>
      <rPr>
        <sz val="14"/>
        <rFont val="Times New Roman"/>
        <family val="1"/>
      </rPr>
      <t xml:space="preserve">1.1.k.v. grade cable in fully concealed PVC rigid conduit pipe heavy duty with ISI mark with suitable size MS box  of 16g thick concealed and covered with 3mm thick laminated hylem sheet  for 5 amps 5 pin plug socket point  at </t>
    </r>
    <r>
      <rPr>
        <b/>
        <sz val="14"/>
        <rFont val="Times New Roman"/>
        <family val="1"/>
      </rPr>
      <t>Switch Board Itself</t>
    </r>
    <r>
      <rPr>
        <sz val="14"/>
        <rFont val="Times New Roman"/>
        <family val="1"/>
      </rPr>
      <t xml:space="preserve"> including circuit  mains, cost of all materials, specials, etc., all complete.</t>
    </r>
  </si>
  <si>
    <t>In GF</t>
  </si>
  <si>
    <t>Car Parking</t>
  </si>
  <si>
    <t>Inspector/Toilet/Rest room</t>
  </si>
  <si>
    <t>S.I</t>
  </si>
  <si>
    <t>visitor area</t>
  </si>
  <si>
    <t>common toilet</t>
  </si>
  <si>
    <t xml:space="preserve">Pc/Hc room </t>
  </si>
  <si>
    <t>Property Room</t>
  </si>
  <si>
    <t>Rest room Men</t>
  </si>
  <si>
    <t>Rest room Women</t>
  </si>
  <si>
    <r>
      <t xml:space="preserve">Wiring with 1.5 sqmm </t>
    </r>
    <r>
      <rPr>
        <b/>
        <sz val="14"/>
        <rFont val="Times New Roman"/>
        <family val="1"/>
      </rPr>
      <t xml:space="preserve">PVC insulated single core multi strand fire retardant flexible copper cablewith ISI mark conforming to IS: 694/1990, </t>
    </r>
    <r>
      <rPr>
        <sz val="14"/>
        <rFont val="Times New Roman"/>
        <family val="1"/>
      </rPr>
      <t xml:space="preserve">1.1.k.v. grade cable with continuous earth by means of 1.5 sq.mm </t>
    </r>
    <r>
      <rPr>
        <b/>
        <sz val="14"/>
        <rFont val="Times New Roman"/>
        <family val="1"/>
      </rPr>
      <t>PVC insulated single core multi strand fire retardant flexible copper cablewith ISI mark conforming to IS: 694/1990,</t>
    </r>
    <r>
      <rPr>
        <sz val="14"/>
        <rFont val="Times New Roman"/>
        <family val="1"/>
      </rPr>
      <t xml:space="preserve"> 1.1.k.v. grade cable in fully concealed PVC rigid conduit pipe heavy duty with ISI mark with suitable size MS box of  1 No (each) 16g thick concealed and covered with 3mm  thick laminated hylem sheet for 5 amps. </t>
    </r>
    <r>
      <rPr>
        <b/>
        <sz val="14"/>
        <rFont val="Times New Roman"/>
        <family val="1"/>
      </rPr>
      <t>5 pin plug socket point at convenient places</t>
    </r>
    <r>
      <rPr>
        <sz val="14"/>
        <rFont val="Times New Roman"/>
        <family val="1"/>
      </rPr>
      <t xml:space="preserve"> including circuit mains, cost of all materials, specials, etc., all complete.</t>
    </r>
  </si>
  <si>
    <t>physically handicaped person</t>
  </si>
  <si>
    <t>carparking</t>
  </si>
  <si>
    <t>PC/HC Rm</t>
  </si>
  <si>
    <t>In T.F</t>
  </si>
  <si>
    <r>
      <t xml:space="preserve">Supply and delivery of following Electric </t>
    </r>
    <r>
      <rPr>
        <b/>
        <sz val="14"/>
        <rFont val="Times New Roman"/>
        <family val="1"/>
      </rPr>
      <t>Celling fan</t>
    </r>
    <r>
      <rPr>
        <sz val="14"/>
        <rFont val="Times New Roman"/>
        <family val="1"/>
      </rPr>
      <t xml:space="preserve"> with </t>
    </r>
    <r>
      <rPr>
        <b/>
        <sz val="14"/>
        <rFont val="Times New Roman"/>
        <family val="1"/>
      </rPr>
      <t>ISI</t>
    </r>
    <r>
      <rPr>
        <sz val="14"/>
        <rFont val="Times New Roman"/>
        <family val="1"/>
      </rPr>
      <t xml:space="preserve"> mark with blades and double ball bearing, capacitor, etc., complete with 300mm down rod, canopies, capacitor, shackleblades with speed regulator (resistance type) suitable for operation on 230 volts 50 HTZ single phase AC supply conforming to ISS No.374/79 and provided with insulation . (The brand should be got approved from the Executive Engineer before supply made).</t>
    </r>
  </si>
  <si>
    <t>a)48" Electric fan 1200mm sweep</t>
  </si>
  <si>
    <t>GF,FF -SF- TF ELCB</t>
  </si>
  <si>
    <t>ELCB 15 amps power plug</t>
  </si>
  <si>
    <t>inspector</t>
  </si>
  <si>
    <t>hall for Si</t>
  </si>
  <si>
    <t>Sf inspector</t>
  </si>
  <si>
    <t>rest  room men and women</t>
  </si>
  <si>
    <r>
      <rPr>
        <b/>
        <sz val="14"/>
        <rFont val="Times New Roman"/>
        <family val="1"/>
      </rPr>
      <t>Run of 2 Wires of 2.5 sqmm</t>
    </r>
    <r>
      <rPr>
        <sz val="14"/>
        <rFont val="Times New Roman"/>
        <family val="1"/>
      </rPr>
      <t xml:space="preserve"> PVC insulated single core multi strand fire retardant flexible copper cable with ISI mark confirming IS: 694:1990.</t>
    </r>
  </si>
  <si>
    <t>Main DB to Room Switch board</t>
  </si>
  <si>
    <t>stilt floor to S.B</t>
  </si>
  <si>
    <t xml:space="preserve">F.F </t>
  </si>
  <si>
    <t>S.F</t>
  </si>
  <si>
    <t>T.F</t>
  </si>
  <si>
    <t>from DB to 15 amp power plug</t>
  </si>
  <si>
    <t>do CCTns</t>
  </si>
  <si>
    <r>
      <rPr>
        <b/>
        <sz val="14"/>
        <rFont val="Times New Roman"/>
        <family val="1"/>
      </rPr>
      <t>Supply and fixing of T.W plank</t>
    </r>
    <r>
      <rPr>
        <sz val="14"/>
        <rFont val="Times New Roman"/>
        <family val="1"/>
      </rPr>
      <t xml:space="preserve"> 450x375x20mm varnished with 3 nos of 63 Amps and 1 No of copper plate of suitable scc fuse unit 3 phase EB service connection</t>
    </r>
  </si>
  <si>
    <t>for building</t>
  </si>
  <si>
    <t>Run of 2 wires of 4 sqmm with continuous earth by means of 2.5sqmm</t>
  </si>
  <si>
    <t>For main board to ELCB</t>
  </si>
  <si>
    <t>Main DB to AC point</t>
  </si>
  <si>
    <t>F.F Inspector room</t>
  </si>
  <si>
    <t>S.F Inspector room</t>
  </si>
  <si>
    <t xml:space="preserve">Supply and fixing of 40mm dia GI pipe </t>
  </si>
  <si>
    <t>For EB board</t>
  </si>
  <si>
    <t>supply and runoff main with 4 wires of 6 sqmm copper pvc insulated unsheathed singlecore 1.1 kv grade cable</t>
  </si>
  <si>
    <t xml:space="preserve">From main panel to stilt floor DB </t>
  </si>
  <si>
    <t xml:space="preserve">From main panel to First floor DB </t>
  </si>
  <si>
    <t xml:space="preserve">From main panel to second floor DB </t>
  </si>
  <si>
    <t xml:space="preserve">From main panel to Third  floor DB </t>
  </si>
  <si>
    <r>
      <t xml:space="preserve">Supplying and fixing of </t>
    </r>
    <r>
      <rPr>
        <b/>
        <sz val="14"/>
        <rFont val="Times New Roman"/>
        <family val="1"/>
      </rPr>
      <t xml:space="preserve">225 mm dia sweep AC exhaust fan </t>
    </r>
    <r>
      <rPr>
        <sz val="14"/>
        <rFont val="Times New Roman"/>
        <family val="1"/>
      </rPr>
      <t>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departmental Officers.</t>
    </r>
  </si>
  <si>
    <t>Stilt Floor toilet</t>
  </si>
  <si>
    <t>First floor &amp; Second Floor</t>
  </si>
  <si>
    <t>Supplying and fixing of 6 Way Vertical three pahse distribution board with MCB sheet steel distribution boards flush type / surface type fitted with bus bars and netural links with single / three phase MCB outgoing and separate 4 way provision for accommodating one on. 63 Amps 4 pole incoming  isolator and outgoing 18no.s of SP MCB 6 amps to 32 amps  and provisions for taking up cable for size not less than 35 sqmm etc complete.</t>
  </si>
  <si>
    <t>Stilt Floor &amp; Third.Floor</t>
  </si>
  <si>
    <t>Supplying and fixing of 4 Way Vertical three pahse distribution board with MCB sheet steel distribution boards flush type / surface type fitted with bus bars and netural links with single / three phase MCB outgoing and separate 4 way provision for accommodating one on. 63 Amps 4 pole incoming  isolator and outgoing 12no.s of SP MCB 6 amps to 32 amps  and provisions for taking up cable for size not less than 35 sqmm etc complete.</t>
  </si>
  <si>
    <t>F.F &amp; S.F</t>
  </si>
  <si>
    <t>painting the false ceiling / walls with two coats of 1st class ready mixed plastic emulsion paint of best approved quality colour and shade including a primer coat etc.</t>
  </si>
  <si>
    <r>
      <t xml:space="preserve">Supply &amp; Fixing of </t>
    </r>
    <r>
      <rPr>
        <b/>
        <sz val="14"/>
        <rFont val="Times New Roman"/>
        <family val="1"/>
      </rPr>
      <t>Bevelled edge mirror</t>
    </r>
    <r>
      <rPr>
        <sz val="14"/>
        <rFont val="Times New Roman"/>
        <family val="1"/>
      </rPr>
      <t xml:space="preserve"> of approved quality and brand of size</t>
    </r>
    <r>
      <rPr>
        <b/>
        <sz val="14"/>
        <rFont val="Times New Roman"/>
        <family val="1"/>
      </rPr>
      <t xml:space="preserve"> 500 x 400 x 5.5mm</t>
    </r>
    <r>
      <rPr>
        <sz val="14"/>
        <rFont val="Times New Roman"/>
        <family val="1"/>
      </rPr>
      <t xml:space="preserve"> shelf type mounted in the PVC / Fibre Glass framed with necessary hard board backing including labour for fixing in position etc., complete and as directed by the departmental officers.</t>
    </r>
  </si>
  <si>
    <t>for wash basin</t>
  </si>
  <si>
    <t>Anticorrosive Treatment for window grill</t>
  </si>
  <si>
    <t>As per item no 39</t>
  </si>
  <si>
    <t>Supplying and laying super variety concrete Designer tiles for flooring in C.M 1:3</t>
  </si>
  <si>
    <t>For Mid Landing</t>
  </si>
  <si>
    <t>For landing</t>
  </si>
  <si>
    <t>skirting tread</t>
  </si>
  <si>
    <t>skirting Riser</t>
  </si>
  <si>
    <t>For Mid Landing skirting</t>
  </si>
  <si>
    <t>For landing skirting</t>
  </si>
  <si>
    <t>Supplying and laying of Vitrified tiles</t>
  </si>
  <si>
    <t>Physically challenged persons</t>
  </si>
  <si>
    <t>skirting</t>
  </si>
  <si>
    <t xml:space="preserve">Add Floor Jambs </t>
  </si>
  <si>
    <t>Sub Inspector</t>
  </si>
  <si>
    <t>Skirting</t>
  </si>
  <si>
    <t>PC/HC Room</t>
  </si>
  <si>
    <t>add for jambs</t>
  </si>
  <si>
    <t>Rest room men</t>
  </si>
  <si>
    <t>Rest room women</t>
  </si>
  <si>
    <t>wash basin area</t>
  </si>
  <si>
    <t>Supplying and laying of  Granite tiles 1:3, 10mm tk</t>
  </si>
  <si>
    <t>2.00M wide Corridor</t>
  </si>
  <si>
    <t>Visitors Area</t>
  </si>
  <si>
    <t>wash basin passage</t>
  </si>
  <si>
    <t>Second  Floor</t>
  </si>
  <si>
    <t>supplying and fixing of 32mm dia PVC Tee with end cap of best approved quality with IS ,connected to the sink and wash basin waste water pipeline etc.</t>
  </si>
  <si>
    <t>Supplying and fixing of 20A Double pole plug and socket in sheet steel enclosure with 32 amps DP MCB in Flush with wall.</t>
  </si>
  <si>
    <t>Supplying nd laying of 1000 x 1000 x 300mm size ms 16 swg powder coated cable terminal box with two compartment with necessary bus bar connected with TNEB etc.,</t>
  </si>
  <si>
    <t>At Electrical Rm</t>
  </si>
  <si>
    <t>Annexure</t>
  </si>
  <si>
    <t>Supply,assembling and fixing of 4' LED Tube Light on the wall including cost of all materials and labour for fixing in position and as directed by the departmental officers (The entire fitting should be got approved from the Executive Engineer before use)</t>
  </si>
  <si>
    <t xml:space="preserve">staircase area </t>
  </si>
  <si>
    <r>
      <t xml:space="preserve">Supplying and fixing of </t>
    </r>
    <r>
      <rPr>
        <b/>
        <sz val="14"/>
        <color indexed="8"/>
        <rFont val="Times New Roman"/>
        <family val="1"/>
      </rPr>
      <t>LED Bulb</t>
    </r>
    <r>
      <rPr>
        <sz val="14"/>
        <color indexed="8"/>
        <rFont val="Times New Roman"/>
        <family val="1"/>
      </rPr>
      <t xml:space="preserve"> for suitable for fixing it to pendent / bakelite battern holder of best approved variety and as directed by the departmental officers. (The materials should be got approved from the EE before use)  </t>
    </r>
  </si>
  <si>
    <t>Lock Up</t>
  </si>
  <si>
    <t>head room side</t>
  </si>
  <si>
    <t>Supply and fixing of bulk head fitting for LED bulb</t>
  </si>
  <si>
    <t>Supplying and fixing of 3.5 core 35 Sq.mm PVC armoured LTUG cable (Below G.L)</t>
  </si>
  <si>
    <t>From EB Pole to Meter board</t>
  </si>
  <si>
    <r>
      <t xml:space="preserve">Supply and fixing of </t>
    </r>
    <r>
      <rPr>
        <b/>
        <sz val="14"/>
        <rFont val="Times New Roman"/>
        <family val="1"/>
      </rPr>
      <t xml:space="preserve">LED road way lighting luminaries </t>
    </r>
    <r>
      <rPr>
        <sz val="14"/>
        <rFont val="Times New Roman"/>
        <family val="1"/>
      </rPr>
      <t>suitable for fixing 25</t>
    </r>
    <r>
      <rPr>
        <b/>
        <sz val="14"/>
        <rFont val="Times New Roman"/>
        <family val="1"/>
      </rPr>
      <t xml:space="preserve"> watts LED lamp</t>
    </r>
    <r>
      <rPr>
        <sz val="14"/>
        <rFont val="Times New Roman"/>
        <family val="1"/>
      </rPr>
      <t xml:space="preserve"> with heavy gauge aluminium sheet fabricated canopy treated primered and painted  (The quality and brand of entire fitting should be got approved from Executive Engineer before use).</t>
    </r>
  </si>
  <si>
    <t xml:space="preserve">For building outer side </t>
  </si>
  <si>
    <t xml:space="preserve">Supplying and fixing of 250 Watts Metal halide flood light of best quality including cost of all materials and labour for fixing in position and as directed by the departmental officers (The entire fitting should be got approved from the Executive Engineer </t>
  </si>
  <si>
    <t>Providing of PVC beeding for suitable size for corner of wall tile including cost of material and labour charges etc.,</t>
  </si>
  <si>
    <t>At  Stilt  floor Toilet</t>
  </si>
  <si>
    <t>First Floor inspector Toilet</t>
  </si>
  <si>
    <t>Second Floor inspector  Toilet</t>
  </si>
  <si>
    <r>
      <t xml:space="preserve">Supplying and fixing of Aluminium </t>
    </r>
    <r>
      <rPr>
        <b/>
        <sz val="14"/>
        <rFont val="Times New Roman"/>
        <family val="1"/>
      </rPr>
      <t xml:space="preserve">TNPHC Emblem of 18" height </t>
    </r>
    <r>
      <rPr>
        <sz val="14"/>
        <rFont val="Times New Roman"/>
        <family val="1"/>
      </rPr>
      <t xml:space="preserve">with  approved colour powder coat in finishing matt including cost of materials, necessary drilling holes, packing cement mortar, supporting the letter cement base bolds and fixing charges etc..,complete and as directed by the departmental officers. </t>
    </r>
  </si>
  <si>
    <t>At Parapet Wall</t>
  </si>
  <si>
    <r>
      <t xml:space="preserve">Supplying and fixing of </t>
    </r>
    <r>
      <rPr>
        <b/>
        <sz val="14"/>
        <rFont val="Times New Roman"/>
        <family val="1"/>
      </rPr>
      <t xml:space="preserve">12" Height Aluminium letters  </t>
    </r>
    <r>
      <rPr>
        <sz val="14"/>
        <rFont val="Times New Roman"/>
        <family val="1"/>
      </rPr>
      <t>with approved colour powder coat in finishing matt including cost of materials, necessary drilling holes packing cement mortar, supporting the letter cement base bolds and fixing  charges etc..,complete and as directed by the departmental officers.</t>
    </r>
  </si>
  <si>
    <t>S4 நந்தம்பாக்கம் காவல் நிலையம்</t>
  </si>
  <si>
    <r>
      <t xml:space="preserve">Supplying and fixing of </t>
    </r>
    <r>
      <rPr>
        <b/>
        <sz val="14"/>
        <rFont val="Times New Roman"/>
        <family val="1"/>
      </rPr>
      <t>9" Height</t>
    </r>
    <r>
      <rPr>
        <sz val="14"/>
        <rFont val="Times New Roman"/>
        <family val="1"/>
      </rPr>
      <t xml:space="preserve"> </t>
    </r>
    <r>
      <rPr>
        <b/>
        <sz val="14"/>
        <rFont val="Times New Roman"/>
        <family val="1"/>
      </rPr>
      <t>Aluminium  letters</t>
    </r>
    <r>
      <rPr>
        <sz val="14"/>
        <rFont val="Times New Roman"/>
        <family val="1"/>
      </rPr>
      <t xml:space="preserve"> with approved colour powder coat in finishing matt including cost of materials, necessary drilling holes packing cement mortar, supporting the letter cement base bolds and fixing  charges etc..,complete and as directed by the departmental officers.</t>
    </r>
  </si>
  <si>
    <t xml:space="preserve"> சென்னை பெரு நகர காவல்</t>
  </si>
  <si>
    <r>
      <rPr>
        <b/>
        <sz val="14"/>
        <rFont val="Times New Roman"/>
        <family val="1"/>
      </rPr>
      <t xml:space="preserve">Supply and fixing of 20"x 5" plastic foam name plate </t>
    </r>
    <r>
      <rPr>
        <sz val="14"/>
        <rFont val="Times New Roman"/>
        <family val="1"/>
      </rPr>
      <t xml:space="preserve">with vinyl cutting letters with approved colour etc..complete and as directed by the departmental officers. </t>
    </r>
  </si>
  <si>
    <r>
      <t xml:space="preserve">Supply and fixing of </t>
    </r>
    <r>
      <rPr>
        <b/>
        <sz val="14"/>
        <rFont val="Times New Roman"/>
        <family val="1"/>
      </rPr>
      <t>24"x 8" plastic foam name plate</t>
    </r>
    <r>
      <rPr>
        <sz val="14"/>
        <rFont val="Times New Roman"/>
        <family val="1"/>
      </rPr>
      <t xml:space="preserve"> with vinyl cutting letters RWH Board with approved colour etc..complete and as directed by the departmental officers. </t>
    </r>
  </si>
  <si>
    <t>இங்கு மழை நீர் சேகரிப்பு திட்டம் செயல்படுத்தப்பட்டுள்ளது</t>
  </si>
  <si>
    <t>Safety First 4kg Fire Extinguisher Mono Ammonium Phosphate Powder, Stored Pressure Type, Pressure gauge, Gross weight 8kg, Empty weight 3kg, Can Height 449M, Diameter150MM, Discharge mechanism, Range minimum 4Meters, applicable on Class A,B,C and electrically started fire, A-Rating -8A, B Rating 34B, Can Construction: Deep drawn &amp; C02 mig welded, value Construction:Forging &amp;machining, Internal coating:Epoxy Powder coating, External Coating:Epoxy Polyster Powder coating, Sheet metal thickness;1.60mm, ISI 2 Years Warranty</t>
  </si>
  <si>
    <t>Safety first fire 4.5Kg, Co2Gas  Type Fire Extinguisher, Easy weight management Used Unused Mechanism, Gross Weight 19.1Kg, empty Weight 14.6Kg, Can Height 857mm, Diameter 140MM, Discharge Time less than 10secs, Controllable discharge mechanism, Applicable on Class B&amp;C Fire, B Rating 21B, Can Construction:Hot Spinning/Forging, Value Construction:Forging &amp; machining, Internal Coating of can: Not Applicable, external Coating of can:Spray Painting, Sheet metal thickness:4.5MM, ISI Approved, 2 Year Warranty</t>
  </si>
  <si>
    <t>1.1)  Earth work excavation in all soils (including refilling)
a. 0 to 2 mt.</t>
  </si>
  <si>
    <t>b. 2 to 3 mt.</t>
  </si>
  <si>
    <t>1.5)  Earth work excavation for Open foundation (excluding refilling)
a. 0 to 2 mt.</t>
  </si>
  <si>
    <t>2.3)  Supply and filling of 
40mm Brick jelly</t>
  </si>
  <si>
    <t>2.4)  Supply and filling of 
20mm Brick jelly</t>
  </si>
  <si>
    <t>3.1)  C.C.1:5:10 for Foundation &amp; Basement</t>
  </si>
  <si>
    <t>3.2)  P.C.C. 1:2:4 for Foundation &amp; Basement and other similar works</t>
  </si>
  <si>
    <t>3.3)  P.C.C. 1:8:16 using 
20 mm broken brick jelly</t>
  </si>
  <si>
    <t>6.2)  Brick work in C.M. 1:5 (F&amp; B) using chamber Burnt bricks of size 23 x 11.4 x 7.5 cm (9" x 4 1/2"x 3")</t>
  </si>
  <si>
    <t>7.2)  Supply and fixing of Bituminous filler pad, 
20 mm tk. for expansion joint</t>
  </si>
  <si>
    <t>9.2)  Brick work in C.M. 1:6 using chamber Burnt bricks of size 23 x 11.4 x 7.5 cm (9" x 4 1/2"x 3")
a. In Ground Floor/Stilt floor</t>
  </si>
  <si>
    <t>10.2)  Brick partition work in C.M. 1:4 using chamber Burnt bricks of size 23 x 11.4 x 7.5 cm (9" x 4 1/2"x 3") 114 mm tk (B.P.)
a. In Foundation and basement</t>
  </si>
  <si>
    <t>b. In Ground Floor/stilt floor</t>
  </si>
  <si>
    <t>11.2)  Brick work in C.M. 1:4 using chamber Burnt bricks of size 23 x 11.4 x 7.5 cm (9" x 4 1/2"x 3") 75 mm tk (B.P.)  
a. In Ground Floor /stilt floor</t>
  </si>
  <si>
    <t>13.1)  Filling with Excavated Earth</t>
  </si>
  <si>
    <t>23.3)  S &amp; F of Magnetic door catches</t>
  </si>
  <si>
    <t>24.0)  Manufacturing &amp; supply of steel windows (Weight basis)</t>
  </si>
  <si>
    <t>25.0)  M.S.Holdfast</t>
  </si>
  <si>
    <t>26.0)  Flooring in C.C.1:5:10</t>
  </si>
  <si>
    <t>28.0)  Floor plastering in C.M.1:4, 20mm tk.</t>
  </si>
  <si>
    <t>30)  Ellispattern</t>
  </si>
  <si>
    <t>31.0)  Weathering course</t>
  </si>
  <si>
    <t>33.0)  Plastering in C.M. 1:5, 12 mm tk.</t>
  </si>
  <si>
    <t>34.0)  Plastering in C.M. 1:4, 12 mm tk.</t>
  </si>
  <si>
    <t>35.0)  Spl. Ceiling plastering in C.M. 1:3, 10 mm tk.</t>
  </si>
  <si>
    <t>36.0)  Cement mortar Border in  C.M. 1:5, 12 mm tk.
a. 150 mm wide</t>
  </si>
  <si>
    <t>37.1)  White washing 3 coats  (slaked)</t>
  </si>
  <si>
    <t>39.0)  M.s Grills</t>
  </si>
  <si>
    <t>40.0)  Painting - New "wood work"</t>
  </si>
  <si>
    <t>41.0)  Painting - New "iron work"</t>
  </si>
  <si>
    <t>46.0)  S &amp; F 20 mm dia Alu. Hanger Rod</t>
  </si>
  <si>
    <t>47.0)  S &amp; F Alu  Towel rail
75 cm long</t>
  </si>
  <si>
    <t>48.0)  S &amp; F 5 pin Coat stand</t>
  </si>
  <si>
    <t>49.0)  S &amp; F chromium plated 8 gauge Picture Hook</t>
  </si>
  <si>
    <t xml:space="preserve">50.2)  Providing precast Kerb stone in C.C. 1:3:6,  450 x 300 x 150 mm </t>
  </si>
  <si>
    <t>50.3)  Supply and planting avenue trees</t>
  </si>
  <si>
    <t>50.4)  Providing Tree guard</t>
  </si>
  <si>
    <t>50.5)  Supplying. Fabricating and erection of M.S Scheme Name board</t>
  </si>
  <si>
    <t xml:space="preserve">52.0)  PVC Water supply (ASTM)
a. 32 mm dia </t>
  </si>
  <si>
    <t>52.1)  G.I Pipe 20mm dia for Hot water line (Fully Concealed in walls)</t>
  </si>
  <si>
    <t>53.3)  C.I. Steps ( 5 kg)</t>
  </si>
  <si>
    <t>59.2)  Gully Trap using chamber burnt bricks of size 23x11.4x7.5cm</t>
  </si>
  <si>
    <t>60.0)  PVC Nahani trap (4way/2way)</t>
  </si>
  <si>
    <t>61.2)  Stoneware pipe dry condition
a. 100 mm dia</t>
  </si>
  <si>
    <t>Electrical arrangements
69.0)  15 Amp. Power plug</t>
  </si>
  <si>
    <t>72.0)  Box type Fibre Fan hook</t>
  </si>
  <si>
    <t>74.0)  Charges for fixing of "Fan"</t>
  </si>
  <si>
    <t>76.0)  8 SWG wire</t>
  </si>
  <si>
    <t>77.3)  S &amp; F of TV/Telephone line Socket</t>
  </si>
  <si>
    <t>77.4)  S &amp; F of 20mm dia PVC pipe for TV/Telephone line</t>
  </si>
  <si>
    <t>78.0)  Earthing Station IS3043 (Type I)</t>
  </si>
  <si>
    <t>81)  Meter cupboard</t>
  </si>
  <si>
    <t>86.0)  Anti termite treatment</t>
  </si>
  <si>
    <t>238.0)  Anticorrosive treatment for steel grills</t>
  </si>
  <si>
    <t>ANNEXURE
2.15)  Supplying and filling stone dust</t>
  </si>
  <si>
    <t>3.8)  P.C.C. 1:4:8 using 40 mm HBSJ</t>
  </si>
  <si>
    <t>8.2.4.1)  Standardised concrete Mix M25 Grade Concrete
a. In Foundation and basement</t>
  </si>
  <si>
    <t>14.2.I)  Precast Cupboard slab 20 mm tk.using standardised concrete mix M25
a. In Ground Floor</t>
  </si>
  <si>
    <t>b. In First floor</t>
  </si>
  <si>
    <t>c. In Second floor</t>
  </si>
  <si>
    <t>d. In Third floor</t>
  </si>
  <si>
    <t>14.2.II)  Precast cupboard slab 40 mm tkusing standardised concrete mix M25
b. In Ground floor</t>
  </si>
  <si>
    <t>16.4)  Precast Jally ventilator 50mm tk.using standardised concrete mix M25 without vibrating charges
d. In Third floor</t>
  </si>
  <si>
    <t>18.1)  Formwork using M.S.Sheet
a.For Column footings, plinth beam, Grade beam, Raftbeam, Raft slab etc.,</t>
  </si>
  <si>
    <t>f.Curved surface</t>
  </si>
  <si>
    <t>21.5.2.2)   Supply and Fixing Solid UPVC door Shutter with frame</t>
  </si>
  <si>
    <t>21.6.1.3)  R.C.C.Door frames of size 100 x 75mm with one edge grooves size 't' x 20 mm using M25 grade
a. 900 x 2100 mm</t>
  </si>
  <si>
    <t>c. 1000 x 2100 mm</t>
  </si>
  <si>
    <t>22.3.3)  T.W. frame &amp; TW styles &amp; rails with BWR double leaf shutters for cup board/ ward robes including two coat enamel paint &amp; one coat primer.</t>
  </si>
  <si>
    <t>22.3.9)  Providing T.W.frame with shutter using 18mm thk BWR ply wood for rest room cupboard /ward robes of size 3000 x2100mm</t>
  </si>
  <si>
    <t>23.1.8)  TW styles &amp; rails with 9mm thick BWR single leaf shutters  with brass screws
a.  1000 x 2100 mm</t>
  </si>
  <si>
    <t>b.  900 x 2100 mm</t>
  </si>
  <si>
    <t>23.2.1)  4mm thick pin headed Glass panels with Aluminium beedings</t>
  </si>
  <si>
    <t>23.5)  Supply &amp; Fixing of MS door  (for lockup door)
MS door of Size 1000 x 2100mm</t>
  </si>
  <si>
    <t>24.1)  Supply &amp; Fixing of MS ventilator of size (lockup)
MS Ventilator of Size 1350 x 600mm</t>
  </si>
  <si>
    <t>29.8)  Glazed tiles using Grout (Tile Joint Filler)</t>
  </si>
  <si>
    <t>29.9)  Floor ceramic tiles (Anti-skid) using Grout (Tile Joint Filler).</t>
  </si>
  <si>
    <t>31.4)  Finishing the top of Terrace floor with one course of solar reflective Ceramic tiles without base concrete</t>
  </si>
  <si>
    <t>38.6)  One coat white cement for new walls and other similar works.</t>
  </si>
  <si>
    <t xml:space="preserve">38.8)  Two coat of OBD over one coat white cement for inner walls </t>
  </si>
  <si>
    <t xml:space="preserve">43.1)  Fabrication of Mild steel / RTS grills (without cement slurry) for all sizes of rods.
</t>
  </si>
  <si>
    <t>44.2.3)  Rain water harvesting using defunct borewell and providing precasted standardised concrete mix M25 grade cover slab
a). Providing pit</t>
  </si>
  <si>
    <t>44.5.5)  Providing R.W.H. Well ring of 90cm dia, 60cm depth, 50mm thick using standardised M25 grade concrete.</t>
  </si>
  <si>
    <t>44.6)  PVC SWR 110 mm dia with ISI mark type- A for Rain water down fall pipe</t>
  </si>
  <si>
    <t>50.6)  Precast slab 50 mm tk.in C.C. 1:3:6 with fibre</t>
  </si>
  <si>
    <t>52.4)  20mm dia PVC water supply ASTM pipe (fully consealed in walls)</t>
  </si>
  <si>
    <t xml:space="preserve">52.9)  Supply and fixing of MS clamp set of  40mm dia including transporting charge.
</t>
  </si>
  <si>
    <t xml:space="preserve">53.4)  S &amp; F of C.I Manhole cover 60 x 60 cm (50 kg weight ) </t>
  </si>
  <si>
    <t>53.5)  Wash Hand  Basin of size 550 x 400 mm</t>
  </si>
  <si>
    <t>54.1.1)  S &amp; F of 15mm dia half turn CP long body tap</t>
  </si>
  <si>
    <t>54.2.1)  S &amp; F of 15mm dia half turn CP short body tap</t>
  </si>
  <si>
    <t xml:space="preserve">56.3.1)  S &amp; F of Indian Water closet white glazed (Oriya type) of size 580 x 440mm with PVC SWR grade ' P' or "S' trap   - in G.F.  </t>
  </si>
  <si>
    <t xml:space="preserve">56.4.1)  S &amp; F of Indian Water closet white glazed (Oriya type) of size 580 x 440mm  with PVC SWR grade ' P' or "S' trap- Other than  G.F.  </t>
  </si>
  <si>
    <t xml:space="preserve">57.1.1)  S &amp; F of E.W.C.(White) 500 mm with PVC SWR grade "P" or "S" TRAP </t>
  </si>
  <si>
    <t>58.3)  PVC SWR pipe (Soil line) with ISI mark - type 'B'.
a. 110 mm dia.</t>
  </si>
  <si>
    <t>58.4)  Supplying, Laying &amp; Concealing the 50mm dia PVC (SWR) pipe with ISI mark type - 'B' with relevant specials.</t>
  </si>
  <si>
    <t>58.5)  PVC(SWR) pipe with ISI mark - type 'A' for Ventilating shaft with cowl</t>
  </si>
  <si>
    <t>61.3)  UPVC Non Pressure  pipe of SN8 SDR 34 ( S 16.5) as per IS 15328/2003
a. 110 mm UPVC Non Pressure  pipe</t>
  </si>
  <si>
    <t xml:space="preserve">62.1.1)  PVC Specials  as per IS 10124/1982 Part II 
a. 110 mm dia PVC bend </t>
  </si>
  <si>
    <t xml:space="preserve">b. 160 mm dia PVC bend </t>
  </si>
  <si>
    <t xml:space="preserve">62.2.1) PVC Equal Tee  as per  BIS 7834/1975 
a. 110 mm dia PVC Equal Tee </t>
  </si>
  <si>
    <t>b. 160 mm dia PVC Equal tee</t>
  </si>
  <si>
    <t>64.1)  Wiring with 1.5 Sqmm PVC insulated single core multi strand fire retardant flexible copper cable with ISI mark confirming IS: 694:1990.
a. Light point with ceiling rose</t>
  </si>
  <si>
    <t>c. Calling bell point with Buzzer/Calling bell</t>
  </si>
  <si>
    <t>65.1)  Wiring with 1.5 Sqmm PVC insulated single core multi strand fire retardant flexible copper cable with ISI mark confirming IS: 694:1990 for Fan point.</t>
  </si>
  <si>
    <t>66.1)  Wiring with 1.5 Sqmm PVC insulated single core multi strand fire retardant flexible copper cable with ISI mark confirming IS: 694:1990 for Staircase Light Point.</t>
  </si>
  <si>
    <t>67.1)  Wiring with 1.5 Sqmm PVC insulated single core multi strand fire retardant flexible copper cable with ISI mark confirming IS: 694:1990 for 5 amps 5 pin plug socket point @ Switch Board Itself.</t>
  </si>
  <si>
    <t>68.2)  Wiring with 1.5 Sqmm PVC insulated single core multi strand fire retardant flexible copper cable with ISI mark confirming IS: 694:1990 for 5 amps 5 pin plug socket point @ Convenient Places.</t>
  </si>
  <si>
    <t>75.2)  Supply and delivery of  48" (1200 mm) Fan with ISI mark with Electronic Dimmer</t>
  </si>
  <si>
    <t>77.7)  Run off 2 Wires of 2.5 Sqmm PVC insulated single core multi strand fire retardant flexible copper cable with ISI mark confirming IS: 694:1990.</t>
  </si>
  <si>
    <t>80.2)  450 x 375 x 20 mm   thick TW plank</t>
  </si>
  <si>
    <t>82.3)  Supply and Fixing 25W LED Street light with fittings</t>
  </si>
  <si>
    <t>84.3)  Run off 2 Wires of 4 Sqmm PVC insulated single core multi strand fire retardant flexible copper cable with ISI mark confirming IS: 694:1990.</t>
  </si>
  <si>
    <t>85.1)  Supply of G.I pipe 40mm dia 'B' Class</t>
  </si>
  <si>
    <t>93.1)  Plastering with CM 1:3, 12mm with WPC</t>
  </si>
  <si>
    <t>105.3)  Run off 4 Wires of 6 Sqmm PVC insulated single core multi strand fire retardant flexible copper cable with ISI mark</t>
  </si>
  <si>
    <t>112.1)  S &amp; F of Exhaust Fan 225mm dia</t>
  </si>
  <si>
    <t>144.2.1)  Supplying and fixing of 250 Watts Metal halide Flood light etc.,</t>
  </si>
  <si>
    <t xml:space="preserve">171.1.2) Labour charges for the erection of submersible pumpset in borewell / openwell </t>
  </si>
  <si>
    <t>171.2.7)  Supply and Delivery of Submersible motor Pumpset with ISI mark IS8034 without panel board (Single phase) 1.5 Hp - 20 Lpm x125m</t>
  </si>
  <si>
    <t>175.1.4)  Supplying and fixing of 1 No.of MCB DB for 4 way phase , 1 No.of isolator 63 amps, 6 amps to 32 amps MCB 12 1 No with neutral link necessary interconnection and earth connection cost of all materials</t>
  </si>
  <si>
    <t xml:space="preserve">180.2.1)  Labour charges for laying of flat cable in trenches </t>
  </si>
  <si>
    <t xml:space="preserve">180.2.2)  Labour charges for laying of flat cable below ground level. </t>
  </si>
  <si>
    <t>207.3.1)  Plastic Emulsion paint including primer for outer walls</t>
  </si>
  <si>
    <t xml:space="preserve">213)  Manhole   Cover  SFRC of size 
a)  600mm   x 600mm 
</t>
  </si>
  <si>
    <t>b)  300mm  x 300mm  Heavy Duty</t>
  </si>
  <si>
    <t>238.1)  Anticorrosive treatment for window grills</t>
  </si>
  <si>
    <t>255.6.2)  Supply &amp; fixing of bulk head fitting suitable for 12W bulb</t>
  </si>
  <si>
    <t xml:space="preserve">255.7.2)  Supplying and fixing of LED Bulb suitable for fixing it to pendent / bakelite battern holder
a.  9 watts  LED bulb </t>
  </si>
  <si>
    <t xml:space="preserve">b.  12 watts  LED bulb </t>
  </si>
  <si>
    <t>344.2)  S &amp; F of Bevelled edge mirror 500 x 400 x 5.5mm</t>
  </si>
  <si>
    <t>359.3.1)  Concrete designer tiles flooring</t>
  </si>
  <si>
    <t>361.5)  Vitrified Tiles flooring (Ivory)</t>
  </si>
  <si>
    <t>379.7.1.1)  Providing of PVC beeding for suitable size for corner of wall tile including cost of material and labour charges etc.</t>
  </si>
  <si>
    <t>379.8.2)  Granite Tiles flooring in CM 1:3 using 10mm thk Ruby red tiles</t>
  </si>
  <si>
    <t xml:space="preserve">448.2)  Providing 32mm dia PVC Tee with end cap </t>
  </si>
  <si>
    <t>450)  Supply and fixing of 160 mm dia PVC top end cap for borewell</t>
  </si>
  <si>
    <t>504) Supply and delivery of 12mm thick Nylon rope</t>
  </si>
  <si>
    <t>609.6.1)  Supply and delivery of 150 mm OD of PVC casing pipes [6Kg/CM2] as per IS 12818 / 1992 of approved quality for borewells.</t>
  </si>
  <si>
    <t xml:space="preserve">609.6.2)  Supply and delivery of 150 mm OD of PVC ribbed screen pipes [6Kg/CM2] as per IS 12818 / 1992 of approved quality confirming of ISI mark of borewells </t>
  </si>
  <si>
    <t>609.6.3)  Labour Charges for inserting PVC casing pipes assembly (with slots or without slots) 
a) 150mm dia casing pipes assembly.</t>
  </si>
  <si>
    <t>615.3.5)  Supplying and fixing single phase DOL with two level guard and auto start with ISI mark</t>
  </si>
  <si>
    <t>616.4.1) Supply and delivery of 32mm Dia  HDPE pipes</t>
  </si>
  <si>
    <t xml:space="preserve">619)  Supplying and delivery of specials with ISI mark of best approved quality.
a) 32mm dia GM Gate Valve  </t>
  </si>
  <si>
    <t xml:space="preserve">707.3.1) Supply and laying of 2.5 Sqmm 3 core flat cable  </t>
  </si>
  <si>
    <t xml:space="preserve">724.1)  Supplying and fixing of 3.5 core 35 Sq.mm PVC armoured LTUG cable (Below G.L) </t>
  </si>
  <si>
    <t xml:space="preserve">741.1.1)  Supply and fixing of 20 Amps DP plug and socket in sheet enclosure with 32 A DP MCB  in Flush with wall with earth connection (For AC Plug) approved / Superior variety  
</t>
  </si>
  <si>
    <t>799.1.1)  Drilling of borewell anywhere including transportation from one place to another place in alluvial soil or sedimentary starta (Calyx drills are to be used)
(a) Drilling of borewell in  upto 60m</t>
  </si>
  <si>
    <t xml:space="preserve">799.2.1)  Reaming of borewell from 150mm dia pilot bore up to 300mm dia bore as directed by the departmental officers upto 60m depth below ground level  </t>
  </si>
  <si>
    <t xml:space="preserve">799.3.1)  Charges for developing the borewell for the entire depth with air compressor of 300cfm capacity [Minimum 8 hours] </t>
  </si>
  <si>
    <t>912)  Supplying and laying of 1000 x 1000 x 300mm size ms 16 swg powder coated cable terminal box with two compartment with necessary bus bar connected with TNEB etc.,</t>
  </si>
  <si>
    <t xml:space="preserve">943.5.2)  Safety First fire 4Kg (ABC type) Fire Extinguisher Mono Ammonium phosphate powder,Stored pressure type,pressure gauge,Gross weight 8 Kg including delivery and installation charges </t>
  </si>
  <si>
    <t xml:space="preserve">944)  Safety first fire 4.5Kg ,Co2 gas type fire extinguisher,Easy weight management ,used Unused mechanism, Gross weight 19.1 kg  including delivery and installation charges </t>
  </si>
  <si>
    <t>960.4.5.1)  Supply &amp; fixing of 18 watts  LED  Tube Light of 4' long with fittings 
a.  4'-18w (Crystal glass) LED</t>
  </si>
  <si>
    <t xml:space="preserve">961)  Supplying &amp; fixing of 18" height TNPHC Emblem with approved colour coat in finishing matt. </t>
  </si>
  <si>
    <t>961.1) Supplying &amp; fixing of Aluminium Letters with approved colour coat in finishing matt 
a.  12" height</t>
  </si>
  <si>
    <t>b.  9" height</t>
  </si>
  <si>
    <t xml:space="preserve">961.2)  Supplying and fixing of plastic foam name plate with vinyl cutting letter with approved colors etc.,
a.  Size - 20" x 5" </t>
  </si>
  <si>
    <t xml:space="preserve">b.  Size  - 24" x 8" </t>
  </si>
  <si>
    <t>961.3)  Providing ornamental work engaging skilled Mason I class / Shape design works/sthapahy works as per the drawing including cost of materials like cement and labour charge</t>
  </si>
  <si>
    <t>961.4)  Providing ornamental border design for button shape works (9" x9") 25mm thick Projection /Sthapay works as per the drawing including cost of materials like cement and labour charge</t>
  </si>
  <si>
    <t>350.30</t>
  </si>
  <si>
    <t>11.20</t>
  </si>
  <si>
    <t>82.50</t>
  </si>
  <si>
    <t>16.30</t>
  </si>
  <si>
    <t>4.80</t>
  </si>
  <si>
    <t>1.60</t>
  </si>
  <si>
    <t>53.00</t>
  </si>
  <si>
    <t>40.00</t>
  </si>
  <si>
    <t>65.40</t>
  </si>
  <si>
    <t>17.70</t>
  </si>
  <si>
    <t>15.60</t>
  </si>
  <si>
    <t>31.90</t>
  </si>
  <si>
    <t>46.60</t>
  </si>
  <si>
    <t>39.20</t>
  </si>
  <si>
    <t>8.40</t>
  </si>
  <si>
    <t>116.70</t>
  </si>
  <si>
    <t>97.50</t>
  </si>
  <si>
    <t>77.00</t>
  </si>
  <si>
    <t>31.10</t>
  </si>
  <si>
    <t>2.60</t>
  </si>
  <si>
    <t>18.00</t>
  </si>
  <si>
    <t>20.20</t>
  </si>
  <si>
    <t>10.10</t>
  </si>
  <si>
    <t>81.80</t>
  </si>
  <si>
    <t>19.00</t>
  </si>
  <si>
    <t>2040.00</t>
  </si>
  <si>
    <t>114.00</t>
  </si>
  <si>
    <t>13.50</t>
  </si>
  <si>
    <t>4.40</t>
  </si>
  <si>
    <t>16.00</t>
  </si>
  <si>
    <t>8.00</t>
  </si>
  <si>
    <t>2763.00</t>
  </si>
  <si>
    <t>70.80</t>
  </si>
  <si>
    <t>595.00</t>
  </si>
  <si>
    <t>83.10</t>
  </si>
  <si>
    <t>124.50</t>
  </si>
  <si>
    <t>107.60</t>
  </si>
  <si>
    <t>281.80</t>
  </si>
  <si>
    <t>12.00</t>
  </si>
  <si>
    <t>32.00</t>
  </si>
  <si>
    <t>133.60</t>
  </si>
  <si>
    <t>5.00</t>
  </si>
  <si>
    <t>1.00</t>
  </si>
  <si>
    <t>134.80</t>
  </si>
  <si>
    <t>24.00</t>
  </si>
  <si>
    <t>9.00</t>
  </si>
  <si>
    <t>26.00</t>
  </si>
  <si>
    <t>38.00</t>
  </si>
  <si>
    <t>42.00</t>
  </si>
  <si>
    <t>30.00</t>
  </si>
  <si>
    <t>20.00</t>
  </si>
  <si>
    <t>609.70</t>
  </si>
  <si>
    <t>120.70</t>
  </si>
  <si>
    <t>38.80</t>
  </si>
  <si>
    <t>36.20</t>
  </si>
  <si>
    <t>37.20</t>
  </si>
  <si>
    <t>30.70</t>
  </si>
  <si>
    <t>2.90</t>
  </si>
  <si>
    <t>23.10</t>
  </si>
  <si>
    <t>11.60</t>
  </si>
  <si>
    <t>.80</t>
  </si>
  <si>
    <t>5.80</t>
  </si>
  <si>
    <t>7.20</t>
  </si>
  <si>
    <t>2.20</t>
  </si>
  <si>
    <t>339.30</t>
  </si>
  <si>
    <t>1023.40</t>
  </si>
  <si>
    <t>496.00</t>
  </si>
  <si>
    <t>27.80</t>
  </si>
  <si>
    <t>73.60</t>
  </si>
  <si>
    <t>18.40</t>
  </si>
  <si>
    <t>3.00</t>
  </si>
  <si>
    <t>17.00</t>
  </si>
  <si>
    <t>12.60</t>
  </si>
  <si>
    <t>31.00</t>
  </si>
  <si>
    <t>4.90</t>
  </si>
  <si>
    <t>58.50</t>
  </si>
  <si>
    <t>.90</t>
  </si>
  <si>
    <t>105.20</t>
  </si>
  <si>
    <t>27.00</t>
  </si>
  <si>
    <t>146.00</t>
  </si>
  <si>
    <t>1751.00</t>
  </si>
  <si>
    <t>7.00</t>
  </si>
  <si>
    <t>21.00</t>
  </si>
  <si>
    <t>83.50</t>
  </si>
  <si>
    <t>72.00</t>
  </si>
  <si>
    <t>82.00</t>
  </si>
  <si>
    <t>107.40</t>
  </si>
  <si>
    <t>45.00</t>
  </si>
  <si>
    <t>2.00</t>
  </si>
  <si>
    <t>75.00</t>
  </si>
  <si>
    <t>4.00</t>
  </si>
  <si>
    <t>28.00</t>
  </si>
  <si>
    <t>735.00</t>
  </si>
  <si>
    <t>130.00</t>
  </si>
  <si>
    <t>10.00</t>
  </si>
  <si>
    <t>19.70</t>
  </si>
  <si>
    <t>70.00</t>
  </si>
  <si>
    <t>11.00</t>
  </si>
  <si>
    <t>1087.60</t>
  </si>
  <si>
    <t>13.00</t>
  </si>
  <si>
    <t>3.82</t>
  </si>
  <si>
    <t>39.00</t>
  </si>
  <si>
    <t>74.10</t>
  </si>
  <si>
    <t>211.20</t>
  </si>
  <si>
    <t>19.20</t>
  </si>
  <si>
    <t>80.00</t>
  </si>
  <si>
    <t>62.00</t>
  </si>
  <si>
    <t>25.00</t>
  </si>
  <si>
    <t>35.00</t>
  </si>
  <si>
    <t>50.00</t>
  </si>
  <si>
    <t>15.00</t>
  </si>
  <si>
    <t>29.00</t>
  </si>
  <si>
    <t>57.00</t>
  </si>
  <si>
    <t>1 Cum.</t>
  </si>
  <si>
    <t>1 Sqm.</t>
  </si>
  <si>
    <t>1 Kg.</t>
  </si>
  <si>
    <t>1 Rmt.</t>
  </si>
  <si>
    <t>1 Hr</t>
  </si>
  <si>
    <t>3351.56</t>
  </si>
  <si>
    <t>1114.00</t>
  </si>
  <si>
    <t>446.00</t>
  </si>
  <si>
    <t>136.00</t>
  </si>
  <si>
    <t>61.00</t>
  </si>
  <si>
    <t>67.00</t>
  </si>
  <si>
    <t>607.00</t>
  </si>
  <si>
    <t>665.00</t>
  </si>
  <si>
    <t>2818.00</t>
  </si>
  <si>
    <t>3937.00</t>
  </si>
  <si>
    <t>2422.00</t>
  </si>
  <si>
    <t>4185.00</t>
  </si>
  <si>
    <t>534.00</t>
  </si>
  <si>
    <t>4186.00</t>
  </si>
  <si>
    <t>4273.00</t>
  </si>
  <si>
    <t>4360.00</t>
  </si>
  <si>
    <t>4448.00</t>
  </si>
  <si>
    <t>521.00</t>
  </si>
  <si>
    <t>526.00</t>
  </si>
  <si>
    <t>536.00</t>
  </si>
  <si>
    <t>546.00</t>
  </si>
  <si>
    <t>556.00</t>
  </si>
  <si>
    <t>365.00</t>
  </si>
  <si>
    <t>378.00</t>
  </si>
  <si>
    <t>385.00</t>
  </si>
  <si>
    <t>47.00</t>
  </si>
  <si>
    <t>288.00</t>
  </si>
  <si>
    <t>267.00</t>
  </si>
  <si>
    <t>2380.00</t>
  </si>
  <si>
    <t>140.00</t>
  </si>
  <si>
    <t>144.00</t>
  </si>
  <si>
    <t>162.00</t>
  </si>
  <si>
    <t>44.00</t>
  </si>
  <si>
    <t>145.00</t>
  </si>
  <si>
    <t>86.00</t>
  </si>
  <si>
    <t>73.00</t>
  </si>
  <si>
    <t>160.00</t>
  </si>
  <si>
    <t>238.00</t>
  </si>
  <si>
    <t>563.00</t>
  </si>
  <si>
    <t>11086.00</t>
  </si>
  <si>
    <t>152.00</t>
  </si>
  <si>
    <t>197.00</t>
  </si>
  <si>
    <t>23.00</t>
  </si>
  <si>
    <t>1151.00</t>
  </si>
  <si>
    <t>104.00</t>
  </si>
  <si>
    <t>154.00</t>
  </si>
  <si>
    <t>98.00</t>
  </si>
  <si>
    <t>309.00</t>
  </si>
  <si>
    <t>51.00</t>
  </si>
  <si>
    <t>1685.00</t>
  </si>
  <si>
    <t>3147.00</t>
  </si>
  <si>
    <t>180.00</t>
  </si>
  <si>
    <t>2961.00</t>
  </si>
  <si>
    <t>4930.00</t>
  </si>
  <si>
    <t>4995.00</t>
  </si>
  <si>
    <t>5125.00</t>
  </si>
  <si>
    <t>5254.00</t>
  </si>
  <si>
    <t>5384.00</t>
  </si>
  <si>
    <t>823.00</t>
  </si>
  <si>
    <t>826.00</t>
  </si>
  <si>
    <t>829.00</t>
  </si>
  <si>
    <t>831.00</t>
  </si>
  <si>
    <t>916.00</t>
  </si>
  <si>
    <t>921.00</t>
  </si>
  <si>
    <t>927.00</t>
  </si>
  <si>
    <t>932.00</t>
  </si>
  <si>
    <t>1663.00</t>
  </si>
  <si>
    <t>478.00</t>
  </si>
  <si>
    <t>543.00</t>
  </si>
  <si>
    <t>651.00</t>
  </si>
  <si>
    <t>597.00</t>
  </si>
  <si>
    <t>814.00</t>
  </si>
  <si>
    <t>2141.00</t>
  </si>
  <si>
    <t>1592.00</t>
  </si>
  <si>
    <t>1605.00</t>
  </si>
  <si>
    <t>2896.00</t>
  </si>
  <si>
    <t>2779.00</t>
  </si>
  <si>
    <t>2375.00</t>
  </si>
  <si>
    <t>2461.00</t>
  </si>
  <si>
    <t>518.00</t>
  </si>
  <si>
    <t>5706.00</t>
  </si>
  <si>
    <t>2562.00</t>
  </si>
  <si>
    <t>736.00</t>
  </si>
  <si>
    <t>893.00</t>
  </si>
  <si>
    <t>51396.00</t>
  </si>
  <si>
    <t>1140.00</t>
  </si>
  <si>
    <t>279.00</t>
  </si>
  <si>
    <t>852.00</t>
  </si>
  <si>
    <t>228.00</t>
  </si>
  <si>
    <t>247.00</t>
  </si>
  <si>
    <t>138.00</t>
  </si>
  <si>
    <t>1384.00</t>
  </si>
  <si>
    <t>2178.00</t>
  </si>
  <si>
    <t>340.00</t>
  </si>
  <si>
    <t>304.00</t>
  </si>
  <si>
    <t>2067.00</t>
  </si>
  <si>
    <t>3238.00</t>
  </si>
  <si>
    <t>4498.00</t>
  </si>
  <si>
    <t>451.00</t>
  </si>
  <si>
    <t>364.00</t>
  </si>
  <si>
    <t>338.00</t>
  </si>
  <si>
    <t>252.00</t>
  </si>
  <si>
    <t>417.00</t>
  </si>
  <si>
    <t>119.00</t>
  </si>
  <si>
    <t>380.00</t>
  </si>
  <si>
    <t>142.00</t>
  </si>
  <si>
    <t>251.00</t>
  </si>
  <si>
    <t>920.00</t>
  </si>
  <si>
    <t>923.00</t>
  </si>
  <si>
    <t>944.00</t>
  </si>
  <si>
    <t>964.00</t>
  </si>
  <si>
    <t>1706.00</t>
  </si>
  <si>
    <t>468.00</t>
  </si>
  <si>
    <t>644.00</t>
  </si>
  <si>
    <t>972.00</t>
  </si>
  <si>
    <t>131.00</t>
  </si>
  <si>
    <t>2125.00</t>
  </si>
  <si>
    <t>155.00</t>
  </si>
  <si>
    <t>124.00</t>
  </si>
  <si>
    <t>158.00</t>
  </si>
  <si>
    <t>282.00</t>
  </si>
  <si>
    <t>6317.00</t>
  </si>
  <si>
    <t>6544.00</t>
  </si>
  <si>
    <t>21287.00</t>
  </si>
  <si>
    <t>5766.00</t>
  </si>
  <si>
    <t>74.00</t>
  </si>
  <si>
    <t>115.00</t>
  </si>
  <si>
    <t>2007.00</t>
  </si>
  <si>
    <t>341.00</t>
  </si>
  <si>
    <t>1767.00</t>
  </si>
  <si>
    <t>329.00</t>
  </si>
  <si>
    <t>284.00</t>
  </si>
  <si>
    <t>928.00</t>
  </si>
  <si>
    <t>793.00</t>
  </si>
  <si>
    <t>69.00</t>
  </si>
  <si>
    <t>1049.00</t>
  </si>
  <si>
    <t>46.00</t>
  </si>
  <si>
    <t>322.00</t>
  </si>
  <si>
    <t>552.00</t>
  </si>
  <si>
    <t>219.00</t>
  </si>
  <si>
    <t>4205.00</t>
  </si>
  <si>
    <t>56.00</t>
  </si>
  <si>
    <t>647.00</t>
  </si>
  <si>
    <t>83.00</t>
  </si>
  <si>
    <t>367.00</t>
  </si>
  <si>
    <t>1358.00</t>
  </si>
  <si>
    <t>729.00</t>
  </si>
  <si>
    <t>206.00</t>
  </si>
  <si>
    <t>1146.00</t>
  </si>
  <si>
    <t>25300.00</t>
  </si>
  <si>
    <t>1414.00</t>
  </si>
  <si>
    <t>4396.00</t>
  </si>
  <si>
    <t>459.00</t>
  </si>
  <si>
    <t>3211.00</t>
  </si>
  <si>
    <t>642.00</t>
  </si>
  <si>
    <t>550.00</t>
  </si>
  <si>
    <t>245.00</t>
  </si>
  <si>
    <t>344.00</t>
  </si>
  <si>
    <t>630.00</t>
  </si>
  <si>
    <t>Compound wall</t>
  </si>
  <si>
    <t>d/f wall</t>
  </si>
  <si>
    <t>DAP Investigation Room allround</t>
  </si>
  <si>
    <t>Stair case Rear side wall</t>
  </si>
  <si>
    <t>Stair case side wall</t>
  </si>
  <si>
    <t>Lift allround</t>
  </si>
  <si>
    <t>Toilet outer wall</t>
  </si>
  <si>
    <t>Toilet side wall</t>
  </si>
  <si>
    <t>Toilet cross wall</t>
  </si>
  <si>
    <t>d/f Columns</t>
  </si>
  <si>
    <t>d/f Door D</t>
  </si>
  <si>
    <t>d/f Door Lintel</t>
  </si>
  <si>
    <t>d/f Window W</t>
  </si>
  <si>
    <t>d/f Window W Lintel</t>
  </si>
  <si>
    <t>d/f Lift Door LD</t>
  </si>
  <si>
    <t>d/f Lift Door LD Lintel</t>
  </si>
  <si>
    <t>d/f Door SD</t>
  </si>
  <si>
    <t>d/f SD Lintel</t>
  </si>
  <si>
    <t>d/f Door D3</t>
  </si>
  <si>
    <t>d/f D3 Lintel</t>
  </si>
  <si>
    <t>d/f Ventilator V1</t>
  </si>
  <si>
    <t>d/f Ventilator V1 Lintel</t>
  </si>
  <si>
    <t>d/f Window W1</t>
  </si>
  <si>
    <t>d/f Window W1 Lintel</t>
  </si>
  <si>
    <t>d/f Window GW</t>
  </si>
  <si>
    <t>d/f Window GW1</t>
  </si>
  <si>
    <t>d/f Window GW1 Lintel</t>
  </si>
  <si>
    <t>d/f Window GW Lintel</t>
  </si>
  <si>
    <t>d/f Window GD</t>
  </si>
  <si>
    <t>d/f Window GD &amp; GW Lintel</t>
  </si>
  <si>
    <t>Pipe Crossing wall</t>
  </si>
  <si>
    <t>Inspector/Corrider</t>
  </si>
  <si>
    <t>Inspector/SI</t>
  </si>
  <si>
    <t>Arms/CCTNS, PC</t>
  </si>
  <si>
    <t>Arms Front Wall</t>
  </si>
  <si>
    <t>Writer / Lockup</t>
  </si>
  <si>
    <t>Record / Lockup</t>
  </si>
  <si>
    <t>d/f Door D,GD,D5</t>
  </si>
  <si>
    <t>d/f Door Lintel D,GD,D5</t>
  </si>
  <si>
    <t>d/f Ventilator V</t>
  </si>
  <si>
    <t>d/f Ventilator VG</t>
  </si>
  <si>
    <t>d/f Loft Lintel</t>
  </si>
  <si>
    <t>Cupboard bed</t>
  </si>
  <si>
    <t>Cupboard bed SI</t>
  </si>
  <si>
    <t>Cupboard bed PC, INS, Writer</t>
  </si>
  <si>
    <t>Cupboard bed  Record</t>
  </si>
  <si>
    <t>Alround ((14.47+10.37)*2)</t>
  </si>
  <si>
    <t>Meeting hall/ Corrider</t>
  </si>
  <si>
    <t>Cupboard bed INS, Writer</t>
  </si>
  <si>
    <t>Parapet (3.45+14.70+3.45-0.60-0.60)</t>
  </si>
  <si>
    <t>Alround ((14.47+6.69+14.47+6.69)</t>
  </si>
  <si>
    <t>d/f Door D,GD</t>
  </si>
  <si>
    <t xml:space="preserve">Cupboard bed </t>
  </si>
  <si>
    <t>Projection wall</t>
  </si>
  <si>
    <t>Parapet (14.47+6.69+14.47+6.69+0.60+0.60)</t>
  </si>
  <si>
    <t>Lift wall (2.36+1.70*2)</t>
  </si>
  <si>
    <t>Tank wall (4.61+1.93)</t>
  </si>
  <si>
    <t>I/B CCTNs &amp;Visitor</t>
  </si>
  <si>
    <t>Lockup Toilet wall</t>
  </si>
  <si>
    <t>D Lintel</t>
  </si>
  <si>
    <t>D2 Lintel</t>
  </si>
  <si>
    <t>D3 Lintel</t>
  </si>
  <si>
    <t>Loft Lintel</t>
  </si>
  <si>
    <t>GD Lintel</t>
  </si>
  <si>
    <t xml:space="preserve">GD </t>
  </si>
  <si>
    <t>GD Grill open</t>
  </si>
  <si>
    <t>D3 Toilet</t>
  </si>
  <si>
    <t xml:space="preserve"> front wall men &amp;women Rest</t>
  </si>
  <si>
    <t>Toilet Front wall</t>
  </si>
  <si>
    <t>Toilet wall Cross wall</t>
  </si>
  <si>
    <t>D3 Toilet lintel</t>
  </si>
  <si>
    <t>SI</t>
  </si>
  <si>
    <t>Record</t>
  </si>
  <si>
    <t>For Arms &amp; Ammunition Jams</t>
  </si>
  <si>
    <t>For lock up Jams</t>
  </si>
  <si>
    <t>Toilet sunken portion INS ( FF,SF)</t>
  </si>
  <si>
    <t>Common Toilet (FF)</t>
  </si>
  <si>
    <t>Men Rest &amp; Women Rest</t>
  </si>
  <si>
    <t>Jams Column</t>
  </si>
  <si>
    <t>Jams wall</t>
  </si>
  <si>
    <t>Lift Front</t>
  </si>
  <si>
    <t>D, SD</t>
  </si>
  <si>
    <t>Add Jams For SD</t>
  </si>
  <si>
    <t>Guard Room Inner</t>
  </si>
  <si>
    <t>Guard Room outter</t>
  </si>
  <si>
    <t>GD</t>
  </si>
  <si>
    <t>Add Jams For GD</t>
  </si>
  <si>
    <t>GW</t>
  </si>
  <si>
    <t>Add Jams For GW</t>
  </si>
  <si>
    <t>GW2</t>
  </si>
  <si>
    <t>Parapet Elevation</t>
  </si>
  <si>
    <t>Lockup</t>
  </si>
  <si>
    <t xml:space="preserve"> D5</t>
  </si>
  <si>
    <t>D3 Lockup</t>
  </si>
  <si>
    <t>Add Jams For wall Top</t>
  </si>
  <si>
    <t>INS, Writer, PC/HC</t>
  </si>
  <si>
    <t>Cup Board Bed</t>
  </si>
  <si>
    <t>Add Loft Top SI</t>
  </si>
  <si>
    <t>Add Loft Top Record</t>
  </si>
  <si>
    <t>LD</t>
  </si>
  <si>
    <t>S/C open</t>
  </si>
  <si>
    <t>Add jams for LD</t>
  </si>
  <si>
    <t>Add Jams For Column</t>
  </si>
  <si>
    <t>Add Jams For D5</t>
  </si>
  <si>
    <t xml:space="preserve">INS, Writer, </t>
  </si>
  <si>
    <t xml:space="preserve">Men Rest Room </t>
  </si>
  <si>
    <t xml:space="preserve">Women Rest Room </t>
  </si>
  <si>
    <t>Toilet Passage</t>
  </si>
  <si>
    <t>Bath Room</t>
  </si>
  <si>
    <t>Toilet Room 1</t>
  </si>
  <si>
    <t>Toilet Room 2</t>
  </si>
  <si>
    <t>Corrider</t>
  </si>
  <si>
    <t xml:space="preserve"> GD</t>
  </si>
  <si>
    <t xml:space="preserve">Add Loft Top </t>
  </si>
  <si>
    <t>Men &amp; Women Rest</t>
  </si>
  <si>
    <t>StairCase</t>
  </si>
  <si>
    <t>Allround</t>
  </si>
  <si>
    <t>Allround Lift outer wall</t>
  </si>
  <si>
    <t>d/f W1</t>
  </si>
  <si>
    <t>d/f Flight Slab</t>
  </si>
  <si>
    <t>d/f Step</t>
  </si>
  <si>
    <t>Lift Well</t>
  </si>
  <si>
    <t>Allround Lift inner wall</t>
  </si>
  <si>
    <t>d/f LD</t>
  </si>
  <si>
    <t>Add Jams For LD</t>
  </si>
  <si>
    <t>Front Side</t>
  </si>
  <si>
    <t>Add Jams sunshade top</t>
  </si>
  <si>
    <t>Reart Side</t>
  </si>
  <si>
    <t>d/f W</t>
  </si>
  <si>
    <t>d/f V</t>
  </si>
  <si>
    <t>West Side (ff to sf parapet)</t>
  </si>
  <si>
    <t>West Side (sf parapet to tf parapet)</t>
  </si>
  <si>
    <t>West Side (ff to basement)</t>
  </si>
  <si>
    <t>East Side (ff to sf parapet)</t>
  </si>
  <si>
    <t>East Side (sf parapet to tf parapet)</t>
  </si>
  <si>
    <t>d/f V1</t>
  </si>
  <si>
    <t>East Side (Guard Room)</t>
  </si>
  <si>
    <t>d/f W2 grill</t>
  </si>
  <si>
    <t>Front Side (Guard Room)</t>
  </si>
  <si>
    <t>Add Jams Pipe support wall allround</t>
  </si>
  <si>
    <t>third floor outer Front side</t>
  </si>
  <si>
    <t>Elevation wall</t>
  </si>
  <si>
    <t>Third floor Parapet Inside</t>
  </si>
  <si>
    <t>Third floor Parapet Top</t>
  </si>
  <si>
    <t>Second floor Parapet Inside</t>
  </si>
  <si>
    <t>Second floor Parapet Top</t>
  </si>
  <si>
    <t>Second floor Projection wall Inside</t>
  </si>
  <si>
    <t>Lift Machine Room Outer</t>
  </si>
  <si>
    <t>Water tank outer alround</t>
  </si>
  <si>
    <t>Water tank Below wall</t>
  </si>
  <si>
    <t>Water tank Beam</t>
  </si>
  <si>
    <t>Water tank Top</t>
  </si>
  <si>
    <t>Lift Machine Top</t>
  </si>
  <si>
    <t>d/f mh open</t>
  </si>
  <si>
    <t>Plinth Protection</t>
  </si>
  <si>
    <t>Rear Side</t>
  </si>
  <si>
    <t>Rear Side top</t>
  </si>
  <si>
    <t>Bore chamber inside alround</t>
  </si>
  <si>
    <t>Toilet sunken portion FF Inspector</t>
  </si>
  <si>
    <t>Toilet sunken portion FF Common Toilet</t>
  </si>
  <si>
    <t>Toilet sunken portion SF Inspector</t>
  </si>
  <si>
    <t>Toilet sunken portion FF Lockup</t>
  </si>
  <si>
    <t>Toilet sunken portion SF Lockup</t>
  </si>
  <si>
    <t>Toilet sunken portion TF Rest Room Toilet</t>
  </si>
  <si>
    <t>Toilet sunken portion FF Inspector side</t>
  </si>
  <si>
    <t>Toilet sunken portion FF Common Toilet side</t>
  </si>
  <si>
    <t>Toilet sunken portion FF Lockup side</t>
  </si>
  <si>
    <t>Toilet sunken portion SF Inspector side</t>
  </si>
  <si>
    <t>Toilet sunken portion SF Lockup side</t>
  </si>
  <si>
    <t>Toilet sunken portion TF Rest Room Toilet side</t>
  </si>
  <si>
    <t>Add Beam side</t>
  </si>
  <si>
    <t>1st Flight</t>
  </si>
  <si>
    <t>2nd Flight</t>
  </si>
  <si>
    <t>3rd Flight</t>
  </si>
  <si>
    <t>ML1</t>
  </si>
  <si>
    <t>ML2</t>
  </si>
  <si>
    <t>Add Columns</t>
  </si>
  <si>
    <t xml:space="preserve">Add sunshade W </t>
  </si>
  <si>
    <t xml:space="preserve">Add sunshade W1 </t>
  </si>
  <si>
    <t>Sunshade Top W</t>
  </si>
  <si>
    <t>Sunshade Top W1</t>
  </si>
  <si>
    <t>Sunshade side edge</t>
  </si>
  <si>
    <t>Sunshade Top GD</t>
  </si>
  <si>
    <t>S.I Loft</t>
  </si>
  <si>
    <t>INS</t>
  </si>
  <si>
    <t>INS Rest</t>
  </si>
  <si>
    <t>INS Toilet</t>
  </si>
  <si>
    <t>property Loft</t>
  </si>
  <si>
    <t>INS Beam jams</t>
  </si>
  <si>
    <t>Toilet  Beam jams</t>
  </si>
  <si>
    <t>Urinal &amp; Wash area</t>
  </si>
  <si>
    <t>d/f Lift</t>
  </si>
  <si>
    <t>Water Tank</t>
  </si>
  <si>
    <t>Water Tank Beam</t>
  </si>
  <si>
    <t>Machine Room</t>
  </si>
  <si>
    <t>third floor allround</t>
  </si>
  <si>
    <t>Second Floor Front and side</t>
  </si>
  <si>
    <t>GF,FF, SF allround</t>
  </si>
  <si>
    <t>Water Tank top slab</t>
  </si>
  <si>
    <t>Terrace Gate</t>
  </si>
  <si>
    <t>Writer Gate</t>
  </si>
  <si>
    <t>Writer Grill</t>
  </si>
  <si>
    <t>Arms Room</t>
  </si>
  <si>
    <t>Lader</t>
  </si>
  <si>
    <t>Guard Room Gate</t>
  </si>
  <si>
    <t>Guard Room Grill</t>
  </si>
  <si>
    <t>Main Gate</t>
  </si>
  <si>
    <t>Vacate  Gate</t>
  </si>
  <si>
    <t>Guard Room sill Slab</t>
  </si>
  <si>
    <t>Guard Room GD Lintel</t>
  </si>
  <si>
    <t>Guard Room GW Lintel</t>
  </si>
  <si>
    <t>Guard Room GW Sunshade</t>
  </si>
  <si>
    <t>Record Room</t>
  </si>
  <si>
    <t xml:space="preserve">SI </t>
  </si>
  <si>
    <t>d/f for door SD</t>
  </si>
  <si>
    <t>d/f for door D3</t>
  </si>
  <si>
    <t>d/f for Lift</t>
  </si>
  <si>
    <t>for skirting Columns</t>
  </si>
  <si>
    <t>for skirting Lader Bed</t>
  </si>
  <si>
    <t>d/f  Colour glazed tiles  in CM 1:2 ,10mm thick</t>
  </si>
  <si>
    <t>For Low Terrace</t>
  </si>
  <si>
    <t>Road Crossing</t>
  </si>
  <si>
    <t>Gate Light Road Crossing</t>
  </si>
  <si>
    <t>For FF &amp; SF Lock up toilet</t>
  </si>
  <si>
    <t>FF &amp; SF inpector toilet</t>
  </si>
  <si>
    <t>For FF &amp; SF common  toilet inner line</t>
  </si>
  <si>
    <t>For TF Bath inner line</t>
  </si>
  <si>
    <t>For Wash basin inner line</t>
  </si>
  <si>
    <t>Spout Pipe</t>
  </si>
  <si>
    <t>Lockup Toilet FF, SF</t>
  </si>
  <si>
    <t xml:space="preserve"> TF Toilet</t>
  </si>
  <si>
    <t>Stilt floor for toilet</t>
  </si>
  <si>
    <t>GF to SF for toilet East Side</t>
  </si>
  <si>
    <t>GF to TF for toilet North Side</t>
  </si>
  <si>
    <t>Add cross</t>
  </si>
  <si>
    <t>Add Cross</t>
  </si>
  <si>
    <t>For staircase steps tread(G.F,F.F,S.F)</t>
  </si>
  <si>
    <t>For staircase steps riser (G.F,F.F,S.F)</t>
  </si>
  <si>
    <t>Entrance step</t>
  </si>
  <si>
    <t>Meeting Hall</t>
  </si>
  <si>
    <t>wash basin area Skirting</t>
  </si>
  <si>
    <t>Third  Floor</t>
  </si>
  <si>
    <t xml:space="preserve"> Corridor</t>
  </si>
  <si>
    <t xml:space="preserve"> Corridor jams</t>
  </si>
  <si>
    <t>Lift side Area</t>
  </si>
  <si>
    <t xml:space="preserve">So far Executed </t>
  </si>
  <si>
    <t>Qty</t>
  </si>
  <si>
    <t>Total Execution</t>
  </si>
  <si>
    <t>CHENNAI DIVISION-II</t>
  </si>
  <si>
    <t>Name of work: Construction of New Police Station Building with development works at S-4 Nandambakkam in Chennai city</t>
  </si>
  <si>
    <t>Estimate No : CER No.501/2019-2020</t>
  </si>
  <si>
    <t xml:space="preserve">Estimate Amount:- </t>
  </si>
  <si>
    <t>Agreement No : SE/04/2021-2022</t>
  </si>
  <si>
    <t>Agreement Amount:Rs.1,00,05,284.5/-</t>
  </si>
  <si>
    <t>Rate</t>
  </si>
  <si>
    <t>As Per Agreement</t>
  </si>
  <si>
    <t>So far Executed</t>
  </si>
  <si>
    <t>To be Executed</t>
  </si>
  <si>
    <t xml:space="preserve">Remarks </t>
  </si>
  <si>
    <t>Ab-Sub</t>
  </si>
  <si>
    <t>Total amount</t>
  </si>
  <si>
    <t>GST 12%</t>
  </si>
  <si>
    <t>Grand total</t>
  </si>
  <si>
    <t>Percentage of savings</t>
  </si>
  <si>
    <t>%</t>
  </si>
  <si>
    <t xml:space="preserve">Estimate put in tender value                                                                      </t>
  </si>
  <si>
    <t xml:space="preserve">Tender Value  (Agreement value)                                                                               </t>
  </si>
  <si>
    <t xml:space="preserve">Tender Savings                                                                                            </t>
  </si>
  <si>
    <t>Tender savings %</t>
  </si>
  <si>
    <t xml:space="preserve">Net Executed value as per Excess Qty Statement  
including 3 No. of supplental                    </t>
  </si>
  <si>
    <t>nil</t>
  </si>
  <si>
    <t>% age</t>
  </si>
  <si>
    <t>Net Saving amount compared to Agt Value</t>
  </si>
  <si>
    <t>Net Saving amount compared to put in tender value</t>
  </si>
  <si>
    <t>Revised agt value</t>
  </si>
  <si>
    <t>Net Saving amount compared to Rev Agt Amount</t>
  </si>
  <si>
    <t>So for Billed</t>
  </si>
  <si>
    <t>So far Billed</t>
  </si>
  <si>
    <t>Meter Chamber bott</t>
  </si>
  <si>
    <t>so for billed</t>
  </si>
  <si>
    <t>Sump wall</t>
  </si>
  <si>
    <t>Sump ceiling</t>
  </si>
  <si>
    <t>water tank wall</t>
  </si>
  <si>
    <t>water tank ceiling</t>
  </si>
  <si>
    <t>D/f MH</t>
  </si>
  <si>
    <t>Kerb Stone</t>
  </si>
  <si>
    <t>Cupboard slab ff Record</t>
  </si>
  <si>
    <t>Cupboard slab ff SI</t>
  </si>
  <si>
    <t>Cupboard slab ff INS, PC/HC</t>
  </si>
  <si>
    <t>Cupboard slab SF Record</t>
  </si>
  <si>
    <t>Cupboard slab SF SI</t>
  </si>
  <si>
    <t>Cupboard slab SF INS, PC/HC</t>
  </si>
  <si>
    <t>Cupboard slab TF Rest Room</t>
  </si>
  <si>
    <t>Cupboard slab GF PCP</t>
  </si>
  <si>
    <t>Columns</t>
  </si>
  <si>
    <t>Guard Room wall</t>
  </si>
  <si>
    <t>Compound wall Top</t>
  </si>
  <si>
    <t>D/f Gate</t>
  </si>
  <si>
    <t>Cupboard Ams Room</t>
  </si>
  <si>
    <t>(C)</t>
  </si>
  <si>
    <t>(A+B+C)</t>
  </si>
  <si>
    <t xml:space="preserve"> C.I. Steps ( 5 kg)</t>
  </si>
  <si>
    <t xml:space="preserve">  Stoneware pipe dry condition
a. 100 mm dia</t>
  </si>
  <si>
    <t>Septick tank to Soak pit</t>
  </si>
  <si>
    <t>Tie Beam compound</t>
  </si>
  <si>
    <t>Gate pillar</t>
  </si>
  <si>
    <t>W2 Lintel</t>
  </si>
  <si>
    <t>LD Lintel</t>
  </si>
  <si>
    <t>Loft Rest</t>
  </si>
  <si>
    <t>Machine Room Base Slab Beam</t>
  </si>
  <si>
    <t xml:space="preserve">Machine Room Base Slab </t>
  </si>
  <si>
    <t>Column</t>
  </si>
  <si>
    <t xml:space="preserve">    </t>
  </si>
  <si>
    <t>.</t>
  </si>
  <si>
    <t xml:space="preserve">1.1)  </t>
  </si>
  <si>
    <t>Earth work excavation in all soils (including refilling)
a. 0 to 2 mt.</t>
  </si>
  <si>
    <t>Qty as per approved Excess Qty (upto F&amp;B)</t>
  </si>
  <si>
    <t xml:space="preserve">3.1)  </t>
  </si>
  <si>
    <t>C.C.1:5:10 for Foundation &amp; Basement</t>
  </si>
  <si>
    <t xml:space="preserve">3.2)  </t>
  </si>
  <si>
    <t>P.C.C. 1:2:4 for Foundation &amp; Basement and other similar works</t>
  </si>
  <si>
    <t>Brick work in C.M. 1:5 (F&amp; B) using chamber Burnt bricks of size 23 x 11.4 x 7.5 cm (9" x 4 1/2"x 3")</t>
  </si>
  <si>
    <t>Brick work in Cement Mortar 1:6 (One of cement and six of sand) using Chamber burnt bricks of size 9”x4½X3” (23x11.4x 7.5cm) for super structure in the following floors including labour for fixing the doors, windows and ventilator frames in position, fixing of hold fasts, scaffoldings, curing etc., complete in all respect complying with relevant standard specifications and drawings.</t>
  </si>
  <si>
    <t>22.3.9</t>
  </si>
  <si>
    <t xml:space="preserve">a. 1000 x 2100 mm </t>
  </si>
  <si>
    <t>44.2.3</t>
  </si>
  <si>
    <t>44.5.5</t>
  </si>
  <si>
    <t>175.1.4</t>
  </si>
  <si>
    <t>741.1.1</t>
  </si>
  <si>
    <t>960.4.5.1</t>
  </si>
  <si>
    <t>255.7.2</t>
  </si>
  <si>
    <t xml:space="preserve">a. 9 Watts LED Bulb </t>
  </si>
  <si>
    <t>b. 12  Watts bulb</t>
  </si>
  <si>
    <t>255.6.2</t>
  </si>
  <si>
    <t>144.2.1</t>
  </si>
  <si>
    <t>379.7.1.1</t>
  </si>
  <si>
    <t>961.1(a)</t>
  </si>
  <si>
    <t>961.1(b)</t>
  </si>
  <si>
    <t>961.2(a)</t>
  </si>
  <si>
    <t>961.2(b)</t>
  </si>
  <si>
    <t>943.5.2</t>
  </si>
  <si>
    <t>a) In Foundation &amp; Basement</t>
  </si>
  <si>
    <t>Septic tank</t>
  </si>
  <si>
    <t>Bore and water meter, EB</t>
  </si>
  <si>
    <t>Compound wall at Front side</t>
  </si>
  <si>
    <t>Inspection Chamber</t>
  </si>
  <si>
    <t>Bore Chamber</t>
  </si>
  <si>
    <t>EB cable Chamber</t>
  </si>
  <si>
    <t>d/f  for coloumn</t>
  </si>
  <si>
    <t>b) In Stilt floor</t>
  </si>
  <si>
    <t>Compound wall Pillar</t>
  </si>
  <si>
    <t>Arch Above wall</t>
  </si>
  <si>
    <t>d/f  Arch portion</t>
  </si>
  <si>
    <r>
      <rPr>
        <b/>
        <sz val="14"/>
        <rFont val="Times New Roman"/>
        <family val="1"/>
      </rPr>
      <t>Guard Room</t>
    </r>
    <r>
      <rPr>
        <sz val="14"/>
        <rFont val="Times New Roman"/>
        <family val="1"/>
      </rPr>
      <t xml:space="preserve"> allround</t>
    </r>
  </si>
  <si>
    <r>
      <rPr>
        <b/>
        <sz val="14"/>
        <rFont val="Times New Roman"/>
        <family val="1"/>
      </rPr>
      <t>Compound Wal</t>
    </r>
    <r>
      <rPr>
        <sz val="14"/>
        <rFont val="Times New Roman"/>
        <family val="1"/>
      </rPr>
      <t>l</t>
    </r>
  </si>
  <si>
    <t>Compound wall Pillar Rear side</t>
  </si>
  <si>
    <t>d/f Gate Opening</t>
  </si>
  <si>
    <t>d/f Pillar</t>
  </si>
  <si>
    <t>d/f  Arch above portion</t>
  </si>
  <si>
    <t>Compound wall  Rear side</t>
  </si>
  <si>
    <t>d/f coloumn Rear side</t>
  </si>
  <si>
    <t>Compound wall Front</t>
  </si>
  <si>
    <t>Compound wall pillar jams</t>
  </si>
  <si>
    <t>Compound wall Arch jams</t>
  </si>
  <si>
    <t>Compound wall Rear side</t>
  </si>
  <si>
    <t>Jolly allround</t>
  </si>
  <si>
    <t>Front  side zig zag</t>
  </si>
  <si>
    <t>Front At TF zig zag</t>
  </si>
  <si>
    <t>Rear  side zig zag</t>
  </si>
  <si>
    <t>SS Arch Portion</t>
  </si>
  <si>
    <t xml:space="preserve">Second floor (Parapet) </t>
  </si>
  <si>
    <t>So for billed</t>
  </si>
  <si>
    <t>Lintel W bot</t>
  </si>
  <si>
    <t>Lintel W Side</t>
  </si>
  <si>
    <t>Lintel D bot</t>
  </si>
  <si>
    <t>Lintel D Side</t>
  </si>
  <si>
    <t>Lintel D3 bot</t>
  </si>
  <si>
    <t>Lintel D2 bot</t>
  </si>
  <si>
    <t>Lintel D2 Side &amp; loft side</t>
  </si>
  <si>
    <t>Lintel Bath side</t>
  </si>
  <si>
    <t>Lintel Toilet side</t>
  </si>
  <si>
    <t>Lintel  side</t>
  </si>
  <si>
    <t>Lintel V1 bot</t>
  </si>
  <si>
    <t>Lintel V1 side</t>
  </si>
  <si>
    <t>Loft bot</t>
  </si>
  <si>
    <t>Loft side</t>
  </si>
  <si>
    <t>LD bot</t>
  </si>
  <si>
    <t>LD side</t>
  </si>
  <si>
    <t>dowel rod closer wall</t>
  </si>
  <si>
    <t>Elevation open bot</t>
  </si>
  <si>
    <t>Elevation open side</t>
  </si>
  <si>
    <t>beam bot</t>
  </si>
  <si>
    <t>beam side inner</t>
  </si>
  <si>
    <t>beam side outer</t>
  </si>
  <si>
    <t>beam side outer duct</t>
  </si>
  <si>
    <t>beam side outer duct end</t>
  </si>
  <si>
    <t>Slab bot</t>
  </si>
  <si>
    <t>Top Slab bot</t>
  </si>
  <si>
    <t>Top Slab side</t>
  </si>
  <si>
    <t>d/f MH</t>
  </si>
  <si>
    <t>Machine room base slab</t>
  </si>
  <si>
    <t xml:space="preserve"> slab</t>
  </si>
  <si>
    <t>In Stilt Floor</t>
  </si>
  <si>
    <t>GD bot</t>
  </si>
  <si>
    <t>GW bot</t>
  </si>
  <si>
    <t>GW side</t>
  </si>
  <si>
    <t>GD &amp; GW side</t>
  </si>
  <si>
    <t>Lintel W1 bot</t>
  </si>
  <si>
    <t>Lintel W1 Side</t>
  </si>
  <si>
    <t xml:space="preserve">Pedestal Columns Compound wall </t>
  </si>
  <si>
    <t>Ground floor Columns Compound wall  front</t>
  </si>
  <si>
    <t>Ground floor Columns Compound wall  Rear side</t>
  </si>
  <si>
    <t>Guard Room sunshade</t>
  </si>
  <si>
    <t>sunshsde Edge</t>
  </si>
  <si>
    <t>Third Floor sunshade W</t>
  </si>
  <si>
    <t>Third Floor sunshade D</t>
  </si>
  <si>
    <t>Third Floor sunshade W1</t>
  </si>
  <si>
    <t>Retaining wall</t>
  </si>
  <si>
    <t>lift</t>
  </si>
  <si>
    <t>s/c EB Room</t>
  </si>
  <si>
    <t>Lift</t>
  </si>
  <si>
    <t>Meeting</t>
  </si>
  <si>
    <t>Parking</t>
  </si>
  <si>
    <t>corrider</t>
  </si>
  <si>
    <t>physically challenged toilet</t>
  </si>
  <si>
    <t>Eb Room</t>
  </si>
  <si>
    <t>Inspectors/Meeting hall</t>
  </si>
  <si>
    <t>sump to panel board</t>
  </si>
  <si>
    <t>707.3.1</t>
  </si>
  <si>
    <t xml:space="preserve"> Supply and laying of 2.5 Sqmm 3 core flat cable  </t>
  </si>
  <si>
    <t xml:space="preserve">  Supplying and delivery of specials with ISI mark of best approved quality.
a) 32mm dia GM Gate Valve  </t>
  </si>
  <si>
    <t>Sump Delivery</t>
  </si>
  <si>
    <t>616.4.1</t>
  </si>
  <si>
    <t xml:space="preserve"> Supply and delivery of 32mm Dia  HDPE pipes</t>
  </si>
  <si>
    <t xml:space="preserve"> Supplying and fixing single phase DOL with two level guard and auto start with ISI mark</t>
  </si>
  <si>
    <t>615.3.5</t>
  </si>
  <si>
    <t>bore line</t>
  </si>
  <si>
    <t>bore motor</t>
  </si>
  <si>
    <t xml:space="preserve"> Supply and delivery of 12mm thick Nylon rope</t>
  </si>
  <si>
    <t>First floor common toilet</t>
  </si>
  <si>
    <t xml:space="preserve">d/f Basement alround </t>
  </si>
  <si>
    <t>d/f Inspection Chamber Top</t>
  </si>
  <si>
    <t>d/f Outside alround</t>
  </si>
  <si>
    <t xml:space="preserve">  Labour charges for laying of flat cable in trenches </t>
  </si>
  <si>
    <t>180.2.1</t>
  </si>
  <si>
    <t xml:space="preserve">  Labour charges for laying of flat cable below ground level. </t>
  </si>
  <si>
    <t>180.2.2</t>
  </si>
  <si>
    <t>cable in below ground</t>
  </si>
  <si>
    <t>cable in trenches</t>
  </si>
  <si>
    <t xml:space="preserve">  Supply and Delivery of Submersible motor Pumpset with ISI mark IS8034 without panel board (Single phase) 1.5 Hp - 20 Lpm x125m</t>
  </si>
  <si>
    <t>171.2.7</t>
  </si>
  <si>
    <t xml:space="preserve"> Labour charges for the erection of submersible pumpset in borewell / openwell </t>
  </si>
  <si>
    <t>171.1.2</t>
  </si>
  <si>
    <t xml:space="preserve">  Supply and Fixing 25W LED Street light with fittings</t>
  </si>
  <si>
    <t>building allround</t>
  </si>
  <si>
    <t xml:space="preserve">  PVC Specials  as per IS 10124/1982 Part II 
a. 110 mm dia PVC bend </t>
  </si>
  <si>
    <t>62.1.1</t>
  </si>
  <si>
    <t xml:space="preserve"> PVC Equal Tee  as per  BIS 7834/1975 
a. 110 mm dia PVC Equal Tee </t>
  </si>
  <si>
    <t>62.2.1</t>
  </si>
  <si>
    <t>man hole to septic tank</t>
  </si>
  <si>
    <t>PVC(SWR) pipe with ISI mark - type 'A' for Ventilating shaft with cowl</t>
  </si>
  <si>
    <t>Septic tank vent</t>
  </si>
  <si>
    <t xml:space="preserve"> Supply and fixing of MS clamp set of  40mm dia including transporting charge.
</t>
  </si>
  <si>
    <t>Bore motor</t>
  </si>
  <si>
    <t>Precast slab 50 mm tk.in C.C. 1:3:6 with fibre</t>
  </si>
  <si>
    <t>Building Rear side</t>
  </si>
  <si>
    <t>d/f  IC</t>
  </si>
  <si>
    <t>d/f  Gully</t>
  </si>
  <si>
    <t>(a)Foundation &amp; Basement</t>
  </si>
  <si>
    <t xml:space="preserve">Providing precast Kerb stone in C.C. 1:3:6,  450 x 300 x 150 mm </t>
  </si>
  <si>
    <t>Building side</t>
  </si>
  <si>
    <t>Building front</t>
  </si>
  <si>
    <t>Splay</t>
  </si>
  <si>
    <t>Supply and fixing of Bituminous filler pad, 
20 mm tk. for expansion joint</t>
  </si>
  <si>
    <t>Supply and filling of 
40mm Brick jelly</t>
  </si>
  <si>
    <t>Supply and filling of 
20mm Brick jelly</t>
  </si>
  <si>
    <t>P.C.C. 1:8:16 using 
20 mm broken brick jelly</t>
  </si>
  <si>
    <r>
      <rPr>
        <b/>
        <u/>
        <sz val="14"/>
        <rFont val="Times New Roman"/>
        <family val="1"/>
      </rPr>
      <t>Name of work :-</t>
    </r>
    <r>
      <rPr>
        <b/>
        <sz val="14"/>
        <rFont val="Times New Roman"/>
        <family val="1"/>
      </rPr>
      <t xml:space="preserve"> Construction of New Police Station Building with development works at S-4 Nandambakkam Police station  in Chennai City.</t>
    </r>
  </si>
  <si>
    <t xml:space="preserve">Footing </t>
  </si>
  <si>
    <t>Grade Beam Rear side 1</t>
  </si>
  <si>
    <t>Grade Beam Rear side 2</t>
  </si>
  <si>
    <t xml:space="preserve">Grade Beam Front side </t>
  </si>
  <si>
    <t>RCC wall Rear side 1vertical rod</t>
  </si>
  <si>
    <t>RCC wall Rear side1horizontal rod</t>
  </si>
  <si>
    <t>Third Floor lintel</t>
  </si>
  <si>
    <t xml:space="preserve">D1 Lintel Mr </t>
  </si>
  <si>
    <t>D1 Lintel Stirrups</t>
  </si>
  <si>
    <t xml:space="preserve">D1 Lintel cum sunshade Mr </t>
  </si>
  <si>
    <t>D1 Sunshade Distributors</t>
  </si>
  <si>
    <t xml:space="preserve">D2 Lintel cum loft  Mr </t>
  </si>
  <si>
    <t>D2 Lintel Stirrups</t>
  </si>
  <si>
    <t>D2 Sunshade Distributors</t>
  </si>
  <si>
    <t xml:space="preserve">D3 Lintel Mr </t>
  </si>
  <si>
    <t>D3 Lintel Stirrups</t>
  </si>
  <si>
    <t xml:space="preserve">cross wall Lintel Mr </t>
  </si>
  <si>
    <t xml:space="preserve">W Lintel cum sunshade Mr </t>
  </si>
  <si>
    <t>W Lintel Stirrups</t>
  </si>
  <si>
    <t>W Sunshade Distributors</t>
  </si>
  <si>
    <t xml:space="preserve">V1 Lintel Mr </t>
  </si>
  <si>
    <t>V1 Lintel Stirrups</t>
  </si>
  <si>
    <t xml:space="preserve">LD Lintel Mr </t>
  </si>
  <si>
    <t>LD Lintel Stirrups</t>
  </si>
  <si>
    <t xml:space="preserve">W1 Lintel cum sunshade Mr </t>
  </si>
  <si>
    <t>W1 Lintel Stirrups</t>
  </si>
  <si>
    <t>W1 Sunshade Distributors</t>
  </si>
  <si>
    <t>Machine Room Base Slab</t>
  </si>
  <si>
    <t>Beam 1</t>
  </si>
  <si>
    <t>Beam 1 stirups</t>
  </si>
  <si>
    <t>Beam 2</t>
  </si>
  <si>
    <t>Beam 2 stirups</t>
  </si>
  <si>
    <t>Slab T&amp;B MR</t>
  </si>
  <si>
    <t>Slab T&amp;B DR</t>
  </si>
  <si>
    <t>Slab Chair rod</t>
  </si>
  <si>
    <t>Slab MS Hook rod</t>
  </si>
  <si>
    <t>Water Tank Base Slab</t>
  </si>
  <si>
    <t>Beam1</t>
  </si>
  <si>
    <t>Beam2</t>
  </si>
  <si>
    <t>Beam1 stirups</t>
  </si>
  <si>
    <t>Beam2 stirups</t>
  </si>
  <si>
    <t>Beam3</t>
  </si>
  <si>
    <t>Beam3 stirups</t>
  </si>
  <si>
    <t>Beam4</t>
  </si>
  <si>
    <t>Beam4 stirups</t>
  </si>
  <si>
    <t>Wall Rod vertical</t>
  </si>
  <si>
    <t>Wall Rod horizontal inner</t>
  </si>
  <si>
    <t>Wall Rod horizontal outer</t>
  </si>
  <si>
    <t>Lapping</t>
  </si>
  <si>
    <t>Spacer</t>
  </si>
  <si>
    <t>Water Tank Top Slab</t>
  </si>
  <si>
    <t>Stilt Floor lintel</t>
  </si>
  <si>
    <t xml:space="preserve">GD1 Lintel Mr </t>
  </si>
  <si>
    <t>GD1 Lintel Stirrups</t>
  </si>
  <si>
    <t xml:space="preserve">GW1 Lintel cum sunshade Mr </t>
  </si>
  <si>
    <t xml:space="preserve">GW Lintel cum sunshade Mr </t>
  </si>
  <si>
    <t>GW Lintel Stirrups</t>
  </si>
  <si>
    <t>GW1 Lintel Stirrups</t>
  </si>
  <si>
    <t>GW1 Sunshade Distributors</t>
  </si>
  <si>
    <t>GW Sunshade Distributors</t>
  </si>
  <si>
    <r>
      <t xml:space="preserve">Supplement- I - 1
</t>
    </r>
    <r>
      <rPr>
        <sz val="17"/>
        <rFont val="Bookman Old Style"/>
        <family val="1"/>
      </rPr>
      <t xml:space="preserve">UPVC Window:
Supplying and fixing of UPVC (Un Plasticized Polyvinyl Chloride) windows of casement Type </t>
    </r>
  </si>
  <si>
    <t>Excess due to as per CE/TNPHCL instrcution on 06.10.2022, 
UPVC windows provided instead of steel windows</t>
  </si>
  <si>
    <r>
      <t xml:space="preserve">Supplement- I - 2
</t>
    </r>
    <r>
      <rPr>
        <sz val="17"/>
        <rFont val="Bookman Old Style"/>
        <family val="1"/>
      </rPr>
      <t xml:space="preserve">Supplying and fixing UPVC (Un-Plasticized Polyvinyl Chloride) Louvered Ventilators of from the profile the size of outer frame. </t>
    </r>
  </si>
  <si>
    <t>Excess due to UPVC lowered ventilators provided instead of steel ventilators</t>
  </si>
  <si>
    <r>
      <t xml:space="preserve">Supplement- I - 3
</t>
    </r>
    <r>
      <rPr>
        <sz val="17"/>
        <rFont val="Bookman Old Style"/>
        <family val="1"/>
      </rPr>
      <t>Supply and filling of quary rubbish in outer portion of S-4 Nandambakkam Police Station building with consolidated thickness of 150mm</t>
    </r>
  </si>
  <si>
    <t>cum</t>
  </si>
  <si>
    <t>Excess due to as per CE/TNPHCL instrcution on 06.10.2022, 
quarry rubbish provided instead of stone dust for building outer portion</t>
  </si>
  <si>
    <t>Supplement-I</t>
  </si>
  <si>
    <t>Supply and fixing of upvc window</t>
  </si>
  <si>
    <t>W- 1.35 x 1.35m</t>
  </si>
  <si>
    <t>Ground Floor</t>
  </si>
  <si>
    <t>Staircase landing</t>
  </si>
  <si>
    <t>Supply and fixing of upvc louvered ventilator</t>
  </si>
  <si>
    <t>V 1- 0.75 x 0.6 m</t>
  </si>
  <si>
    <t>Supply and filling of quary rubbish</t>
  </si>
  <si>
    <t>For entire site (layout area- 1052.25 sqm)</t>
  </si>
  <si>
    <t>D/f Building area</t>
  </si>
  <si>
    <t>D/f Sump</t>
  </si>
  <si>
    <t>D/f Septic Tank</t>
  </si>
  <si>
    <t>Expansion Joint Footing</t>
  </si>
  <si>
    <t>Gate Footing</t>
  </si>
  <si>
    <t>Grade Beam Front side</t>
  </si>
  <si>
    <t>Grade Beam Reart side (East face)</t>
  </si>
  <si>
    <t>Grade Beam Reart side (West face)</t>
  </si>
  <si>
    <r>
      <rPr>
        <b/>
        <sz val="14"/>
        <rFont val="Times New Roman"/>
        <family val="1"/>
      </rPr>
      <t>Compound wall</t>
    </r>
    <r>
      <rPr>
        <sz val="14"/>
        <rFont val="Times New Roman"/>
        <family val="1"/>
      </rPr>
      <t xml:space="preserve"> at Front side Footing</t>
    </r>
  </si>
  <si>
    <t>bore Chamber</t>
  </si>
  <si>
    <t>Meter Chamber</t>
  </si>
  <si>
    <t xml:space="preserve">Plinth protection </t>
  </si>
  <si>
    <t>Septic tank trench</t>
  </si>
  <si>
    <t>Road at Front side</t>
  </si>
  <si>
    <r>
      <rPr>
        <b/>
        <sz val="14"/>
        <rFont val="Times New Roman"/>
        <family val="1"/>
      </rPr>
      <t>Grade Beam</t>
    </r>
    <r>
      <rPr>
        <sz val="14"/>
        <rFont val="Times New Roman"/>
        <family val="1"/>
      </rPr>
      <t xml:space="preserve"> Front side</t>
    </r>
  </si>
  <si>
    <r>
      <rPr>
        <b/>
        <sz val="14"/>
        <rFont val="Times New Roman"/>
        <family val="1"/>
      </rPr>
      <t>Inspection</t>
    </r>
    <r>
      <rPr>
        <sz val="14"/>
        <rFont val="Times New Roman"/>
        <family val="1"/>
      </rPr>
      <t xml:space="preserve"> Chamber</t>
    </r>
  </si>
  <si>
    <r>
      <rPr>
        <b/>
        <sz val="14"/>
        <rFont val="Times New Roman"/>
        <family val="1"/>
      </rPr>
      <t>Plinth protection</t>
    </r>
    <r>
      <rPr>
        <sz val="14"/>
        <rFont val="Times New Roman"/>
        <family val="1"/>
      </rPr>
      <t xml:space="preserve"> </t>
    </r>
  </si>
  <si>
    <r>
      <rPr>
        <b/>
        <sz val="14"/>
        <rFont val="Times New Roman"/>
        <family val="1"/>
      </rPr>
      <t>Road</t>
    </r>
    <r>
      <rPr>
        <sz val="14"/>
        <rFont val="Times New Roman"/>
        <family val="1"/>
      </rPr>
      <t xml:space="preserve"> at Right and Left side</t>
    </r>
  </si>
  <si>
    <t>Parking Area</t>
  </si>
  <si>
    <t>d/f Toilet</t>
  </si>
  <si>
    <t>d/f columns</t>
  </si>
  <si>
    <t>d/f Walls</t>
  </si>
  <si>
    <t>Ramp</t>
  </si>
  <si>
    <t>septick Tank Inlet &amp; outlet chamber</t>
  </si>
  <si>
    <t xml:space="preserve">Compound wall </t>
  </si>
  <si>
    <t>Road</t>
  </si>
  <si>
    <t>Rear side(West face) Footing</t>
  </si>
  <si>
    <t>Rear side(East face) Footing</t>
  </si>
  <si>
    <t>FF &amp; SF  Front  side</t>
  </si>
  <si>
    <t>Second Floor Front side</t>
  </si>
  <si>
    <t>GF allround</t>
  </si>
  <si>
    <t>FF, SF 3 sides</t>
  </si>
  <si>
    <t>Second Floor Parapet Front side</t>
  </si>
  <si>
    <t>FF &amp; SF  Front  side Uruttu</t>
  </si>
  <si>
    <t>Pedastal Columns</t>
  </si>
  <si>
    <r>
      <t xml:space="preserve">Rcc Wall </t>
    </r>
    <r>
      <rPr>
        <sz val="14"/>
        <rFont val="Times New Roman"/>
        <family val="1"/>
      </rPr>
      <t>at West side</t>
    </r>
  </si>
  <si>
    <t>Guard Room sunshade GW</t>
  </si>
  <si>
    <t>Rear side(East face1) Footing</t>
  </si>
  <si>
    <t>Rear side(East face2) Footing</t>
  </si>
  <si>
    <t>Rear side(East face1) Grade Beam</t>
  </si>
  <si>
    <t>Rear side(East face2) Grade Beam</t>
  </si>
  <si>
    <t>Ramp jams</t>
  </si>
  <si>
    <t>d/f Window GW1&amp;2 East side</t>
  </si>
  <si>
    <t>d/f Window GW South side</t>
  </si>
  <si>
    <t>d/f Window GD West side</t>
  </si>
  <si>
    <t>d/f Window GW West side</t>
  </si>
  <si>
    <t>Compound wall Pillar front side</t>
  </si>
  <si>
    <t>Cupboard side wall INS Room</t>
  </si>
  <si>
    <t>d/f Door Lintel D</t>
  </si>
  <si>
    <t>Compound wall  West side</t>
  </si>
  <si>
    <t>Compound wall  East side</t>
  </si>
  <si>
    <t>d/f pillar Rear side</t>
  </si>
  <si>
    <t>Compound wall Rear side East</t>
  </si>
  <si>
    <t>Compound wall Rear side West</t>
  </si>
  <si>
    <t>Compound wall Front Outer</t>
  </si>
  <si>
    <t>Compound wall Front Inner</t>
  </si>
  <si>
    <t>Column rod Gate pillar</t>
  </si>
  <si>
    <t>Net Excess amount compared to Agt Value</t>
  </si>
  <si>
    <t xml:space="preserve">Building allround </t>
  </si>
  <si>
    <t>Compound wall Arch pillar</t>
  </si>
  <si>
    <t>Compound wall front side</t>
  </si>
  <si>
    <t>Compound wall West side</t>
  </si>
  <si>
    <t>Compound wall East side</t>
  </si>
  <si>
    <t>d/f Compound wall Gate open</t>
  </si>
  <si>
    <t>RCC wall Rear side 2vertical rod</t>
  </si>
  <si>
    <r>
      <t xml:space="preserve">Rcc Wall </t>
    </r>
    <r>
      <rPr>
        <sz val="14"/>
        <rFont val="Times New Roman"/>
        <family val="1"/>
      </rPr>
      <t>at East side</t>
    </r>
  </si>
  <si>
    <t>Retaining wall West side</t>
  </si>
  <si>
    <t>Retaining wall East side</t>
  </si>
  <si>
    <t>first &amp; second floor</t>
  </si>
  <si>
    <t>Panel Board to Borewell</t>
  </si>
  <si>
    <t>Panel Board to sump</t>
  </si>
  <si>
    <t>Inspector&amp;Meeting hall</t>
  </si>
  <si>
    <t>Parapet (14.47+6.69+6.69+0.60+0.60)</t>
  </si>
  <si>
    <t>add pillar</t>
  </si>
  <si>
    <t>Parapet Elevation Tapper portion</t>
  </si>
  <si>
    <t>Terrace slab</t>
  </si>
  <si>
    <t>Lift slab Top</t>
  </si>
  <si>
    <t xml:space="preserve">Net Executed value as per Excess Qty Statement  
including of supplental                    </t>
  </si>
  <si>
    <t>Net Excess amount compare to Agt Value</t>
  </si>
  <si>
    <t>Qty Excess due to depth of footing excavation increased to 3.0 m as per structural design.but in original estimate 2.1 m only provided.</t>
  </si>
  <si>
    <t>Excess due to concrete Road provided for 4.5m including building Ramp which is 3.0 m provided in original Estimate.</t>
  </si>
  <si>
    <t>Type Design changed.AS per New type design pcp Reception Room size increased &amp;As per the user Department Requested stilt/ground floor Guard room to be constructed.Hence qty excess.</t>
  </si>
  <si>
    <t>Type Design changed. Estimate provided as per old type design.but as per site Excuted New ttype design.CMD/TNPHCL Instructed on 02.09.21.type design changed.</t>
  </si>
  <si>
    <t>Type Design changed. Estimate provided as per old type design.but as per site Excuted New ttype design.CMD/TNPHCL Instructed on Ground 02.09.21.type design changed.</t>
  </si>
  <si>
    <t>Type Design changed. Estimate provided as per old type design.but as per site Excuted New ttype design.CMD/TNPHCL Instructed oin C.M. 1:5, 12 02.09.21.type design changed.</t>
  </si>
  <si>
    <t>Type Design changed. Estimate provided as per old type design.but as per site Excuted New ttype design.CMD/TNPHCL Instructed oin C.M. 1:4, 12 02.09.21.type design changed.</t>
  </si>
  <si>
    <t>Type Design changed. Estimate provided as per old type design.but as per site Excuted New ttype design.CMD/TNPHCL Instructed oeiling plastering in C.M. 1:3, 10 02.09.21.type design changed.</t>
  </si>
  <si>
    <t>Type Design changed. Estimate provided as per old type design.but as per site Excuted New ttype design.CMD/TNPHCL Instructed oor Square and rectangular columns and 02.09.21.type design changed.</t>
  </si>
  <si>
    <t>Type Design changed. Estimate provided as per old type design.but as per site Excuted New ttype design.CMD/TNPHCL Instructed odia PVC water supply ASTM pipe (fully consealed 02.09.21.type design changed.</t>
  </si>
  <si>
    <t>Type Design changed. Estimate provided as per old type design.but as per site Excuted New ttype design.CMD/TNPHCL Instructed ooil line) with ISI mark - type 'B'.
a. 110 02.09.21.type design changed.</t>
  </si>
  <si>
    <t>Type Design changed. Estimate provided as per old type design.but as per site Excuted New ttype design.CMD/TNPHCL Instructed oight point without 02.09.21.type design changed.</t>
  </si>
  <si>
    <t>Type Design changed. Estimate provided as per old type design.but as per site Excuted New ttype design.CMD/TNPHCL Instructed on02.09.21.type design changed.</t>
  </si>
  <si>
    <t>qty Excess due to lift.Type design changed.as per old type design lift not provided.</t>
  </si>
  <si>
    <t>Qty Excess due to as per the Elevation.</t>
  </si>
  <si>
    <t>Excess due to Revised type design,lift pit has been provided additionally which is not provided in original estimate and also concrete Retaining wall .</t>
  </si>
</sst>
</file>

<file path=xl/styles.xml><?xml version="1.0" encoding="utf-8"?>
<styleSheet xmlns="http://schemas.openxmlformats.org/spreadsheetml/2006/main">
  <numFmts count="10">
    <numFmt numFmtId="164" formatCode="_(* #,##0.00_);_(* \(#,##0.00\);_(* &quot;-&quot;??_);_(@_)"/>
    <numFmt numFmtId="165" formatCode="0.00_)"/>
    <numFmt numFmtId="166" formatCode="0.00;[Red]0.00"/>
    <numFmt numFmtId="167" formatCode="0.000_)"/>
    <numFmt numFmtId="168" formatCode="0.000"/>
    <numFmt numFmtId="169" formatCode="0.0"/>
    <numFmt numFmtId="170" formatCode="0_)"/>
    <numFmt numFmtId="171" formatCode="0.00000"/>
    <numFmt numFmtId="172" formatCode="0.0000_)"/>
    <numFmt numFmtId="173" formatCode="0.0_)"/>
  </numFmts>
  <fonts count="43">
    <font>
      <sz val="11"/>
      <color theme="1"/>
      <name val="Calibri"/>
      <family val="2"/>
      <scheme val="minor"/>
    </font>
    <font>
      <sz val="11"/>
      <color theme="1"/>
      <name val="Calibri"/>
      <family val="2"/>
      <scheme val="minor"/>
    </font>
    <font>
      <sz val="12"/>
      <name val="Helv"/>
    </font>
    <font>
      <sz val="11"/>
      <name val="Calibri"/>
      <family val="2"/>
      <scheme val="minor"/>
    </font>
    <font>
      <sz val="14"/>
      <name val="Times New Roman"/>
      <family val="1"/>
    </font>
    <font>
      <sz val="10"/>
      <name val="Arial"/>
      <family val="2"/>
    </font>
    <font>
      <b/>
      <sz val="14"/>
      <name val="Times New Roman"/>
      <family val="1"/>
    </font>
    <font>
      <b/>
      <sz val="14"/>
      <color theme="1"/>
      <name val="Times New Roman"/>
      <family val="1"/>
    </font>
    <font>
      <b/>
      <sz val="11"/>
      <name val="Calibri"/>
      <family val="2"/>
      <scheme val="minor"/>
    </font>
    <font>
      <sz val="14"/>
      <name val="Cambria"/>
      <family val="1"/>
      <scheme val="major"/>
    </font>
    <font>
      <b/>
      <sz val="14"/>
      <name val="Cambria"/>
      <family val="1"/>
      <scheme val="major"/>
    </font>
    <font>
      <sz val="14"/>
      <color theme="1"/>
      <name val="Times New Roman"/>
      <family val="1"/>
    </font>
    <font>
      <b/>
      <u/>
      <sz val="14"/>
      <name val="Times New Roman"/>
      <family val="1"/>
    </font>
    <font>
      <sz val="11"/>
      <name val="Arial"/>
      <family val="2"/>
    </font>
    <font>
      <u/>
      <sz val="10"/>
      <color indexed="12"/>
      <name val="Arial"/>
      <family val="2"/>
    </font>
    <font>
      <b/>
      <sz val="18"/>
      <name val="Times New Roman"/>
      <family val="1"/>
    </font>
    <font>
      <sz val="13"/>
      <name val="Arial"/>
      <family val="2"/>
    </font>
    <font>
      <sz val="10"/>
      <name val="Arial"/>
      <family val="2"/>
      <charset val="134"/>
    </font>
    <font>
      <sz val="14"/>
      <color indexed="8"/>
      <name val="Times New Roman"/>
      <family val="1"/>
    </font>
    <font>
      <b/>
      <sz val="14"/>
      <color rgb="FFFF0000"/>
      <name val="Times New Roman"/>
      <family val="1"/>
    </font>
    <font>
      <sz val="14"/>
      <color rgb="FFFF0000"/>
      <name val="Times New Roman"/>
      <family val="1"/>
    </font>
    <font>
      <sz val="12"/>
      <color theme="1"/>
      <name val="Calibri"/>
      <family val="2"/>
      <scheme val="minor"/>
    </font>
    <font>
      <b/>
      <sz val="15"/>
      <color theme="1"/>
      <name val="Calibri"/>
      <family val="2"/>
      <scheme val="minor"/>
    </font>
    <font>
      <b/>
      <u/>
      <sz val="15"/>
      <color theme="1"/>
      <name val="Calibri"/>
      <family val="2"/>
      <scheme val="minor"/>
    </font>
    <font>
      <sz val="15"/>
      <color theme="1"/>
      <name val="Calibri"/>
      <family val="2"/>
      <scheme val="minor"/>
    </font>
    <font>
      <b/>
      <sz val="13"/>
      <color theme="1"/>
      <name val="Calibri"/>
      <family val="2"/>
      <scheme val="minor"/>
    </font>
    <font>
      <sz val="13"/>
      <color theme="1"/>
      <name val="Calibri"/>
      <family val="2"/>
      <scheme val="minor"/>
    </font>
    <font>
      <sz val="13"/>
      <color rgb="FFFF0000"/>
      <name val="Calibri"/>
      <family val="2"/>
      <scheme val="minor"/>
    </font>
    <font>
      <b/>
      <sz val="14"/>
      <color indexed="8"/>
      <name val="Times New Roman"/>
      <family val="1"/>
    </font>
    <font>
      <sz val="10"/>
      <name val="Arial"/>
    </font>
    <font>
      <b/>
      <i/>
      <sz val="14"/>
      <name val="Times New Roman"/>
      <family val="1"/>
    </font>
    <font>
      <sz val="12"/>
      <name val="Times New Roman"/>
      <family val="1"/>
    </font>
    <font>
      <sz val="17"/>
      <name val="Bookman Old Style"/>
      <family val="1"/>
    </font>
    <font>
      <b/>
      <sz val="17"/>
      <name val="Bookman Old Style"/>
      <family val="1"/>
    </font>
    <font>
      <sz val="17"/>
      <color theme="1"/>
      <name val="Bookman Old Style"/>
      <family val="1"/>
    </font>
    <font>
      <sz val="11"/>
      <color indexed="8"/>
      <name val="Calibri"/>
      <family val="2"/>
      <scheme val="minor"/>
    </font>
    <font>
      <sz val="17"/>
      <color theme="0"/>
      <name val="Bookman Old Style"/>
      <family val="1"/>
    </font>
    <font>
      <sz val="16"/>
      <name val="Bookman Old Style"/>
      <family val="1"/>
    </font>
    <font>
      <b/>
      <sz val="16"/>
      <name val="Bookman Old Style"/>
      <family val="1"/>
    </font>
    <font>
      <sz val="11"/>
      <color indexed="8"/>
      <name val="Calibri"/>
      <family val="2"/>
    </font>
    <font>
      <sz val="11"/>
      <color indexed="8"/>
      <name val="Times New Roman"/>
      <family val="1"/>
    </font>
    <font>
      <sz val="14"/>
      <name val="Bookman Old Style"/>
      <family val="1"/>
    </font>
    <font>
      <b/>
      <sz val="11"/>
      <color indexed="8"/>
      <name val="Times New Roman"/>
      <family val="1"/>
    </font>
  </fonts>
  <fills count="7">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theme="9" tint="-0.249977111117893"/>
        <bgColor indexed="64"/>
      </patternFill>
    </fill>
    <fill>
      <patternFill patternType="solid">
        <fgColor rgb="FF00B0F0"/>
        <bgColor indexed="64"/>
      </patternFill>
    </fill>
  </fills>
  <borders count="36">
    <border>
      <left/>
      <right/>
      <top/>
      <bottom/>
      <diagonal/>
    </border>
    <border>
      <left style="hair">
        <color auto="1"/>
      </left>
      <right style="hair">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medium">
        <color auto="1"/>
      </bottom>
      <diagonal/>
    </border>
    <border>
      <left style="hair">
        <color indexed="64"/>
      </left>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hair">
        <color indexed="64"/>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auto="1"/>
      </left>
      <right style="thin">
        <color auto="1"/>
      </right>
      <top style="hair">
        <color auto="1"/>
      </top>
      <bottom style="thin">
        <color auto="1"/>
      </bottom>
      <diagonal/>
    </border>
    <border>
      <left style="hair">
        <color auto="1"/>
      </left>
      <right/>
      <top style="hair">
        <color auto="1"/>
      </top>
      <bottom style="hair">
        <color auto="1"/>
      </bottom>
      <diagonal/>
    </border>
    <border>
      <left style="hair">
        <color auto="1"/>
      </left>
      <right style="thin">
        <color auto="1"/>
      </right>
      <top style="thin">
        <color auto="1"/>
      </top>
      <bottom style="hair">
        <color auto="1"/>
      </bottom>
      <diagonal/>
    </border>
    <border>
      <left/>
      <right style="thin">
        <color auto="1"/>
      </right>
      <top style="hair">
        <color indexed="64"/>
      </top>
      <bottom style="hair">
        <color indexed="64"/>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indexed="64"/>
      </right>
      <top style="thin">
        <color auto="1"/>
      </top>
      <bottom style="hair">
        <color auto="1"/>
      </bottom>
      <diagonal/>
    </border>
    <border>
      <left style="thin">
        <color auto="1"/>
      </left>
      <right/>
      <top style="hair">
        <color auto="1"/>
      </top>
      <bottom style="hair">
        <color indexed="64"/>
      </bottom>
      <diagonal/>
    </border>
    <border>
      <left style="hair">
        <color auto="1"/>
      </left>
      <right/>
      <top style="thin">
        <color auto="1"/>
      </top>
      <bottom style="hair">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medium">
        <color indexed="64"/>
      </left>
      <right style="thin">
        <color indexed="64"/>
      </right>
      <top style="thin">
        <color indexed="64"/>
      </top>
      <bottom style="thin">
        <color indexed="64"/>
      </bottom>
      <diagonal/>
    </border>
    <border>
      <left style="thin">
        <color auto="1"/>
      </left>
      <right style="hair">
        <color auto="1"/>
      </right>
      <top/>
      <bottom style="hair">
        <color auto="1"/>
      </bottom>
      <diagonal/>
    </border>
    <border>
      <left style="thin">
        <color auto="1"/>
      </left>
      <right style="thin">
        <color auto="1"/>
      </right>
      <top style="thin">
        <color auto="1"/>
      </top>
      <bottom/>
      <diagonal/>
    </border>
    <border>
      <left style="thin">
        <color auto="1"/>
      </left>
      <right/>
      <top/>
      <bottom/>
      <diagonal/>
    </border>
    <border>
      <left style="hair">
        <color auto="1"/>
      </left>
      <right style="hair">
        <color auto="1"/>
      </right>
      <top style="hair">
        <color auto="1"/>
      </top>
      <bottom/>
      <diagonal/>
    </border>
  </borders>
  <cellStyleXfs count="34">
    <xf numFmtId="0" fontId="0" fillId="0" borderId="0"/>
    <xf numFmtId="166" fontId="2" fillId="0" borderId="0"/>
    <xf numFmtId="0" fontId="5" fillId="0" borderId="0"/>
    <xf numFmtId="0" fontId="1" fillId="0" borderId="0"/>
    <xf numFmtId="0" fontId="5" fillId="0" borderId="0"/>
    <xf numFmtId="164" fontId="13" fillId="0" borderId="0" applyFont="0" applyFill="0" applyBorder="0" applyAlignment="0" applyProtection="0"/>
    <xf numFmtId="0" fontId="1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3" fillId="0" borderId="0"/>
    <xf numFmtId="169"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 fillId="0" borderId="0" applyFont="0" applyFill="0" applyBorder="0" applyAlignment="0" applyProtection="0"/>
    <xf numFmtId="9" fontId="5" fillId="0" borderId="0" applyFont="0" applyFill="0" applyBorder="0" applyAlignment="0" applyProtection="0"/>
    <xf numFmtId="0" fontId="17" fillId="0" borderId="0">
      <alignment vertical="center"/>
    </xf>
    <xf numFmtId="0" fontId="5" fillId="0" borderId="0"/>
    <xf numFmtId="9" fontId="1" fillId="0" borderId="0" applyFont="0" applyFill="0" applyBorder="0" applyAlignment="0" applyProtection="0"/>
    <xf numFmtId="0" fontId="29" fillId="0" borderId="0"/>
    <xf numFmtId="165" fontId="2" fillId="0" borderId="0"/>
    <xf numFmtId="0" fontId="5" fillId="0" borderId="0"/>
    <xf numFmtId="0" fontId="5" fillId="0" borderId="0"/>
    <xf numFmtId="0" fontId="5" fillId="0" borderId="0"/>
    <xf numFmtId="0" fontId="31" fillId="0" borderId="0"/>
    <xf numFmtId="0" fontId="5" fillId="0" borderId="0"/>
    <xf numFmtId="0" fontId="35" fillId="0" borderId="0"/>
    <xf numFmtId="0" fontId="39" fillId="0" borderId="0"/>
  </cellStyleXfs>
  <cellXfs count="537">
    <xf numFmtId="0" fontId="0" fillId="0" borderId="0" xfId="0"/>
    <xf numFmtId="165" fontId="3" fillId="2" borderId="0" xfId="1" applyNumberFormat="1" applyFont="1" applyFill="1" applyBorder="1"/>
    <xf numFmtId="165" fontId="3" fillId="2" borderId="0" xfId="1" applyNumberFormat="1" applyFont="1" applyFill="1" applyBorder="1" applyAlignment="1">
      <alignment horizontal="left" vertical="center"/>
    </xf>
    <xf numFmtId="165" fontId="3" fillId="2" borderId="0" xfId="1" applyNumberFormat="1" applyFont="1" applyFill="1" applyBorder="1" applyAlignment="1">
      <alignment horizontal="center" vertical="center"/>
    </xf>
    <xf numFmtId="165" fontId="4" fillId="2" borderId="0" xfId="1" applyNumberFormat="1" applyFont="1" applyFill="1" applyBorder="1" applyAlignment="1">
      <alignment horizontal="center" vertical="center"/>
    </xf>
    <xf numFmtId="165" fontId="4" fillId="2" borderId="0" xfId="1" applyNumberFormat="1" applyFont="1" applyFill="1" applyBorder="1" applyAlignment="1">
      <alignment horizontal="left" vertical="center"/>
    </xf>
    <xf numFmtId="165" fontId="4" fillId="2" borderId="0" xfId="1" applyNumberFormat="1" applyFont="1" applyFill="1" applyBorder="1" applyAlignment="1"/>
    <xf numFmtId="165" fontId="6" fillId="2" borderId="0" xfId="1" applyNumberFormat="1" applyFont="1" applyFill="1" applyBorder="1" applyAlignment="1">
      <alignment horizontal="center" vertical="center"/>
    </xf>
    <xf numFmtId="165" fontId="8" fillId="2" borderId="0" xfId="1" applyNumberFormat="1" applyFont="1" applyFill="1" applyBorder="1"/>
    <xf numFmtId="2" fontId="4" fillId="2" borderId="0" xfId="2" applyNumberFormat="1" applyFont="1" applyFill="1" applyBorder="1" applyAlignment="1">
      <alignment vertical="center" wrapText="1"/>
    </xf>
    <xf numFmtId="165" fontId="4" fillId="2" borderId="0" xfId="1" applyNumberFormat="1" applyFont="1" applyFill="1" applyBorder="1" applyAlignment="1">
      <alignment horizontal="center" vertical="center" wrapText="1"/>
    </xf>
    <xf numFmtId="2" fontId="4" fillId="2" borderId="0" xfId="2" applyNumberFormat="1" applyFont="1" applyFill="1" applyBorder="1" applyAlignment="1">
      <alignment horizontal="center" vertical="center" wrapText="1"/>
    </xf>
    <xf numFmtId="165" fontId="4" fillId="2" borderId="0" xfId="1" applyNumberFormat="1" applyFont="1" applyFill="1" applyBorder="1" applyAlignment="1">
      <alignment horizontal="left" vertical="center" wrapText="1"/>
    </xf>
    <xf numFmtId="2" fontId="3" fillId="2" borderId="0" xfId="2" applyNumberFormat="1" applyFont="1" applyFill="1" applyBorder="1" applyAlignment="1">
      <alignment vertical="center" wrapText="1"/>
    </xf>
    <xf numFmtId="165" fontId="4" fillId="2" borderId="3" xfId="1" applyNumberFormat="1" applyFont="1" applyFill="1" applyBorder="1" applyAlignment="1">
      <alignment horizontal="center" vertical="center" wrapText="1"/>
    </xf>
    <xf numFmtId="165" fontId="4" fillId="2" borderId="3" xfId="1" applyNumberFormat="1" applyFont="1" applyFill="1" applyBorder="1" applyAlignment="1">
      <alignment horizontal="center" vertical="center"/>
    </xf>
    <xf numFmtId="165" fontId="4" fillId="2" borderId="3" xfId="2" applyNumberFormat="1" applyFont="1" applyFill="1" applyBorder="1" applyAlignment="1">
      <alignment horizontal="center" vertical="center" wrapText="1"/>
    </xf>
    <xf numFmtId="2" fontId="4" fillId="2" borderId="3" xfId="2" applyNumberFormat="1" applyFont="1" applyFill="1" applyBorder="1" applyAlignment="1">
      <alignment horizontal="center" vertical="center" wrapText="1"/>
    </xf>
    <xf numFmtId="0" fontId="4" fillId="2" borderId="3" xfId="3" applyNumberFormat="1" applyFont="1" applyFill="1" applyBorder="1" applyAlignment="1">
      <alignment horizontal="center" vertical="center" wrapText="1"/>
    </xf>
    <xf numFmtId="165" fontId="10" fillId="2" borderId="3" xfId="1" applyNumberFormat="1" applyFont="1" applyFill="1" applyBorder="1" applyAlignment="1">
      <alignment horizontal="left" vertical="center" wrapText="1"/>
    </xf>
    <xf numFmtId="167" fontId="4" fillId="2" borderId="3" xfId="2" applyNumberFormat="1" applyFont="1" applyFill="1" applyBorder="1" applyAlignment="1">
      <alignment horizontal="center" vertical="center" wrapText="1"/>
    </xf>
    <xf numFmtId="165" fontId="8" fillId="2" borderId="0" xfId="1" applyNumberFormat="1" applyFont="1" applyFill="1" applyBorder="1" applyAlignment="1">
      <alignment horizontal="center" vertical="center"/>
    </xf>
    <xf numFmtId="165" fontId="6" fillId="2" borderId="0" xfId="1" applyNumberFormat="1" applyFont="1" applyFill="1" applyBorder="1" applyAlignment="1">
      <alignment vertical="center"/>
    </xf>
    <xf numFmtId="165" fontId="6" fillId="2" borderId="0" xfId="1" applyNumberFormat="1" applyFont="1" applyFill="1" applyBorder="1" applyAlignment="1">
      <alignment vertical="top"/>
    </xf>
    <xf numFmtId="0" fontId="16" fillId="2" borderId="3" xfId="0" applyFont="1" applyFill="1" applyBorder="1" applyAlignment="1">
      <alignment horizontal="left" vertical="center" wrapText="1"/>
    </xf>
    <xf numFmtId="165" fontId="4" fillId="2" borderId="3" xfId="1" applyNumberFormat="1" applyFont="1" applyFill="1" applyBorder="1" applyAlignment="1">
      <alignment horizontal="left" vertical="center" wrapText="1"/>
    </xf>
    <xf numFmtId="165" fontId="6" fillId="2" borderId="9" xfId="1" applyNumberFormat="1" applyFont="1" applyFill="1" applyBorder="1" applyAlignment="1">
      <alignment horizontal="center" vertical="center"/>
    </xf>
    <xf numFmtId="2" fontId="4" fillId="2" borderId="3" xfId="4" applyNumberFormat="1" applyFont="1" applyFill="1" applyBorder="1" applyAlignment="1">
      <alignment horizontal="center" vertical="center" wrapText="1"/>
    </xf>
    <xf numFmtId="0" fontId="16" fillId="2" borderId="3" xfId="0" applyFont="1" applyFill="1" applyBorder="1" applyAlignment="1">
      <alignment horizontal="center" vertical="center" wrapText="1"/>
    </xf>
    <xf numFmtId="165" fontId="16" fillId="2" borderId="3" xfId="0" applyNumberFormat="1" applyFont="1" applyFill="1" applyBorder="1" applyAlignment="1">
      <alignment horizontal="center" vertical="center" wrapText="1"/>
    </xf>
    <xf numFmtId="0" fontId="4" fillId="2" borderId="3" xfId="0" applyFont="1" applyFill="1" applyBorder="1" applyAlignment="1">
      <alignment horizontal="left" vertical="center" wrapText="1"/>
    </xf>
    <xf numFmtId="0" fontId="6" fillId="2" borderId="3" xfId="0" applyFont="1" applyFill="1" applyBorder="1" applyAlignment="1">
      <alignment horizontal="left" vertical="center" wrapText="1"/>
    </xf>
    <xf numFmtId="2" fontId="6" fillId="2" borderId="3" xfId="3" applyNumberFormat="1" applyFont="1" applyFill="1" applyBorder="1" applyAlignment="1">
      <alignment horizontal="center" vertical="center" wrapText="1"/>
    </xf>
    <xf numFmtId="0" fontId="6" fillId="2" borderId="3" xfId="3" applyNumberFormat="1" applyFont="1" applyFill="1" applyBorder="1" applyAlignment="1">
      <alignment horizontal="center" vertical="center" wrapText="1"/>
    </xf>
    <xf numFmtId="2" fontId="6" fillId="2" borderId="3" xfId="3" applyNumberFormat="1" applyFont="1" applyFill="1" applyBorder="1" applyAlignment="1">
      <alignment horizontal="center" vertical="center"/>
    </xf>
    <xf numFmtId="2" fontId="6" fillId="2" borderId="3" xfId="4" applyNumberFormat="1" applyFont="1" applyFill="1" applyBorder="1" applyAlignment="1">
      <alignment horizontal="center" vertical="center" wrapText="1"/>
    </xf>
    <xf numFmtId="165" fontId="6" fillId="2" borderId="3" xfId="2" applyNumberFormat="1" applyFont="1" applyFill="1" applyBorder="1" applyAlignment="1">
      <alignment horizontal="center" vertical="center" wrapText="1"/>
    </xf>
    <xf numFmtId="2" fontId="8" fillId="2" borderId="0" xfId="2" applyNumberFormat="1" applyFont="1" applyFill="1" applyBorder="1" applyAlignment="1">
      <alignment vertical="center" wrapText="1"/>
    </xf>
    <xf numFmtId="0" fontId="21" fillId="0" borderId="0" xfId="0" applyFont="1" applyAlignment="1">
      <alignment horizontal="center" vertical="center"/>
    </xf>
    <xf numFmtId="0" fontId="21" fillId="0" borderId="0" xfId="0" applyFont="1" applyAlignment="1">
      <alignment horizontal="left" vertical="center"/>
    </xf>
    <xf numFmtId="0" fontId="24" fillId="0" borderId="0" xfId="0" applyFont="1" applyAlignment="1">
      <alignment horizontal="center" vertical="center"/>
    </xf>
    <xf numFmtId="0" fontId="22" fillId="0" borderId="6" xfId="0" applyFont="1" applyBorder="1" applyAlignment="1">
      <alignment horizontal="center" vertical="center" wrapText="1"/>
    </xf>
    <xf numFmtId="0" fontId="22" fillId="0" borderId="5" xfId="0" applyFont="1" applyBorder="1" applyAlignment="1">
      <alignment horizontal="center" vertical="center" wrapText="1"/>
    </xf>
    <xf numFmtId="0" fontId="24" fillId="0" borderId="0" xfId="0" applyFont="1" applyAlignment="1">
      <alignment horizontal="center" vertical="center" wrapText="1"/>
    </xf>
    <xf numFmtId="0" fontId="25" fillId="0" borderId="4" xfId="0" applyFont="1" applyBorder="1" applyAlignment="1">
      <alignment horizontal="center" vertical="center"/>
    </xf>
    <xf numFmtId="0" fontId="25" fillId="3" borderId="3" xfId="0" applyFont="1" applyFill="1" applyBorder="1" applyAlignment="1">
      <alignment horizontal="left" vertical="center"/>
    </xf>
    <xf numFmtId="0" fontId="25" fillId="0" borderId="3" xfId="0" applyFont="1" applyBorder="1" applyAlignment="1">
      <alignment horizontal="center" vertical="center"/>
    </xf>
    <xf numFmtId="0" fontId="25" fillId="0" borderId="3" xfId="0" applyNumberFormat="1" applyFont="1" applyBorder="1" applyAlignment="1">
      <alignment horizontal="center" vertical="center"/>
    </xf>
    <xf numFmtId="0" fontId="25" fillId="0" borderId="18" xfId="0" applyFont="1" applyBorder="1" applyAlignment="1">
      <alignment horizontal="center" vertical="center"/>
    </xf>
    <xf numFmtId="0" fontId="25" fillId="0" borderId="0" xfId="0" applyFont="1" applyAlignment="1">
      <alignment horizontal="center" vertical="center"/>
    </xf>
    <xf numFmtId="0" fontId="26" fillId="0" borderId="4" xfId="0" applyFont="1" applyBorder="1" applyAlignment="1">
      <alignment horizontal="center" vertical="center"/>
    </xf>
    <xf numFmtId="0" fontId="26" fillId="0" borderId="3" xfId="0" applyFont="1" applyBorder="1" applyAlignment="1">
      <alignment horizontal="left" vertical="center"/>
    </xf>
    <xf numFmtId="0" fontId="26" fillId="0" borderId="3" xfId="0" applyFont="1" applyBorder="1" applyAlignment="1">
      <alignment horizontal="center" vertical="center"/>
    </xf>
    <xf numFmtId="0" fontId="26" fillId="0" borderId="18" xfId="0" applyFont="1" applyBorder="1" applyAlignment="1">
      <alignment horizontal="center" vertical="center"/>
    </xf>
    <xf numFmtId="0" fontId="26" fillId="0" borderId="0" xfId="0" applyFont="1" applyAlignment="1">
      <alignment horizontal="center" vertical="center"/>
    </xf>
    <xf numFmtId="0" fontId="27" fillId="0" borderId="3" xfId="0" applyFont="1" applyBorder="1" applyAlignment="1">
      <alignment horizontal="center" vertical="center"/>
    </xf>
    <xf numFmtId="0" fontId="26" fillId="0" borderId="2" xfId="0" applyFont="1" applyBorder="1" applyAlignment="1">
      <alignment horizontal="center" vertical="center"/>
    </xf>
    <xf numFmtId="0" fontId="26" fillId="0" borderId="1" xfId="0" applyFont="1" applyBorder="1" applyAlignment="1">
      <alignment horizontal="left" vertical="center"/>
    </xf>
    <xf numFmtId="0" fontId="26" fillId="0" borderId="1" xfId="0" applyFont="1" applyBorder="1" applyAlignment="1">
      <alignment horizontal="center" vertical="center"/>
    </xf>
    <xf numFmtId="0" fontId="26" fillId="0" borderId="19" xfId="0" applyFont="1" applyBorder="1" applyAlignment="1">
      <alignment horizontal="center" vertical="center"/>
    </xf>
    <xf numFmtId="0" fontId="26" fillId="0" borderId="0" xfId="0" applyFont="1" applyAlignment="1">
      <alignment horizontal="left" vertical="center"/>
    </xf>
    <xf numFmtId="0" fontId="25" fillId="0" borderId="0" xfId="0" applyFont="1" applyAlignment="1">
      <alignment horizontal="right" vertical="center"/>
    </xf>
    <xf numFmtId="0" fontId="25" fillId="0" borderId="0" xfId="0" applyFont="1" applyAlignment="1">
      <alignment horizontal="left" vertical="center"/>
    </xf>
    <xf numFmtId="0" fontId="26" fillId="0" borderId="0" xfId="0" applyFont="1" applyAlignment="1">
      <alignment horizontal="left" vertical="center" wrapText="1"/>
    </xf>
    <xf numFmtId="0" fontId="4" fillId="2" borderId="4" xfId="0" applyFont="1" applyFill="1" applyBorder="1" applyAlignment="1">
      <alignment horizontal="center" vertical="center"/>
    </xf>
    <xf numFmtId="0" fontId="4" fillId="2" borderId="10" xfId="23" applyFont="1" applyFill="1" applyBorder="1" applyAlignment="1">
      <alignment horizontal="left" vertical="center" wrapText="1"/>
    </xf>
    <xf numFmtId="0" fontId="4" fillId="2" borderId="17" xfId="22" applyFont="1" applyFill="1" applyBorder="1" applyAlignment="1">
      <alignment horizontal="center"/>
    </xf>
    <xf numFmtId="0" fontId="4" fillId="2" borderId="3" xfId="23" applyFont="1" applyFill="1" applyBorder="1" applyAlignment="1">
      <alignment horizontal="center" vertical="center"/>
    </xf>
    <xf numFmtId="1" fontId="4" fillId="2" borderId="3" xfId="23" applyNumberFormat="1" applyFont="1" applyFill="1" applyBorder="1" applyAlignment="1">
      <alignment horizontal="center" vertical="center"/>
    </xf>
    <xf numFmtId="2" fontId="4" fillId="2" borderId="3" xfId="23" applyNumberFormat="1" applyFont="1" applyFill="1" applyBorder="1" applyAlignment="1">
      <alignment horizontal="center" vertical="center"/>
    </xf>
    <xf numFmtId="0" fontId="4" fillId="2" borderId="3" xfId="23" applyFont="1" applyFill="1" applyBorder="1" applyAlignment="1">
      <alignment vertical="center"/>
    </xf>
    <xf numFmtId="2" fontId="4" fillId="2" borderId="3" xfId="23" applyNumberFormat="1" applyFont="1" applyFill="1" applyBorder="1" applyAlignment="1">
      <alignment horizontal="center" vertical="center" wrapText="1"/>
    </xf>
    <xf numFmtId="168" fontId="4" fillId="2" borderId="3" xfId="0" applyNumberFormat="1" applyFont="1" applyFill="1" applyBorder="1" applyAlignment="1">
      <alignment horizontal="center" vertical="center" shrinkToFit="1"/>
    </xf>
    <xf numFmtId="168" fontId="4" fillId="2" borderId="3" xfId="23" applyNumberFormat="1" applyFont="1" applyFill="1" applyBorder="1" applyAlignment="1">
      <alignment horizontal="center" vertical="center" shrinkToFit="1"/>
    </xf>
    <xf numFmtId="168" fontId="4" fillId="2" borderId="18" xfId="0" applyNumberFormat="1" applyFont="1" applyFill="1" applyBorder="1" applyAlignment="1">
      <alignment horizontal="center" vertical="center" wrapText="1" shrinkToFit="1"/>
    </xf>
    <xf numFmtId="0" fontId="4" fillId="2" borderId="0" xfId="23" applyFont="1" applyFill="1" applyAlignment="1">
      <alignment vertical="center"/>
    </xf>
    <xf numFmtId="165" fontId="6" fillId="2" borderId="0" xfId="1" applyNumberFormat="1" applyFont="1" applyFill="1" applyBorder="1" applyAlignment="1">
      <alignment horizontal="left" vertical="center"/>
    </xf>
    <xf numFmtId="2" fontId="4" fillId="2" borderId="3" xfId="3" applyNumberFormat="1" applyFont="1" applyFill="1" applyBorder="1" applyAlignment="1">
      <alignment horizontal="center" vertical="center"/>
    </xf>
    <xf numFmtId="0" fontId="6" fillId="2" borderId="3" xfId="3" applyFont="1" applyFill="1" applyBorder="1" applyAlignment="1">
      <alignment horizontal="center" vertical="center"/>
    </xf>
    <xf numFmtId="165" fontId="3" fillId="2" borderId="0" xfId="1" applyNumberFormat="1" applyFont="1" applyFill="1" applyBorder="1" applyAlignment="1"/>
    <xf numFmtId="0" fontId="4" fillId="2" borderId="0" xfId="22" applyFont="1" applyFill="1" applyBorder="1" applyAlignment="1">
      <alignment vertical="center"/>
    </xf>
    <xf numFmtId="0" fontId="4" fillId="2" borderId="0" xfId="22" applyFont="1" applyFill="1" applyBorder="1" applyAlignment="1">
      <alignment horizontal="center" vertical="center"/>
    </xf>
    <xf numFmtId="0" fontId="4" fillId="2" borderId="7" xfId="22" applyFont="1" applyFill="1" applyBorder="1" applyAlignment="1">
      <alignment horizontal="center" vertical="center"/>
    </xf>
    <xf numFmtId="0" fontId="4" fillId="2" borderId="7" xfId="22" applyFont="1" applyFill="1" applyBorder="1" applyAlignment="1">
      <alignment vertical="center" wrapText="1"/>
    </xf>
    <xf numFmtId="0" fontId="4" fillId="2" borderId="7" xfId="22" applyFont="1" applyFill="1" applyBorder="1" applyAlignment="1">
      <alignment horizontal="center" vertical="center" shrinkToFit="1"/>
    </xf>
    <xf numFmtId="0" fontId="4" fillId="2" borderId="7" xfId="22" applyFont="1" applyFill="1" applyBorder="1" applyAlignment="1">
      <alignment horizontal="center" vertical="center" wrapText="1"/>
    </xf>
    <xf numFmtId="1" fontId="4" fillId="2" borderId="7" xfId="22" applyNumberFormat="1" applyFont="1" applyFill="1" applyBorder="1" applyAlignment="1">
      <alignment horizontal="center" vertical="center" shrinkToFit="1"/>
    </xf>
    <xf numFmtId="0" fontId="4" fillId="2" borderId="4" xfId="22" applyFont="1" applyFill="1" applyBorder="1" applyAlignment="1">
      <alignment horizontal="center"/>
    </xf>
    <xf numFmtId="0" fontId="6" fillId="2" borderId="16" xfId="23" applyFont="1" applyFill="1" applyBorder="1" applyAlignment="1">
      <alignment horizontal="left" vertical="center"/>
    </xf>
    <xf numFmtId="0" fontId="4" fillId="2" borderId="3" xfId="22" applyFont="1" applyFill="1" applyBorder="1" applyAlignment="1">
      <alignment horizontal="center" wrapText="1"/>
    </xf>
    <xf numFmtId="0" fontId="4" fillId="2" borderId="3" xfId="22" applyFont="1" applyFill="1" applyBorder="1" applyAlignment="1">
      <alignment horizontal="center"/>
    </xf>
    <xf numFmtId="1" fontId="4" fillId="2" borderId="3" xfId="22" applyNumberFormat="1" applyFont="1" applyFill="1" applyBorder="1" applyAlignment="1">
      <alignment horizontal="center"/>
    </xf>
    <xf numFmtId="2" fontId="4" fillId="2" borderId="3" xfId="22" applyNumberFormat="1" applyFont="1" applyFill="1" applyBorder="1" applyAlignment="1">
      <alignment horizontal="center"/>
    </xf>
    <xf numFmtId="0" fontId="4" fillId="2" borderId="3" xfId="0" applyFont="1" applyFill="1" applyBorder="1" applyAlignment="1">
      <alignment horizontal="center"/>
    </xf>
    <xf numFmtId="2" fontId="4" fillId="2" borderId="3" xfId="22" applyNumberFormat="1" applyFont="1" applyFill="1" applyBorder="1" applyAlignment="1">
      <alignment horizontal="center" wrapText="1"/>
    </xf>
    <xf numFmtId="168" fontId="4" fillId="2" borderId="3" xfId="0" applyNumberFormat="1" applyFont="1" applyFill="1" applyBorder="1" applyAlignment="1">
      <alignment horizontal="center" shrinkToFit="1"/>
    </xf>
    <xf numFmtId="168" fontId="4" fillId="2" borderId="18" xfId="0" applyNumberFormat="1" applyFont="1" applyFill="1" applyBorder="1" applyAlignment="1">
      <alignment horizontal="center" shrinkToFit="1"/>
    </xf>
    <xf numFmtId="0" fontId="4" fillId="2" borderId="0" xfId="22" applyFont="1" applyFill="1" applyAlignment="1"/>
    <xf numFmtId="0" fontId="4" fillId="2" borderId="0" xfId="0" applyFont="1" applyFill="1" applyAlignment="1"/>
    <xf numFmtId="168" fontId="4" fillId="2" borderId="0" xfId="0" applyNumberFormat="1" applyFont="1" applyFill="1" applyAlignment="1"/>
    <xf numFmtId="0" fontId="11" fillId="2" borderId="0" xfId="0" applyFont="1" applyFill="1" applyAlignment="1"/>
    <xf numFmtId="1" fontId="4" fillId="2" borderId="0" xfId="0" applyNumberFormat="1" applyFont="1" applyFill="1" applyAlignment="1"/>
    <xf numFmtId="0" fontId="25" fillId="0" borderId="5" xfId="0" applyFont="1" applyBorder="1" applyAlignment="1">
      <alignment horizontal="center" vertical="center" textRotation="90" wrapText="1"/>
    </xf>
    <xf numFmtId="2" fontId="4" fillId="2" borderId="3" xfId="0" applyNumberFormat="1" applyFont="1" applyFill="1" applyBorder="1" applyAlignment="1">
      <alignment horizontal="center" vertical="center" shrinkToFit="1"/>
    </xf>
    <xf numFmtId="171" fontId="6" fillId="2" borderId="3" xfId="4" applyNumberFormat="1" applyFont="1" applyFill="1" applyBorder="1" applyAlignment="1">
      <alignment horizontal="center" vertical="center" wrapText="1"/>
    </xf>
    <xf numFmtId="165" fontId="6" fillId="2" borderId="0" xfId="1" applyNumberFormat="1" applyFont="1" applyFill="1" applyBorder="1" applyAlignment="1">
      <alignment horizontal="center" vertical="center" wrapText="1"/>
    </xf>
    <xf numFmtId="165" fontId="6" fillId="2" borderId="0" xfId="1" applyNumberFormat="1" applyFont="1" applyFill="1" applyBorder="1" applyAlignment="1">
      <alignment horizontal="left" vertical="center"/>
    </xf>
    <xf numFmtId="165" fontId="6" fillId="2" borderId="3" xfId="1" applyNumberFormat="1" applyFont="1" applyFill="1" applyBorder="1" applyAlignment="1">
      <alignment horizontal="center" vertical="center"/>
    </xf>
    <xf numFmtId="10" fontId="4" fillId="2" borderId="0" xfId="24" applyNumberFormat="1" applyFont="1" applyFill="1" applyBorder="1" applyAlignment="1">
      <alignment horizontal="center" vertical="center"/>
    </xf>
    <xf numFmtId="10" fontId="6" fillId="2" borderId="0" xfId="24" applyNumberFormat="1" applyFont="1" applyFill="1" applyBorder="1" applyAlignment="1">
      <alignment horizontal="center" vertical="center"/>
    </xf>
    <xf numFmtId="2" fontId="4" fillId="2" borderId="0" xfId="2" applyNumberFormat="1" applyFont="1" applyFill="1" applyBorder="1" applyAlignment="1">
      <alignment horizontal="center" vertical="center"/>
    </xf>
    <xf numFmtId="166" fontId="9" fillId="2" borderId="0" xfId="0" applyNumberFormat="1" applyFont="1" applyFill="1" applyBorder="1" applyAlignment="1">
      <alignment horizontal="center" vertical="center"/>
    </xf>
    <xf numFmtId="165" fontId="4" fillId="4" borderId="3" xfId="1" applyNumberFormat="1" applyFont="1" applyFill="1" applyBorder="1" applyAlignment="1">
      <alignment horizontal="center" vertical="center" wrapText="1"/>
    </xf>
    <xf numFmtId="0" fontId="16" fillId="2" borderId="4" xfId="0" applyFont="1" applyFill="1" applyBorder="1" applyAlignment="1">
      <alignment horizontal="center" vertical="center" wrapText="1"/>
    </xf>
    <xf numFmtId="2" fontId="16" fillId="2" borderId="3" xfId="0" applyNumberFormat="1" applyFont="1" applyFill="1" applyBorder="1" applyAlignment="1">
      <alignment horizontal="center" vertical="center" wrapText="1"/>
    </xf>
    <xf numFmtId="165" fontId="6" fillId="2" borderId="18" xfId="1" applyNumberFormat="1" applyFont="1" applyFill="1" applyBorder="1" applyAlignment="1">
      <alignment horizontal="center" vertical="center" wrapText="1"/>
    </xf>
    <xf numFmtId="0" fontId="16" fillId="2" borderId="18" xfId="0" applyFont="1" applyFill="1" applyBorder="1" applyAlignment="1">
      <alignment horizontal="center" vertical="center" wrapText="1"/>
    </xf>
    <xf numFmtId="2" fontId="6" fillId="2" borderId="18" xfId="2" applyNumberFormat="1" applyFont="1" applyFill="1" applyBorder="1" applyAlignment="1">
      <alignment horizontal="center" vertical="center" wrapText="1"/>
    </xf>
    <xf numFmtId="165" fontId="4" fillId="2" borderId="4" xfId="1" applyNumberFormat="1" applyFont="1" applyFill="1" applyBorder="1" applyAlignment="1">
      <alignment horizontal="center" vertical="center" wrapText="1"/>
    </xf>
    <xf numFmtId="2" fontId="4" fillId="2" borderId="18" xfId="2" applyNumberFormat="1" applyFont="1" applyFill="1" applyBorder="1" applyAlignment="1">
      <alignment horizontal="center" vertical="center" wrapText="1"/>
    </xf>
    <xf numFmtId="165" fontId="4" fillId="2" borderId="2" xfId="1" applyNumberFormat="1" applyFont="1" applyFill="1" applyBorder="1" applyAlignment="1">
      <alignment horizontal="center" vertical="center" wrapText="1"/>
    </xf>
    <xf numFmtId="165" fontId="4" fillId="2" borderId="1" xfId="1" applyNumberFormat="1" applyFont="1" applyFill="1" applyBorder="1" applyAlignment="1">
      <alignment horizontal="left" vertical="center" wrapText="1"/>
    </xf>
    <xf numFmtId="2" fontId="4" fillId="2" borderId="1" xfId="2" applyNumberFormat="1" applyFont="1" applyFill="1" applyBorder="1" applyAlignment="1">
      <alignment horizontal="center" vertical="center" wrapText="1"/>
    </xf>
    <xf numFmtId="165" fontId="4" fillId="2" borderId="1" xfId="2" applyNumberFormat="1" applyFont="1" applyFill="1" applyBorder="1" applyAlignment="1">
      <alignment horizontal="center" vertical="center" wrapText="1"/>
    </xf>
    <xf numFmtId="165" fontId="6" fillId="2" borderId="1" xfId="1" applyNumberFormat="1" applyFont="1" applyFill="1" applyBorder="1" applyAlignment="1">
      <alignment horizontal="center" vertical="center"/>
    </xf>
    <xf numFmtId="165" fontId="4" fillId="2" borderId="1" xfId="1" applyNumberFormat="1" applyFont="1" applyFill="1" applyBorder="1" applyAlignment="1">
      <alignment horizontal="center" vertical="center"/>
    </xf>
    <xf numFmtId="165" fontId="6" fillId="2" borderId="19" xfId="1" applyNumberFormat="1" applyFont="1" applyFill="1" applyBorder="1" applyAlignment="1">
      <alignment horizontal="center" vertical="center"/>
    </xf>
    <xf numFmtId="0" fontId="6" fillId="2" borderId="4" xfId="3" applyNumberFormat="1" applyFont="1" applyFill="1" applyBorder="1" applyAlignment="1">
      <alignment horizontal="center" vertical="center" wrapText="1"/>
    </xf>
    <xf numFmtId="165" fontId="4" fillId="2" borderId="1" xfId="1" applyNumberFormat="1" applyFont="1" applyFill="1" applyBorder="1" applyAlignment="1">
      <alignment horizontal="center" vertical="center" wrapText="1"/>
    </xf>
    <xf numFmtId="165" fontId="4" fillId="5" borderId="0" xfId="26" applyFont="1" applyFill="1" applyBorder="1" applyAlignment="1">
      <alignment vertical="center"/>
    </xf>
    <xf numFmtId="165" fontId="6" fillId="5" borderId="0" xfId="26" applyFont="1" applyFill="1" applyBorder="1" applyAlignment="1">
      <alignment horizontal="center" vertical="center"/>
    </xf>
    <xf numFmtId="165" fontId="4" fillId="5" borderId="0" xfId="26" applyFont="1" applyFill="1" applyBorder="1" applyAlignment="1">
      <alignment horizontal="center" vertical="center"/>
    </xf>
    <xf numFmtId="165" fontId="4" fillId="5" borderId="0" xfId="26" applyNumberFormat="1" applyFont="1" applyFill="1" applyBorder="1" applyAlignment="1">
      <alignment horizontal="center" vertical="center"/>
    </xf>
    <xf numFmtId="165" fontId="4" fillId="5" borderId="0" xfId="26" applyFont="1" applyFill="1" applyBorder="1" applyAlignment="1">
      <alignment horizontal="right" vertical="center"/>
    </xf>
    <xf numFmtId="0" fontId="6" fillId="2" borderId="23" xfId="25" applyFont="1" applyFill="1" applyBorder="1" applyAlignment="1">
      <alignment vertical="center"/>
    </xf>
    <xf numFmtId="0" fontId="6" fillId="2" borderId="24" xfId="25" applyFont="1" applyFill="1" applyBorder="1" applyAlignment="1">
      <alignment vertical="center"/>
    </xf>
    <xf numFmtId="165" fontId="4" fillId="2" borderId="0" xfId="26" applyFont="1" applyFill="1" applyBorder="1" applyAlignment="1">
      <alignment vertical="center"/>
    </xf>
    <xf numFmtId="165" fontId="6" fillId="2" borderId="3" xfId="25" applyNumberFormat="1" applyFont="1" applyFill="1" applyBorder="1" applyAlignment="1">
      <alignment horizontal="center" vertical="center" wrapText="1"/>
    </xf>
    <xf numFmtId="170" fontId="4" fillId="2" borderId="3" xfId="25" applyNumberFormat="1" applyFont="1" applyFill="1" applyBorder="1" applyAlignment="1">
      <alignment horizontal="center" vertical="center" wrapText="1"/>
    </xf>
    <xf numFmtId="165" fontId="4" fillId="2" borderId="3" xfId="25" applyNumberFormat="1" applyFont="1" applyFill="1" applyBorder="1" applyAlignment="1">
      <alignment horizontal="center" vertical="center" wrapText="1"/>
    </xf>
    <xf numFmtId="165" fontId="4" fillId="2" borderId="20" xfId="25" applyNumberFormat="1" applyFont="1" applyFill="1" applyBorder="1" applyAlignment="1">
      <alignment vertical="center" wrapText="1"/>
    </xf>
    <xf numFmtId="0" fontId="6" fillId="2" borderId="3" xfId="25" applyFont="1" applyFill="1" applyBorder="1" applyAlignment="1">
      <alignment vertical="center" wrapText="1"/>
    </xf>
    <xf numFmtId="0" fontId="4" fillId="2" borderId="3" xfId="25" applyFont="1" applyFill="1" applyBorder="1" applyAlignment="1">
      <alignment vertical="center" wrapText="1"/>
    </xf>
    <xf numFmtId="1" fontId="4" fillId="2" borderId="3" xfId="26" applyNumberFormat="1" applyFont="1" applyFill="1" applyBorder="1" applyAlignment="1">
      <alignment horizontal="center" vertical="center"/>
    </xf>
    <xf numFmtId="0" fontId="4" fillId="2" borderId="3" xfId="25" applyFont="1" applyFill="1" applyBorder="1" applyAlignment="1">
      <alignment horizontal="left" vertical="center" wrapText="1"/>
    </xf>
    <xf numFmtId="165" fontId="19" fillId="2" borderId="20" xfId="25" applyNumberFormat="1" applyFont="1" applyFill="1" applyBorder="1" applyAlignment="1">
      <alignment vertical="center" wrapText="1"/>
    </xf>
    <xf numFmtId="165" fontId="4" fillId="2" borderId="3" xfId="26" applyFont="1" applyFill="1" applyBorder="1" applyAlignment="1">
      <alignment vertical="center"/>
    </xf>
    <xf numFmtId="165" fontId="6" fillId="2" borderId="22" xfId="26" applyFont="1" applyFill="1" applyBorder="1" applyAlignment="1">
      <alignment vertical="center"/>
    </xf>
    <xf numFmtId="0" fontId="4" fillId="0" borderId="3" xfId="25" applyFont="1" applyFill="1" applyBorder="1" applyAlignment="1">
      <alignment vertical="center" wrapText="1"/>
    </xf>
    <xf numFmtId="170" fontId="4" fillId="0" borderId="3" xfId="25" applyNumberFormat="1" applyFont="1" applyFill="1" applyBorder="1" applyAlignment="1">
      <alignment horizontal="center" vertical="center" wrapText="1"/>
    </xf>
    <xf numFmtId="165" fontId="4" fillId="0" borderId="3" xfId="25" applyNumberFormat="1" applyFont="1" applyFill="1" applyBorder="1" applyAlignment="1">
      <alignment horizontal="center" vertical="center" wrapText="1"/>
    </xf>
    <xf numFmtId="165" fontId="4" fillId="0" borderId="20" xfId="25" applyNumberFormat="1" applyFont="1" applyFill="1" applyBorder="1" applyAlignment="1">
      <alignment vertical="center" wrapText="1"/>
    </xf>
    <xf numFmtId="0" fontId="6" fillId="0" borderId="4" xfId="27" applyFont="1" applyFill="1" applyBorder="1" applyAlignment="1">
      <alignment horizontal="center" vertical="center" wrapText="1"/>
    </xf>
    <xf numFmtId="0" fontId="6" fillId="0" borderId="3" xfId="26" applyNumberFormat="1" applyFont="1" applyFill="1" applyBorder="1" applyAlignment="1">
      <alignment horizontal="justify" vertical="center"/>
    </xf>
    <xf numFmtId="165" fontId="4" fillId="0" borderId="0" xfId="26" applyFont="1" applyFill="1" applyBorder="1" applyAlignment="1">
      <alignment vertical="center"/>
    </xf>
    <xf numFmtId="0" fontId="6" fillId="0" borderId="3" xfId="25" applyFont="1" applyFill="1" applyBorder="1" applyAlignment="1">
      <alignment vertical="center" wrapText="1"/>
    </xf>
    <xf numFmtId="1" fontId="4" fillId="0" borderId="3" xfId="26" applyNumberFormat="1" applyFont="1" applyFill="1" applyBorder="1" applyAlignment="1">
      <alignment horizontal="center" vertical="center"/>
    </xf>
    <xf numFmtId="0" fontId="6" fillId="0" borderId="3" xfId="25" applyFont="1" applyFill="1" applyBorder="1" applyAlignment="1">
      <alignment horizontal="right" vertical="center" wrapText="1"/>
    </xf>
    <xf numFmtId="165" fontId="6" fillId="0" borderId="3" xfId="25" applyNumberFormat="1" applyFont="1" applyFill="1" applyBorder="1" applyAlignment="1">
      <alignment horizontal="center" vertical="center" wrapText="1"/>
    </xf>
    <xf numFmtId="165" fontId="6" fillId="0" borderId="20" xfId="25" applyNumberFormat="1" applyFont="1" applyFill="1" applyBorder="1" applyAlignment="1">
      <alignment vertical="center" wrapText="1"/>
    </xf>
    <xf numFmtId="165" fontId="19" fillId="0" borderId="20" xfId="25" applyNumberFormat="1" applyFont="1" applyFill="1" applyBorder="1" applyAlignment="1">
      <alignment vertical="center" wrapText="1"/>
    </xf>
    <xf numFmtId="165" fontId="6" fillId="0" borderId="22" xfId="26" applyFont="1" applyFill="1" applyBorder="1" applyAlignment="1">
      <alignment vertical="center"/>
    </xf>
    <xf numFmtId="0" fontId="4" fillId="0" borderId="3" xfId="25" applyFont="1" applyFill="1" applyBorder="1" applyAlignment="1">
      <alignment horizontal="center" vertical="center" wrapText="1"/>
    </xf>
    <xf numFmtId="2" fontId="4" fillId="0" borderId="3" xfId="25" applyNumberFormat="1" applyFont="1" applyFill="1" applyBorder="1" applyAlignment="1">
      <alignment horizontal="center" vertical="center" wrapText="1"/>
    </xf>
    <xf numFmtId="165" fontId="6" fillId="0" borderId="22" xfId="25" applyNumberFormat="1" applyFont="1" applyFill="1" applyBorder="1" applyAlignment="1">
      <alignment horizontal="left" vertical="center" wrapText="1"/>
    </xf>
    <xf numFmtId="167" fontId="4" fillId="0" borderId="3" xfId="25" applyNumberFormat="1" applyFont="1" applyFill="1" applyBorder="1" applyAlignment="1">
      <alignment horizontal="center" vertical="center" wrapText="1"/>
    </xf>
    <xf numFmtId="170" fontId="4" fillId="0" borderId="3" xfId="26" applyNumberFormat="1" applyFont="1" applyFill="1" applyBorder="1" applyAlignment="1">
      <alignment horizontal="center" vertical="center"/>
    </xf>
    <xf numFmtId="170" fontId="4" fillId="0" borderId="3" xfId="26" applyNumberFormat="1" applyFont="1" applyFill="1" applyBorder="1" applyAlignment="1">
      <alignment vertical="center"/>
    </xf>
    <xf numFmtId="165" fontId="4" fillId="0" borderId="3" xfId="26" applyNumberFormat="1" applyFont="1" applyFill="1" applyBorder="1" applyAlignment="1">
      <alignment horizontal="center" vertical="center"/>
    </xf>
    <xf numFmtId="165" fontId="6" fillId="0" borderId="4" xfId="26" applyFont="1" applyFill="1" applyBorder="1" applyAlignment="1">
      <alignment horizontal="center" vertical="center"/>
    </xf>
    <xf numFmtId="165" fontId="4" fillId="0" borderId="3" xfId="26" applyFont="1" applyFill="1" applyBorder="1" applyAlignment="1">
      <alignment vertical="center"/>
    </xf>
    <xf numFmtId="0" fontId="4" fillId="0" borderId="3" xfId="27" applyFont="1" applyFill="1" applyBorder="1" applyAlignment="1">
      <alignment vertical="center" wrapText="1"/>
    </xf>
    <xf numFmtId="170" fontId="4" fillId="0" borderId="3" xfId="27" applyNumberFormat="1" applyFont="1" applyFill="1" applyBorder="1" applyAlignment="1">
      <alignment horizontal="center" vertical="center" wrapText="1"/>
    </xf>
    <xf numFmtId="165" fontId="4" fillId="0" borderId="3" xfId="27" applyNumberFormat="1" applyFont="1" applyFill="1" applyBorder="1" applyAlignment="1">
      <alignment horizontal="center" vertical="center" wrapText="1"/>
    </xf>
    <xf numFmtId="167" fontId="4" fillId="0" borderId="3" xfId="27" applyNumberFormat="1" applyFont="1" applyFill="1" applyBorder="1" applyAlignment="1">
      <alignment horizontal="center" vertical="center" wrapText="1"/>
    </xf>
    <xf numFmtId="165" fontId="4" fillId="0" borderId="20" xfId="27" applyNumberFormat="1" applyFont="1" applyFill="1" applyBorder="1" applyAlignment="1">
      <alignment horizontal="right" vertical="center" wrapText="1"/>
    </xf>
    <xf numFmtId="0" fontId="6" fillId="0" borderId="3" xfId="27" applyFont="1" applyFill="1" applyBorder="1" applyAlignment="1">
      <alignment vertical="center" wrapText="1"/>
    </xf>
    <xf numFmtId="0" fontId="4" fillId="0" borderId="3" xfId="27" applyFont="1" applyFill="1" applyBorder="1" applyAlignment="1">
      <alignment horizontal="left" vertical="center" wrapText="1"/>
    </xf>
    <xf numFmtId="0" fontId="4" fillId="0" borderId="3" xfId="26" applyNumberFormat="1" applyFont="1" applyFill="1" applyBorder="1" applyAlignment="1">
      <alignment horizontal="justify" vertical="center"/>
    </xf>
    <xf numFmtId="0" fontId="6" fillId="0" borderId="4" xfId="26" applyNumberFormat="1" applyFont="1" applyFill="1" applyBorder="1" applyAlignment="1">
      <alignment horizontal="center" vertical="center"/>
    </xf>
    <xf numFmtId="0" fontId="6" fillId="0" borderId="22" xfId="25" applyFont="1" applyFill="1" applyBorder="1" applyAlignment="1">
      <alignment vertical="center" wrapText="1"/>
    </xf>
    <xf numFmtId="0" fontId="4" fillId="0" borderId="0" xfId="25" applyFont="1" applyFill="1" applyBorder="1" applyAlignment="1">
      <alignment vertical="center" wrapText="1"/>
    </xf>
    <xf numFmtId="0" fontId="4" fillId="0" borderId="3" xfId="25" applyFont="1" applyFill="1" applyBorder="1" applyAlignment="1">
      <alignment horizontal="left" vertical="center" wrapText="1"/>
    </xf>
    <xf numFmtId="0" fontId="6" fillId="0" borderId="3" xfId="25" applyFont="1" applyFill="1" applyBorder="1" applyAlignment="1">
      <alignment horizontal="left" vertical="center" wrapText="1"/>
    </xf>
    <xf numFmtId="165" fontId="4" fillId="0" borderId="0" xfId="25" applyNumberFormat="1" applyFont="1" applyFill="1" applyBorder="1" applyAlignment="1">
      <alignment vertical="center" wrapText="1"/>
    </xf>
    <xf numFmtId="170" fontId="4" fillId="0" borderId="0" xfId="25" applyNumberFormat="1" applyFont="1" applyFill="1" applyBorder="1" applyAlignment="1">
      <alignment horizontal="center" vertical="center" wrapText="1"/>
    </xf>
    <xf numFmtId="165" fontId="4" fillId="0" borderId="0" xfId="25" applyNumberFormat="1" applyFont="1" applyFill="1" applyBorder="1" applyAlignment="1">
      <alignment horizontal="center" vertical="center" wrapText="1"/>
    </xf>
    <xf numFmtId="165" fontId="11" fillId="0" borderId="3" xfId="25" applyNumberFormat="1" applyFont="1" applyFill="1" applyBorder="1" applyAlignment="1">
      <alignment horizontal="center" vertical="center" wrapText="1"/>
    </xf>
    <xf numFmtId="169" fontId="4" fillId="0" borderId="3" xfId="29" applyNumberFormat="1" applyFont="1" applyFill="1" applyBorder="1" applyAlignment="1">
      <alignment horizontal="justify" vertical="top" wrapText="1"/>
    </xf>
    <xf numFmtId="0" fontId="4" fillId="0" borderId="3" xfId="28" applyFont="1" applyFill="1" applyBorder="1" applyAlignment="1">
      <alignment horizontal="center" vertical="center" wrapText="1"/>
    </xf>
    <xf numFmtId="2" fontId="4" fillId="0" borderId="3" xfId="28" applyNumberFormat="1" applyFont="1" applyFill="1" applyBorder="1" applyAlignment="1">
      <alignment horizontal="right" vertical="center" wrapText="1"/>
    </xf>
    <xf numFmtId="2" fontId="4" fillId="0" borderId="20" xfId="28" applyNumberFormat="1" applyFont="1" applyFill="1" applyBorder="1" applyAlignment="1">
      <alignment vertical="center" wrapText="1"/>
    </xf>
    <xf numFmtId="0" fontId="18" fillId="0" borderId="3" xfId="28" applyFont="1" applyFill="1" applyBorder="1" applyAlignment="1">
      <alignment horizontal="center" vertical="center" wrapText="1"/>
    </xf>
    <xf numFmtId="2" fontId="18" fillId="0" borderId="3" xfId="28" applyNumberFormat="1" applyFont="1" applyFill="1" applyBorder="1" applyAlignment="1">
      <alignment horizontal="right" vertical="center" wrapText="1"/>
    </xf>
    <xf numFmtId="2" fontId="18" fillId="0" borderId="20" xfId="28" applyNumberFormat="1" applyFont="1" applyFill="1" applyBorder="1" applyAlignment="1">
      <alignment vertical="center" wrapText="1"/>
    </xf>
    <xf numFmtId="2" fontId="28" fillId="0" borderId="22" xfId="28" applyNumberFormat="1" applyFont="1" applyFill="1" applyBorder="1" applyAlignment="1">
      <alignment horizontal="center" vertical="center" wrapText="1"/>
    </xf>
    <xf numFmtId="2" fontId="19" fillId="0" borderId="20" xfId="28" applyNumberFormat="1" applyFont="1" applyFill="1" applyBorder="1" applyAlignment="1">
      <alignment vertical="center" wrapText="1"/>
    </xf>
    <xf numFmtId="2" fontId="6" fillId="0" borderId="22" xfId="28" applyNumberFormat="1" applyFont="1" applyFill="1" applyBorder="1" applyAlignment="1">
      <alignment horizontal="center" vertical="center" wrapText="1"/>
    </xf>
    <xf numFmtId="0" fontId="6" fillId="0" borderId="3" xfId="26" applyNumberFormat="1" applyFont="1" applyFill="1" applyBorder="1" applyAlignment="1">
      <alignment vertical="center" wrapText="1"/>
    </xf>
    <xf numFmtId="165" fontId="6" fillId="0" borderId="20" xfId="26" applyNumberFormat="1" applyFont="1" applyFill="1" applyBorder="1" applyAlignment="1">
      <alignment vertical="center"/>
    </xf>
    <xf numFmtId="170" fontId="6" fillId="0" borderId="4" xfId="26" applyNumberFormat="1" applyFont="1" applyFill="1" applyBorder="1" applyAlignment="1">
      <alignment horizontal="center" vertical="center"/>
    </xf>
    <xf numFmtId="0" fontId="11" fillId="0" borderId="3" xfId="25" applyFont="1" applyFill="1" applyBorder="1" applyAlignment="1">
      <alignment vertical="center" wrapText="1"/>
    </xf>
    <xf numFmtId="170" fontId="11" fillId="0" borderId="3" xfId="25" applyNumberFormat="1" applyFont="1" applyFill="1" applyBorder="1" applyAlignment="1">
      <alignment horizontal="center" vertical="center" wrapText="1"/>
    </xf>
    <xf numFmtId="1" fontId="11" fillId="0" borderId="3" xfId="26" applyNumberFormat="1" applyFont="1" applyFill="1" applyBorder="1" applyAlignment="1">
      <alignment horizontal="center" vertical="center"/>
    </xf>
    <xf numFmtId="0" fontId="11" fillId="0" borderId="3" xfId="25" applyFont="1" applyFill="1" applyBorder="1" applyAlignment="1">
      <alignment horizontal="left" vertical="center" wrapText="1"/>
    </xf>
    <xf numFmtId="0" fontId="4" fillId="0" borderId="20" xfId="25" applyFont="1" applyFill="1" applyBorder="1" applyAlignment="1">
      <alignment vertical="center" wrapText="1"/>
    </xf>
    <xf numFmtId="0" fontId="4" fillId="0" borderId="3" xfId="26" applyNumberFormat="1" applyFont="1" applyFill="1" applyBorder="1" applyAlignment="1">
      <alignment vertical="center" wrapText="1"/>
    </xf>
    <xf numFmtId="165" fontId="20" fillId="0" borderId="20" xfId="25" applyNumberFormat="1" applyFont="1" applyFill="1" applyBorder="1" applyAlignment="1">
      <alignment vertical="center" wrapText="1"/>
    </xf>
    <xf numFmtId="0" fontId="4" fillId="0" borderId="3" xfId="26" applyNumberFormat="1" applyFont="1" applyFill="1" applyBorder="1" applyAlignment="1">
      <alignment horizontal="justify" vertical="top"/>
    </xf>
    <xf numFmtId="165" fontId="6" fillId="2" borderId="0" xfId="1" applyNumberFormat="1" applyFont="1" applyFill="1" applyBorder="1" applyAlignment="1">
      <alignment horizontal="center" vertical="center" wrapText="1"/>
    </xf>
    <xf numFmtId="165" fontId="6" fillId="2" borderId="0" xfId="1" applyNumberFormat="1" applyFont="1" applyFill="1" applyBorder="1" applyAlignment="1">
      <alignment horizontal="left" vertical="center"/>
    </xf>
    <xf numFmtId="165" fontId="6" fillId="2" borderId="3" xfId="1" applyNumberFormat="1" applyFont="1" applyFill="1" applyBorder="1" applyAlignment="1">
      <alignment horizontal="center" vertical="center"/>
    </xf>
    <xf numFmtId="2" fontId="6" fillId="0" borderId="22" xfId="25" applyNumberFormat="1" applyFont="1" applyFill="1" applyBorder="1" applyAlignment="1">
      <alignment vertical="center" wrapText="1"/>
    </xf>
    <xf numFmtId="0" fontId="6" fillId="0" borderId="22" xfId="26" applyNumberFormat="1" applyFont="1" applyFill="1" applyBorder="1" applyAlignment="1">
      <alignment horizontal="left" vertical="center"/>
    </xf>
    <xf numFmtId="2" fontId="19" fillId="0" borderId="20" xfId="25" applyNumberFormat="1" applyFont="1" applyFill="1" applyBorder="1" applyAlignment="1">
      <alignment vertical="center" wrapText="1"/>
    </xf>
    <xf numFmtId="167" fontId="19" fillId="0" borderId="20" xfId="25" applyNumberFormat="1" applyFont="1" applyFill="1" applyBorder="1" applyAlignment="1">
      <alignment vertical="center" wrapText="1"/>
    </xf>
    <xf numFmtId="165" fontId="4" fillId="0" borderId="20" xfId="25" applyNumberFormat="1" applyFont="1" applyFill="1" applyBorder="1" applyAlignment="1">
      <alignment horizontal="right" vertical="center" wrapText="1"/>
    </xf>
    <xf numFmtId="0" fontId="4" fillId="0" borderId="3" xfId="26" applyNumberFormat="1" applyFont="1" applyFill="1" applyBorder="1" applyAlignment="1">
      <alignment horizontal="center" vertical="center"/>
    </xf>
    <xf numFmtId="172" fontId="4" fillId="0" borderId="3" xfId="25" applyNumberFormat="1" applyFont="1" applyFill="1" applyBorder="1" applyAlignment="1">
      <alignment horizontal="center" vertical="center" wrapText="1"/>
    </xf>
    <xf numFmtId="0" fontId="30" fillId="0" borderId="4" xfId="25" applyFont="1" applyFill="1" applyBorder="1" applyAlignment="1">
      <alignment horizontal="center" vertical="center" wrapText="1"/>
    </xf>
    <xf numFmtId="170" fontId="6" fillId="0" borderId="3" xfId="25" applyNumberFormat="1" applyFont="1" applyFill="1" applyBorder="1" applyAlignment="1">
      <alignment horizontal="center" vertical="center" wrapText="1"/>
    </xf>
    <xf numFmtId="0" fontId="6" fillId="0" borderId="0" xfId="25" applyFont="1" applyFill="1" applyBorder="1" applyAlignment="1">
      <alignment vertical="center" wrapText="1"/>
    </xf>
    <xf numFmtId="0" fontId="7" fillId="0" borderId="3" xfId="25" applyFont="1" applyFill="1" applyBorder="1" applyAlignment="1">
      <alignment vertical="center" wrapText="1"/>
    </xf>
    <xf numFmtId="0" fontId="4" fillId="0" borderId="3" xfId="26" applyNumberFormat="1" applyFont="1" applyFill="1" applyBorder="1" applyAlignment="1">
      <alignment horizontal="justify" vertical="center" wrapText="1"/>
    </xf>
    <xf numFmtId="165" fontId="6" fillId="0" borderId="3" xfId="25" applyNumberFormat="1" applyFont="1" applyFill="1" applyBorder="1" applyAlignment="1">
      <alignment horizontal="right" vertical="center" wrapText="1"/>
    </xf>
    <xf numFmtId="1" fontId="6" fillId="0" borderId="3" xfId="26" applyNumberFormat="1" applyFont="1" applyFill="1" applyBorder="1" applyAlignment="1">
      <alignment horizontal="center" vertical="center"/>
    </xf>
    <xf numFmtId="2" fontId="11" fillId="0" borderId="20" xfId="25" applyNumberFormat="1" applyFont="1" applyFill="1" applyBorder="1" applyAlignment="1">
      <alignment vertical="center" wrapText="1"/>
    </xf>
    <xf numFmtId="0" fontId="4" fillId="0" borderId="3" xfId="25" applyNumberFormat="1" applyFont="1" applyFill="1" applyBorder="1" applyAlignment="1">
      <alignment horizontal="center" vertical="center" wrapText="1"/>
    </xf>
    <xf numFmtId="165" fontId="4" fillId="0" borderId="3" xfId="25" applyNumberFormat="1" applyFont="1" applyFill="1" applyBorder="1" applyAlignment="1">
      <alignment vertical="center" wrapText="1"/>
    </xf>
    <xf numFmtId="167" fontId="6" fillId="0" borderId="20" xfId="25" applyNumberFormat="1" applyFont="1" applyFill="1" applyBorder="1" applyAlignment="1">
      <alignment vertical="center" wrapText="1"/>
    </xf>
    <xf numFmtId="0" fontId="7" fillId="0" borderId="3" xfId="26" applyNumberFormat="1" applyFont="1" applyFill="1" applyBorder="1" applyAlignment="1">
      <alignment vertical="top" wrapText="1"/>
    </xf>
    <xf numFmtId="0" fontId="6" fillId="0" borderId="3" xfId="26" applyNumberFormat="1" applyFont="1" applyFill="1" applyBorder="1" applyAlignment="1">
      <alignment vertical="top" wrapText="1"/>
    </xf>
    <xf numFmtId="0" fontId="4" fillId="0" borderId="3" xfId="26" applyNumberFormat="1" applyFont="1" applyFill="1" applyBorder="1" applyAlignment="1">
      <alignment vertical="top" wrapText="1"/>
    </xf>
    <xf numFmtId="0" fontId="11" fillId="0" borderId="3" xfId="26" applyNumberFormat="1" applyFont="1" applyFill="1" applyBorder="1" applyAlignment="1">
      <alignment vertical="top" wrapText="1"/>
    </xf>
    <xf numFmtId="165" fontId="6" fillId="0" borderId="0" xfId="26" applyFont="1" applyFill="1" applyBorder="1" applyAlignment="1">
      <alignment horizontal="center" vertical="center"/>
    </xf>
    <xf numFmtId="165" fontId="4" fillId="0" borderId="0" xfId="26" applyFont="1" applyFill="1" applyBorder="1" applyAlignment="1">
      <alignment horizontal="center" vertical="center"/>
    </xf>
    <xf numFmtId="165" fontId="4" fillId="0" borderId="0" xfId="26" applyNumberFormat="1" applyFont="1" applyFill="1" applyBorder="1" applyAlignment="1">
      <alignment horizontal="center" vertical="center"/>
    </xf>
    <xf numFmtId="165" fontId="4" fillId="0" borderId="0" xfId="26" applyFont="1" applyFill="1" applyBorder="1" applyAlignment="1">
      <alignment horizontal="right" vertical="center"/>
    </xf>
    <xf numFmtId="170" fontId="4" fillId="0" borderId="0" xfId="26" applyNumberFormat="1" applyFont="1" applyFill="1" applyBorder="1" applyAlignment="1">
      <alignment horizontal="center" vertical="center"/>
    </xf>
    <xf numFmtId="0" fontId="4" fillId="0" borderId="3" xfId="26" applyNumberFormat="1" applyFont="1" applyFill="1" applyBorder="1" applyAlignment="1">
      <alignment vertical="center"/>
    </xf>
    <xf numFmtId="2" fontId="4" fillId="0" borderId="20" xfId="26" applyNumberFormat="1" applyFont="1" applyFill="1" applyBorder="1" applyAlignment="1">
      <alignment vertical="center"/>
    </xf>
    <xf numFmtId="2" fontId="6" fillId="0" borderId="20" xfId="27" applyNumberFormat="1" applyFont="1" applyFill="1" applyBorder="1" applyAlignment="1">
      <alignment vertical="center" wrapText="1"/>
    </xf>
    <xf numFmtId="2" fontId="6" fillId="0" borderId="20" xfId="25" applyNumberFormat="1" applyFont="1" applyFill="1" applyBorder="1" applyAlignment="1">
      <alignment vertical="center" wrapText="1"/>
    </xf>
    <xf numFmtId="2" fontId="4" fillId="0" borderId="20" xfId="25" applyNumberFormat="1" applyFont="1" applyFill="1" applyBorder="1" applyAlignment="1">
      <alignment vertical="center" wrapText="1"/>
    </xf>
    <xf numFmtId="2" fontId="6" fillId="0" borderId="22" xfId="27" applyNumberFormat="1" applyFont="1" applyFill="1" applyBorder="1" applyAlignment="1">
      <alignment horizontal="left" vertical="center" wrapText="1"/>
    </xf>
    <xf numFmtId="2" fontId="6" fillId="0" borderId="20" xfId="26" applyNumberFormat="1" applyFont="1" applyFill="1" applyBorder="1" applyAlignment="1">
      <alignment vertical="center"/>
    </xf>
    <xf numFmtId="169" fontId="6" fillId="0" borderId="4" xfId="25" applyNumberFormat="1" applyFont="1" applyFill="1" applyBorder="1" applyAlignment="1">
      <alignment horizontal="center" vertical="center" wrapText="1"/>
    </xf>
    <xf numFmtId="165" fontId="6" fillId="0" borderId="3" xfId="26" applyNumberFormat="1" applyFont="1" applyFill="1" applyBorder="1" applyAlignment="1">
      <alignment horizontal="center" vertical="center"/>
    </xf>
    <xf numFmtId="0" fontId="6" fillId="0" borderId="3" xfId="25" applyFont="1" applyFill="1" applyBorder="1" applyAlignment="1">
      <alignment horizontal="center" vertical="center" wrapText="1"/>
    </xf>
    <xf numFmtId="0" fontId="6" fillId="0" borderId="4" xfId="25" applyFont="1" applyFill="1" applyBorder="1" applyAlignment="1">
      <alignment vertical="center" wrapText="1"/>
    </xf>
    <xf numFmtId="0" fontId="6" fillId="0" borderId="3" xfId="26" applyNumberFormat="1" applyFont="1" applyFill="1" applyBorder="1" applyAlignment="1">
      <alignment horizontal="justify" vertical="top" wrapText="1"/>
    </xf>
    <xf numFmtId="2" fontId="18" fillId="0" borderId="3" xfId="4" applyNumberFormat="1" applyFont="1" applyFill="1" applyBorder="1" applyAlignment="1">
      <alignment horizontal="justify" vertical="top" wrapText="1"/>
    </xf>
    <xf numFmtId="2" fontId="28" fillId="0" borderId="3" xfId="4" applyNumberFormat="1" applyFont="1" applyFill="1" applyBorder="1" applyAlignment="1">
      <alignment horizontal="justify" vertical="top" wrapText="1"/>
    </xf>
    <xf numFmtId="0" fontId="4" fillId="0" borderId="3" xfId="26" applyNumberFormat="1" applyFont="1" applyFill="1" applyBorder="1" applyAlignment="1">
      <alignment horizontal="justify" vertical="top" wrapText="1"/>
    </xf>
    <xf numFmtId="0" fontId="6" fillId="0" borderId="3" xfId="30" applyFont="1" applyFill="1" applyBorder="1" applyAlignment="1">
      <alignment horizontal="justify" vertical="top" wrapText="1"/>
    </xf>
    <xf numFmtId="0" fontId="11" fillId="0" borderId="3" xfId="26" applyNumberFormat="1" applyFont="1" applyFill="1" applyBorder="1"/>
    <xf numFmtId="2" fontId="11" fillId="0" borderId="3" xfId="26" applyNumberFormat="1" applyFont="1" applyFill="1" applyBorder="1"/>
    <xf numFmtId="2" fontId="7" fillId="0" borderId="3" xfId="26" applyNumberFormat="1" applyFont="1" applyFill="1" applyBorder="1" applyAlignment="1">
      <alignment horizontal="right"/>
    </xf>
    <xf numFmtId="2" fontId="7" fillId="0" borderId="3" xfId="26" applyNumberFormat="1" applyFont="1" applyFill="1" applyBorder="1"/>
    <xf numFmtId="165" fontId="6" fillId="0" borderId="20" xfId="31" applyNumberFormat="1" applyFont="1" applyFill="1" applyBorder="1" applyAlignment="1"/>
    <xf numFmtId="0" fontId="11" fillId="0" borderId="3" xfId="26" applyNumberFormat="1" applyFont="1" applyFill="1" applyBorder="1" applyAlignment="1">
      <alignment horizontal="center"/>
    </xf>
    <xf numFmtId="165" fontId="6" fillId="0" borderId="20" xfId="31" applyNumberFormat="1" applyFont="1" applyFill="1" applyBorder="1" applyAlignment="1">
      <alignment horizontal="right"/>
    </xf>
    <xf numFmtId="0" fontId="18" fillId="0" borderId="3" xfId="27" applyFont="1" applyFill="1" applyBorder="1" applyAlignment="1">
      <alignment vertical="center" wrapText="1"/>
    </xf>
    <xf numFmtId="2" fontId="7" fillId="0" borderId="20" xfId="26" applyNumberFormat="1" applyFont="1" applyFill="1" applyBorder="1" applyAlignment="1"/>
    <xf numFmtId="165" fontId="4" fillId="0" borderId="3" xfId="26" applyFont="1" applyFill="1" applyBorder="1" applyAlignment="1">
      <alignment horizontal="center" vertical="center"/>
    </xf>
    <xf numFmtId="165" fontId="4" fillId="0" borderId="20" xfId="26" applyFont="1" applyFill="1" applyBorder="1" applyAlignment="1">
      <alignment vertical="center"/>
    </xf>
    <xf numFmtId="0" fontId="4" fillId="0" borderId="3" xfId="26" applyNumberFormat="1" applyFont="1" applyFill="1" applyBorder="1" applyAlignment="1">
      <alignment horizontal="left" vertical="top" wrapText="1"/>
    </xf>
    <xf numFmtId="0" fontId="4" fillId="0" borderId="3" xfId="26" applyNumberFormat="1" applyFont="1" applyFill="1" applyBorder="1" applyAlignment="1">
      <alignment horizontal="left" vertical="center" wrapText="1"/>
    </xf>
    <xf numFmtId="2" fontId="4" fillId="2" borderId="30" xfId="3" applyNumberFormat="1" applyFont="1" applyFill="1" applyBorder="1" applyAlignment="1">
      <alignment horizontal="center" vertical="center"/>
    </xf>
    <xf numFmtId="165" fontId="6" fillId="2" borderId="7" xfId="1" applyNumberFormat="1" applyFont="1" applyFill="1" applyBorder="1" applyAlignment="1">
      <alignment horizontal="center" vertical="center" wrapText="1"/>
    </xf>
    <xf numFmtId="165" fontId="4" fillId="2" borderId="30" xfId="1" applyNumberFormat="1" applyFont="1" applyFill="1" applyBorder="1" applyAlignment="1">
      <alignment horizontal="center" vertical="center"/>
    </xf>
    <xf numFmtId="165" fontId="6" fillId="2" borderId="29" xfId="1" applyNumberFormat="1" applyFont="1" applyFill="1" applyBorder="1" applyAlignment="1">
      <alignment horizontal="center" vertical="center"/>
    </xf>
    <xf numFmtId="165" fontId="6" fillId="2" borderId="7" xfId="1" applyNumberFormat="1" applyFont="1" applyFill="1" applyBorder="1" applyAlignment="1">
      <alignment horizontal="center" vertical="center"/>
    </xf>
    <xf numFmtId="165" fontId="6" fillId="2" borderId="3" xfId="4" applyNumberFormat="1" applyFont="1" applyFill="1" applyBorder="1" applyAlignment="1">
      <alignment horizontal="center" vertical="center" wrapText="1"/>
    </xf>
    <xf numFmtId="165" fontId="4" fillId="2" borderId="0" xfId="2" applyNumberFormat="1" applyFont="1" applyFill="1" applyBorder="1" applyAlignment="1">
      <alignment horizontal="center" vertical="center" wrapText="1"/>
    </xf>
    <xf numFmtId="165" fontId="9" fillId="2" borderId="0" xfId="0" applyNumberFormat="1" applyFont="1" applyFill="1" applyBorder="1" applyAlignment="1">
      <alignment horizontal="center" vertical="center"/>
    </xf>
    <xf numFmtId="0" fontId="6" fillId="0" borderId="4" xfId="25" applyFont="1" applyFill="1" applyBorder="1" applyAlignment="1">
      <alignment horizontal="center" vertical="center" wrapText="1"/>
    </xf>
    <xf numFmtId="0" fontId="6" fillId="0" borderId="3" xfId="25" applyFont="1" applyFill="1" applyBorder="1" applyAlignment="1">
      <alignment horizontal="center" vertical="center" wrapText="1"/>
    </xf>
    <xf numFmtId="0" fontId="6" fillId="0" borderId="20" xfId="25" applyFont="1" applyFill="1" applyBorder="1" applyAlignment="1">
      <alignment horizontal="center" vertical="center" wrapText="1"/>
    </xf>
    <xf numFmtId="170" fontId="6" fillId="2" borderId="3" xfId="25" applyNumberFormat="1" applyFont="1" applyFill="1" applyBorder="1" applyAlignment="1">
      <alignment horizontal="center" vertical="center" wrapText="1"/>
    </xf>
    <xf numFmtId="165" fontId="6" fillId="2" borderId="3" xfId="25" applyNumberFormat="1" applyFont="1" applyFill="1" applyBorder="1" applyAlignment="1">
      <alignment horizontal="center" vertical="center" wrapText="1"/>
    </xf>
    <xf numFmtId="165" fontId="6" fillId="2" borderId="20" xfId="25" applyNumberFormat="1" applyFont="1" applyFill="1" applyBorder="1" applyAlignment="1">
      <alignment horizontal="center" vertical="center" wrapText="1"/>
    </xf>
    <xf numFmtId="165" fontId="32" fillId="0" borderId="0" xfId="0" applyNumberFormat="1" applyFont="1" applyFill="1" applyAlignment="1">
      <alignment horizontal="left" vertical="center" wrapText="1"/>
    </xf>
    <xf numFmtId="165" fontId="32" fillId="0" borderId="7" xfId="0" applyNumberFormat="1" applyFont="1" applyFill="1" applyBorder="1" applyAlignment="1">
      <alignment vertical="center" wrapText="1"/>
    </xf>
    <xf numFmtId="165" fontId="33" fillId="0" borderId="7" xfId="0" applyNumberFormat="1" applyFont="1" applyFill="1" applyBorder="1" applyAlignment="1">
      <alignment horizontal="center" vertical="center" wrapText="1"/>
    </xf>
    <xf numFmtId="0" fontId="33" fillId="0" borderId="7" xfId="0" applyNumberFormat="1" applyFont="1" applyFill="1" applyBorder="1" applyAlignment="1">
      <alignment horizontal="center" vertical="center" wrapText="1"/>
    </xf>
    <xf numFmtId="0" fontId="33" fillId="0" borderId="0" xfId="0" applyFont="1" applyFill="1" applyAlignment="1">
      <alignment horizontal="center" vertical="center" wrapText="1"/>
    </xf>
    <xf numFmtId="166" fontId="33" fillId="0" borderId="7" xfId="0" applyNumberFormat="1" applyFont="1" applyFill="1" applyBorder="1" applyAlignment="1">
      <alignment horizontal="center" vertical="center" wrapText="1"/>
    </xf>
    <xf numFmtId="169" fontId="32" fillId="0" borderId="7" xfId="2" applyNumberFormat="1" applyFont="1" applyFill="1" applyBorder="1" applyAlignment="1">
      <alignment horizontal="center" vertical="center" wrapText="1"/>
    </xf>
    <xf numFmtId="2" fontId="32" fillId="0" borderId="7" xfId="2" applyNumberFormat="1" applyFont="1" applyFill="1" applyBorder="1" applyAlignment="1">
      <alignment horizontal="left" vertical="center" wrapText="1"/>
    </xf>
    <xf numFmtId="2" fontId="32" fillId="0" borderId="7" xfId="2" applyNumberFormat="1" applyFont="1" applyFill="1" applyBorder="1" applyAlignment="1">
      <alignment horizontal="center" vertical="center" wrapText="1"/>
    </xf>
    <xf numFmtId="2" fontId="32" fillId="0" borderId="7" xfId="0" applyNumberFormat="1" applyFont="1" applyFill="1" applyBorder="1" applyAlignment="1">
      <alignment horizontal="center" vertical="center" wrapText="1"/>
    </xf>
    <xf numFmtId="166" fontId="32" fillId="0" borderId="7" xfId="2" applyNumberFormat="1" applyFont="1" applyFill="1" applyBorder="1" applyAlignment="1">
      <alignment horizontal="center" vertical="center" wrapText="1"/>
    </xf>
    <xf numFmtId="0" fontId="34" fillId="0" borderId="7" xfId="0" applyFont="1" applyFill="1" applyBorder="1" applyAlignment="1">
      <alignment horizontal="left" vertical="center" wrapText="1"/>
    </xf>
    <xf numFmtId="0" fontId="32" fillId="0" borderId="7" xfId="2" applyNumberFormat="1" applyFont="1" applyFill="1" applyBorder="1" applyAlignment="1">
      <alignment horizontal="center" vertical="center" wrapText="1"/>
    </xf>
    <xf numFmtId="0" fontId="32" fillId="0" borderId="0" xfId="0" applyFont="1" applyFill="1" applyAlignment="1">
      <alignment horizontal="left" vertical="center" wrapText="1"/>
    </xf>
    <xf numFmtId="168" fontId="32" fillId="0" borderId="7" xfId="0" applyNumberFormat="1" applyFont="1" applyFill="1" applyBorder="1" applyAlignment="1">
      <alignment horizontal="center" vertical="center" wrapText="1"/>
    </xf>
    <xf numFmtId="2" fontId="32" fillId="0" borderId="7" xfId="32" applyNumberFormat="1" applyFont="1" applyFill="1" applyBorder="1" applyAlignment="1">
      <alignment horizontal="center" vertical="center" wrapText="1"/>
    </xf>
    <xf numFmtId="0" fontId="32" fillId="0" borderId="7" xfId="0" applyFont="1" applyFill="1" applyBorder="1" applyAlignment="1">
      <alignment horizontal="center" vertical="center" wrapText="1"/>
    </xf>
    <xf numFmtId="2" fontId="32" fillId="0" borderId="0" xfId="0" applyNumberFormat="1" applyFont="1" applyFill="1" applyAlignment="1">
      <alignment horizontal="left" vertical="center" wrapText="1"/>
    </xf>
    <xf numFmtId="169" fontId="32" fillId="0" borderId="7" xfId="0" applyNumberFormat="1" applyFont="1" applyFill="1" applyBorder="1" applyAlignment="1">
      <alignment horizontal="center" vertical="center" wrapText="1"/>
    </xf>
    <xf numFmtId="2" fontId="33" fillId="0" borderId="7" xfId="2" applyNumberFormat="1" applyFont="1" applyFill="1" applyBorder="1" applyAlignment="1">
      <alignment horizontal="left" vertical="center" wrapText="1"/>
    </xf>
    <xf numFmtId="0" fontId="36" fillId="0" borderId="0" xfId="0" applyFont="1" applyFill="1" applyAlignment="1">
      <alignment horizontal="left" vertical="center" wrapText="1"/>
    </xf>
    <xf numFmtId="0" fontId="32" fillId="4" borderId="7" xfId="2" applyNumberFormat="1" applyFont="1" applyFill="1" applyBorder="1" applyAlignment="1">
      <alignment horizontal="center" vertical="center" wrapText="1"/>
    </xf>
    <xf numFmtId="2" fontId="33" fillId="0" borderId="7" xfId="2" applyNumberFormat="1" applyFont="1" applyFill="1" applyBorder="1" applyAlignment="1">
      <alignment horizontal="center" vertical="center" wrapText="1"/>
    </xf>
    <xf numFmtId="2" fontId="33" fillId="0" borderId="7" xfId="2" applyNumberFormat="1" applyFont="1" applyFill="1" applyBorder="1" applyAlignment="1">
      <alignment horizontal="right" vertical="center" wrapText="1"/>
    </xf>
    <xf numFmtId="166" fontId="33" fillId="0" borderId="7" xfId="2" applyNumberFormat="1" applyFont="1" applyFill="1" applyBorder="1" applyAlignment="1">
      <alignment horizontal="center" vertical="center" wrapText="1"/>
    </xf>
    <xf numFmtId="0" fontId="33" fillId="0" borderId="7" xfId="2" applyNumberFormat="1" applyFont="1" applyFill="1" applyBorder="1" applyAlignment="1">
      <alignment horizontal="center" vertical="center" wrapText="1"/>
    </xf>
    <xf numFmtId="166" fontId="33" fillId="0" borderId="12" xfId="2" applyNumberFormat="1" applyFont="1" applyFill="1" applyBorder="1" applyAlignment="1">
      <alignment horizontal="center" vertical="center" wrapText="1"/>
    </xf>
    <xf numFmtId="0" fontId="33" fillId="0" borderId="12" xfId="2" applyNumberFormat="1" applyFont="1" applyFill="1" applyBorder="1" applyAlignment="1">
      <alignment horizontal="center" vertical="center" wrapText="1"/>
    </xf>
    <xf numFmtId="2" fontId="32" fillId="0" borderId="7" xfId="2" applyNumberFormat="1" applyFont="1" applyFill="1" applyBorder="1" applyAlignment="1">
      <alignment horizontal="right" vertical="center" wrapText="1"/>
    </xf>
    <xf numFmtId="2" fontId="33" fillId="0" borderId="11" xfId="2" applyNumberFormat="1" applyFont="1" applyFill="1" applyBorder="1" applyAlignment="1">
      <alignment horizontal="center" vertical="center" wrapText="1"/>
    </xf>
    <xf numFmtId="2" fontId="33" fillId="0" borderId="12" xfId="2" applyNumberFormat="1" applyFont="1" applyFill="1" applyBorder="1" applyAlignment="1">
      <alignment horizontal="center" vertical="center" wrapText="1"/>
    </xf>
    <xf numFmtId="166" fontId="32" fillId="0" borderId="12" xfId="2" applyNumberFormat="1" applyFont="1" applyFill="1" applyBorder="1" applyAlignment="1">
      <alignment horizontal="center" vertical="center" wrapText="1"/>
    </xf>
    <xf numFmtId="2" fontId="32" fillId="0" borderId="8" xfId="2" applyNumberFormat="1" applyFont="1" applyFill="1" applyBorder="1" applyAlignment="1">
      <alignment horizontal="center" vertical="center" wrapText="1"/>
    </xf>
    <xf numFmtId="0" fontId="32" fillId="0" borderId="12" xfId="2" applyNumberFormat="1" applyFont="1" applyFill="1" applyBorder="1" applyAlignment="1">
      <alignment horizontal="center" vertical="center" wrapText="1"/>
    </xf>
    <xf numFmtId="169" fontId="32" fillId="0" borderId="0" xfId="0" applyNumberFormat="1" applyFont="1" applyFill="1" applyAlignment="1">
      <alignment horizontal="center" vertical="center" wrapText="1"/>
    </xf>
    <xf numFmtId="0" fontId="32" fillId="0" borderId="0" xfId="0" applyFont="1" applyFill="1" applyAlignment="1">
      <alignment horizontal="center" vertical="center" wrapText="1"/>
    </xf>
    <xf numFmtId="2" fontId="32" fillId="0" borderId="0" xfId="0" applyNumberFormat="1" applyFont="1" applyFill="1" applyAlignment="1">
      <alignment horizontal="center" vertical="center" wrapText="1"/>
    </xf>
    <xf numFmtId="166" fontId="32" fillId="0" borderId="0" xfId="0" applyNumberFormat="1" applyFont="1" applyFill="1" applyAlignment="1">
      <alignment horizontal="center" vertical="center" wrapText="1"/>
    </xf>
    <xf numFmtId="0" fontId="32" fillId="0" borderId="0" xfId="0" applyNumberFormat="1" applyFont="1" applyFill="1" applyAlignment="1">
      <alignment horizontal="center" vertical="center" wrapText="1"/>
    </xf>
    <xf numFmtId="2" fontId="32" fillId="0" borderId="0" xfId="0" applyNumberFormat="1" applyFont="1" applyFill="1" applyBorder="1" applyAlignment="1">
      <alignment vertical="center" wrapText="1"/>
    </xf>
    <xf numFmtId="2" fontId="32" fillId="0" borderId="12" xfId="2" applyNumberFormat="1" applyFont="1" applyFill="1" applyBorder="1" applyAlignment="1">
      <alignment vertical="center" wrapText="1"/>
    </xf>
    <xf numFmtId="2" fontId="32" fillId="0" borderId="8" xfId="2" applyNumberFormat="1" applyFont="1" applyFill="1" applyBorder="1" applyAlignment="1">
      <alignment vertical="center" wrapText="1"/>
    </xf>
    <xf numFmtId="2" fontId="33" fillId="0" borderId="0" xfId="0" applyNumberFormat="1" applyFont="1" applyFill="1" applyBorder="1" applyAlignment="1">
      <alignment horizontal="right" vertical="center" wrapText="1"/>
    </xf>
    <xf numFmtId="0" fontId="36" fillId="0" borderId="0" xfId="0" applyNumberFormat="1" applyFont="1" applyFill="1" applyAlignment="1">
      <alignment horizontal="center" vertical="center" wrapText="1"/>
    </xf>
    <xf numFmtId="10" fontId="36" fillId="0" borderId="0" xfId="0" applyNumberFormat="1" applyFont="1" applyFill="1" applyAlignment="1">
      <alignment horizontal="left" vertical="center" wrapText="1"/>
    </xf>
    <xf numFmtId="166" fontId="32" fillId="0" borderId="7"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2" fillId="0" borderId="7" xfId="0" applyNumberFormat="1" applyFont="1" applyFill="1" applyBorder="1" applyAlignment="1">
      <alignment horizontal="center" vertical="center" wrapText="1"/>
    </xf>
    <xf numFmtId="2" fontId="37" fillId="2" borderId="30" xfId="3" applyNumberFormat="1" applyFont="1" applyFill="1" applyBorder="1" applyAlignment="1">
      <alignment horizontal="center" vertical="center"/>
    </xf>
    <xf numFmtId="165" fontId="38" fillId="0" borderId="7" xfId="0" applyNumberFormat="1" applyFont="1" applyFill="1" applyBorder="1" applyAlignment="1">
      <alignment horizontal="center" vertical="center" wrapText="1"/>
    </xf>
    <xf numFmtId="2" fontId="37" fillId="0" borderId="7" xfId="2" applyNumberFormat="1" applyFont="1" applyFill="1" applyBorder="1" applyAlignment="1">
      <alignment horizontal="center" vertical="center" wrapText="1"/>
    </xf>
    <xf numFmtId="2" fontId="37" fillId="2" borderId="3" xfId="3" applyNumberFormat="1" applyFont="1" applyFill="1" applyBorder="1" applyAlignment="1">
      <alignment horizontal="center" vertical="center"/>
    </xf>
    <xf numFmtId="2" fontId="38" fillId="0" borderId="7" xfId="2" applyNumberFormat="1" applyFont="1" applyFill="1" applyBorder="1" applyAlignment="1">
      <alignment horizontal="center" vertical="center" wrapText="1"/>
    </xf>
    <xf numFmtId="0" fontId="37" fillId="0" borderId="0" xfId="0" applyFont="1" applyFill="1" applyAlignment="1">
      <alignment horizontal="center" vertical="center" wrapText="1"/>
    </xf>
    <xf numFmtId="2" fontId="37" fillId="0" borderId="0" xfId="0" applyNumberFormat="1" applyFont="1" applyFill="1" applyAlignment="1">
      <alignment horizontal="center" vertical="center" wrapText="1"/>
    </xf>
    <xf numFmtId="2" fontId="37" fillId="0" borderId="3" xfId="3" applyNumberFormat="1" applyFont="1" applyFill="1" applyBorder="1" applyAlignment="1">
      <alignment horizontal="center" vertical="center"/>
    </xf>
    <xf numFmtId="165" fontId="6" fillId="2" borderId="22" xfId="26" applyFont="1" applyFill="1" applyBorder="1" applyAlignment="1">
      <alignment horizontal="center" vertical="center" wrapText="1"/>
    </xf>
    <xf numFmtId="0" fontId="6" fillId="2" borderId="4" xfId="25" applyFont="1" applyFill="1" applyBorder="1" applyAlignment="1">
      <alignment horizontal="center" vertical="center" wrapText="1"/>
    </xf>
    <xf numFmtId="165" fontId="6" fillId="2" borderId="3" xfId="25" applyNumberFormat="1" applyFont="1" applyFill="1" applyBorder="1" applyAlignment="1">
      <alignment horizontal="center" vertical="center" wrapText="1"/>
    </xf>
    <xf numFmtId="170" fontId="6" fillId="2" borderId="29" xfId="25" applyNumberFormat="1" applyFont="1" applyFill="1" applyBorder="1" applyAlignment="1">
      <alignment horizontal="center" vertical="center" wrapText="1"/>
    </xf>
    <xf numFmtId="0" fontId="6" fillId="2" borderId="32" xfId="25" applyFont="1" applyFill="1" applyBorder="1" applyAlignment="1">
      <alignment horizontal="center" vertical="center" wrapText="1"/>
    </xf>
    <xf numFmtId="0" fontId="6" fillId="2" borderId="7" xfId="25" applyFont="1" applyFill="1" applyBorder="1" applyAlignment="1">
      <alignment horizontal="center" vertical="center" wrapText="1"/>
    </xf>
    <xf numFmtId="0" fontId="6" fillId="2" borderId="33" xfId="25" applyFont="1" applyFill="1" applyBorder="1" applyAlignment="1">
      <alignment horizontal="center" vertical="center" wrapText="1"/>
    </xf>
    <xf numFmtId="0" fontId="6" fillId="2" borderId="8" xfId="25" applyFont="1" applyFill="1" applyBorder="1" applyAlignment="1">
      <alignment horizontal="center" vertical="center" wrapText="1"/>
    </xf>
    <xf numFmtId="0" fontId="40" fillId="0" borderId="7" xfId="33" applyFont="1" applyBorder="1" applyAlignment="1">
      <alignment horizontal="center" vertical="center"/>
    </xf>
    <xf numFmtId="0" fontId="4" fillId="0" borderId="7" xfId="10" applyFont="1" applyBorder="1" applyAlignment="1">
      <alignment horizontal="justify" vertical="center" wrapText="1"/>
    </xf>
    <xf numFmtId="0" fontId="6" fillId="0" borderId="31" xfId="10" applyFont="1" applyBorder="1" applyAlignment="1">
      <alignment horizontal="center" vertical="center"/>
    </xf>
    <xf numFmtId="165" fontId="6" fillId="0" borderId="0" xfId="26" applyFont="1" applyFill="1" applyBorder="1" applyAlignment="1">
      <alignment vertical="center"/>
    </xf>
    <xf numFmtId="0" fontId="6" fillId="0" borderId="4" xfId="28" applyFont="1" applyFill="1" applyBorder="1" applyAlignment="1">
      <alignment horizontal="center" vertical="center" wrapText="1"/>
    </xf>
    <xf numFmtId="0" fontId="7" fillId="0" borderId="4" xfId="26" applyNumberFormat="1" applyFont="1" applyFill="1" applyBorder="1" applyAlignment="1">
      <alignment vertical="top"/>
    </xf>
    <xf numFmtId="0" fontId="6" fillId="0" borderId="0" xfId="26" applyNumberFormat="1" applyFont="1" applyFill="1" applyBorder="1" applyAlignment="1">
      <alignment horizontal="left" vertical="center"/>
    </xf>
    <xf numFmtId="0" fontId="4" fillId="0" borderId="3" xfId="26" applyNumberFormat="1" applyFont="1" applyFill="1" applyBorder="1" applyAlignment="1">
      <alignment horizontal="justify"/>
    </xf>
    <xf numFmtId="2" fontId="6" fillId="0" borderId="4" xfId="25" applyNumberFormat="1" applyFont="1" applyFill="1" applyBorder="1" applyAlignment="1">
      <alignment horizontal="center" vertical="center" wrapText="1"/>
    </xf>
    <xf numFmtId="165" fontId="6" fillId="2" borderId="25" xfId="26" applyFont="1" applyFill="1" applyBorder="1" applyAlignment="1">
      <alignment horizontal="center" vertical="center"/>
    </xf>
    <xf numFmtId="165" fontId="6" fillId="2" borderId="22" xfId="26" applyFont="1" applyFill="1" applyBorder="1" applyAlignment="1">
      <alignment horizontal="center" vertical="center"/>
    </xf>
    <xf numFmtId="0" fontId="6" fillId="0" borderId="22" xfId="28" applyFont="1" applyFill="1" applyBorder="1" applyAlignment="1">
      <alignment vertical="center"/>
    </xf>
    <xf numFmtId="165" fontId="6" fillId="5" borderId="0" xfId="26" applyFont="1" applyFill="1" applyBorder="1" applyAlignment="1">
      <alignment vertical="center"/>
    </xf>
    <xf numFmtId="2" fontId="28" fillId="0" borderId="0" xfId="28" applyNumberFormat="1" applyFont="1" applyFill="1" applyBorder="1" applyAlignment="1">
      <alignment horizontal="center" vertical="center" wrapText="1"/>
    </xf>
    <xf numFmtId="0" fontId="6" fillId="0" borderId="0" xfId="25" applyFont="1" applyFill="1" applyBorder="1" applyAlignment="1">
      <alignment horizontal="center" vertical="center" wrapText="1"/>
    </xf>
    <xf numFmtId="0" fontId="11" fillId="0" borderId="0" xfId="26" applyNumberFormat="1" applyFont="1" applyFill="1" applyBorder="1" applyAlignment="1">
      <alignment vertical="top" wrapText="1"/>
    </xf>
    <xf numFmtId="0" fontId="6" fillId="4" borderId="4" xfId="25" applyFont="1" applyFill="1" applyBorder="1" applyAlignment="1">
      <alignment horizontal="center" vertical="center" wrapText="1"/>
    </xf>
    <xf numFmtId="165" fontId="6" fillId="2" borderId="22" xfId="26" applyFont="1" applyFill="1" applyBorder="1" applyAlignment="1">
      <alignment horizontal="center" vertical="center" wrapText="1"/>
    </xf>
    <xf numFmtId="170" fontId="6" fillId="2" borderId="3" xfId="25" applyNumberFormat="1" applyFont="1" applyFill="1" applyBorder="1" applyAlignment="1">
      <alignment horizontal="center" vertical="center" wrapText="1"/>
    </xf>
    <xf numFmtId="165" fontId="6" fillId="2" borderId="3" xfId="25" applyNumberFormat="1" applyFont="1" applyFill="1" applyBorder="1" applyAlignment="1">
      <alignment horizontal="center" vertical="center" wrapText="1"/>
    </xf>
    <xf numFmtId="165" fontId="6" fillId="2" borderId="20" xfId="25" applyNumberFormat="1" applyFont="1" applyFill="1" applyBorder="1" applyAlignment="1">
      <alignment horizontal="center" vertical="center" wrapText="1"/>
    </xf>
    <xf numFmtId="0" fontId="6" fillId="2" borderId="4" xfId="25" applyFont="1" applyFill="1" applyBorder="1" applyAlignment="1">
      <alignment horizontal="center" vertical="center" wrapText="1"/>
    </xf>
    <xf numFmtId="165" fontId="4" fillId="2" borderId="20" xfId="25" applyNumberFormat="1" applyFont="1" applyFill="1" applyBorder="1" applyAlignment="1">
      <alignment horizontal="center" vertical="center" wrapText="1"/>
    </xf>
    <xf numFmtId="167" fontId="4" fillId="2" borderId="3" xfId="25" applyNumberFormat="1" applyFont="1" applyFill="1" applyBorder="1" applyAlignment="1">
      <alignment horizontal="center" vertical="center" wrapText="1"/>
    </xf>
    <xf numFmtId="173" fontId="4" fillId="0" borderId="3" xfId="25" applyNumberFormat="1" applyFont="1" applyFill="1" applyBorder="1" applyAlignment="1">
      <alignment horizontal="center" vertical="center" wrapText="1"/>
    </xf>
    <xf numFmtId="165" fontId="6" fillId="2" borderId="22" xfId="26" applyFont="1" applyFill="1" applyBorder="1" applyAlignment="1">
      <alignment horizontal="center" vertical="center" wrapText="1"/>
    </xf>
    <xf numFmtId="0" fontId="6" fillId="2" borderId="4" xfId="25" applyFont="1" applyFill="1" applyBorder="1" applyAlignment="1">
      <alignment horizontal="center" vertical="center" wrapText="1"/>
    </xf>
    <xf numFmtId="170" fontId="6" fillId="2" borderId="3" xfId="25" applyNumberFormat="1" applyFont="1" applyFill="1" applyBorder="1" applyAlignment="1">
      <alignment horizontal="center" vertical="center" wrapText="1"/>
    </xf>
    <xf numFmtId="165" fontId="6" fillId="2" borderId="3" xfId="25" applyNumberFormat="1" applyFont="1" applyFill="1" applyBorder="1" applyAlignment="1">
      <alignment horizontal="center" vertical="center" wrapText="1"/>
    </xf>
    <xf numFmtId="165" fontId="6" fillId="2" borderId="20" xfId="25" applyNumberFormat="1" applyFont="1" applyFill="1" applyBorder="1" applyAlignment="1">
      <alignment horizontal="center" vertical="center" wrapText="1"/>
    </xf>
    <xf numFmtId="0" fontId="4" fillId="4" borderId="7" xfId="10" applyFont="1" applyFill="1" applyBorder="1" applyAlignment="1">
      <alignment horizontal="justify" vertical="center" wrapText="1"/>
    </xf>
    <xf numFmtId="170" fontId="4" fillId="4" borderId="3" xfId="25" applyNumberFormat="1" applyFont="1" applyFill="1" applyBorder="1" applyAlignment="1">
      <alignment horizontal="center" vertical="center" wrapText="1"/>
    </xf>
    <xf numFmtId="165" fontId="4" fillId="4" borderId="3" xfId="25" applyNumberFormat="1" applyFont="1" applyFill="1" applyBorder="1" applyAlignment="1">
      <alignment horizontal="center" vertical="center" wrapText="1"/>
    </xf>
    <xf numFmtId="165" fontId="6" fillId="4" borderId="20" xfId="25" applyNumberFormat="1" applyFont="1" applyFill="1" applyBorder="1" applyAlignment="1">
      <alignment vertical="center" wrapText="1"/>
    </xf>
    <xf numFmtId="165" fontId="6" fillId="4" borderId="22" xfId="26" applyFont="1" applyFill="1" applyBorder="1" applyAlignment="1">
      <alignment vertical="center"/>
    </xf>
    <xf numFmtId="165" fontId="4" fillId="4" borderId="0" xfId="26" applyFont="1" applyFill="1" applyBorder="1" applyAlignment="1">
      <alignment vertical="center"/>
    </xf>
    <xf numFmtId="0" fontId="4" fillId="0" borderId="3" xfId="25" applyFont="1" applyFill="1" applyBorder="1" applyAlignment="1">
      <alignment horizontal="right" vertical="center" wrapText="1"/>
    </xf>
    <xf numFmtId="2" fontId="18" fillId="0" borderId="3" xfId="28" applyNumberFormat="1" applyFont="1" applyFill="1" applyBorder="1" applyAlignment="1">
      <alignment horizontal="center" vertical="center" wrapText="1"/>
    </xf>
    <xf numFmtId="0" fontId="6" fillId="6" borderId="4" xfId="25" applyFont="1" applyFill="1" applyBorder="1" applyAlignment="1">
      <alignment horizontal="center" vertical="center" wrapText="1"/>
    </xf>
    <xf numFmtId="167" fontId="11" fillId="0" borderId="3" xfId="25" applyNumberFormat="1" applyFont="1" applyFill="1" applyBorder="1" applyAlignment="1">
      <alignment horizontal="center" vertical="center" wrapText="1"/>
    </xf>
    <xf numFmtId="172" fontId="4" fillId="2" borderId="3" xfId="26" applyNumberFormat="1" applyFont="1" applyFill="1" applyBorder="1" applyAlignment="1">
      <alignment vertical="center"/>
    </xf>
    <xf numFmtId="2" fontId="4" fillId="0" borderId="7" xfId="2" applyNumberFormat="1" applyFont="1" applyFill="1" applyBorder="1" applyAlignment="1">
      <alignment horizontal="left" vertical="center" wrapText="1"/>
    </xf>
    <xf numFmtId="169" fontId="4" fillId="0" borderId="7" xfId="2" applyNumberFormat="1" applyFont="1" applyFill="1" applyBorder="1" applyAlignment="1">
      <alignment horizontal="center" vertical="center" wrapText="1"/>
    </xf>
    <xf numFmtId="2" fontId="41" fillId="0" borderId="7" xfId="2" applyNumberFormat="1" applyFont="1" applyFill="1" applyBorder="1" applyAlignment="1">
      <alignment horizontal="left" vertical="center" wrapText="1"/>
    </xf>
    <xf numFmtId="169" fontId="4" fillId="0" borderId="34" xfId="2" applyNumberFormat="1" applyFont="1" applyFill="1" applyBorder="1" applyAlignment="1">
      <alignment horizontal="center" vertical="center" wrapText="1"/>
    </xf>
    <xf numFmtId="2" fontId="4" fillId="0" borderId="0" xfId="2" applyNumberFormat="1" applyFont="1" applyFill="1" applyBorder="1" applyAlignment="1">
      <alignment horizontal="left" vertical="center" wrapText="1"/>
    </xf>
    <xf numFmtId="0" fontId="4" fillId="2" borderId="8" xfId="25" applyFont="1" applyFill="1" applyBorder="1" applyAlignment="1">
      <alignment horizontal="center" vertical="center" wrapText="1"/>
    </xf>
    <xf numFmtId="0" fontId="40" fillId="0" borderId="0" xfId="33" applyFont="1" applyBorder="1" applyAlignment="1">
      <alignment horizontal="center" vertical="center"/>
    </xf>
    <xf numFmtId="165" fontId="6" fillId="2" borderId="22" xfId="26" applyFont="1" applyFill="1" applyBorder="1" applyAlignment="1">
      <alignment horizontal="center" vertical="center" wrapText="1"/>
    </xf>
    <xf numFmtId="0" fontId="6" fillId="2" borderId="4" xfId="25" applyFont="1" applyFill="1" applyBorder="1" applyAlignment="1">
      <alignment horizontal="center" vertical="center" wrapText="1"/>
    </xf>
    <xf numFmtId="170" fontId="6" fillId="2" borderId="3" xfId="25" applyNumberFormat="1" applyFont="1" applyFill="1" applyBorder="1" applyAlignment="1">
      <alignment horizontal="center" vertical="center" wrapText="1"/>
    </xf>
    <xf numFmtId="165" fontId="6" fillId="2" borderId="3" xfId="25" applyNumberFormat="1" applyFont="1" applyFill="1" applyBorder="1" applyAlignment="1">
      <alignment horizontal="center" vertical="center" wrapText="1"/>
    </xf>
    <xf numFmtId="165" fontId="6" fillId="2" borderId="20" xfId="25" applyNumberFormat="1"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3" xfId="0" applyFont="1" applyFill="1" applyBorder="1" applyAlignment="1">
      <alignment horizontal="left" vertical="center" wrapText="1"/>
    </xf>
    <xf numFmtId="0" fontId="4" fillId="0" borderId="10" xfId="23" applyFont="1" applyFill="1" applyBorder="1" applyAlignment="1">
      <alignment horizontal="left" vertical="center" wrapText="1"/>
    </xf>
    <xf numFmtId="0" fontId="4" fillId="0" borderId="17" xfId="22" applyFont="1" applyFill="1" applyBorder="1" applyAlignment="1">
      <alignment horizontal="center"/>
    </xf>
    <xf numFmtId="0" fontId="4" fillId="0" borderId="3" xfId="23" applyFont="1" applyFill="1" applyBorder="1" applyAlignment="1">
      <alignment horizontal="center" vertical="center"/>
    </xf>
    <xf numFmtId="1" fontId="4" fillId="0" borderId="3" xfId="23" applyNumberFormat="1" applyFont="1" applyFill="1" applyBorder="1" applyAlignment="1">
      <alignment horizontal="center" vertical="center"/>
    </xf>
    <xf numFmtId="2" fontId="4" fillId="0" borderId="3" xfId="23" applyNumberFormat="1" applyFont="1" applyFill="1" applyBorder="1" applyAlignment="1">
      <alignment horizontal="center" vertical="center"/>
    </xf>
    <xf numFmtId="0" fontId="4" fillId="0" borderId="3" xfId="23" applyFont="1" applyFill="1" applyBorder="1" applyAlignment="1">
      <alignment vertical="center"/>
    </xf>
    <xf numFmtId="2" fontId="4" fillId="0" borderId="3" xfId="23" applyNumberFormat="1" applyFont="1" applyFill="1" applyBorder="1" applyAlignment="1">
      <alignment horizontal="center" vertical="center" wrapText="1"/>
    </xf>
    <xf numFmtId="168" fontId="4" fillId="0" borderId="3" xfId="0" applyNumberFormat="1" applyFont="1" applyFill="1" applyBorder="1" applyAlignment="1">
      <alignment horizontal="center" vertical="center" shrinkToFit="1"/>
    </xf>
    <xf numFmtId="168" fontId="4" fillId="0" borderId="3" xfId="23" applyNumberFormat="1" applyFont="1" applyFill="1" applyBorder="1" applyAlignment="1">
      <alignment horizontal="center" vertical="center" shrinkToFit="1"/>
    </xf>
    <xf numFmtId="168" fontId="4" fillId="0" borderId="18" xfId="0" applyNumberFormat="1" applyFont="1" applyFill="1" applyBorder="1" applyAlignment="1">
      <alignment horizontal="center" vertical="center" wrapText="1" shrinkToFit="1"/>
    </xf>
    <xf numFmtId="0" fontId="4" fillId="0" borderId="0" xfId="23" applyFont="1" applyFill="1" applyAlignment="1">
      <alignment vertical="center"/>
    </xf>
    <xf numFmtId="0" fontId="6" fillId="0" borderId="3" xfId="0" applyFont="1" applyFill="1" applyBorder="1" applyAlignment="1">
      <alignment horizontal="left" vertical="center" wrapText="1"/>
    </xf>
    <xf numFmtId="2" fontId="4" fillId="0" borderId="3" xfId="0" applyNumberFormat="1" applyFont="1" applyFill="1" applyBorder="1" applyAlignment="1">
      <alignment horizontal="center" vertical="center" shrinkToFit="1"/>
    </xf>
    <xf numFmtId="168" fontId="6" fillId="2" borderId="18" xfId="0" applyNumberFormat="1" applyFont="1" applyFill="1" applyBorder="1" applyAlignment="1">
      <alignment horizontal="center" vertical="center" wrapText="1" shrinkToFit="1"/>
    </xf>
    <xf numFmtId="168" fontId="32" fillId="0" borderId="7" xfId="2" applyNumberFormat="1" applyFont="1" applyFill="1" applyBorder="1" applyAlignment="1">
      <alignment horizontal="center" vertical="center" wrapText="1"/>
    </xf>
    <xf numFmtId="168" fontId="37" fillId="0" borderId="3" xfId="3" applyNumberFormat="1" applyFont="1" applyFill="1" applyBorder="1" applyAlignment="1">
      <alignment horizontal="center" vertical="center"/>
    </xf>
    <xf numFmtId="0" fontId="40" fillId="0" borderId="7" xfId="33" applyFont="1" applyFill="1" applyBorder="1" applyAlignment="1">
      <alignment horizontal="center" vertical="center"/>
    </xf>
    <xf numFmtId="0" fontId="42" fillId="0" borderId="7" xfId="33" applyFont="1" applyBorder="1" applyAlignment="1">
      <alignment horizontal="center" vertical="center"/>
    </xf>
    <xf numFmtId="0" fontId="4" fillId="0" borderId="31" xfId="10" applyFont="1" applyBorder="1" applyAlignment="1">
      <alignment horizontal="center" vertical="center"/>
    </xf>
    <xf numFmtId="0" fontId="6" fillId="0" borderId="7" xfId="10" applyFont="1" applyBorder="1" applyAlignment="1">
      <alignment horizontal="justify" vertical="center" wrapText="1"/>
    </xf>
    <xf numFmtId="0" fontId="18" fillId="0" borderId="7" xfId="33" applyFont="1" applyBorder="1" applyAlignment="1">
      <alignment horizontal="center" vertical="center"/>
    </xf>
    <xf numFmtId="0" fontId="18" fillId="0" borderId="7" xfId="33" applyFont="1" applyBorder="1" applyAlignment="1">
      <alignment vertical="center"/>
    </xf>
    <xf numFmtId="2" fontId="28" fillId="0" borderId="7" xfId="33" applyNumberFormat="1" applyFont="1" applyBorder="1" applyAlignment="1">
      <alignment horizontal="center" vertical="center"/>
    </xf>
    <xf numFmtId="0" fontId="18" fillId="0" borderId="7" xfId="33" applyFont="1" applyFill="1" applyBorder="1" applyAlignment="1">
      <alignment horizontal="center" vertical="center"/>
    </xf>
    <xf numFmtId="2" fontId="18" fillId="0" borderId="7" xfId="33" applyNumberFormat="1" applyFont="1" applyFill="1" applyBorder="1" applyAlignment="1">
      <alignment horizontal="center" vertical="center"/>
    </xf>
    <xf numFmtId="2" fontId="28" fillId="0" borderId="7" xfId="33" applyNumberFormat="1" applyFont="1" applyFill="1" applyBorder="1" applyAlignment="1">
      <alignment horizontal="center" vertical="center"/>
    </xf>
    <xf numFmtId="0" fontId="6" fillId="0" borderId="7" xfId="18" applyFont="1" applyFill="1" applyBorder="1" applyAlignment="1">
      <alignment horizontal="center" vertical="center"/>
    </xf>
    <xf numFmtId="2" fontId="6" fillId="0" borderId="7" xfId="18" applyNumberFormat="1" applyFont="1" applyFill="1" applyBorder="1" applyAlignment="1">
      <alignment horizontal="left" vertical="center" wrapText="1"/>
    </xf>
    <xf numFmtId="2" fontId="4" fillId="0" borderId="7" xfId="18" applyNumberFormat="1" applyFont="1" applyFill="1" applyBorder="1" applyAlignment="1">
      <alignment horizontal="left" vertical="center" wrapText="1"/>
    </xf>
    <xf numFmtId="0" fontId="4" fillId="0" borderId="7" xfId="18" applyFont="1" applyFill="1" applyBorder="1" applyAlignment="1">
      <alignment horizontal="center" vertical="center" wrapText="1"/>
    </xf>
    <xf numFmtId="0" fontId="28" fillId="0" borderId="7" xfId="33" applyFont="1" applyFill="1" applyBorder="1" applyAlignment="1">
      <alignment horizontal="center" vertical="center"/>
    </xf>
    <xf numFmtId="2" fontId="32" fillId="4" borderId="0" xfId="0" applyNumberFormat="1" applyFont="1" applyFill="1" applyAlignment="1">
      <alignment horizontal="center" vertical="center" wrapText="1"/>
    </xf>
    <xf numFmtId="165" fontId="6" fillId="2" borderId="22" xfId="26" applyFont="1" applyFill="1" applyBorder="1" applyAlignment="1">
      <alignment horizontal="center" vertical="center" wrapText="1"/>
    </xf>
    <xf numFmtId="0" fontId="6" fillId="2" borderId="4" xfId="25" applyFont="1" applyFill="1" applyBorder="1" applyAlignment="1">
      <alignment horizontal="center" vertical="center" wrapText="1"/>
    </xf>
    <xf numFmtId="165" fontId="33" fillId="0" borderId="7" xfId="0" applyNumberFormat="1" applyFont="1" applyFill="1" applyBorder="1" applyAlignment="1">
      <alignment horizontal="center" vertical="center" wrapText="1"/>
    </xf>
    <xf numFmtId="0" fontId="32" fillId="0" borderId="0" xfId="0" applyFont="1" applyFill="1" applyAlignment="1">
      <alignment horizontal="center" vertical="center" wrapText="1"/>
    </xf>
    <xf numFmtId="2" fontId="33" fillId="0" borderId="11" xfId="2" applyNumberFormat="1" applyFont="1" applyFill="1" applyBorder="1" applyAlignment="1">
      <alignment horizontal="center" vertical="center" wrapText="1"/>
    </xf>
    <xf numFmtId="1" fontId="4" fillId="2" borderId="29" xfId="26" applyNumberFormat="1" applyFont="1" applyFill="1" applyBorder="1" applyAlignment="1">
      <alignment horizontal="center" vertical="center"/>
    </xf>
    <xf numFmtId="0" fontId="4" fillId="2" borderId="35" xfId="25" applyFont="1" applyFill="1" applyBorder="1" applyAlignment="1">
      <alignment horizontal="left" vertical="center" wrapText="1"/>
    </xf>
    <xf numFmtId="170" fontId="4" fillId="2" borderId="35" xfId="25" applyNumberFormat="1" applyFont="1" applyFill="1" applyBorder="1" applyAlignment="1">
      <alignment horizontal="center" vertical="center" wrapText="1"/>
    </xf>
    <xf numFmtId="0" fontId="4" fillId="2" borderId="7" xfId="25" applyFont="1" applyFill="1" applyBorder="1" applyAlignment="1">
      <alignment horizontal="left" vertical="center" wrapText="1"/>
    </xf>
    <xf numFmtId="170" fontId="4" fillId="2" borderId="7" xfId="25" applyNumberFormat="1" applyFont="1" applyFill="1" applyBorder="1" applyAlignment="1">
      <alignment horizontal="center" vertical="center" wrapText="1"/>
    </xf>
    <xf numFmtId="165" fontId="6" fillId="2" borderId="20" xfId="25" applyNumberFormat="1" applyFont="1" applyFill="1" applyBorder="1" applyAlignment="1">
      <alignment vertical="center" wrapText="1"/>
    </xf>
    <xf numFmtId="173" fontId="4" fillId="2" borderId="35" xfId="25" applyNumberFormat="1" applyFont="1" applyFill="1" applyBorder="1" applyAlignment="1">
      <alignment horizontal="center" vertical="center" wrapText="1"/>
    </xf>
    <xf numFmtId="165" fontId="6" fillId="2" borderId="20" xfId="25" applyNumberFormat="1" applyFont="1" applyFill="1" applyBorder="1" applyAlignment="1">
      <alignment horizontal="right" vertical="center" wrapText="1"/>
    </xf>
    <xf numFmtId="0" fontId="6" fillId="2" borderId="7" xfId="25" applyFont="1" applyFill="1" applyBorder="1" applyAlignment="1">
      <alignment horizontal="left" vertical="center" wrapText="1"/>
    </xf>
    <xf numFmtId="167" fontId="4" fillId="0" borderId="20" xfId="25" applyNumberFormat="1" applyFont="1" applyFill="1" applyBorder="1" applyAlignment="1">
      <alignment vertical="center" wrapText="1"/>
    </xf>
    <xf numFmtId="168" fontId="6" fillId="0" borderId="20" xfId="27" applyNumberFormat="1" applyFont="1" applyFill="1" applyBorder="1" applyAlignment="1">
      <alignment vertical="center" wrapText="1"/>
    </xf>
    <xf numFmtId="169" fontId="37" fillId="0" borderId="0" xfId="0" applyNumberFormat="1" applyFont="1" applyFill="1" applyAlignment="1">
      <alignment horizontal="center" vertical="center" wrapText="1"/>
    </xf>
    <xf numFmtId="165" fontId="6" fillId="2" borderId="22" xfId="26" applyFont="1" applyFill="1" applyBorder="1" applyAlignment="1">
      <alignment horizontal="center" vertical="center" wrapText="1"/>
    </xf>
    <xf numFmtId="0" fontId="32" fillId="0" borderId="0" xfId="0" applyFont="1" applyFill="1" applyAlignment="1">
      <alignment horizontal="center" vertical="center" wrapText="1"/>
    </xf>
    <xf numFmtId="2" fontId="4" fillId="0" borderId="22" xfId="28" applyNumberFormat="1" applyFont="1" applyFill="1" applyBorder="1" applyAlignment="1">
      <alignment horizontal="center" vertical="center" wrapText="1"/>
    </xf>
    <xf numFmtId="2" fontId="41" fillId="0" borderId="7" xfId="2" applyNumberFormat="1" applyFont="1" applyFill="1" applyBorder="1" applyAlignment="1">
      <alignment horizontal="left" vertical="top" wrapText="1"/>
    </xf>
    <xf numFmtId="165" fontId="6" fillId="0" borderId="0" xfId="26" applyFont="1" applyFill="1" applyBorder="1" applyAlignment="1">
      <alignment horizontal="right" vertical="center"/>
    </xf>
    <xf numFmtId="0" fontId="4" fillId="4" borderId="3" xfId="26" applyNumberFormat="1" applyFont="1" applyFill="1" applyBorder="1" applyAlignment="1">
      <alignment horizontal="justify" vertical="center" wrapText="1"/>
    </xf>
    <xf numFmtId="170" fontId="4" fillId="4" borderId="3" xfId="27" applyNumberFormat="1" applyFont="1" applyFill="1" applyBorder="1" applyAlignment="1">
      <alignment horizontal="center" vertical="center" wrapText="1"/>
    </xf>
    <xf numFmtId="165" fontId="4" fillId="4" borderId="3" xfId="27" applyNumberFormat="1" applyFont="1" applyFill="1" applyBorder="1" applyAlignment="1">
      <alignment horizontal="center" vertical="center" wrapText="1"/>
    </xf>
    <xf numFmtId="2" fontId="6" fillId="4" borderId="20" xfId="27" applyNumberFormat="1" applyFont="1" applyFill="1" applyBorder="1" applyAlignment="1">
      <alignment vertical="center" wrapText="1"/>
    </xf>
    <xf numFmtId="0" fontId="6" fillId="4" borderId="22" xfId="25" applyFont="1" applyFill="1" applyBorder="1" applyAlignment="1">
      <alignment vertical="center" wrapText="1"/>
    </xf>
    <xf numFmtId="0" fontId="6" fillId="4" borderId="4" xfId="25" applyFont="1" applyFill="1" applyBorder="1" applyAlignment="1">
      <alignment vertical="center" wrapText="1"/>
    </xf>
    <xf numFmtId="0" fontId="4" fillId="4" borderId="3" xfId="27" applyFont="1" applyFill="1" applyBorder="1" applyAlignment="1">
      <alignment vertical="center" wrapText="1"/>
    </xf>
    <xf numFmtId="165" fontId="4" fillId="4" borderId="20" xfId="25" applyNumberFormat="1" applyFont="1" applyFill="1" applyBorder="1" applyAlignment="1">
      <alignment vertical="center" wrapText="1"/>
    </xf>
    <xf numFmtId="0" fontId="4" fillId="4" borderId="3" xfId="26" applyNumberFormat="1" applyFont="1" applyFill="1" applyBorder="1" applyAlignment="1">
      <alignment vertical="center"/>
    </xf>
    <xf numFmtId="0" fontId="4" fillId="4" borderId="3" xfId="26" applyNumberFormat="1" applyFont="1" applyFill="1" applyBorder="1" applyAlignment="1">
      <alignment horizontal="center" vertical="center"/>
    </xf>
    <xf numFmtId="165" fontId="4" fillId="4" borderId="3" xfId="26" applyNumberFormat="1" applyFont="1" applyFill="1" applyBorder="1" applyAlignment="1">
      <alignment horizontal="center" vertical="center"/>
    </xf>
    <xf numFmtId="2" fontId="6" fillId="4" borderId="20" xfId="26" applyNumberFormat="1" applyFont="1" applyFill="1" applyBorder="1" applyAlignment="1">
      <alignment vertical="center"/>
    </xf>
    <xf numFmtId="0" fontId="6" fillId="4" borderId="3" xfId="25" applyFont="1" applyFill="1" applyBorder="1" applyAlignment="1">
      <alignment vertical="center" wrapText="1"/>
    </xf>
    <xf numFmtId="165" fontId="6" fillId="4" borderId="3" xfId="25" applyNumberFormat="1" applyFont="1" applyFill="1" applyBorder="1" applyAlignment="1">
      <alignment horizontal="center" vertical="center" wrapText="1"/>
    </xf>
    <xf numFmtId="0" fontId="4" fillId="4" borderId="0" xfId="25" applyFont="1" applyFill="1" applyBorder="1" applyAlignment="1">
      <alignment vertical="center" wrapText="1"/>
    </xf>
    <xf numFmtId="0" fontId="4" fillId="4" borderId="3" xfId="25" applyFont="1" applyFill="1" applyBorder="1" applyAlignment="1">
      <alignment vertical="center" wrapText="1"/>
    </xf>
    <xf numFmtId="0" fontId="4" fillId="4" borderId="3" xfId="25" applyFont="1" applyFill="1" applyBorder="1" applyAlignment="1">
      <alignment horizontal="left" vertical="center" wrapText="1"/>
    </xf>
    <xf numFmtId="2" fontId="32" fillId="4" borderId="7" xfId="0" applyNumberFormat="1" applyFont="1" applyFill="1" applyBorder="1" applyAlignment="1">
      <alignment horizontal="center" vertical="center" wrapText="1"/>
    </xf>
    <xf numFmtId="2" fontId="33" fillId="4" borderId="7" xfId="2" applyNumberFormat="1" applyFont="1" applyFill="1" applyBorder="1" applyAlignment="1">
      <alignment horizontal="right" vertical="center" wrapText="1"/>
    </xf>
    <xf numFmtId="2" fontId="33" fillId="4" borderId="7" xfId="2" applyNumberFormat="1" applyFont="1" applyFill="1" applyBorder="1" applyAlignment="1">
      <alignment horizontal="center" vertical="center" wrapText="1"/>
    </xf>
    <xf numFmtId="165" fontId="6" fillId="4" borderId="20" xfId="25" applyNumberFormat="1" applyFont="1" applyFill="1" applyBorder="1" applyAlignment="1">
      <alignment horizontal="right" vertical="center" wrapText="1"/>
    </xf>
    <xf numFmtId="165" fontId="6" fillId="4" borderId="20" xfId="25" applyNumberFormat="1" applyFont="1" applyFill="1" applyBorder="1" applyAlignment="1">
      <alignment horizontal="center" vertical="center" wrapText="1"/>
    </xf>
    <xf numFmtId="165" fontId="6" fillId="2" borderId="22" xfId="26" applyFont="1" applyFill="1" applyBorder="1" applyAlignment="1">
      <alignment horizontal="center" vertical="center" wrapText="1"/>
    </xf>
    <xf numFmtId="0" fontId="6" fillId="2" borderId="26" xfId="25" applyFont="1" applyFill="1" applyBorder="1" applyAlignment="1">
      <alignment horizontal="center" vertical="center" wrapText="1"/>
    </xf>
    <xf numFmtId="0" fontId="6" fillId="2" borderId="17" xfId="25" applyFont="1" applyFill="1" applyBorder="1" applyAlignment="1">
      <alignment horizontal="center" vertical="center" wrapText="1"/>
    </xf>
    <xf numFmtId="0" fontId="6" fillId="2" borderId="4" xfId="25" applyFont="1" applyFill="1" applyBorder="1" applyAlignment="1">
      <alignment horizontal="center" vertical="center" wrapText="1"/>
    </xf>
    <xf numFmtId="0" fontId="6" fillId="2" borderId="3" xfId="25" applyFont="1" applyFill="1" applyBorder="1" applyAlignment="1">
      <alignment horizontal="center" vertical="center" wrapText="1"/>
    </xf>
    <xf numFmtId="170" fontId="6" fillId="2" borderId="3" xfId="25" applyNumberFormat="1" applyFont="1" applyFill="1" applyBorder="1" applyAlignment="1">
      <alignment horizontal="center" vertical="center" wrapText="1"/>
    </xf>
    <xf numFmtId="165" fontId="6" fillId="2" borderId="3" xfId="25" applyNumberFormat="1" applyFont="1" applyFill="1" applyBorder="1" applyAlignment="1">
      <alignment horizontal="center" vertical="center" wrapText="1"/>
    </xf>
    <xf numFmtId="165" fontId="6" fillId="2" borderId="20" xfId="25" applyNumberFormat="1" applyFont="1" applyFill="1" applyBorder="1" applyAlignment="1">
      <alignment horizontal="center" vertical="center" wrapText="1"/>
    </xf>
    <xf numFmtId="0" fontId="6" fillId="2" borderId="0" xfId="0" applyFont="1" applyFill="1" applyBorder="1" applyAlignment="1">
      <alignment horizontal="center" vertical="center"/>
    </xf>
    <xf numFmtId="165" fontId="6" fillId="2" borderId="5" xfId="1" applyNumberFormat="1" applyFont="1" applyFill="1" applyBorder="1" applyAlignment="1">
      <alignment horizontal="center" vertical="center"/>
    </xf>
    <xf numFmtId="165" fontId="15" fillId="2" borderId="0" xfId="1" applyNumberFormat="1" applyFont="1" applyFill="1" applyBorder="1" applyAlignment="1">
      <alignment horizontal="center" vertical="center" wrapText="1"/>
    </xf>
    <xf numFmtId="165" fontId="6" fillId="2" borderId="0" xfId="1" applyNumberFormat="1" applyFont="1" applyFill="1" applyBorder="1" applyAlignment="1">
      <alignment horizontal="center" vertical="center" wrapText="1"/>
    </xf>
    <xf numFmtId="165" fontId="6" fillId="2" borderId="0" xfId="1" applyNumberFormat="1" applyFont="1" applyFill="1" applyBorder="1" applyAlignment="1">
      <alignment horizontal="left" vertical="center"/>
    </xf>
    <xf numFmtId="165" fontId="6" fillId="2" borderId="3" xfId="1" applyNumberFormat="1" applyFont="1" applyFill="1" applyBorder="1" applyAlignment="1">
      <alignment horizontal="center" vertical="center"/>
    </xf>
    <xf numFmtId="165" fontId="6" fillId="2" borderId="5" xfId="1" applyNumberFormat="1" applyFont="1" applyFill="1" applyBorder="1" applyAlignment="1">
      <alignment horizontal="center" vertical="center" wrapText="1"/>
    </xf>
    <xf numFmtId="165" fontId="6" fillId="2" borderId="3" xfId="1" applyNumberFormat="1" applyFont="1" applyFill="1" applyBorder="1" applyAlignment="1">
      <alignment horizontal="center" vertical="center" wrapText="1"/>
    </xf>
    <xf numFmtId="165" fontId="12" fillId="2" borderId="0" xfId="1" applyNumberFormat="1" applyFont="1" applyFill="1" applyBorder="1" applyAlignment="1">
      <alignment horizontal="center" vertical="center"/>
    </xf>
    <xf numFmtId="165" fontId="6" fillId="2" borderId="21" xfId="1" applyNumberFormat="1" applyFont="1" applyFill="1" applyBorder="1" applyAlignment="1">
      <alignment horizontal="center" vertical="center"/>
    </xf>
    <xf numFmtId="165" fontId="6" fillId="2" borderId="18" xfId="1" applyNumberFormat="1" applyFont="1" applyFill="1" applyBorder="1" applyAlignment="1">
      <alignment horizontal="center" vertical="center"/>
    </xf>
    <xf numFmtId="165" fontId="6" fillId="2" borderId="0" xfId="1" applyNumberFormat="1" applyFont="1" applyFill="1" applyBorder="1" applyAlignment="1">
      <alignment horizontal="left" vertical="center" wrapText="1"/>
    </xf>
    <xf numFmtId="165" fontId="6" fillId="2" borderId="6" xfId="1" applyNumberFormat="1" applyFont="1" applyFill="1" applyBorder="1" applyAlignment="1">
      <alignment horizontal="center" vertical="center"/>
    </xf>
    <xf numFmtId="165" fontId="6" fillId="2" borderId="4" xfId="1" applyNumberFormat="1" applyFont="1" applyFill="1" applyBorder="1" applyAlignment="1">
      <alignment horizontal="center" vertical="center"/>
    </xf>
    <xf numFmtId="165" fontId="6" fillId="2" borderId="5" xfId="1" applyNumberFormat="1" applyFont="1" applyFill="1" applyBorder="1" applyAlignment="1">
      <alignment horizontal="left" vertical="center"/>
    </xf>
    <xf numFmtId="165" fontId="6" fillId="2" borderId="3" xfId="1" applyNumberFormat="1" applyFont="1" applyFill="1" applyBorder="1" applyAlignment="1">
      <alignment horizontal="left" vertical="center"/>
    </xf>
    <xf numFmtId="165" fontId="6" fillId="2" borderId="0" xfId="1" applyNumberFormat="1" applyFont="1" applyFill="1" applyBorder="1" applyAlignment="1">
      <alignment vertical="center" wrapText="1"/>
    </xf>
    <xf numFmtId="165" fontId="4" fillId="2" borderId="0" xfId="1" applyNumberFormat="1" applyFont="1" applyFill="1" applyBorder="1" applyAlignment="1">
      <alignment vertical="center" wrapText="1"/>
    </xf>
    <xf numFmtId="0" fontId="6" fillId="2" borderId="0" xfId="0" applyFont="1" applyFill="1" applyAlignment="1">
      <alignment horizontal="center" wrapText="1"/>
    </xf>
    <xf numFmtId="0" fontId="4" fillId="2" borderId="7" xfId="22" applyFont="1" applyFill="1" applyBorder="1" applyAlignment="1">
      <alignment horizontal="center" vertical="center" wrapText="1"/>
    </xf>
    <xf numFmtId="0" fontId="4" fillId="2" borderId="7" xfId="22" applyFont="1" applyFill="1" applyBorder="1" applyAlignment="1">
      <alignment horizontal="center" vertical="center" wrapText="1" shrinkToFit="1"/>
    </xf>
    <xf numFmtId="0" fontId="4" fillId="2" borderId="14" xfId="22" applyFont="1" applyFill="1" applyBorder="1" applyAlignment="1">
      <alignment horizontal="center" vertical="center" wrapText="1" shrinkToFit="1"/>
    </xf>
    <xf numFmtId="0" fontId="4" fillId="2" borderId="15" xfId="22" applyFont="1" applyFill="1" applyBorder="1" applyAlignment="1">
      <alignment horizontal="center" vertical="center" wrapText="1" shrinkToFit="1"/>
    </xf>
    <xf numFmtId="0" fontId="4" fillId="2" borderId="7" xfId="22" applyFont="1" applyFill="1" applyBorder="1" applyAlignment="1">
      <alignment horizontal="center" vertical="center"/>
    </xf>
    <xf numFmtId="0" fontId="6" fillId="2" borderId="13" xfId="0" applyFont="1" applyFill="1" applyBorder="1" applyAlignment="1">
      <alignment horizontal="center"/>
    </xf>
    <xf numFmtId="0" fontId="22" fillId="0" borderId="13" xfId="0" applyFont="1" applyBorder="1" applyAlignment="1">
      <alignment horizontal="center" vertical="center" wrapText="1"/>
    </xf>
    <xf numFmtId="0" fontId="22" fillId="0" borderId="13" xfId="0" applyFont="1" applyBorder="1" applyAlignment="1">
      <alignment horizontal="center" vertical="center"/>
    </xf>
    <xf numFmtId="165" fontId="6" fillId="2" borderId="11" xfId="1" applyNumberFormat="1" applyFont="1" applyFill="1" applyBorder="1" applyAlignment="1">
      <alignment horizontal="center" vertical="top" wrapText="1"/>
    </xf>
    <xf numFmtId="165" fontId="6" fillId="2" borderId="8" xfId="1" applyNumberFormat="1" applyFont="1" applyFill="1" applyBorder="1" applyAlignment="1">
      <alignment horizontal="center" vertical="top" wrapText="1"/>
    </xf>
    <xf numFmtId="165" fontId="6" fillId="2" borderId="11" xfId="1" applyNumberFormat="1" applyFont="1" applyFill="1" applyBorder="1" applyAlignment="1">
      <alignment horizontal="center" vertical="center"/>
    </xf>
    <xf numFmtId="165" fontId="6" fillId="2" borderId="8" xfId="1" applyNumberFormat="1" applyFont="1" applyFill="1" applyBorder="1" applyAlignment="1">
      <alignment horizontal="center" vertical="center"/>
    </xf>
    <xf numFmtId="165" fontId="6" fillId="2" borderId="28" xfId="1" applyNumberFormat="1" applyFont="1" applyFill="1" applyBorder="1" applyAlignment="1">
      <alignment horizontal="center" vertical="center"/>
    </xf>
    <xf numFmtId="165" fontId="6" fillId="2" borderId="27" xfId="1" applyNumberFormat="1" applyFont="1" applyFill="1" applyBorder="1" applyAlignment="1">
      <alignment horizontal="center" vertical="center"/>
    </xf>
    <xf numFmtId="165" fontId="6" fillId="2" borderId="20" xfId="1" applyNumberFormat="1" applyFont="1" applyFill="1" applyBorder="1" applyAlignment="1">
      <alignment horizontal="center" vertical="center"/>
    </xf>
    <xf numFmtId="165" fontId="32" fillId="0" borderId="7" xfId="0" applyNumberFormat="1" applyFont="1" applyFill="1" applyBorder="1" applyAlignment="1">
      <alignment horizontal="center" vertical="center" wrapText="1"/>
    </xf>
    <xf numFmtId="169" fontId="33" fillId="0" borderId="7" xfId="0" applyNumberFormat="1" applyFont="1" applyFill="1" applyBorder="1" applyAlignment="1">
      <alignment horizontal="center" vertical="center" wrapText="1"/>
    </xf>
    <xf numFmtId="165" fontId="33" fillId="0" borderId="7" xfId="0" applyNumberFormat="1" applyFont="1" applyFill="1" applyBorder="1" applyAlignment="1">
      <alignment horizontal="center" vertical="center" wrapText="1"/>
    </xf>
    <xf numFmtId="0" fontId="33" fillId="0" borderId="7" xfId="0" applyFont="1" applyFill="1" applyBorder="1" applyAlignment="1">
      <alignment horizontal="center" vertical="center" wrapText="1"/>
    </xf>
    <xf numFmtId="0" fontId="32" fillId="0" borderId="0" xfId="0" applyFont="1" applyFill="1" applyAlignment="1">
      <alignment horizontal="center" vertical="center" wrapText="1"/>
    </xf>
    <xf numFmtId="2" fontId="33" fillId="0" borderId="11" xfId="2" applyNumberFormat="1" applyFont="1" applyFill="1" applyBorder="1" applyAlignment="1">
      <alignment horizontal="left" vertical="center" wrapText="1"/>
    </xf>
    <xf numFmtId="2" fontId="33" fillId="0" borderId="12" xfId="2" applyNumberFormat="1" applyFont="1" applyFill="1" applyBorder="1" applyAlignment="1">
      <alignment horizontal="left" vertical="center" wrapText="1"/>
    </xf>
    <xf numFmtId="2" fontId="33" fillId="0" borderId="8" xfId="2" applyNumberFormat="1" applyFont="1" applyFill="1" applyBorder="1" applyAlignment="1">
      <alignment horizontal="left" vertical="center" wrapText="1"/>
    </xf>
    <xf numFmtId="2" fontId="33" fillId="0" borderId="11" xfId="0" applyNumberFormat="1" applyFont="1" applyFill="1" applyBorder="1" applyAlignment="1">
      <alignment horizontal="right" vertical="center" wrapText="1"/>
    </xf>
    <xf numFmtId="2" fontId="33" fillId="0" borderId="8" xfId="0" applyNumberFormat="1" applyFont="1" applyFill="1" applyBorder="1" applyAlignment="1">
      <alignment horizontal="right" vertical="center" wrapText="1"/>
    </xf>
    <xf numFmtId="2" fontId="32" fillId="0" borderId="11" xfId="2" applyNumberFormat="1" applyFont="1" applyFill="1" applyBorder="1" applyAlignment="1">
      <alignment horizontal="left" vertical="center" wrapText="1"/>
    </xf>
    <xf numFmtId="2" fontId="32" fillId="0" borderId="12" xfId="2" applyNumberFormat="1" applyFont="1" applyFill="1" applyBorder="1" applyAlignment="1">
      <alignment horizontal="left" vertical="center" wrapText="1"/>
    </xf>
    <xf numFmtId="2" fontId="32" fillId="0" borderId="8" xfId="2" applyNumberFormat="1" applyFont="1" applyFill="1" applyBorder="1" applyAlignment="1">
      <alignment horizontal="left" vertical="center" wrapText="1"/>
    </xf>
    <xf numFmtId="2" fontId="33" fillId="0" borderId="11" xfId="2" applyNumberFormat="1" applyFont="1" applyFill="1" applyBorder="1" applyAlignment="1">
      <alignment horizontal="center" vertical="center" wrapText="1"/>
    </xf>
    <xf numFmtId="2" fontId="33" fillId="0" borderId="8" xfId="2" applyNumberFormat="1" applyFont="1" applyFill="1" applyBorder="1" applyAlignment="1">
      <alignment horizontal="center" vertical="center" wrapText="1"/>
    </xf>
    <xf numFmtId="168" fontId="32" fillId="4" borderId="7" xfId="0" applyNumberFormat="1" applyFont="1" applyFill="1" applyBorder="1" applyAlignment="1">
      <alignment horizontal="center" vertical="center" wrapText="1"/>
    </xf>
    <xf numFmtId="2" fontId="33" fillId="4" borderId="11" xfId="0" applyNumberFormat="1" applyFont="1" applyFill="1" applyBorder="1" applyAlignment="1">
      <alignment horizontal="right" vertical="center" wrapText="1"/>
    </xf>
    <xf numFmtId="2" fontId="33" fillId="4" borderId="8" xfId="0" applyNumberFormat="1" applyFont="1" applyFill="1" applyBorder="1" applyAlignment="1">
      <alignment horizontal="right" vertical="center" wrapText="1"/>
    </xf>
  </cellXfs>
  <cellStyles count="34">
    <cellStyle name="Comma 2" xfId="5"/>
    <cellStyle name="Hyperlink 2" xfId="6"/>
    <cellStyle name="Normal" xfId="0" builtinId="0"/>
    <cellStyle name="Normal 10" xfId="7"/>
    <cellStyle name="Normal 10 12" xfId="23"/>
    <cellStyle name="Normal 10 2" xfId="22"/>
    <cellStyle name="Normal 11" xfId="8"/>
    <cellStyle name="Normal 12" xfId="26"/>
    <cellStyle name="Normal 2" xfId="1"/>
    <cellStyle name="Normal 2 2" xfId="9"/>
    <cellStyle name="Normal 2 2 2" xfId="10"/>
    <cellStyle name="Normal 2 2 3" xfId="31"/>
    <cellStyle name="Normal 2 3" xfId="11"/>
    <cellStyle name="Normal 3" xfId="3"/>
    <cellStyle name="Normal 3 2" xfId="12"/>
    <cellStyle name="Normal 3 4" xfId="28"/>
    <cellStyle name="Normal 4" xfId="13"/>
    <cellStyle name="Normal 4 2" xfId="32"/>
    <cellStyle name="Normal 5" xfId="14"/>
    <cellStyle name="Normal 6" xfId="15"/>
    <cellStyle name="Normal 6 2" xfId="16"/>
    <cellStyle name="Normal 7" xfId="17"/>
    <cellStyle name="Normal 8" xfId="18"/>
    <cellStyle name="Normal 9" xfId="19"/>
    <cellStyle name="Normal_Alandur Detail 2" xfId="25"/>
    <cellStyle name="Normal_Alandur Detail 2 2" xfId="27"/>
    <cellStyle name="Normal_chengai" xfId="30"/>
    <cellStyle name="Normal_DG set estimate" xfId="33"/>
    <cellStyle name="Normal_Phase XI QS" xfId="2"/>
    <cellStyle name="Normal_Phase XI QS 2" xfId="4"/>
    <cellStyle name="Normal_Phase XI QS 2 2" xfId="29"/>
    <cellStyle name="Percent" xfId="24" builtinId="5"/>
    <cellStyle name="Percent 2" xfId="20"/>
    <cellStyle name="Percent 3" xfId="21"/>
  </cellStyles>
  <dxfs count="0"/>
  <tableStyles count="0" defaultTableStyle="TableStyleMedium9" defaultPivotStyle="PivotStyleLight16"/>
  <colors>
    <mruColors>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1179</xdr:row>
      <xdr:rowOff>0</xdr:rowOff>
    </xdr:from>
    <xdr:to>
      <xdr:col>1</xdr:col>
      <xdr:colOff>674370</xdr:colOff>
      <xdr:row>1179</xdr:row>
      <xdr:rowOff>142875</xdr:rowOff>
    </xdr:to>
    <xdr:sp macro="" textlink="">
      <xdr:nvSpPr>
        <xdr:cNvPr id="2" name="Text Box 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381125" y="443569725"/>
          <a:ext cx="45720" cy="142875"/>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a:t>
          </a:r>
        </a:p>
        <a:p>
          <a:pPr algn="l" rtl="1">
            <a:defRPr sz="1000"/>
          </a:pPr>
          <a:endParaRPr lang="en-US" sz="1000" b="0" i="0" strike="noStrike">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628650</xdr:colOff>
      <xdr:row>1090</xdr:row>
      <xdr:rowOff>0</xdr:rowOff>
    </xdr:from>
    <xdr:to>
      <xdr:col>1</xdr:col>
      <xdr:colOff>674370</xdr:colOff>
      <xdr:row>1090</xdr:row>
      <xdr:rowOff>142875</xdr:rowOff>
    </xdr:to>
    <xdr:sp macro="" textlink="">
      <xdr:nvSpPr>
        <xdr:cNvPr id="2" name="Text Box 2">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381125" y="319754250"/>
          <a:ext cx="45720" cy="142875"/>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a:t>
          </a:r>
        </a:p>
        <a:p>
          <a:pPr algn="l" rtl="1">
            <a:defRPr sz="1000"/>
          </a:pPr>
          <a:endParaRPr lang="en-US" sz="1000" b="0" i="0" strike="noStrike">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4%20Excess1(23.02.23)%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aidapet%20file\Steel%20Arriv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xcess"/>
      <sheetName val="Excess details F &amp; B"/>
    </sheetNames>
    <sheetDataSet>
      <sheetData sheetId="0"/>
      <sheetData sheetId="1">
        <row r="14">
          <cell r="H14">
            <v>173.8434</v>
          </cell>
          <cell r="I14" t="str">
            <v>Cum</v>
          </cell>
        </row>
        <row r="28">
          <cell r="H28">
            <v>56.60924</v>
          </cell>
        </row>
        <row r="34">
          <cell r="H34">
            <v>53.943899999999992</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teel"/>
      <sheetName val="Sheet2"/>
      <sheetName val="Sheet1"/>
    </sheetNames>
    <sheetDataSet>
      <sheetData sheetId="0">
        <row r="933">
          <cell r="N933">
            <v>27018.442313333337</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pageSetUpPr fitToPage="1"/>
  </sheetPr>
  <dimension ref="A1:Q1996"/>
  <sheetViews>
    <sheetView showZeros="0" view="pageBreakPreview" topLeftCell="A1946" zoomScale="85" zoomScaleNormal="85" zoomScaleSheetLayoutView="85" workbookViewId="0">
      <selection activeCell="I1952" sqref="I1952"/>
    </sheetView>
  </sheetViews>
  <sheetFormatPr defaultRowHeight="18.75"/>
  <cols>
    <col min="1" max="1" width="11.28515625" style="130" customWidth="1"/>
    <col min="2" max="2" width="53.42578125" style="129" customWidth="1"/>
    <col min="3" max="3" width="8.140625" style="131" customWidth="1"/>
    <col min="4" max="4" width="6.28515625" style="129" customWidth="1"/>
    <col min="5" max="5" width="6.28515625" style="131" customWidth="1"/>
    <col min="6" max="6" width="10.85546875" style="132" customWidth="1"/>
    <col min="7" max="7" width="11.7109375" style="132" customWidth="1"/>
    <col min="8" max="8" width="10.85546875" style="132" customWidth="1"/>
    <col min="9" max="9" width="12.7109375" style="133" bestFit="1" customWidth="1"/>
    <col min="10" max="10" width="10.28515625" style="358" customWidth="1"/>
    <col min="11" max="11" width="31" style="129" customWidth="1"/>
    <col min="12" max="12" width="5.5703125" style="129" bestFit="1" customWidth="1"/>
    <col min="13" max="13" width="7.140625" style="129" customWidth="1"/>
    <col min="14" max="14" width="9" style="129" bestFit="1" customWidth="1"/>
    <col min="15" max="15" width="6.140625" style="129" bestFit="1" customWidth="1"/>
    <col min="16" max="16" width="9.140625" style="129"/>
    <col min="17" max="17" width="12.42578125" style="129" bestFit="1" customWidth="1"/>
    <col min="18" max="256" width="9.140625" style="129"/>
    <col min="257" max="257" width="11.28515625" style="129" customWidth="1"/>
    <col min="258" max="258" width="53.42578125" style="129" customWidth="1"/>
    <col min="259" max="259" width="6.7109375" style="129" bestFit="1" customWidth="1"/>
    <col min="260" max="260" width="3" style="129" customWidth="1"/>
    <col min="261" max="261" width="6.7109375" style="129" customWidth="1"/>
    <col min="262" max="262" width="8.5703125" style="129" customWidth="1"/>
    <col min="263" max="263" width="9.42578125" style="129" customWidth="1"/>
    <col min="264" max="264" width="8" style="129" bestFit="1" customWidth="1"/>
    <col min="265" max="265" width="12.7109375" style="129" bestFit="1" customWidth="1"/>
    <col min="266" max="266" width="7.7109375" style="129" customWidth="1"/>
    <col min="267" max="267" width="31" style="129" customWidth="1"/>
    <col min="268" max="268" width="5.5703125" style="129" bestFit="1" customWidth="1"/>
    <col min="269" max="269" width="7.140625" style="129" customWidth="1"/>
    <col min="270" max="271" width="6.140625" style="129" bestFit="1" customWidth="1"/>
    <col min="272" max="272" width="9.140625" style="129"/>
    <col min="273" max="273" width="12.42578125" style="129" bestFit="1" customWidth="1"/>
    <col min="274" max="512" width="9.140625" style="129"/>
    <col min="513" max="513" width="11.28515625" style="129" customWidth="1"/>
    <col min="514" max="514" width="53.42578125" style="129" customWidth="1"/>
    <col min="515" max="515" width="6.7109375" style="129" bestFit="1" customWidth="1"/>
    <col min="516" max="516" width="3" style="129" customWidth="1"/>
    <col min="517" max="517" width="6.7109375" style="129" customWidth="1"/>
    <col min="518" max="518" width="8.5703125" style="129" customWidth="1"/>
    <col min="519" max="519" width="9.42578125" style="129" customWidth="1"/>
    <col min="520" max="520" width="8" style="129" bestFit="1" customWidth="1"/>
    <col min="521" max="521" width="12.7109375" style="129" bestFit="1" customWidth="1"/>
    <col min="522" max="522" width="7.7109375" style="129" customWidth="1"/>
    <col min="523" max="523" width="31" style="129" customWidth="1"/>
    <col min="524" max="524" width="5.5703125" style="129" bestFit="1" customWidth="1"/>
    <col min="525" max="525" width="7.140625" style="129" customWidth="1"/>
    <col min="526" max="527" width="6.140625" style="129" bestFit="1" customWidth="1"/>
    <col min="528" max="528" width="9.140625" style="129"/>
    <col min="529" max="529" width="12.42578125" style="129" bestFit="1" customWidth="1"/>
    <col min="530" max="768" width="9.140625" style="129"/>
    <col min="769" max="769" width="11.28515625" style="129" customWidth="1"/>
    <col min="770" max="770" width="53.42578125" style="129" customWidth="1"/>
    <col min="771" max="771" width="6.7109375" style="129" bestFit="1" customWidth="1"/>
    <col min="772" max="772" width="3" style="129" customWidth="1"/>
    <col min="773" max="773" width="6.7109375" style="129" customWidth="1"/>
    <col min="774" max="774" width="8.5703125" style="129" customWidth="1"/>
    <col min="775" max="775" width="9.42578125" style="129" customWidth="1"/>
    <col min="776" max="776" width="8" style="129" bestFit="1" customWidth="1"/>
    <col min="777" max="777" width="12.7109375" style="129" bestFit="1" customWidth="1"/>
    <col min="778" max="778" width="7.7109375" style="129" customWidth="1"/>
    <col min="779" max="779" width="31" style="129" customWidth="1"/>
    <col min="780" max="780" width="5.5703125" style="129" bestFit="1" customWidth="1"/>
    <col min="781" max="781" width="7.140625" style="129" customWidth="1"/>
    <col min="782" max="783" width="6.140625" style="129" bestFit="1" customWidth="1"/>
    <col min="784" max="784" width="9.140625" style="129"/>
    <col min="785" max="785" width="12.42578125" style="129" bestFit="1" customWidth="1"/>
    <col min="786" max="1024" width="9.140625" style="129"/>
    <col min="1025" max="1025" width="11.28515625" style="129" customWidth="1"/>
    <col min="1026" max="1026" width="53.42578125" style="129" customWidth="1"/>
    <col min="1027" max="1027" width="6.7109375" style="129" bestFit="1" customWidth="1"/>
    <col min="1028" max="1028" width="3" style="129" customWidth="1"/>
    <col min="1029" max="1029" width="6.7109375" style="129" customWidth="1"/>
    <col min="1030" max="1030" width="8.5703125" style="129" customWidth="1"/>
    <col min="1031" max="1031" width="9.42578125" style="129" customWidth="1"/>
    <col min="1032" max="1032" width="8" style="129" bestFit="1" customWidth="1"/>
    <col min="1033" max="1033" width="12.7109375" style="129" bestFit="1" customWidth="1"/>
    <col min="1034" max="1034" width="7.7109375" style="129" customWidth="1"/>
    <col min="1035" max="1035" width="31" style="129" customWidth="1"/>
    <col min="1036" max="1036" width="5.5703125" style="129" bestFit="1" customWidth="1"/>
    <col min="1037" max="1037" width="7.140625" style="129" customWidth="1"/>
    <col min="1038" max="1039" width="6.140625" style="129" bestFit="1" customWidth="1"/>
    <col min="1040" max="1040" width="9.140625" style="129"/>
    <col min="1041" max="1041" width="12.42578125" style="129" bestFit="1" customWidth="1"/>
    <col min="1042" max="1280" width="9.140625" style="129"/>
    <col min="1281" max="1281" width="11.28515625" style="129" customWidth="1"/>
    <col min="1282" max="1282" width="53.42578125" style="129" customWidth="1"/>
    <col min="1283" max="1283" width="6.7109375" style="129" bestFit="1" customWidth="1"/>
    <col min="1284" max="1284" width="3" style="129" customWidth="1"/>
    <col min="1285" max="1285" width="6.7109375" style="129" customWidth="1"/>
    <col min="1286" max="1286" width="8.5703125" style="129" customWidth="1"/>
    <col min="1287" max="1287" width="9.42578125" style="129" customWidth="1"/>
    <col min="1288" max="1288" width="8" style="129" bestFit="1" customWidth="1"/>
    <col min="1289" max="1289" width="12.7109375" style="129" bestFit="1" customWidth="1"/>
    <col min="1290" max="1290" width="7.7109375" style="129" customWidth="1"/>
    <col min="1291" max="1291" width="31" style="129" customWidth="1"/>
    <col min="1292" max="1292" width="5.5703125" style="129" bestFit="1" customWidth="1"/>
    <col min="1293" max="1293" width="7.140625" style="129" customWidth="1"/>
    <col min="1294" max="1295" width="6.140625" style="129" bestFit="1" customWidth="1"/>
    <col min="1296" max="1296" width="9.140625" style="129"/>
    <col min="1297" max="1297" width="12.42578125" style="129" bestFit="1" customWidth="1"/>
    <col min="1298" max="1536" width="9.140625" style="129"/>
    <col min="1537" max="1537" width="11.28515625" style="129" customWidth="1"/>
    <col min="1538" max="1538" width="53.42578125" style="129" customWidth="1"/>
    <col min="1539" max="1539" width="6.7109375" style="129" bestFit="1" customWidth="1"/>
    <col min="1540" max="1540" width="3" style="129" customWidth="1"/>
    <col min="1541" max="1541" width="6.7109375" style="129" customWidth="1"/>
    <col min="1542" max="1542" width="8.5703125" style="129" customWidth="1"/>
    <col min="1543" max="1543" width="9.42578125" style="129" customWidth="1"/>
    <col min="1544" max="1544" width="8" style="129" bestFit="1" customWidth="1"/>
    <col min="1545" max="1545" width="12.7109375" style="129" bestFit="1" customWidth="1"/>
    <col min="1546" max="1546" width="7.7109375" style="129" customWidth="1"/>
    <col min="1547" max="1547" width="31" style="129" customWidth="1"/>
    <col min="1548" max="1548" width="5.5703125" style="129" bestFit="1" customWidth="1"/>
    <col min="1549" max="1549" width="7.140625" style="129" customWidth="1"/>
    <col min="1550" max="1551" width="6.140625" style="129" bestFit="1" customWidth="1"/>
    <col min="1552" max="1552" width="9.140625" style="129"/>
    <col min="1553" max="1553" width="12.42578125" style="129" bestFit="1" customWidth="1"/>
    <col min="1554" max="1792" width="9.140625" style="129"/>
    <col min="1793" max="1793" width="11.28515625" style="129" customWidth="1"/>
    <col min="1794" max="1794" width="53.42578125" style="129" customWidth="1"/>
    <col min="1795" max="1795" width="6.7109375" style="129" bestFit="1" customWidth="1"/>
    <col min="1796" max="1796" width="3" style="129" customWidth="1"/>
    <col min="1797" max="1797" width="6.7109375" style="129" customWidth="1"/>
    <col min="1798" max="1798" width="8.5703125" style="129" customWidth="1"/>
    <col min="1799" max="1799" width="9.42578125" style="129" customWidth="1"/>
    <col min="1800" max="1800" width="8" style="129" bestFit="1" customWidth="1"/>
    <col min="1801" max="1801" width="12.7109375" style="129" bestFit="1" customWidth="1"/>
    <col min="1802" max="1802" width="7.7109375" style="129" customWidth="1"/>
    <col min="1803" max="1803" width="31" style="129" customWidth="1"/>
    <col min="1804" max="1804" width="5.5703125" style="129" bestFit="1" customWidth="1"/>
    <col min="1805" max="1805" width="7.140625" style="129" customWidth="1"/>
    <col min="1806" max="1807" width="6.140625" style="129" bestFit="1" customWidth="1"/>
    <col min="1808" max="1808" width="9.140625" style="129"/>
    <col min="1809" max="1809" width="12.42578125" style="129" bestFit="1" customWidth="1"/>
    <col min="1810" max="2048" width="9.140625" style="129"/>
    <col min="2049" max="2049" width="11.28515625" style="129" customWidth="1"/>
    <col min="2050" max="2050" width="53.42578125" style="129" customWidth="1"/>
    <col min="2051" max="2051" width="6.7109375" style="129" bestFit="1" customWidth="1"/>
    <col min="2052" max="2052" width="3" style="129" customWidth="1"/>
    <col min="2053" max="2053" width="6.7109375" style="129" customWidth="1"/>
    <col min="2054" max="2054" width="8.5703125" style="129" customWidth="1"/>
    <col min="2055" max="2055" width="9.42578125" style="129" customWidth="1"/>
    <col min="2056" max="2056" width="8" style="129" bestFit="1" customWidth="1"/>
    <col min="2057" max="2057" width="12.7109375" style="129" bestFit="1" customWidth="1"/>
    <col min="2058" max="2058" width="7.7109375" style="129" customWidth="1"/>
    <col min="2059" max="2059" width="31" style="129" customWidth="1"/>
    <col min="2060" max="2060" width="5.5703125" style="129" bestFit="1" customWidth="1"/>
    <col min="2061" max="2061" width="7.140625" style="129" customWidth="1"/>
    <col min="2062" max="2063" width="6.140625" style="129" bestFit="1" customWidth="1"/>
    <col min="2064" max="2064" width="9.140625" style="129"/>
    <col min="2065" max="2065" width="12.42578125" style="129" bestFit="1" customWidth="1"/>
    <col min="2066" max="2304" width="9.140625" style="129"/>
    <col min="2305" max="2305" width="11.28515625" style="129" customWidth="1"/>
    <col min="2306" max="2306" width="53.42578125" style="129" customWidth="1"/>
    <col min="2307" max="2307" width="6.7109375" style="129" bestFit="1" customWidth="1"/>
    <col min="2308" max="2308" width="3" style="129" customWidth="1"/>
    <col min="2309" max="2309" width="6.7109375" style="129" customWidth="1"/>
    <col min="2310" max="2310" width="8.5703125" style="129" customWidth="1"/>
    <col min="2311" max="2311" width="9.42578125" style="129" customWidth="1"/>
    <col min="2312" max="2312" width="8" style="129" bestFit="1" customWidth="1"/>
    <col min="2313" max="2313" width="12.7109375" style="129" bestFit="1" customWidth="1"/>
    <col min="2314" max="2314" width="7.7109375" style="129" customWidth="1"/>
    <col min="2315" max="2315" width="31" style="129" customWidth="1"/>
    <col min="2316" max="2316" width="5.5703125" style="129" bestFit="1" customWidth="1"/>
    <col min="2317" max="2317" width="7.140625" style="129" customWidth="1"/>
    <col min="2318" max="2319" width="6.140625" style="129" bestFit="1" customWidth="1"/>
    <col min="2320" max="2320" width="9.140625" style="129"/>
    <col min="2321" max="2321" width="12.42578125" style="129" bestFit="1" customWidth="1"/>
    <col min="2322" max="2560" width="9.140625" style="129"/>
    <col min="2561" max="2561" width="11.28515625" style="129" customWidth="1"/>
    <col min="2562" max="2562" width="53.42578125" style="129" customWidth="1"/>
    <col min="2563" max="2563" width="6.7109375" style="129" bestFit="1" customWidth="1"/>
    <col min="2564" max="2564" width="3" style="129" customWidth="1"/>
    <col min="2565" max="2565" width="6.7109375" style="129" customWidth="1"/>
    <col min="2566" max="2566" width="8.5703125" style="129" customWidth="1"/>
    <col min="2567" max="2567" width="9.42578125" style="129" customWidth="1"/>
    <col min="2568" max="2568" width="8" style="129" bestFit="1" customWidth="1"/>
    <col min="2569" max="2569" width="12.7109375" style="129" bestFit="1" customWidth="1"/>
    <col min="2570" max="2570" width="7.7109375" style="129" customWidth="1"/>
    <col min="2571" max="2571" width="31" style="129" customWidth="1"/>
    <col min="2572" max="2572" width="5.5703125" style="129" bestFit="1" customWidth="1"/>
    <col min="2573" max="2573" width="7.140625" style="129" customWidth="1"/>
    <col min="2574" max="2575" width="6.140625" style="129" bestFit="1" customWidth="1"/>
    <col min="2576" max="2576" width="9.140625" style="129"/>
    <col min="2577" max="2577" width="12.42578125" style="129" bestFit="1" customWidth="1"/>
    <col min="2578" max="2816" width="9.140625" style="129"/>
    <col min="2817" max="2817" width="11.28515625" style="129" customWidth="1"/>
    <col min="2818" max="2818" width="53.42578125" style="129" customWidth="1"/>
    <col min="2819" max="2819" width="6.7109375" style="129" bestFit="1" customWidth="1"/>
    <col min="2820" max="2820" width="3" style="129" customWidth="1"/>
    <col min="2821" max="2821" width="6.7109375" style="129" customWidth="1"/>
    <col min="2822" max="2822" width="8.5703125" style="129" customWidth="1"/>
    <col min="2823" max="2823" width="9.42578125" style="129" customWidth="1"/>
    <col min="2824" max="2824" width="8" style="129" bestFit="1" customWidth="1"/>
    <col min="2825" max="2825" width="12.7109375" style="129" bestFit="1" customWidth="1"/>
    <col min="2826" max="2826" width="7.7109375" style="129" customWidth="1"/>
    <col min="2827" max="2827" width="31" style="129" customWidth="1"/>
    <col min="2828" max="2828" width="5.5703125" style="129" bestFit="1" customWidth="1"/>
    <col min="2829" max="2829" width="7.140625" style="129" customWidth="1"/>
    <col min="2830" max="2831" width="6.140625" style="129" bestFit="1" customWidth="1"/>
    <col min="2832" max="2832" width="9.140625" style="129"/>
    <col min="2833" max="2833" width="12.42578125" style="129" bestFit="1" customWidth="1"/>
    <col min="2834" max="3072" width="9.140625" style="129"/>
    <col min="3073" max="3073" width="11.28515625" style="129" customWidth="1"/>
    <col min="3074" max="3074" width="53.42578125" style="129" customWidth="1"/>
    <col min="3075" max="3075" width="6.7109375" style="129" bestFit="1" customWidth="1"/>
    <col min="3076" max="3076" width="3" style="129" customWidth="1"/>
    <col min="3077" max="3077" width="6.7109375" style="129" customWidth="1"/>
    <col min="3078" max="3078" width="8.5703125" style="129" customWidth="1"/>
    <col min="3079" max="3079" width="9.42578125" style="129" customWidth="1"/>
    <col min="3080" max="3080" width="8" style="129" bestFit="1" customWidth="1"/>
    <col min="3081" max="3081" width="12.7109375" style="129" bestFit="1" customWidth="1"/>
    <col min="3082" max="3082" width="7.7109375" style="129" customWidth="1"/>
    <col min="3083" max="3083" width="31" style="129" customWidth="1"/>
    <col min="3084" max="3084" width="5.5703125" style="129" bestFit="1" customWidth="1"/>
    <col min="3085" max="3085" width="7.140625" style="129" customWidth="1"/>
    <col min="3086" max="3087" width="6.140625" style="129" bestFit="1" customWidth="1"/>
    <col min="3088" max="3088" width="9.140625" style="129"/>
    <col min="3089" max="3089" width="12.42578125" style="129" bestFit="1" customWidth="1"/>
    <col min="3090" max="3328" width="9.140625" style="129"/>
    <col min="3329" max="3329" width="11.28515625" style="129" customWidth="1"/>
    <col min="3330" max="3330" width="53.42578125" style="129" customWidth="1"/>
    <col min="3331" max="3331" width="6.7109375" style="129" bestFit="1" customWidth="1"/>
    <col min="3332" max="3332" width="3" style="129" customWidth="1"/>
    <col min="3333" max="3333" width="6.7109375" style="129" customWidth="1"/>
    <col min="3334" max="3334" width="8.5703125" style="129" customWidth="1"/>
    <col min="3335" max="3335" width="9.42578125" style="129" customWidth="1"/>
    <col min="3336" max="3336" width="8" style="129" bestFit="1" customWidth="1"/>
    <col min="3337" max="3337" width="12.7109375" style="129" bestFit="1" customWidth="1"/>
    <col min="3338" max="3338" width="7.7109375" style="129" customWidth="1"/>
    <col min="3339" max="3339" width="31" style="129" customWidth="1"/>
    <col min="3340" max="3340" width="5.5703125" style="129" bestFit="1" customWidth="1"/>
    <col min="3341" max="3341" width="7.140625" style="129" customWidth="1"/>
    <col min="3342" max="3343" width="6.140625" style="129" bestFit="1" customWidth="1"/>
    <col min="3344" max="3344" width="9.140625" style="129"/>
    <col min="3345" max="3345" width="12.42578125" style="129" bestFit="1" customWidth="1"/>
    <col min="3346" max="3584" width="9.140625" style="129"/>
    <col min="3585" max="3585" width="11.28515625" style="129" customWidth="1"/>
    <col min="3586" max="3586" width="53.42578125" style="129" customWidth="1"/>
    <col min="3587" max="3587" width="6.7109375" style="129" bestFit="1" customWidth="1"/>
    <col min="3588" max="3588" width="3" style="129" customWidth="1"/>
    <col min="3589" max="3589" width="6.7109375" style="129" customWidth="1"/>
    <col min="3590" max="3590" width="8.5703125" style="129" customWidth="1"/>
    <col min="3591" max="3591" width="9.42578125" style="129" customWidth="1"/>
    <col min="3592" max="3592" width="8" style="129" bestFit="1" customWidth="1"/>
    <col min="3593" max="3593" width="12.7109375" style="129" bestFit="1" customWidth="1"/>
    <col min="3594" max="3594" width="7.7109375" style="129" customWidth="1"/>
    <col min="3595" max="3595" width="31" style="129" customWidth="1"/>
    <col min="3596" max="3596" width="5.5703125" style="129" bestFit="1" customWidth="1"/>
    <col min="3597" max="3597" width="7.140625" style="129" customWidth="1"/>
    <col min="3598" max="3599" width="6.140625" style="129" bestFit="1" customWidth="1"/>
    <col min="3600" max="3600" width="9.140625" style="129"/>
    <col min="3601" max="3601" width="12.42578125" style="129" bestFit="1" customWidth="1"/>
    <col min="3602" max="3840" width="9.140625" style="129"/>
    <col min="3841" max="3841" width="11.28515625" style="129" customWidth="1"/>
    <col min="3842" max="3842" width="53.42578125" style="129" customWidth="1"/>
    <col min="3843" max="3843" width="6.7109375" style="129" bestFit="1" customWidth="1"/>
    <col min="3844" max="3844" width="3" style="129" customWidth="1"/>
    <col min="3845" max="3845" width="6.7109375" style="129" customWidth="1"/>
    <col min="3846" max="3846" width="8.5703125" style="129" customWidth="1"/>
    <col min="3847" max="3847" width="9.42578125" style="129" customWidth="1"/>
    <col min="3848" max="3848" width="8" style="129" bestFit="1" customWidth="1"/>
    <col min="3849" max="3849" width="12.7109375" style="129" bestFit="1" customWidth="1"/>
    <col min="3850" max="3850" width="7.7109375" style="129" customWidth="1"/>
    <col min="3851" max="3851" width="31" style="129" customWidth="1"/>
    <col min="3852" max="3852" width="5.5703125" style="129" bestFit="1" customWidth="1"/>
    <col min="3853" max="3853" width="7.140625" style="129" customWidth="1"/>
    <col min="3854" max="3855" width="6.140625" style="129" bestFit="1" customWidth="1"/>
    <col min="3856" max="3856" width="9.140625" style="129"/>
    <col min="3857" max="3857" width="12.42578125" style="129" bestFit="1" customWidth="1"/>
    <col min="3858" max="4096" width="9.140625" style="129"/>
    <col min="4097" max="4097" width="11.28515625" style="129" customWidth="1"/>
    <col min="4098" max="4098" width="53.42578125" style="129" customWidth="1"/>
    <col min="4099" max="4099" width="6.7109375" style="129" bestFit="1" customWidth="1"/>
    <col min="4100" max="4100" width="3" style="129" customWidth="1"/>
    <col min="4101" max="4101" width="6.7109375" style="129" customWidth="1"/>
    <col min="4102" max="4102" width="8.5703125" style="129" customWidth="1"/>
    <col min="4103" max="4103" width="9.42578125" style="129" customWidth="1"/>
    <col min="4104" max="4104" width="8" style="129" bestFit="1" customWidth="1"/>
    <col min="4105" max="4105" width="12.7109375" style="129" bestFit="1" customWidth="1"/>
    <col min="4106" max="4106" width="7.7109375" style="129" customWidth="1"/>
    <col min="4107" max="4107" width="31" style="129" customWidth="1"/>
    <col min="4108" max="4108" width="5.5703125" style="129" bestFit="1" customWidth="1"/>
    <col min="4109" max="4109" width="7.140625" style="129" customWidth="1"/>
    <col min="4110" max="4111" width="6.140625" style="129" bestFit="1" customWidth="1"/>
    <col min="4112" max="4112" width="9.140625" style="129"/>
    <col min="4113" max="4113" width="12.42578125" style="129" bestFit="1" customWidth="1"/>
    <col min="4114" max="4352" width="9.140625" style="129"/>
    <col min="4353" max="4353" width="11.28515625" style="129" customWidth="1"/>
    <col min="4354" max="4354" width="53.42578125" style="129" customWidth="1"/>
    <col min="4355" max="4355" width="6.7109375" style="129" bestFit="1" customWidth="1"/>
    <col min="4356" max="4356" width="3" style="129" customWidth="1"/>
    <col min="4357" max="4357" width="6.7109375" style="129" customWidth="1"/>
    <col min="4358" max="4358" width="8.5703125" style="129" customWidth="1"/>
    <col min="4359" max="4359" width="9.42578125" style="129" customWidth="1"/>
    <col min="4360" max="4360" width="8" style="129" bestFit="1" customWidth="1"/>
    <col min="4361" max="4361" width="12.7109375" style="129" bestFit="1" customWidth="1"/>
    <col min="4362" max="4362" width="7.7109375" style="129" customWidth="1"/>
    <col min="4363" max="4363" width="31" style="129" customWidth="1"/>
    <col min="4364" max="4364" width="5.5703125" style="129" bestFit="1" customWidth="1"/>
    <col min="4365" max="4365" width="7.140625" style="129" customWidth="1"/>
    <col min="4366" max="4367" width="6.140625" style="129" bestFit="1" customWidth="1"/>
    <col min="4368" max="4368" width="9.140625" style="129"/>
    <col min="4369" max="4369" width="12.42578125" style="129" bestFit="1" customWidth="1"/>
    <col min="4370" max="4608" width="9.140625" style="129"/>
    <col min="4609" max="4609" width="11.28515625" style="129" customWidth="1"/>
    <col min="4610" max="4610" width="53.42578125" style="129" customWidth="1"/>
    <col min="4611" max="4611" width="6.7109375" style="129" bestFit="1" customWidth="1"/>
    <col min="4612" max="4612" width="3" style="129" customWidth="1"/>
    <col min="4613" max="4613" width="6.7109375" style="129" customWidth="1"/>
    <col min="4614" max="4614" width="8.5703125" style="129" customWidth="1"/>
    <col min="4615" max="4615" width="9.42578125" style="129" customWidth="1"/>
    <col min="4616" max="4616" width="8" style="129" bestFit="1" customWidth="1"/>
    <col min="4617" max="4617" width="12.7109375" style="129" bestFit="1" customWidth="1"/>
    <col min="4618" max="4618" width="7.7109375" style="129" customWidth="1"/>
    <col min="4619" max="4619" width="31" style="129" customWidth="1"/>
    <col min="4620" max="4620" width="5.5703125" style="129" bestFit="1" customWidth="1"/>
    <col min="4621" max="4621" width="7.140625" style="129" customWidth="1"/>
    <col min="4622" max="4623" width="6.140625" style="129" bestFit="1" customWidth="1"/>
    <col min="4624" max="4624" width="9.140625" style="129"/>
    <col min="4625" max="4625" width="12.42578125" style="129" bestFit="1" customWidth="1"/>
    <col min="4626" max="4864" width="9.140625" style="129"/>
    <col min="4865" max="4865" width="11.28515625" style="129" customWidth="1"/>
    <col min="4866" max="4866" width="53.42578125" style="129" customWidth="1"/>
    <col min="4867" max="4867" width="6.7109375" style="129" bestFit="1" customWidth="1"/>
    <col min="4868" max="4868" width="3" style="129" customWidth="1"/>
    <col min="4869" max="4869" width="6.7109375" style="129" customWidth="1"/>
    <col min="4870" max="4870" width="8.5703125" style="129" customWidth="1"/>
    <col min="4871" max="4871" width="9.42578125" style="129" customWidth="1"/>
    <col min="4872" max="4872" width="8" style="129" bestFit="1" customWidth="1"/>
    <col min="4873" max="4873" width="12.7109375" style="129" bestFit="1" customWidth="1"/>
    <col min="4874" max="4874" width="7.7109375" style="129" customWidth="1"/>
    <col min="4875" max="4875" width="31" style="129" customWidth="1"/>
    <col min="4876" max="4876" width="5.5703125" style="129" bestFit="1" customWidth="1"/>
    <col min="4877" max="4877" width="7.140625" style="129" customWidth="1"/>
    <col min="4878" max="4879" width="6.140625" style="129" bestFit="1" customWidth="1"/>
    <col min="4880" max="4880" width="9.140625" style="129"/>
    <col min="4881" max="4881" width="12.42578125" style="129" bestFit="1" customWidth="1"/>
    <col min="4882" max="5120" width="9.140625" style="129"/>
    <col min="5121" max="5121" width="11.28515625" style="129" customWidth="1"/>
    <col min="5122" max="5122" width="53.42578125" style="129" customWidth="1"/>
    <col min="5123" max="5123" width="6.7109375" style="129" bestFit="1" customWidth="1"/>
    <col min="5124" max="5124" width="3" style="129" customWidth="1"/>
    <col min="5125" max="5125" width="6.7109375" style="129" customWidth="1"/>
    <col min="5126" max="5126" width="8.5703125" style="129" customWidth="1"/>
    <col min="5127" max="5127" width="9.42578125" style="129" customWidth="1"/>
    <col min="5128" max="5128" width="8" style="129" bestFit="1" customWidth="1"/>
    <col min="5129" max="5129" width="12.7109375" style="129" bestFit="1" customWidth="1"/>
    <col min="5130" max="5130" width="7.7109375" style="129" customWidth="1"/>
    <col min="5131" max="5131" width="31" style="129" customWidth="1"/>
    <col min="5132" max="5132" width="5.5703125" style="129" bestFit="1" customWidth="1"/>
    <col min="5133" max="5133" width="7.140625" style="129" customWidth="1"/>
    <col min="5134" max="5135" width="6.140625" style="129" bestFit="1" customWidth="1"/>
    <col min="5136" max="5136" width="9.140625" style="129"/>
    <col min="5137" max="5137" width="12.42578125" style="129" bestFit="1" customWidth="1"/>
    <col min="5138" max="5376" width="9.140625" style="129"/>
    <col min="5377" max="5377" width="11.28515625" style="129" customWidth="1"/>
    <col min="5378" max="5378" width="53.42578125" style="129" customWidth="1"/>
    <col min="5379" max="5379" width="6.7109375" style="129" bestFit="1" customWidth="1"/>
    <col min="5380" max="5380" width="3" style="129" customWidth="1"/>
    <col min="5381" max="5381" width="6.7109375" style="129" customWidth="1"/>
    <col min="5382" max="5382" width="8.5703125" style="129" customWidth="1"/>
    <col min="5383" max="5383" width="9.42578125" style="129" customWidth="1"/>
    <col min="5384" max="5384" width="8" style="129" bestFit="1" customWidth="1"/>
    <col min="5385" max="5385" width="12.7109375" style="129" bestFit="1" customWidth="1"/>
    <col min="5386" max="5386" width="7.7109375" style="129" customWidth="1"/>
    <col min="5387" max="5387" width="31" style="129" customWidth="1"/>
    <col min="5388" max="5388" width="5.5703125" style="129" bestFit="1" customWidth="1"/>
    <col min="5389" max="5389" width="7.140625" style="129" customWidth="1"/>
    <col min="5390" max="5391" width="6.140625" style="129" bestFit="1" customWidth="1"/>
    <col min="5392" max="5392" width="9.140625" style="129"/>
    <col min="5393" max="5393" width="12.42578125" style="129" bestFit="1" customWidth="1"/>
    <col min="5394" max="5632" width="9.140625" style="129"/>
    <col min="5633" max="5633" width="11.28515625" style="129" customWidth="1"/>
    <col min="5634" max="5634" width="53.42578125" style="129" customWidth="1"/>
    <col min="5635" max="5635" width="6.7109375" style="129" bestFit="1" customWidth="1"/>
    <col min="5636" max="5636" width="3" style="129" customWidth="1"/>
    <col min="5637" max="5637" width="6.7109375" style="129" customWidth="1"/>
    <col min="5638" max="5638" width="8.5703125" style="129" customWidth="1"/>
    <col min="5639" max="5639" width="9.42578125" style="129" customWidth="1"/>
    <col min="5640" max="5640" width="8" style="129" bestFit="1" customWidth="1"/>
    <col min="5641" max="5641" width="12.7109375" style="129" bestFit="1" customWidth="1"/>
    <col min="5642" max="5642" width="7.7109375" style="129" customWidth="1"/>
    <col min="5643" max="5643" width="31" style="129" customWidth="1"/>
    <col min="5644" max="5644" width="5.5703125" style="129" bestFit="1" customWidth="1"/>
    <col min="5645" max="5645" width="7.140625" style="129" customWidth="1"/>
    <col min="5646" max="5647" width="6.140625" style="129" bestFit="1" customWidth="1"/>
    <col min="5648" max="5648" width="9.140625" style="129"/>
    <col min="5649" max="5649" width="12.42578125" style="129" bestFit="1" customWidth="1"/>
    <col min="5650" max="5888" width="9.140625" style="129"/>
    <col min="5889" max="5889" width="11.28515625" style="129" customWidth="1"/>
    <col min="5890" max="5890" width="53.42578125" style="129" customWidth="1"/>
    <col min="5891" max="5891" width="6.7109375" style="129" bestFit="1" customWidth="1"/>
    <col min="5892" max="5892" width="3" style="129" customWidth="1"/>
    <col min="5893" max="5893" width="6.7109375" style="129" customWidth="1"/>
    <col min="5894" max="5894" width="8.5703125" style="129" customWidth="1"/>
    <col min="5895" max="5895" width="9.42578125" style="129" customWidth="1"/>
    <col min="5896" max="5896" width="8" style="129" bestFit="1" customWidth="1"/>
    <col min="5897" max="5897" width="12.7109375" style="129" bestFit="1" customWidth="1"/>
    <col min="5898" max="5898" width="7.7109375" style="129" customWidth="1"/>
    <col min="5899" max="5899" width="31" style="129" customWidth="1"/>
    <col min="5900" max="5900" width="5.5703125" style="129" bestFit="1" customWidth="1"/>
    <col min="5901" max="5901" width="7.140625" style="129" customWidth="1"/>
    <col min="5902" max="5903" width="6.140625" style="129" bestFit="1" customWidth="1"/>
    <col min="5904" max="5904" width="9.140625" style="129"/>
    <col min="5905" max="5905" width="12.42578125" style="129" bestFit="1" customWidth="1"/>
    <col min="5906" max="6144" width="9.140625" style="129"/>
    <col min="6145" max="6145" width="11.28515625" style="129" customWidth="1"/>
    <col min="6146" max="6146" width="53.42578125" style="129" customWidth="1"/>
    <col min="6147" max="6147" width="6.7109375" style="129" bestFit="1" customWidth="1"/>
    <col min="6148" max="6148" width="3" style="129" customWidth="1"/>
    <col min="6149" max="6149" width="6.7109375" style="129" customWidth="1"/>
    <col min="6150" max="6150" width="8.5703125" style="129" customWidth="1"/>
    <col min="6151" max="6151" width="9.42578125" style="129" customWidth="1"/>
    <col min="6152" max="6152" width="8" style="129" bestFit="1" customWidth="1"/>
    <col min="6153" max="6153" width="12.7109375" style="129" bestFit="1" customWidth="1"/>
    <col min="6154" max="6154" width="7.7109375" style="129" customWidth="1"/>
    <col min="6155" max="6155" width="31" style="129" customWidth="1"/>
    <col min="6156" max="6156" width="5.5703125" style="129" bestFit="1" customWidth="1"/>
    <col min="6157" max="6157" width="7.140625" style="129" customWidth="1"/>
    <col min="6158" max="6159" width="6.140625" style="129" bestFit="1" customWidth="1"/>
    <col min="6160" max="6160" width="9.140625" style="129"/>
    <col min="6161" max="6161" width="12.42578125" style="129" bestFit="1" customWidth="1"/>
    <col min="6162" max="6400" width="9.140625" style="129"/>
    <col min="6401" max="6401" width="11.28515625" style="129" customWidth="1"/>
    <col min="6402" max="6402" width="53.42578125" style="129" customWidth="1"/>
    <col min="6403" max="6403" width="6.7109375" style="129" bestFit="1" customWidth="1"/>
    <col min="6404" max="6404" width="3" style="129" customWidth="1"/>
    <col min="6405" max="6405" width="6.7109375" style="129" customWidth="1"/>
    <col min="6406" max="6406" width="8.5703125" style="129" customWidth="1"/>
    <col min="6407" max="6407" width="9.42578125" style="129" customWidth="1"/>
    <col min="6408" max="6408" width="8" style="129" bestFit="1" customWidth="1"/>
    <col min="6409" max="6409" width="12.7109375" style="129" bestFit="1" customWidth="1"/>
    <col min="6410" max="6410" width="7.7109375" style="129" customWidth="1"/>
    <col min="6411" max="6411" width="31" style="129" customWidth="1"/>
    <col min="6412" max="6412" width="5.5703125" style="129" bestFit="1" customWidth="1"/>
    <col min="6413" max="6413" width="7.140625" style="129" customWidth="1"/>
    <col min="6414" max="6415" width="6.140625" style="129" bestFit="1" customWidth="1"/>
    <col min="6416" max="6416" width="9.140625" style="129"/>
    <col min="6417" max="6417" width="12.42578125" style="129" bestFit="1" customWidth="1"/>
    <col min="6418" max="6656" width="9.140625" style="129"/>
    <col min="6657" max="6657" width="11.28515625" style="129" customWidth="1"/>
    <col min="6658" max="6658" width="53.42578125" style="129" customWidth="1"/>
    <col min="6659" max="6659" width="6.7109375" style="129" bestFit="1" customWidth="1"/>
    <col min="6660" max="6660" width="3" style="129" customWidth="1"/>
    <col min="6661" max="6661" width="6.7109375" style="129" customWidth="1"/>
    <col min="6662" max="6662" width="8.5703125" style="129" customWidth="1"/>
    <col min="6663" max="6663" width="9.42578125" style="129" customWidth="1"/>
    <col min="6664" max="6664" width="8" style="129" bestFit="1" customWidth="1"/>
    <col min="6665" max="6665" width="12.7109375" style="129" bestFit="1" customWidth="1"/>
    <col min="6666" max="6666" width="7.7109375" style="129" customWidth="1"/>
    <col min="6667" max="6667" width="31" style="129" customWidth="1"/>
    <col min="6668" max="6668" width="5.5703125" style="129" bestFit="1" customWidth="1"/>
    <col min="6669" max="6669" width="7.140625" style="129" customWidth="1"/>
    <col min="6670" max="6671" width="6.140625" style="129" bestFit="1" customWidth="1"/>
    <col min="6672" max="6672" width="9.140625" style="129"/>
    <col min="6673" max="6673" width="12.42578125" style="129" bestFit="1" customWidth="1"/>
    <col min="6674" max="6912" width="9.140625" style="129"/>
    <col min="6913" max="6913" width="11.28515625" style="129" customWidth="1"/>
    <col min="6914" max="6914" width="53.42578125" style="129" customWidth="1"/>
    <col min="6915" max="6915" width="6.7109375" style="129" bestFit="1" customWidth="1"/>
    <col min="6916" max="6916" width="3" style="129" customWidth="1"/>
    <col min="6917" max="6917" width="6.7109375" style="129" customWidth="1"/>
    <col min="6918" max="6918" width="8.5703125" style="129" customWidth="1"/>
    <col min="6919" max="6919" width="9.42578125" style="129" customWidth="1"/>
    <col min="6920" max="6920" width="8" style="129" bestFit="1" customWidth="1"/>
    <col min="6921" max="6921" width="12.7109375" style="129" bestFit="1" customWidth="1"/>
    <col min="6922" max="6922" width="7.7109375" style="129" customWidth="1"/>
    <col min="6923" max="6923" width="31" style="129" customWidth="1"/>
    <col min="6924" max="6924" width="5.5703125" style="129" bestFit="1" customWidth="1"/>
    <col min="6925" max="6925" width="7.140625" style="129" customWidth="1"/>
    <col min="6926" max="6927" width="6.140625" style="129" bestFit="1" customWidth="1"/>
    <col min="6928" max="6928" width="9.140625" style="129"/>
    <col min="6929" max="6929" width="12.42578125" style="129" bestFit="1" customWidth="1"/>
    <col min="6930" max="7168" width="9.140625" style="129"/>
    <col min="7169" max="7169" width="11.28515625" style="129" customWidth="1"/>
    <col min="7170" max="7170" width="53.42578125" style="129" customWidth="1"/>
    <col min="7171" max="7171" width="6.7109375" style="129" bestFit="1" customWidth="1"/>
    <col min="7172" max="7172" width="3" style="129" customWidth="1"/>
    <col min="7173" max="7173" width="6.7109375" style="129" customWidth="1"/>
    <col min="7174" max="7174" width="8.5703125" style="129" customWidth="1"/>
    <col min="7175" max="7175" width="9.42578125" style="129" customWidth="1"/>
    <col min="7176" max="7176" width="8" style="129" bestFit="1" customWidth="1"/>
    <col min="7177" max="7177" width="12.7109375" style="129" bestFit="1" customWidth="1"/>
    <col min="7178" max="7178" width="7.7109375" style="129" customWidth="1"/>
    <col min="7179" max="7179" width="31" style="129" customWidth="1"/>
    <col min="7180" max="7180" width="5.5703125" style="129" bestFit="1" customWidth="1"/>
    <col min="7181" max="7181" width="7.140625" style="129" customWidth="1"/>
    <col min="7182" max="7183" width="6.140625" style="129" bestFit="1" customWidth="1"/>
    <col min="7184" max="7184" width="9.140625" style="129"/>
    <col min="7185" max="7185" width="12.42578125" style="129" bestFit="1" customWidth="1"/>
    <col min="7186" max="7424" width="9.140625" style="129"/>
    <col min="7425" max="7425" width="11.28515625" style="129" customWidth="1"/>
    <col min="7426" max="7426" width="53.42578125" style="129" customWidth="1"/>
    <col min="7427" max="7427" width="6.7109375" style="129" bestFit="1" customWidth="1"/>
    <col min="7428" max="7428" width="3" style="129" customWidth="1"/>
    <col min="7429" max="7429" width="6.7109375" style="129" customWidth="1"/>
    <col min="7430" max="7430" width="8.5703125" style="129" customWidth="1"/>
    <col min="7431" max="7431" width="9.42578125" style="129" customWidth="1"/>
    <col min="7432" max="7432" width="8" style="129" bestFit="1" customWidth="1"/>
    <col min="7433" max="7433" width="12.7109375" style="129" bestFit="1" customWidth="1"/>
    <col min="7434" max="7434" width="7.7109375" style="129" customWidth="1"/>
    <col min="7435" max="7435" width="31" style="129" customWidth="1"/>
    <col min="7436" max="7436" width="5.5703125" style="129" bestFit="1" customWidth="1"/>
    <col min="7437" max="7437" width="7.140625" style="129" customWidth="1"/>
    <col min="7438" max="7439" width="6.140625" style="129" bestFit="1" customWidth="1"/>
    <col min="7440" max="7440" width="9.140625" style="129"/>
    <col min="7441" max="7441" width="12.42578125" style="129" bestFit="1" customWidth="1"/>
    <col min="7442" max="7680" width="9.140625" style="129"/>
    <col min="7681" max="7681" width="11.28515625" style="129" customWidth="1"/>
    <col min="7682" max="7682" width="53.42578125" style="129" customWidth="1"/>
    <col min="7683" max="7683" width="6.7109375" style="129" bestFit="1" customWidth="1"/>
    <col min="7684" max="7684" width="3" style="129" customWidth="1"/>
    <col min="7685" max="7685" width="6.7109375" style="129" customWidth="1"/>
    <col min="7686" max="7686" width="8.5703125" style="129" customWidth="1"/>
    <col min="7687" max="7687" width="9.42578125" style="129" customWidth="1"/>
    <col min="7688" max="7688" width="8" style="129" bestFit="1" customWidth="1"/>
    <col min="7689" max="7689" width="12.7109375" style="129" bestFit="1" customWidth="1"/>
    <col min="7690" max="7690" width="7.7109375" style="129" customWidth="1"/>
    <col min="7691" max="7691" width="31" style="129" customWidth="1"/>
    <col min="7692" max="7692" width="5.5703125" style="129" bestFit="1" customWidth="1"/>
    <col min="7693" max="7693" width="7.140625" style="129" customWidth="1"/>
    <col min="7694" max="7695" width="6.140625" style="129" bestFit="1" customWidth="1"/>
    <col min="7696" max="7696" width="9.140625" style="129"/>
    <col min="7697" max="7697" width="12.42578125" style="129" bestFit="1" customWidth="1"/>
    <col min="7698" max="7936" width="9.140625" style="129"/>
    <col min="7937" max="7937" width="11.28515625" style="129" customWidth="1"/>
    <col min="7938" max="7938" width="53.42578125" style="129" customWidth="1"/>
    <col min="7939" max="7939" width="6.7109375" style="129" bestFit="1" customWidth="1"/>
    <col min="7940" max="7940" width="3" style="129" customWidth="1"/>
    <col min="7941" max="7941" width="6.7109375" style="129" customWidth="1"/>
    <col min="7942" max="7942" width="8.5703125" style="129" customWidth="1"/>
    <col min="7943" max="7943" width="9.42578125" style="129" customWidth="1"/>
    <col min="7944" max="7944" width="8" style="129" bestFit="1" customWidth="1"/>
    <col min="7945" max="7945" width="12.7109375" style="129" bestFit="1" customWidth="1"/>
    <col min="7946" max="7946" width="7.7109375" style="129" customWidth="1"/>
    <col min="7947" max="7947" width="31" style="129" customWidth="1"/>
    <col min="7948" max="7948" width="5.5703125" style="129" bestFit="1" customWidth="1"/>
    <col min="7949" max="7949" width="7.140625" style="129" customWidth="1"/>
    <col min="7950" max="7951" width="6.140625" style="129" bestFit="1" customWidth="1"/>
    <col min="7952" max="7952" width="9.140625" style="129"/>
    <col min="7953" max="7953" width="12.42578125" style="129" bestFit="1" customWidth="1"/>
    <col min="7954" max="8192" width="9.140625" style="129"/>
    <col min="8193" max="8193" width="11.28515625" style="129" customWidth="1"/>
    <col min="8194" max="8194" width="53.42578125" style="129" customWidth="1"/>
    <col min="8195" max="8195" width="6.7109375" style="129" bestFit="1" customWidth="1"/>
    <col min="8196" max="8196" width="3" style="129" customWidth="1"/>
    <col min="8197" max="8197" width="6.7109375" style="129" customWidth="1"/>
    <col min="8198" max="8198" width="8.5703125" style="129" customWidth="1"/>
    <col min="8199" max="8199" width="9.42578125" style="129" customWidth="1"/>
    <col min="8200" max="8200" width="8" style="129" bestFit="1" customWidth="1"/>
    <col min="8201" max="8201" width="12.7109375" style="129" bestFit="1" customWidth="1"/>
    <col min="8202" max="8202" width="7.7109375" style="129" customWidth="1"/>
    <col min="8203" max="8203" width="31" style="129" customWidth="1"/>
    <col min="8204" max="8204" width="5.5703125" style="129" bestFit="1" customWidth="1"/>
    <col min="8205" max="8205" width="7.140625" style="129" customWidth="1"/>
    <col min="8206" max="8207" width="6.140625" style="129" bestFit="1" customWidth="1"/>
    <col min="8208" max="8208" width="9.140625" style="129"/>
    <col min="8209" max="8209" width="12.42578125" style="129" bestFit="1" customWidth="1"/>
    <col min="8210" max="8448" width="9.140625" style="129"/>
    <col min="8449" max="8449" width="11.28515625" style="129" customWidth="1"/>
    <col min="8450" max="8450" width="53.42578125" style="129" customWidth="1"/>
    <col min="8451" max="8451" width="6.7109375" style="129" bestFit="1" customWidth="1"/>
    <col min="8452" max="8452" width="3" style="129" customWidth="1"/>
    <col min="8453" max="8453" width="6.7109375" style="129" customWidth="1"/>
    <col min="8454" max="8454" width="8.5703125" style="129" customWidth="1"/>
    <col min="8455" max="8455" width="9.42578125" style="129" customWidth="1"/>
    <col min="8456" max="8456" width="8" style="129" bestFit="1" customWidth="1"/>
    <col min="8457" max="8457" width="12.7109375" style="129" bestFit="1" customWidth="1"/>
    <col min="8458" max="8458" width="7.7109375" style="129" customWidth="1"/>
    <col min="8459" max="8459" width="31" style="129" customWidth="1"/>
    <col min="8460" max="8460" width="5.5703125" style="129" bestFit="1" customWidth="1"/>
    <col min="8461" max="8461" width="7.140625" style="129" customWidth="1"/>
    <col min="8462" max="8463" width="6.140625" style="129" bestFit="1" customWidth="1"/>
    <col min="8464" max="8464" width="9.140625" style="129"/>
    <col min="8465" max="8465" width="12.42578125" style="129" bestFit="1" customWidth="1"/>
    <col min="8466" max="8704" width="9.140625" style="129"/>
    <col min="8705" max="8705" width="11.28515625" style="129" customWidth="1"/>
    <col min="8706" max="8706" width="53.42578125" style="129" customWidth="1"/>
    <col min="8707" max="8707" width="6.7109375" style="129" bestFit="1" customWidth="1"/>
    <col min="8708" max="8708" width="3" style="129" customWidth="1"/>
    <col min="8709" max="8709" width="6.7109375" style="129" customWidth="1"/>
    <col min="8710" max="8710" width="8.5703125" style="129" customWidth="1"/>
    <col min="8711" max="8711" width="9.42578125" style="129" customWidth="1"/>
    <col min="8712" max="8712" width="8" style="129" bestFit="1" customWidth="1"/>
    <col min="8713" max="8713" width="12.7109375" style="129" bestFit="1" customWidth="1"/>
    <col min="8714" max="8714" width="7.7109375" style="129" customWidth="1"/>
    <col min="8715" max="8715" width="31" style="129" customWidth="1"/>
    <col min="8716" max="8716" width="5.5703125" style="129" bestFit="1" customWidth="1"/>
    <col min="8717" max="8717" width="7.140625" style="129" customWidth="1"/>
    <col min="8718" max="8719" width="6.140625" style="129" bestFit="1" customWidth="1"/>
    <col min="8720" max="8720" width="9.140625" style="129"/>
    <col min="8721" max="8721" width="12.42578125" style="129" bestFit="1" customWidth="1"/>
    <col min="8722" max="8960" width="9.140625" style="129"/>
    <col min="8961" max="8961" width="11.28515625" style="129" customWidth="1"/>
    <col min="8962" max="8962" width="53.42578125" style="129" customWidth="1"/>
    <col min="8963" max="8963" width="6.7109375" style="129" bestFit="1" customWidth="1"/>
    <col min="8964" max="8964" width="3" style="129" customWidth="1"/>
    <col min="8965" max="8965" width="6.7109375" style="129" customWidth="1"/>
    <col min="8966" max="8966" width="8.5703125" style="129" customWidth="1"/>
    <col min="8967" max="8967" width="9.42578125" style="129" customWidth="1"/>
    <col min="8968" max="8968" width="8" style="129" bestFit="1" customWidth="1"/>
    <col min="8969" max="8969" width="12.7109375" style="129" bestFit="1" customWidth="1"/>
    <col min="8970" max="8970" width="7.7109375" style="129" customWidth="1"/>
    <col min="8971" max="8971" width="31" style="129" customWidth="1"/>
    <col min="8972" max="8972" width="5.5703125" style="129" bestFit="1" customWidth="1"/>
    <col min="8973" max="8973" width="7.140625" style="129" customWidth="1"/>
    <col min="8974" max="8975" width="6.140625" style="129" bestFit="1" customWidth="1"/>
    <col min="8976" max="8976" width="9.140625" style="129"/>
    <col min="8977" max="8977" width="12.42578125" style="129" bestFit="1" customWidth="1"/>
    <col min="8978" max="9216" width="9.140625" style="129"/>
    <col min="9217" max="9217" width="11.28515625" style="129" customWidth="1"/>
    <col min="9218" max="9218" width="53.42578125" style="129" customWidth="1"/>
    <col min="9219" max="9219" width="6.7109375" style="129" bestFit="1" customWidth="1"/>
    <col min="9220" max="9220" width="3" style="129" customWidth="1"/>
    <col min="9221" max="9221" width="6.7109375" style="129" customWidth="1"/>
    <col min="9222" max="9222" width="8.5703125" style="129" customWidth="1"/>
    <col min="9223" max="9223" width="9.42578125" style="129" customWidth="1"/>
    <col min="9224" max="9224" width="8" style="129" bestFit="1" customWidth="1"/>
    <col min="9225" max="9225" width="12.7109375" style="129" bestFit="1" customWidth="1"/>
    <col min="9226" max="9226" width="7.7109375" style="129" customWidth="1"/>
    <col min="9227" max="9227" width="31" style="129" customWidth="1"/>
    <col min="9228" max="9228" width="5.5703125" style="129" bestFit="1" customWidth="1"/>
    <col min="9229" max="9229" width="7.140625" style="129" customWidth="1"/>
    <col min="9230" max="9231" width="6.140625" style="129" bestFit="1" customWidth="1"/>
    <col min="9232" max="9232" width="9.140625" style="129"/>
    <col min="9233" max="9233" width="12.42578125" style="129" bestFit="1" customWidth="1"/>
    <col min="9234" max="9472" width="9.140625" style="129"/>
    <col min="9473" max="9473" width="11.28515625" style="129" customWidth="1"/>
    <col min="9474" max="9474" width="53.42578125" style="129" customWidth="1"/>
    <col min="9475" max="9475" width="6.7109375" style="129" bestFit="1" customWidth="1"/>
    <col min="9476" max="9476" width="3" style="129" customWidth="1"/>
    <col min="9477" max="9477" width="6.7109375" style="129" customWidth="1"/>
    <col min="9478" max="9478" width="8.5703125" style="129" customWidth="1"/>
    <col min="9479" max="9479" width="9.42578125" style="129" customWidth="1"/>
    <col min="9480" max="9480" width="8" style="129" bestFit="1" customWidth="1"/>
    <col min="9481" max="9481" width="12.7109375" style="129" bestFit="1" customWidth="1"/>
    <col min="9482" max="9482" width="7.7109375" style="129" customWidth="1"/>
    <col min="9483" max="9483" width="31" style="129" customWidth="1"/>
    <col min="9484" max="9484" width="5.5703125" style="129" bestFit="1" customWidth="1"/>
    <col min="9485" max="9485" width="7.140625" style="129" customWidth="1"/>
    <col min="9486" max="9487" width="6.140625" style="129" bestFit="1" customWidth="1"/>
    <col min="9488" max="9488" width="9.140625" style="129"/>
    <col min="9489" max="9489" width="12.42578125" style="129" bestFit="1" customWidth="1"/>
    <col min="9490" max="9728" width="9.140625" style="129"/>
    <col min="9729" max="9729" width="11.28515625" style="129" customWidth="1"/>
    <col min="9730" max="9730" width="53.42578125" style="129" customWidth="1"/>
    <col min="9731" max="9731" width="6.7109375" style="129" bestFit="1" customWidth="1"/>
    <col min="9732" max="9732" width="3" style="129" customWidth="1"/>
    <col min="9733" max="9733" width="6.7109375" style="129" customWidth="1"/>
    <col min="9734" max="9734" width="8.5703125" style="129" customWidth="1"/>
    <col min="9735" max="9735" width="9.42578125" style="129" customWidth="1"/>
    <col min="9736" max="9736" width="8" style="129" bestFit="1" customWidth="1"/>
    <col min="9737" max="9737" width="12.7109375" style="129" bestFit="1" customWidth="1"/>
    <col min="9738" max="9738" width="7.7109375" style="129" customWidth="1"/>
    <col min="9739" max="9739" width="31" style="129" customWidth="1"/>
    <col min="9740" max="9740" width="5.5703125" style="129" bestFit="1" customWidth="1"/>
    <col min="9741" max="9741" width="7.140625" style="129" customWidth="1"/>
    <col min="9742" max="9743" width="6.140625" style="129" bestFit="1" customWidth="1"/>
    <col min="9744" max="9744" width="9.140625" style="129"/>
    <col min="9745" max="9745" width="12.42578125" style="129" bestFit="1" customWidth="1"/>
    <col min="9746" max="9984" width="9.140625" style="129"/>
    <col min="9985" max="9985" width="11.28515625" style="129" customWidth="1"/>
    <col min="9986" max="9986" width="53.42578125" style="129" customWidth="1"/>
    <col min="9987" max="9987" width="6.7109375" style="129" bestFit="1" customWidth="1"/>
    <col min="9988" max="9988" width="3" style="129" customWidth="1"/>
    <col min="9989" max="9989" width="6.7109375" style="129" customWidth="1"/>
    <col min="9990" max="9990" width="8.5703125" style="129" customWidth="1"/>
    <col min="9991" max="9991" width="9.42578125" style="129" customWidth="1"/>
    <col min="9992" max="9992" width="8" style="129" bestFit="1" customWidth="1"/>
    <col min="9993" max="9993" width="12.7109375" style="129" bestFit="1" customWidth="1"/>
    <col min="9994" max="9994" width="7.7109375" style="129" customWidth="1"/>
    <col min="9995" max="9995" width="31" style="129" customWidth="1"/>
    <col min="9996" max="9996" width="5.5703125" style="129" bestFit="1" customWidth="1"/>
    <col min="9997" max="9997" width="7.140625" style="129" customWidth="1"/>
    <col min="9998" max="9999" width="6.140625" style="129" bestFit="1" customWidth="1"/>
    <col min="10000" max="10000" width="9.140625" style="129"/>
    <col min="10001" max="10001" width="12.42578125" style="129" bestFit="1" customWidth="1"/>
    <col min="10002" max="10240" width="9.140625" style="129"/>
    <col min="10241" max="10241" width="11.28515625" style="129" customWidth="1"/>
    <col min="10242" max="10242" width="53.42578125" style="129" customWidth="1"/>
    <col min="10243" max="10243" width="6.7109375" style="129" bestFit="1" customWidth="1"/>
    <col min="10244" max="10244" width="3" style="129" customWidth="1"/>
    <col min="10245" max="10245" width="6.7109375" style="129" customWidth="1"/>
    <col min="10246" max="10246" width="8.5703125" style="129" customWidth="1"/>
    <col min="10247" max="10247" width="9.42578125" style="129" customWidth="1"/>
    <col min="10248" max="10248" width="8" style="129" bestFit="1" customWidth="1"/>
    <col min="10249" max="10249" width="12.7109375" style="129" bestFit="1" customWidth="1"/>
    <col min="10250" max="10250" width="7.7109375" style="129" customWidth="1"/>
    <col min="10251" max="10251" width="31" style="129" customWidth="1"/>
    <col min="10252" max="10252" width="5.5703125" style="129" bestFit="1" customWidth="1"/>
    <col min="10253" max="10253" width="7.140625" style="129" customWidth="1"/>
    <col min="10254" max="10255" width="6.140625" style="129" bestFit="1" customWidth="1"/>
    <col min="10256" max="10256" width="9.140625" style="129"/>
    <col min="10257" max="10257" width="12.42578125" style="129" bestFit="1" customWidth="1"/>
    <col min="10258" max="10496" width="9.140625" style="129"/>
    <col min="10497" max="10497" width="11.28515625" style="129" customWidth="1"/>
    <col min="10498" max="10498" width="53.42578125" style="129" customWidth="1"/>
    <col min="10499" max="10499" width="6.7109375" style="129" bestFit="1" customWidth="1"/>
    <col min="10500" max="10500" width="3" style="129" customWidth="1"/>
    <col min="10501" max="10501" width="6.7109375" style="129" customWidth="1"/>
    <col min="10502" max="10502" width="8.5703125" style="129" customWidth="1"/>
    <col min="10503" max="10503" width="9.42578125" style="129" customWidth="1"/>
    <col min="10504" max="10504" width="8" style="129" bestFit="1" customWidth="1"/>
    <col min="10505" max="10505" width="12.7109375" style="129" bestFit="1" customWidth="1"/>
    <col min="10506" max="10506" width="7.7109375" style="129" customWidth="1"/>
    <col min="10507" max="10507" width="31" style="129" customWidth="1"/>
    <col min="10508" max="10508" width="5.5703125" style="129" bestFit="1" customWidth="1"/>
    <col min="10509" max="10509" width="7.140625" style="129" customWidth="1"/>
    <col min="10510" max="10511" width="6.140625" style="129" bestFit="1" customWidth="1"/>
    <col min="10512" max="10512" width="9.140625" style="129"/>
    <col min="10513" max="10513" width="12.42578125" style="129" bestFit="1" customWidth="1"/>
    <col min="10514" max="10752" width="9.140625" style="129"/>
    <col min="10753" max="10753" width="11.28515625" style="129" customWidth="1"/>
    <col min="10754" max="10754" width="53.42578125" style="129" customWidth="1"/>
    <col min="10755" max="10755" width="6.7109375" style="129" bestFit="1" customWidth="1"/>
    <col min="10756" max="10756" width="3" style="129" customWidth="1"/>
    <col min="10757" max="10757" width="6.7109375" style="129" customWidth="1"/>
    <col min="10758" max="10758" width="8.5703125" style="129" customWidth="1"/>
    <col min="10759" max="10759" width="9.42578125" style="129" customWidth="1"/>
    <col min="10760" max="10760" width="8" style="129" bestFit="1" customWidth="1"/>
    <col min="10761" max="10761" width="12.7109375" style="129" bestFit="1" customWidth="1"/>
    <col min="10762" max="10762" width="7.7109375" style="129" customWidth="1"/>
    <col min="10763" max="10763" width="31" style="129" customWidth="1"/>
    <col min="10764" max="10764" width="5.5703125" style="129" bestFit="1" customWidth="1"/>
    <col min="10765" max="10765" width="7.140625" style="129" customWidth="1"/>
    <col min="10766" max="10767" width="6.140625" style="129" bestFit="1" customWidth="1"/>
    <col min="10768" max="10768" width="9.140625" style="129"/>
    <col min="10769" max="10769" width="12.42578125" style="129" bestFit="1" customWidth="1"/>
    <col min="10770" max="11008" width="9.140625" style="129"/>
    <col min="11009" max="11009" width="11.28515625" style="129" customWidth="1"/>
    <col min="11010" max="11010" width="53.42578125" style="129" customWidth="1"/>
    <col min="11011" max="11011" width="6.7109375" style="129" bestFit="1" customWidth="1"/>
    <col min="11012" max="11012" width="3" style="129" customWidth="1"/>
    <col min="11013" max="11013" width="6.7109375" style="129" customWidth="1"/>
    <col min="11014" max="11014" width="8.5703125" style="129" customWidth="1"/>
    <col min="11015" max="11015" width="9.42578125" style="129" customWidth="1"/>
    <col min="11016" max="11016" width="8" style="129" bestFit="1" customWidth="1"/>
    <col min="11017" max="11017" width="12.7109375" style="129" bestFit="1" customWidth="1"/>
    <col min="11018" max="11018" width="7.7109375" style="129" customWidth="1"/>
    <col min="11019" max="11019" width="31" style="129" customWidth="1"/>
    <col min="11020" max="11020" width="5.5703125" style="129" bestFit="1" customWidth="1"/>
    <col min="11021" max="11021" width="7.140625" style="129" customWidth="1"/>
    <col min="11022" max="11023" width="6.140625" style="129" bestFit="1" customWidth="1"/>
    <col min="11024" max="11024" width="9.140625" style="129"/>
    <col min="11025" max="11025" width="12.42578125" style="129" bestFit="1" customWidth="1"/>
    <col min="11026" max="11264" width="9.140625" style="129"/>
    <col min="11265" max="11265" width="11.28515625" style="129" customWidth="1"/>
    <col min="11266" max="11266" width="53.42578125" style="129" customWidth="1"/>
    <col min="11267" max="11267" width="6.7109375" style="129" bestFit="1" customWidth="1"/>
    <col min="11268" max="11268" width="3" style="129" customWidth="1"/>
    <col min="11269" max="11269" width="6.7109375" style="129" customWidth="1"/>
    <col min="11270" max="11270" width="8.5703125" style="129" customWidth="1"/>
    <col min="11271" max="11271" width="9.42578125" style="129" customWidth="1"/>
    <col min="11272" max="11272" width="8" style="129" bestFit="1" customWidth="1"/>
    <col min="11273" max="11273" width="12.7109375" style="129" bestFit="1" customWidth="1"/>
    <col min="11274" max="11274" width="7.7109375" style="129" customWidth="1"/>
    <col min="11275" max="11275" width="31" style="129" customWidth="1"/>
    <col min="11276" max="11276" width="5.5703125" style="129" bestFit="1" customWidth="1"/>
    <col min="11277" max="11277" width="7.140625" style="129" customWidth="1"/>
    <col min="11278" max="11279" width="6.140625" style="129" bestFit="1" customWidth="1"/>
    <col min="11280" max="11280" width="9.140625" style="129"/>
    <col min="11281" max="11281" width="12.42578125" style="129" bestFit="1" customWidth="1"/>
    <col min="11282" max="11520" width="9.140625" style="129"/>
    <col min="11521" max="11521" width="11.28515625" style="129" customWidth="1"/>
    <col min="11522" max="11522" width="53.42578125" style="129" customWidth="1"/>
    <col min="11523" max="11523" width="6.7109375" style="129" bestFit="1" customWidth="1"/>
    <col min="11524" max="11524" width="3" style="129" customWidth="1"/>
    <col min="11525" max="11525" width="6.7109375" style="129" customWidth="1"/>
    <col min="11526" max="11526" width="8.5703125" style="129" customWidth="1"/>
    <col min="11527" max="11527" width="9.42578125" style="129" customWidth="1"/>
    <col min="11528" max="11528" width="8" style="129" bestFit="1" customWidth="1"/>
    <col min="11529" max="11529" width="12.7109375" style="129" bestFit="1" customWidth="1"/>
    <col min="11530" max="11530" width="7.7109375" style="129" customWidth="1"/>
    <col min="11531" max="11531" width="31" style="129" customWidth="1"/>
    <col min="11532" max="11532" width="5.5703125" style="129" bestFit="1" customWidth="1"/>
    <col min="11533" max="11533" width="7.140625" style="129" customWidth="1"/>
    <col min="11534" max="11535" width="6.140625" style="129" bestFit="1" customWidth="1"/>
    <col min="11536" max="11536" width="9.140625" style="129"/>
    <col min="11537" max="11537" width="12.42578125" style="129" bestFit="1" customWidth="1"/>
    <col min="11538" max="11776" width="9.140625" style="129"/>
    <col min="11777" max="11777" width="11.28515625" style="129" customWidth="1"/>
    <col min="11778" max="11778" width="53.42578125" style="129" customWidth="1"/>
    <col min="11779" max="11779" width="6.7109375" style="129" bestFit="1" customWidth="1"/>
    <col min="11780" max="11780" width="3" style="129" customWidth="1"/>
    <col min="11781" max="11781" width="6.7109375" style="129" customWidth="1"/>
    <col min="11782" max="11782" width="8.5703125" style="129" customWidth="1"/>
    <col min="11783" max="11783" width="9.42578125" style="129" customWidth="1"/>
    <col min="11784" max="11784" width="8" style="129" bestFit="1" customWidth="1"/>
    <col min="11785" max="11785" width="12.7109375" style="129" bestFit="1" customWidth="1"/>
    <col min="11786" max="11786" width="7.7109375" style="129" customWidth="1"/>
    <col min="11787" max="11787" width="31" style="129" customWidth="1"/>
    <col min="11788" max="11788" width="5.5703125" style="129" bestFit="1" customWidth="1"/>
    <col min="11789" max="11789" width="7.140625" style="129" customWidth="1"/>
    <col min="11790" max="11791" width="6.140625" style="129" bestFit="1" customWidth="1"/>
    <col min="11792" max="11792" width="9.140625" style="129"/>
    <col min="11793" max="11793" width="12.42578125" style="129" bestFit="1" customWidth="1"/>
    <col min="11794" max="12032" width="9.140625" style="129"/>
    <col min="12033" max="12033" width="11.28515625" style="129" customWidth="1"/>
    <col min="12034" max="12034" width="53.42578125" style="129" customWidth="1"/>
    <col min="12035" max="12035" width="6.7109375" style="129" bestFit="1" customWidth="1"/>
    <col min="12036" max="12036" width="3" style="129" customWidth="1"/>
    <col min="12037" max="12037" width="6.7109375" style="129" customWidth="1"/>
    <col min="12038" max="12038" width="8.5703125" style="129" customWidth="1"/>
    <col min="12039" max="12039" width="9.42578125" style="129" customWidth="1"/>
    <col min="12040" max="12040" width="8" style="129" bestFit="1" customWidth="1"/>
    <col min="12041" max="12041" width="12.7109375" style="129" bestFit="1" customWidth="1"/>
    <col min="12042" max="12042" width="7.7109375" style="129" customWidth="1"/>
    <col min="12043" max="12043" width="31" style="129" customWidth="1"/>
    <col min="12044" max="12044" width="5.5703125" style="129" bestFit="1" customWidth="1"/>
    <col min="12045" max="12045" width="7.140625" style="129" customWidth="1"/>
    <col min="12046" max="12047" width="6.140625" style="129" bestFit="1" customWidth="1"/>
    <col min="12048" max="12048" width="9.140625" style="129"/>
    <col min="12049" max="12049" width="12.42578125" style="129" bestFit="1" customWidth="1"/>
    <col min="12050" max="12288" width="9.140625" style="129"/>
    <col min="12289" max="12289" width="11.28515625" style="129" customWidth="1"/>
    <col min="12290" max="12290" width="53.42578125" style="129" customWidth="1"/>
    <col min="12291" max="12291" width="6.7109375" style="129" bestFit="1" customWidth="1"/>
    <col min="12292" max="12292" width="3" style="129" customWidth="1"/>
    <col min="12293" max="12293" width="6.7109375" style="129" customWidth="1"/>
    <col min="12294" max="12294" width="8.5703125" style="129" customWidth="1"/>
    <col min="12295" max="12295" width="9.42578125" style="129" customWidth="1"/>
    <col min="12296" max="12296" width="8" style="129" bestFit="1" customWidth="1"/>
    <col min="12297" max="12297" width="12.7109375" style="129" bestFit="1" customWidth="1"/>
    <col min="12298" max="12298" width="7.7109375" style="129" customWidth="1"/>
    <col min="12299" max="12299" width="31" style="129" customWidth="1"/>
    <col min="12300" max="12300" width="5.5703125" style="129" bestFit="1" customWidth="1"/>
    <col min="12301" max="12301" width="7.140625" style="129" customWidth="1"/>
    <col min="12302" max="12303" width="6.140625" style="129" bestFit="1" customWidth="1"/>
    <col min="12304" max="12304" width="9.140625" style="129"/>
    <col min="12305" max="12305" width="12.42578125" style="129" bestFit="1" customWidth="1"/>
    <col min="12306" max="12544" width="9.140625" style="129"/>
    <col min="12545" max="12545" width="11.28515625" style="129" customWidth="1"/>
    <col min="12546" max="12546" width="53.42578125" style="129" customWidth="1"/>
    <col min="12547" max="12547" width="6.7109375" style="129" bestFit="1" customWidth="1"/>
    <col min="12548" max="12548" width="3" style="129" customWidth="1"/>
    <col min="12549" max="12549" width="6.7109375" style="129" customWidth="1"/>
    <col min="12550" max="12550" width="8.5703125" style="129" customWidth="1"/>
    <col min="12551" max="12551" width="9.42578125" style="129" customWidth="1"/>
    <col min="12552" max="12552" width="8" style="129" bestFit="1" customWidth="1"/>
    <col min="12553" max="12553" width="12.7109375" style="129" bestFit="1" customWidth="1"/>
    <col min="12554" max="12554" width="7.7109375" style="129" customWidth="1"/>
    <col min="12555" max="12555" width="31" style="129" customWidth="1"/>
    <col min="12556" max="12556" width="5.5703125" style="129" bestFit="1" customWidth="1"/>
    <col min="12557" max="12557" width="7.140625" style="129" customWidth="1"/>
    <col min="12558" max="12559" width="6.140625" style="129" bestFit="1" customWidth="1"/>
    <col min="12560" max="12560" width="9.140625" style="129"/>
    <col min="12561" max="12561" width="12.42578125" style="129" bestFit="1" customWidth="1"/>
    <col min="12562" max="12800" width="9.140625" style="129"/>
    <col min="12801" max="12801" width="11.28515625" style="129" customWidth="1"/>
    <col min="12802" max="12802" width="53.42578125" style="129" customWidth="1"/>
    <col min="12803" max="12803" width="6.7109375" style="129" bestFit="1" customWidth="1"/>
    <col min="12804" max="12804" width="3" style="129" customWidth="1"/>
    <col min="12805" max="12805" width="6.7109375" style="129" customWidth="1"/>
    <col min="12806" max="12806" width="8.5703125" style="129" customWidth="1"/>
    <col min="12807" max="12807" width="9.42578125" style="129" customWidth="1"/>
    <col min="12808" max="12808" width="8" style="129" bestFit="1" customWidth="1"/>
    <col min="12809" max="12809" width="12.7109375" style="129" bestFit="1" customWidth="1"/>
    <col min="12810" max="12810" width="7.7109375" style="129" customWidth="1"/>
    <col min="12811" max="12811" width="31" style="129" customWidth="1"/>
    <col min="12812" max="12812" width="5.5703125" style="129" bestFit="1" customWidth="1"/>
    <col min="12813" max="12813" width="7.140625" style="129" customWidth="1"/>
    <col min="12814" max="12815" width="6.140625" style="129" bestFit="1" customWidth="1"/>
    <col min="12816" max="12816" width="9.140625" style="129"/>
    <col min="12817" max="12817" width="12.42578125" style="129" bestFit="1" customWidth="1"/>
    <col min="12818" max="13056" width="9.140625" style="129"/>
    <col min="13057" max="13057" width="11.28515625" style="129" customWidth="1"/>
    <col min="13058" max="13058" width="53.42578125" style="129" customWidth="1"/>
    <col min="13059" max="13059" width="6.7109375" style="129" bestFit="1" customWidth="1"/>
    <col min="13060" max="13060" width="3" style="129" customWidth="1"/>
    <col min="13061" max="13061" width="6.7109375" style="129" customWidth="1"/>
    <col min="13062" max="13062" width="8.5703125" style="129" customWidth="1"/>
    <col min="13063" max="13063" width="9.42578125" style="129" customWidth="1"/>
    <col min="13064" max="13064" width="8" style="129" bestFit="1" customWidth="1"/>
    <col min="13065" max="13065" width="12.7109375" style="129" bestFit="1" customWidth="1"/>
    <col min="13066" max="13066" width="7.7109375" style="129" customWidth="1"/>
    <col min="13067" max="13067" width="31" style="129" customWidth="1"/>
    <col min="13068" max="13068" width="5.5703125" style="129" bestFit="1" customWidth="1"/>
    <col min="13069" max="13069" width="7.140625" style="129" customWidth="1"/>
    <col min="13070" max="13071" width="6.140625" style="129" bestFit="1" customWidth="1"/>
    <col min="13072" max="13072" width="9.140625" style="129"/>
    <col min="13073" max="13073" width="12.42578125" style="129" bestFit="1" customWidth="1"/>
    <col min="13074" max="13312" width="9.140625" style="129"/>
    <col min="13313" max="13313" width="11.28515625" style="129" customWidth="1"/>
    <col min="13314" max="13314" width="53.42578125" style="129" customWidth="1"/>
    <col min="13315" max="13315" width="6.7109375" style="129" bestFit="1" customWidth="1"/>
    <col min="13316" max="13316" width="3" style="129" customWidth="1"/>
    <col min="13317" max="13317" width="6.7109375" style="129" customWidth="1"/>
    <col min="13318" max="13318" width="8.5703125" style="129" customWidth="1"/>
    <col min="13319" max="13319" width="9.42578125" style="129" customWidth="1"/>
    <col min="13320" max="13320" width="8" style="129" bestFit="1" customWidth="1"/>
    <col min="13321" max="13321" width="12.7109375" style="129" bestFit="1" customWidth="1"/>
    <col min="13322" max="13322" width="7.7109375" style="129" customWidth="1"/>
    <col min="13323" max="13323" width="31" style="129" customWidth="1"/>
    <col min="13324" max="13324" width="5.5703125" style="129" bestFit="1" customWidth="1"/>
    <col min="13325" max="13325" width="7.140625" style="129" customWidth="1"/>
    <col min="13326" max="13327" width="6.140625" style="129" bestFit="1" customWidth="1"/>
    <col min="13328" max="13328" width="9.140625" style="129"/>
    <col min="13329" max="13329" width="12.42578125" style="129" bestFit="1" customWidth="1"/>
    <col min="13330" max="13568" width="9.140625" style="129"/>
    <col min="13569" max="13569" width="11.28515625" style="129" customWidth="1"/>
    <col min="13570" max="13570" width="53.42578125" style="129" customWidth="1"/>
    <col min="13571" max="13571" width="6.7109375" style="129" bestFit="1" customWidth="1"/>
    <col min="13572" max="13572" width="3" style="129" customWidth="1"/>
    <col min="13573" max="13573" width="6.7109375" style="129" customWidth="1"/>
    <col min="13574" max="13574" width="8.5703125" style="129" customWidth="1"/>
    <col min="13575" max="13575" width="9.42578125" style="129" customWidth="1"/>
    <col min="13576" max="13576" width="8" style="129" bestFit="1" customWidth="1"/>
    <col min="13577" max="13577" width="12.7109375" style="129" bestFit="1" customWidth="1"/>
    <col min="13578" max="13578" width="7.7109375" style="129" customWidth="1"/>
    <col min="13579" max="13579" width="31" style="129" customWidth="1"/>
    <col min="13580" max="13580" width="5.5703125" style="129" bestFit="1" customWidth="1"/>
    <col min="13581" max="13581" width="7.140625" style="129" customWidth="1"/>
    <col min="13582" max="13583" width="6.140625" style="129" bestFit="1" customWidth="1"/>
    <col min="13584" max="13584" width="9.140625" style="129"/>
    <col min="13585" max="13585" width="12.42578125" style="129" bestFit="1" customWidth="1"/>
    <col min="13586" max="13824" width="9.140625" style="129"/>
    <col min="13825" max="13825" width="11.28515625" style="129" customWidth="1"/>
    <col min="13826" max="13826" width="53.42578125" style="129" customWidth="1"/>
    <col min="13827" max="13827" width="6.7109375" style="129" bestFit="1" customWidth="1"/>
    <col min="13828" max="13828" width="3" style="129" customWidth="1"/>
    <col min="13829" max="13829" width="6.7109375" style="129" customWidth="1"/>
    <col min="13830" max="13830" width="8.5703125" style="129" customWidth="1"/>
    <col min="13831" max="13831" width="9.42578125" style="129" customWidth="1"/>
    <col min="13832" max="13832" width="8" style="129" bestFit="1" customWidth="1"/>
    <col min="13833" max="13833" width="12.7109375" style="129" bestFit="1" customWidth="1"/>
    <col min="13834" max="13834" width="7.7109375" style="129" customWidth="1"/>
    <col min="13835" max="13835" width="31" style="129" customWidth="1"/>
    <col min="13836" max="13836" width="5.5703125" style="129" bestFit="1" customWidth="1"/>
    <col min="13837" max="13837" width="7.140625" style="129" customWidth="1"/>
    <col min="13838" max="13839" width="6.140625" style="129" bestFit="1" customWidth="1"/>
    <col min="13840" max="13840" width="9.140625" style="129"/>
    <col min="13841" max="13841" width="12.42578125" style="129" bestFit="1" customWidth="1"/>
    <col min="13842" max="14080" width="9.140625" style="129"/>
    <col min="14081" max="14081" width="11.28515625" style="129" customWidth="1"/>
    <col min="14082" max="14082" width="53.42578125" style="129" customWidth="1"/>
    <col min="14083" max="14083" width="6.7109375" style="129" bestFit="1" customWidth="1"/>
    <col min="14084" max="14084" width="3" style="129" customWidth="1"/>
    <col min="14085" max="14085" width="6.7109375" style="129" customWidth="1"/>
    <col min="14086" max="14086" width="8.5703125" style="129" customWidth="1"/>
    <col min="14087" max="14087" width="9.42578125" style="129" customWidth="1"/>
    <col min="14088" max="14088" width="8" style="129" bestFit="1" customWidth="1"/>
    <col min="14089" max="14089" width="12.7109375" style="129" bestFit="1" customWidth="1"/>
    <col min="14090" max="14090" width="7.7109375" style="129" customWidth="1"/>
    <col min="14091" max="14091" width="31" style="129" customWidth="1"/>
    <col min="14092" max="14092" width="5.5703125" style="129" bestFit="1" customWidth="1"/>
    <col min="14093" max="14093" width="7.140625" style="129" customWidth="1"/>
    <col min="14094" max="14095" width="6.140625" style="129" bestFit="1" customWidth="1"/>
    <col min="14096" max="14096" width="9.140625" style="129"/>
    <col min="14097" max="14097" width="12.42578125" style="129" bestFit="1" customWidth="1"/>
    <col min="14098" max="14336" width="9.140625" style="129"/>
    <col min="14337" max="14337" width="11.28515625" style="129" customWidth="1"/>
    <col min="14338" max="14338" width="53.42578125" style="129" customWidth="1"/>
    <col min="14339" max="14339" width="6.7109375" style="129" bestFit="1" customWidth="1"/>
    <col min="14340" max="14340" width="3" style="129" customWidth="1"/>
    <col min="14341" max="14341" width="6.7109375" style="129" customWidth="1"/>
    <col min="14342" max="14342" width="8.5703125" style="129" customWidth="1"/>
    <col min="14343" max="14343" width="9.42578125" style="129" customWidth="1"/>
    <col min="14344" max="14344" width="8" style="129" bestFit="1" customWidth="1"/>
    <col min="14345" max="14345" width="12.7109375" style="129" bestFit="1" customWidth="1"/>
    <col min="14346" max="14346" width="7.7109375" style="129" customWidth="1"/>
    <col min="14347" max="14347" width="31" style="129" customWidth="1"/>
    <col min="14348" max="14348" width="5.5703125" style="129" bestFit="1" customWidth="1"/>
    <col min="14349" max="14349" width="7.140625" style="129" customWidth="1"/>
    <col min="14350" max="14351" width="6.140625" style="129" bestFit="1" customWidth="1"/>
    <col min="14352" max="14352" width="9.140625" style="129"/>
    <col min="14353" max="14353" width="12.42578125" style="129" bestFit="1" customWidth="1"/>
    <col min="14354" max="14592" width="9.140625" style="129"/>
    <col min="14593" max="14593" width="11.28515625" style="129" customWidth="1"/>
    <col min="14594" max="14594" width="53.42578125" style="129" customWidth="1"/>
    <col min="14595" max="14595" width="6.7109375" style="129" bestFit="1" customWidth="1"/>
    <col min="14596" max="14596" width="3" style="129" customWidth="1"/>
    <col min="14597" max="14597" width="6.7109375" style="129" customWidth="1"/>
    <col min="14598" max="14598" width="8.5703125" style="129" customWidth="1"/>
    <col min="14599" max="14599" width="9.42578125" style="129" customWidth="1"/>
    <col min="14600" max="14600" width="8" style="129" bestFit="1" customWidth="1"/>
    <col min="14601" max="14601" width="12.7109375" style="129" bestFit="1" customWidth="1"/>
    <col min="14602" max="14602" width="7.7109375" style="129" customWidth="1"/>
    <col min="14603" max="14603" width="31" style="129" customWidth="1"/>
    <col min="14604" max="14604" width="5.5703125" style="129" bestFit="1" customWidth="1"/>
    <col min="14605" max="14605" width="7.140625" style="129" customWidth="1"/>
    <col min="14606" max="14607" width="6.140625" style="129" bestFit="1" customWidth="1"/>
    <col min="14608" max="14608" width="9.140625" style="129"/>
    <col min="14609" max="14609" width="12.42578125" style="129" bestFit="1" customWidth="1"/>
    <col min="14610" max="14848" width="9.140625" style="129"/>
    <col min="14849" max="14849" width="11.28515625" style="129" customWidth="1"/>
    <col min="14850" max="14850" width="53.42578125" style="129" customWidth="1"/>
    <col min="14851" max="14851" width="6.7109375" style="129" bestFit="1" customWidth="1"/>
    <col min="14852" max="14852" width="3" style="129" customWidth="1"/>
    <col min="14853" max="14853" width="6.7109375" style="129" customWidth="1"/>
    <col min="14854" max="14854" width="8.5703125" style="129" customWidth="1"/>
    <col min="14855" max="14855" width="9.42578125" style="129" customWidth="1"/>
    <col min="14856" max="14856" width="8" style="129" bestFit="1" customWidth="1"/>
    <col min="14857" max="14857" width="12.7109375" style="129" bestFit="1" customWidth="1"/>
    <col min="14858" max="14858" width="7.7109375" style="129" customWidth="1"/>
    <col min="14859" max="14859" width="31" style="129" customWidth="1"/>
    <col min="14860" max="14860" width="5.5703125" style="129" bestFit="1" customWidth="1"/>
    <col min="14861" max="14861" width="7.140625" style="129" customWidth="1"/>
    <col min="14862" max="14863" width="6.140625" style="129" bestFit="1" customWidth="1"/>
    <col min="14864" max="14864" width="9.140625" style="129"/>
    <col min="14865" max="14865" width="12.42578125" style="129" bestFit="1" customWidth="1"/>
    <col min="14866" max="15104" width="9.140625" style="129"/>
    <col min="15105" max="15105" width="11.28515625" style="129" customWidth="1"/>
    <col min="15106" max="15106" width="53.42578125" style="129" customWidth="1"/>
    <col min="15107" max="15107" width="6.7109375" style="129" bestFit="1" customWidth="1"/>
    <col min="15108" max="15108" width="3" style="129" customWidth="1"/>
    <col min="15109" max="15109" width="6.7109375" style="129" customWidth="1"/>
    <col min="15110" max="15110" width="8.5703125" style="129" customWidth="1"/>
    <col min="15111" max="15111" width="9.42578125" style="129" customWidth="1"/>
    <col min="15112" max="15112" width="8" style="129" bestFit="1" customWidth="1"/>
    <col min="15113" max="15113" width="12.7109375" style="129" bestFit="1" customWidth="1"/>
    <col min="15114" max="15114" width="7.7109375" style="129" customWidth="1"/>
    <col min="15115" max="15115" width="31" style="129" customWidth="1"/>
    <col min="15116" max="15116" width="5.5703125" style="129" bestFit="1" customWidth="1"/>
    <col min="15117" max="15117" width="7.140625" style="129" customWidth="1"/>
    <col min="15118" max="15119" width="6.140625" style="129" bestFit="1" customWidth="1"/>
    <col min="15120" max="15120" width="9.140625" style="129"/>
    <col min="15121" max="15121" width="12.42578125" style="129" bestFit="1" customWidth="1"/>
    <col min="15122" max="15360" width="9.140625" style="129"/>
    <col min="15361" max="15361" width="11.28515625" style="129" customWidth="1"/>
    <col min="15362" max="15362" width="53.42578125" style="129" customWidth="1"/>
    <col min="15363" max="15363" width="6.7109375" style="129" bestFit="1" customWidth="1"/>
    <col min="15364" max="15364" width="3" style="129" customWidth="1"/>
    <col min="15365" max="15365" width="6.7109375" style="129" customWidth="1"/>
    <col min="15366" max="15366" width="8.5703125" style="129" customWidth="1"/>
    <col min="15367" max="15367" width="9.42578125" style="129" customWidth="1"/>
    <col min="15368" max="15368" width="8" style="129" bestFit="1" customWidth="1"/>
    <col min="15369" max="15369" width="12.7109375" style="129" bestFit="1" customWidth="1"/>
    <col min="15370" max="15370" width="7.7109375" style="129" customWidth="1"/>
    <col min="15371" max="15371" width="31" style="129" customWidth="1"/>
    <col min="15372" max="15372" width="5.5703125" style="129" bestFit="1" customWidth="1"/>
    <col min="15373" max="15373" width="7.140625" style="129" customWidth="1"/>
    <col min="15374" max="15375" width="6.140625" style="129" bestFit="1" customWidth="1"/>
    <col min="15376" max="15376" width="9.140625" style="129"/>
    <col min="15377" max="15377" width="12.42578125" style="129" bestFit="1" customWidth="1"/>
    <col min="15378" max="15616" width="9.140625" style="129"/>
    <col min="15617" max="15617" width="11.28515625" style="129" customWidth="1"/>
    <col min="15618" max="15618" width="53.42578125" style="129" customWidth="1"/>
    <col min="15619" max="15619" width="6.7109375" style="129" bestFit="1" customWidth="1"/>
    <col min="15620" max="15620" width="3" style="129" customWidth="1"/>
    <col min="15621" max="15621" width="6.7109375" style="129" customWidth="1"/>
    <col min="15622" max="15622" width="8.5703125" style="129" customWidth="1"/>
    <col min="15623" max="15623" width="9.42578125" style="129" customWidth="1"/>
    <col min="15624" max="15624" width="8" style="129" bestFit="1" customWidth="1"/>
    <col min="15625" max="15625" width="12.7109375" style="129" bestFit="1" customWidth="1"/>
    <col min="15626" max="15626" width="7.7109375" style="129" customWidth="1"/>
    <col min="15627" max="15627" width="31" style="129" customWidth="1"/>
    <col min="15628" max="15628" width="5.5703125" style="129" bestFit="1" customWidth="1"/>
    <col min="15629" max="15629" width="7.140625" style="129" customWidth="1"/>
    <col min="15630" max="15631" width="6.140625" style="129" bestFit="1" customWidth="1"/>
    <col min="15632" max="15632" width="9.140625" style="129"/>
    <col min="15633" max="15633" width="12.42578125" style="129" bestFit="1" customWidth="1"/>
    <col min="15634" max="15872" width="9.140625" style="129"/>
    <col min="15873" max="15873" width="11.28515625" style="129" customWidth="1"/>
    <col min="15874" max="15874" width="53.42578125" style="129" customWidth="1"/>
    <col min="15875" max="15875" width="6.7109375" style="129" bestFit="1" customWidth="1"/>
    <col min="15876" max="15876" width="3" style="129" customWidth="1"/>
    <col min="15877" max="15877" width="6.7109375" style="129" customWidth="1"/>
    <col min="15878" max="15878" width="8.5703125" style="129" customWidth="1"/>
    <col min="15879" max="15879" width="9.42578125" style="129" customWidth="1"/>
    <col min="15880" max="15880" width="8" style="129" bestFit="1" customWidth="1"/>
    <col min="15881" max="15881" width="12.7109375" style="129" bestFit="1" customWidth="1"/>
    <col min="15882" max="15882" width="7.7109375" style="129" customWidth="1"/>
    <col min="15883" max="15883" width="31" style="129" customWidth="1"/>
    <col min="15884" max="15884" width="5.5703125" style="129" bestFit="1" customWidth="1"/>
    <col min="15885" max="15885" width="7.140625" style="129" customWidth="1"/>
    <col min="15886" max="15887" width="6.140625" style="129" bestFit="1" customWidth="1"/>
    <col min="15888" max="15888" width="9.140625" style="129"/>
    <col min="15889" max="15889" width="12.42578125" style="129" bestFit="1" customWidth="1"/>
    <col min="15890" max="16128" width="9.140625" style="129"/>
    <col min="16129" max="16129" width="11.28515625" style="129" customWidth="1"/>
    <col min="16130" max="16130" width="53.42578125" style="129" customWidth="1"/>
    <col min="16131" max="16131" width="6.7109375" style="129" bestFit="1" customWidth="1"/>
    <col min="16132" max="16132" width="3" style="129" customWidth="1"/>
    <col min="16133" max="16133" width="6.7109375" style="129" customWidth="1"/>
    <col min="16134" max="16134" width="8.5703125" style="129" customWidth="1"/>
    <col min="16135" max="16135" width="9.42578125" style="129" customWidth="1"/>
    <col min="16136" max="16136" width="8" style="129" bestFit="1" customWidth="1"/>
    <col min="16137" max="16137" width="12.7109375" style="129" bestFit="1" customWidth="1"/>
    <col min="16138" max="16138" width="7.7109375" style="129" customWidth="1"/>
    <col min="16139" max="16139" width="31" style="129" customWidth="1"/>
    <col min="16140" max="16140" width="5.5703125" style="129" bestFit="1" customWidth="1"/>
    <col min="16141" max="16141" width="7.140625" style="129" customWidth="1"/>
    <col min="16142" max="16143" width="6.140625" style="129" bestFit="1" customWidth="1"/>
    <col min="16144" max="16144" width="9.140625" style="129"/>
    <col min="16145" max="16145" width="12.42578125" style="129" bestFit="1" customWidth="1"/>
    <col min="16146" max="16384" width="9.140625" style="129"/>
  </cols>
  <sheetData>
    <row r="1" spans="1:10" s="136" customFormat="1" ht="45.75" customHeight="1">
      <c r="A1" s="134" t="s">
        <v>238</v>
      </c>
      <c r="B1" s="135"/>
      <c r="C1" s="135"/>
      <c r="D1" s="135"/>
      <c r="E1" s="135"/>
      <c r="F1" s="135"/>
      <c r="G1" s="135"/>
      <c r="H1" s="135"/>
      <c r="I1" s="135"/>
      <c r="J1" s="355"/>
    </row>
    <row r="2" spans="1:10" s="136" customFormat="1" ht="24.75" customHeight="1">
      <c r="A2" s="478" t="s">
        <v>239</v>
      </c>
      <c r="B2" s="479"/>
      <c r="C2" s="479"/>
      <c r="D2" s="479"/>
      <c r="E2" s="479"/>
      <c r="F2" s="479"/>
      <c r="G2" s="479"/>
      <c r="H2" s="479"/>
      <c r="I2" s="479"/>
      <c r="J2" s="356"/>
    </row>
    <row r="3" spans="1:10" s="136" customFormat="1" ht="21.75" customHeight="1">
      <c r="A3" s="480" t="s">
        <v>240</v>
      </c>
      <c r="B3" s="481" t="s">
        <v>241</v>
      </c>
      <c r="C3" s="482" t="s">
        <v>85</v>
      </c>
      <c r="D3" s="482"/>
      <c r="E3" s="482"/>
      <c r="F3" s="483" t="s">
        <v>242</v>
      </c>
      <c r="G3" s="483"/>
      <c r="H3" s="483"/>
      <c r="I3" s="484" t="s">
        <v>69</v>
      </c>
      <c r="J3" s="477" t="s">
        <v>243</v>
      </c>
    </row>
    <row r="4" spans="1:10" s="136" customFormat="1" ht="34.5" customHeight="1">
      <c r="A4" s="480"/>
      <c r="B4" s="481"/>
      <c r="C4" s="482"/>
      <c r="D4" s="482"/>
      <c r="E4" s="482"/>
      <c r="F4" s="137" t="s">
        <v>70</v>
      </c>
      <c r="G4" s="137" t="s">
        <v>71</v>
      </c>
      <c r="H4" s="137" t="s">
        <v>72</v>
      </c>
      <c r="I4" s="484"/>
      <c r="J4" s="477"/>
    </row>
    <row r="5" spans="1:10" s="136" customFormat="1" ht="51" customHeight="1">
      <c r="A5" s="348" t="s">
        <v>1444</v>
      </c>
      <c r="B5" s="347" t="s">
        <v>1445</v>
      </c>
      <c r="C5" s="279"/>
      <c r="D5" s="279"/>
      <c r="E5" s="279"/>
      <c r="F5" s="280"/>
      <c r="G5" s="280"/>
      <c r="H5" s="280"/>
      <c r="I5" s="281"/>
      <c r="J5" s="338"/>
    </row>
    <row r="6" spans="1:10" s="136" customFormat="1" ht="18.75" customHeight="1">
      <c r="A6" s="345"/>
      <c r="B6" s="347" t="s">
        <v>1446</v>
      </c>
      <c r="C6" s="346"/>
      <c r="D6" s="279"/>
      <c r="E6" s="279"/>
      <c r="F6" s="280"/>
      <c r="G6" s="280"/>
      <c r="H6" s="280"/>
      <c r="I6" s="281">
        <f>'[1]Excess details F &amp; B'!$H$14</f>
        <v>173.8434</v>
      </c>
      <c r="J6" s="338" t="str">
        <f>'[1]Excess details F &amp; B'!$I$14</f>
        <v>Cum</v>
      </c>
    </row>
    <row r="7" spans="1:10" s="136" customFormat="1" ht="18.75" customHeight="1">
      <c r="A7" s="345"/>
      <c r="B7" s="347"/>
      <c r="C7" s="393"/>
      <c r="D7" s="373"/>
      <c r="E7" s="373"/>
      <c r="F7" s="374"/>
      <c r="G7" s="374"/>
      <c r="H7" s="374"/>
      <c r="I7" s="375"/>
      <c r="J7" s="371"/>
    </row>
    <row r="8" spans="1:10" s="136" customFormat="1" ht="37.5" customHeight="1">
      <c r="A8" s="345">
        <v>2.2999999999999998</v>
      </c>
      <c r="B8" s="387" t="s">
        <v>1604</v>
      </c>
      <c r="C8" s="393"/>
      <c r="D8" s="373"/>
      <c r="E8" s="373"/>
      <c r="F8" s="374"/>
      <c r="G8" s="374"/>
      <c r="H8" s="374"/>
      <c r="I8" s="375"/>
      <c r="J8" s="371"/>
    </row>
    <row r="9" spans="1:10" s="136" customFormat="1" ht="18.75" customHeight="1">
      <c r="A9" s="345"/>
      <c r="B9" s="347" t="s">
        <v>1446</v>
      </c>
      <c r="C9" s="341"/>
      <c r="D9" s="373"/>
      <c r="E9" s="373"/>
      <c r="F9" s="374"/>
      <c r="G9" s="374"/>
      <c r="H9" s="374"/>
      <c r="I9" s="375">
        <v>4.8</v>
      </c>
      <c r="J9" s="371" t="str">
        <f>'[1]Excess details F &amp; B'!$I$14</f>
        <v>Cum</v>
      </c>
    </row>
    <row r="10" spans="1:10" s="136" customFormat="1" ht="18.75" customHeight="1">
      <c r="A10" s="345"/>
      <c r="B10" s="347"/>
      <c r="C10" s="341"/>
      <c r="D10" s="373"/>
      <c r="E10" s="373"/>
      <c r="F10" s="374"/>
      <c r="G10" s="374"/>
      <c r="H10" s="374"/>
      <c r="I10" s="375"/>
      <c r="J10" s="371"/>
    </row>
    <row r="11" spans="1:10" s="136" customFormat="1" ht="36.75" customHeight="1">
      <c r="A11" s="345">
        <v>2.4</v>
      </c>
      <c r="B11" s="387" t="s">
        <v>1605</v>
      </c>
      <c r="C11" s="393"/>
      <c r="D11" s="373"/>
      <c r="E11" s="373"/>
      <c r="F11" s="374"/>
      <c r="G11" s="374"/>
      <c r="H11" s="374"/>
      <c r="I11" s="375"/>
      <c r="J11" s="371"/>
    </row>
    <row r="12" spans="1:10" s="136" customFormat="1" ht="18.75" customHeight="1">
      <c r="A12" s="345"/>
      <c r="B12" s="347" t="s">
        <v>1446</v>
      </c>
      <c r="C12" s="341"/>
      <c r="D12" s="373"/>
      <c r="E12" s="373"/>
      <c r="F12" s="374"/>
      <c r="G12" s="374"/>
      <c r="H12" s="374"/>
      <c r="I12" s="375">
        <v>1.6</v>
      </c>
      <c r="J12" s="371" t="str">
        <f>'[1]Excess details F &amp; B'!$I$14</f>
        <v>Cum</v>
      </c>
    </row>
    <row r="13" spans="1:10" s="136" customFormat="1" ht="18.75" customHeight="1">
      <c r="A13" s="345"/>
      <c r="B13" s="347"/>
      <c r="C13" s="341"/>
      <c r="D13" s="373"/>
      <c r="E13" s="373"/>
      <c r="F13" s="374"/>
      <c r="G13" s="374"/>
      <c r="H13" s="374"/>
      <c r="I13" s="375"/>
      <c r="J13" s="371"/>
    </row>
    <row r="14" spans="1:10" s="136" customFormat="1" ht="18.75" customHeight="1">
      <c r="A14" s="345"/>
      <c r="B14" s="343"/>
      <c r="C14" s="341"/>
      <c r="D14" s="279"/>
      <c r="E14" s="279"/>
      <c r="F14" s="280"/>
      <c r="G14" s="280"/>
      <c r="H14" s="280"/>
      <c r="I14" s="281"/>
      <c r="J14" s="338"/>
    </row>
    <row r="15" spans="1:10" s="136" customFormat="1" ht="50.25" customHeight="1">
      <c r="A15" s="348" t="s">
        <v>1447</v>
      </c>
      <c r="B15" s="347" t="s">
        <v>1448</v>
      </c>
      <c r="C15" s="341"/>
      <c r="D15" s="279"/>
      <c r="E15" s="279"/>
      <c r="F15" s="280"/>
      <c r="G15" s="280"/>
      <c r="H15" s="280"/>
      <c r="I15" s="281"/>
      <c r="J15" s="338"/>
    </row>
    <row r="16" spans="1:10" s="136" customFormat="1" ht="18.75" customHeight="1">
      <c r="A16" s="345"/>
      <c r="B16" s="347" t="s">
        <v>1446</v>
      </c>
      <c r="C16" s="341"/>
      <c r="D16" s="279"/>
      <c r="E16" s="279"/>
      <c r="F16" s="280"/>
      <c r="G16" s="280"/>
      <c r="H16" s="280"/>
      <c r="I16" s="281">
        <f>'[1]Excess details F &amp; B'!$H$28</f>
        <v>56.60924</v>
      </c>
      <c r="J16" s="338" t="str">
        <f>'[1]Excess details F &amp; B'!$I$14</f>
        <v>Cum</v>
      </c>
    </row>
    <row r="17" spans="1:10" s="136" customFormat="1" ht="18.75" customHeight="1">
      <c r="A17" s="345"/>
      <c r="B17" s="344"/>
      <c r="C17" s="341"/>
      <c r="D17" s="279"/>
      <c r="E17" s="279"/>
      <c r="F17" s="280"/>
      <c r="G17" s="280"/>
      <c r="H17" s="280"/>
      <c r="I17" s="281"/>
      <c r="J17" s="338"/>
    </row>
    <row r="18" spans="1:10" s="136" customFormat="1" ht="49.5" customHeight="1">
      <c r="A18" s="348" t="s">
        <v>1449</v>
      </c>
      <c r="B18" s="347" t="s">
        <v>1450</v>
      </c>
      <c r="C18" s="341"/>
      <c r="D18" s="279"/>
      <c r="E18" s="279"/>
      <c r="F18" s="280"/>
      <c r="G18" s="280"/>
      <c r="H18" s="280"/>
      <c r="I18" s="281"/>
      <c r="J18" s="338"/>
    </row>
    <row r="19" spans="1:10" s="136" customFormat="1" ht="18.75" customHeight="1">
      <c r="A19" s="345"/>
      <c r="B19" s="347" t="s">
        <v>1446</v>
      </c>
      <c r="C19" s="341"/>
      <c r="D19" s="279"/>
      <c r="E19" s="279"/>
      <c r="F19" s="280"/>
      <c r="G19" s="280"/>
      <c r="H19" s="280"/>
      <c r="I19" s="281">
        <f>'[1]Excess details F &amp; B'!$H$34</f>
        <v>53.943899999999992</v>
      </c>
      <c r="J19" s="338" t="str">
        <f>'[1]Excess details F &amp; B'!$I$14</f>
        <v>Cum</v>
      </c>
    </row>
    <row r="20" spans="1:10" s="136" customFormat="1" ht="18.75" customHeight="1">
      <c r="A20" s="345"/>
      <c r="B20" s="347"/>
      <c r="C20" s="341"/>
      <c r="D20" s="373"/>
      <c r="E20" s="373"/>
      <c r="F20" s="374"/>
      <c r="G20" s="374"/>
      <c r="H20" s="374"/>
      <c r="I20" s="375"/>
      <c r="J20" s="371"/>
    </row>
    <row r="21" spans="1:10" s="136" customFormat="1" ht="39.75" customHeight="1">
      <c r="A21" s="345">
        <v>3.3</v>
      </c>
      <c r="B21" s="387" t="s">
        <v>1606</v>
      </c>
      <c r="C21" s="341"/>
      <c r="D21" s="373"/>
      <c r="E21" s="373"/>
      <c r="F21" s="374"/>
      <c r="G21" s="374"/>
      <c r="H21" s="374"/>
      <c r="I21" s="375"/>
      <c r="J21" s="371"/>
    </row>
    <row r="22" spans="1:10" s="136" customFormat="1" ht="18.75" customHeight="1">
      <c r="A22" s="345"/>
      <c r="B22" s="347" t="s">
        <v>1446</v>
      </c>
      <c r="C22" s="341"/>
      <c r="D22" s="373"/>
      <c r="E22" s="373"/>
      <c r="F22" s="374"/>
      <c r="G22" s="374"/>
      <c r="H22" s="374"/>
      <c r="I22" s="375">
        <v>0.2</v>
      </c>
      <c r="J22" s="371" t="str">
        <f>'[1]Excess details F &amp; B'!$I$14</f>
        <v>Cum</v>
      </c>
    </row>
    <row r="23" spans="1:10" s="136" customFormat="1" ht="18.75" customHeight="1">
      <c r="A23" s="345"/>
      <c r="B23" s="347"/>
      <c r="C23" s="341"/>
      <c r="D23" s="373"/>
      <c r="E23" s="373"/>
      <c r="F23" s="374"/>
      <c r="G23" s="374"/>
      <c r="H23" s="374"/>
      <c r="I23" s="375"/>
      <c r="J23" s="371"/>
    </row>
    <row r="24" spans="1:10" s="136" customFormat="1" ht="18.75" customHeight="1">
      <c r="A24" s="345"/>
      <c r="B24" s="343"/>
      <c r="C24" s="341"/>
      <c r="D24" s="279"/>
      <c r="E24" s="279"/>
      <c r="F24" s="280"/>
      <c r="G24" s="280"/>
      <c r="H24" s="280"/>
      <c r="I24" s="281"/>
      <c r="J24" s="338"/>
    </row>
    <row r="25" spans="1:10" s="136" customFormat="1" ht="49.5" customHeight="1">
      <c r="A25" s="348">
        <v>6.2</v>
      </c>
      <c r="B25" s="347" t="s">
        <v>1451</v>
      </c>
      <c r="C25" s="341"/>
      <c r="D25" s="279"/>
      <c r="E25" s="279"/>
      <c r="F25" s="280"/>
      <c r="G25" s="280"/>
      <c r="H25" s="280"/>
      <c r="I25" s="281"/>
      <c r="J25" s="338"/>
    </row>
    <row r="26" spans="1:10" s="136" customFormat="1" ht="18.75" customHeight="1">
      <c r="A26" s="343"/>
      <c r="B26" s="144" t="s">
        <v>1474</v>
      </c>
      <c r="C26" s="138">
        <v>1</v>
      </c>
      <c r="D26" s="143" t="s">
        <v>73</v>
      </c>
      <c r="E26" s="138">
        <v>1</v>
      </c>
      <c r="F26" s="139">
        <v>66</v>
      </c>
      <c r="G26" s="139">
        <v>0.23</v>
      </c>
      <c r="H26" s="139">
        <v>0.9</v>
      </c>
      <c r="I26" s="140">
        <f t="shared" ref="I26:I28" si="0">ROUND(PRODUCT(C26:H26),2)</f>
        <v>13.66</v>
      </c>
      <c r="J26" s="363"/>
    </row>
    <row r="27" spans="1:10" s="136" customFormat="1" ht="18.75" customHeight="1">
      <c r="A27" s="343"/>
      <c r="B27" s="144" t="s">
        <v>1478</v>
      </c>
      <c r="C27" s="138">
        <v>-1</v>
      </c>
      <c r="D27" s="143" t="s">
        <v>73</v>
      </c>
      <c r="E27" s="138">
        <v>22</v>
      </c>
      <c r="F27" s="139">
        <v>0.23</v>
      </c>
      <c r="G27" s="139">
        <v>0.23</v>
      </c>
      <c r="H27" s="139">
        <v>0.9</v>
      </c>
      <c r="I27" s="140">
        <f t="shared" ref="I27" si="1">ROUND(PRODUCT(C27:H27),2)</f>
        <v>-1.05</v>
      </c>
      <c r="J27" s="363"/>
    </row>
    <row r="28" spans="1:10" s="136" customFormat="1" ht="18.75" customHeight="1">
      <c r="A28" s="343"/>
      <c r="B28" s="148" t="s">
        <v>1475</v>
      </c>
      <c r="C28" s="138">
        <v>1</v>
      </c>
      <c r="D28" s="143" t="s">
        <v>73</v>
      </c>
      <c r="E28" s="138">
        <v>10</v>
      </c>
      <c r="F28" s="139">
        <v>3.32</v>
      </c>
      <c r="G28" s="139">
        <v>0.23</v>
      </c>
      <c r="H28" s="139">
        <v>0.9</v>
      </c>
      <c r="I28" s="140">
        <f t="shared" si="0"/>
        <v>6.87</v>
      </c>
      <c r="J28" s="363"/>
    </row>
    <row r="29" spans="1:10" s="136" customFormat="1" ht="18.75" customHeight="1">
      <c r="A29" s="343"/>
      <c r="B29" s="148" t="s">
        <v>1476</v>
      </c>
      <c r="C29" s="138">
        <v>1</v>
      </c>
      <c r="D29" s="143" t="s">
        <v>73</v>
      </c>
      <c r="E29" s="138">
        <v>1</v>
      </c>
      <c r="F29" s="139">
        <v>3.32</v>
      </c>
      <c r="G29" s="139">
        <v>0.23</v>
      </c>
      <c r="H29" s="139">
        <v>0.9</v>
      </c>
      <c r="I29" s="140">
        <f t="shared" ref="I29" si="2">ROUND(PRODUCT(C29:H29),2)</f>
        <v>0.69</v>
      </c>
      <c r="J29" s="363"/>
    </row>
    <row r="30" spans="1:10" s="136" customFormat="1" ht="18.75" customHeight="1">
      <c r="A30" s="343"/>
      <c r="B30" s="148" t="s">
        <v>1477</v>
      </c>
      <c r="C30" s="138">
        <v>1</v>
      </c>
      <c r="D30" s="143" t="s">
        <v>73</v>
      </c>
      <c r="E30" s="138">
        <v>4</v>
      </c>
      <c r="F30" s="139">
        <v>3.32</v>
      </c>
      <c r="G30" s="139">
        <v>0.23</v>
      </c>
      <c r="H30" s="139">
        <v>0.9</v>
      </c>
      <c r="I30" s="140">
        <f t="shared" ref="I30" si="3">ROUND(PRODUCT(C30:H30),2)</f>
        <v>2.75</v>
      </c>
      <c r="J30" s="363"/>
    </row>
    <row r="31" spans="1:10" s="136" customFormat="1" ht="18.75" customHeight="1">
      <c r="A31" s="345"/>
      <c r="B31" s="347"/>
      <c r="C31" s="341"/>
      <c r="D31" s="279"/>
      <c r="E31" s="279"/>
      <c r="F31" s="280"/>
      <c r="G31" s="280"/>
      <c r="H31" s="280"/>
      <c r="I31" s="368">
        <f>SUM(I26:I30)</f>
        <v>22.92</v>
      </c>
      <c r="J31" s="338"/>
    </row>
    <row r="32" spans="1:10" s="136" customFormat="1" ht="18.75" customHeight="1">
      <c r="A32" s="345"/>
      <c r="B32" s="347"/>
      <c r="C32" s="341"/>
      <c r="D32" s="364"/>
      <c r="E32" s="364"/>
      <c r="F32" s="365"/>
      <c r="G32" s="365"/>
      <c r="H32" s="365"/>
      <c r="I32" s="366">
        <f>ROUND(I31,0)</f>
        <v>23</v>
      </c>
      <c r="J32" s="363" t="str">
        <f>'[1]Excess details F &amp; B'!$I$14</f>
        <v>Cum</v>
      </c>
    </row>
    <row r="33" spans="1:10" s="136" customFormat="1" ht="18.75" customHeight="1">
      <c r="A33" s="345"/>
      <c r="B33" s="347"/>
      <c r="C33" s="341"/>
      <c r="D33" s="373"/>
      <c r="E33" s="373"/>
      <c r="F33" s="374"/>
      <c r="G33" s="374"/>
      <c r="H33" s="374"/>
      <c r="I33" s="375"/>
      <c r="J33" s="371"/>
    </row>
    <row r="34" spans="1:10" s="136" customFormat="1" ht="38.25" customHeight="1">
      <c r="A34" s="392">
        <v>7.2</v>
      </c>
      <c r="B34" s="387" t="s">
        <v>1603</v>
      </c>
      <c r="C34" s="341"/>
      <c r="D34" s="373"/>
      <c r="E34" s="373"/>
      <c r="F34" s="374"/>
      <c r="G34" s="374"/>
      <c r="H34" s="374"/>
      <c r="I34" s="375"/>
      <c r="J34" s="371"/>
    </row>
    <row r="35" spans="1:10" s="136" customFormat="1" ht="18.75" customHeight="1">
      <c r="A35" s="345"/>
      <c r="B35" s="347" t="s">
        <v>1446</v>
      </c>
      <c r="C35" s="341"/>
      <c r="D35" s="373"/>
      <c r="E35" s="373"/>
      <c r="F35" s="374"/>
      <c r="G35" s="374"/>
      <c r="H35" s="374"/>
      <c r="I35" s="375">
        <v>17.7</v>
      </c>
      <c r="J35" s="371" t="s">
        <v>75</v>
      </c>
    </row>
    <row r="36" spans="1:10" s="136" customFormat="1" ht="18.75" customHeight="1">
      <c r="A36" s="345"/>
      <c r="B36" s="347"/>
      <c r="C36" s="341"/>
      <c r="D36" s="373"/>
      <c r="E36" s="373"/>
      <c r="F36" s="374"/>
      <c r="G36" s="374"/>
      <c r="H36" s="374"/>
      <c r="I36" s="375"/>
      <c r="J36" s="371"/>
    </row>
    <row r="37" spans="1:10" s="136" customFormat="1" ht="18.75" customHeight="1">
      <c r="A37" s="345"/>
      <c r="B37" s="343"/>
      <c r="C37" s="341"/>
      <c r="D37" s="279"/>
      <c r="E37" s="279"/>
      <c r="F37" s="280"/>
      <c r="G37" s="280"/>
      <c r="H37" s="280"/>
      <c r="I37" s="281"/>
      <c r="J37" s="338"/>
    </row>
    <row r="38" spans="1:10" s="136" customFormat="1" ht="18.75" customHeight="1">
      <c r="A38" s="152">
        <v>9.1999999999999993</v>
      </c>
      <c r="B38" s="178" t="s">
        <v>1452</v>
      </c>
      <c r="C38" s="149"/>
      <c r="D38" s="149"/>
      <c r="E38" s="149"/>
      <c r="F38" s="150"/>
      <c r="G38" s="150"/>
      <c r="H38" s="150"/>
      <c r="I38" s="151"/>
      <c r="J38" s="338"/>
    </row>
    <row r="39" spans="1:10" s="136" customFormat="1" ht="18.75" customHeight="1">
      <c r="A39" s="343"/>
      <c r="B39" s="155" t="s">
        <v>247</v>
      </c>
      <c r="C39" s="149"/>
      <c r="D39" s="149"/>
      <c r="E39" s="149"/>
      <c r="F39" s="150"/>
      <c r="G39" s="150"/>
      <c r="H39" s="150"/>
      <c r="I39" s="151"/>
      <c r="J39" s="338"/>
    </row>
    <row r="40" spans="1:10" s="136" customFormat="1" ht="18.75" customHeight="1">
      <c r="A40" s="343"/>
      <c r="B40" s="144" t="s">
        <v>1132</v>
      </c>
      <c r="C40" s="138">
        <v>1</v>
      </c>
      <c r="D40" s="143" t="s">
        <v>73</v>
      </c>
      <c r="E40" s="138">
        <v>1</v>
      </c>
      <c r="F40" s="139">
        <v>16.28</v>
      </c>
      <c r="G40" s="139">
        <v>0.23</v>
      </c>
      <c r="H40" s="139">
        <v>3.02</v>
      </c>
      <c r="I40" s="140">
        <f t="shared" ref="I40" si="4">ROUND(PRODUCT(C40:H40),2)</f>
        <v>11.31</v>
      </c>
      <c r="J40" s="338"/>
    </row>
    <row r="41" spans="1:10" s="136" customFormat="1" ht="18.75" customHeight="1">
      <c r="A41" s="343"/>
      <c r="B41" s="148" t="s">
        <v>1133</v>
      </c>
      <c r="C41" s="138">
        <v>1</v>
      </c>
      <c r="D41" s="143" t="s">
        <v>73</v>
      </c>
      <c r="E41" s="138">
        <v>1</v>
      </c>
      <c r="F41" s="139">
        <v>4.5599999999999996</v>
      </c>
      <c r="G41" s="139">
        <v>0.23</v>
      </c>
      <c r="H41" s="139">
        <v>3.02</v>
      </c>
      <c r="I41" s="140">
        <f t="shared" ref="I41:I45" si="5">ROUND(PRODUCT(C41:H41),2)</f>
        <v>3.17</v>
      </c>
      <c r="J41" s="338"/>
    </row>
    <row r="42" spans="1:10" s="136" customFormat="1" ht="18.75" customHeight="1">
      <c r="A42" s="342"/>
      <c r="B42" s="148" t="s">
        <v>1134</v>
      </c>
      <c r="C42" s="138">
        <v>1</v>
      </c>
      <c r="D42" s="143" t="s">
        <v>73</v>
      </c>
      <c r="E42" s="138">
        <v>1</v>
      </c>
      <c r="F42" s="139">
        <v>3.1850000000000001</v>
      </c>
      <c r="G42" s="139">
        <v>0.23</v>
      </c>
      <c r="H42" s="139">
        <v>3.02</v>
      </c>
      <c r="I42" s="140">
        <f t="shared" si="5"/>
        <v>2.21</v>
      </c>
      <c r="J42" s="338"/>
    </row>
    <row r="43" spans="1:10" s="136" customFormat="1" ht="18.75" customHeight="1">
      <c r="A43" s="339"/>
      <c r="B43" s="148" t="s">
        <v>1135</v>
      </c>
      <c r="C43" s="138">
        <v>1</v>
      </c>
      <c r="D43" s="143" t="s">
        <v>73</v>
      </c>
      <c r="E43" s="138">
        <v>1</v>
      </c>
      <c r="F43" s="139">
        <v>8.1199999999999992</v>
      </c>
      <c r="G43" s="139">
        <v>0.23</v>
      </c>
      <c r="H43" s="139">
        <v>3.02</v>
      </c>
      <c r="I43" s="140">
        <f t="shared" si="5"/>
        <v>5.64</v>
      </c>
      <c r="J43" s="338"/>
    </row>
    <row r="44" spans="1:10" s="136" customFormat="1" ht="18.75" customHeight="1">
      <c r="A44" s="339"/>
      <c r="B44" s="148" t="s">
        <v>1136</v>
      </c>
      <c r="C44" s="138">
        <v>1</v>
      </c>
      <c r="D44" s="143" t="s">
        <v>73</v>
      </c>
      <c r="E44" s="138">
        <v>2</v>
      </c>
      <c r="F44" s="139">
        <v>3.23</v>
      </c>
      <c r="G44" s="139">
        <v>0.23</v>
      </c>
      <c r="H44" s="139">
        <v>3.02</v>
      </c>
      <c r="I44" s="140">
        <f t="shared" si="5"/>
        <v>4.49</v>
      </c>
      <c r="J44" s="338"/>
    </row>
    <row r="45" spans="1:10" s="154" customFormat="1" ht="18.75" customHeight="1">
      <c r="A45" s="349"/>
      <c r="B45" s="148" t="s">
        <v>1137</v>
      </c>
      <c r="C45" s="138">
        <v>1</v>
      </c>
      <c r="D45" s="143" t="s">
        <v>73</v>
      </c>
      <c r="E45" s="138">
        <v>1</v>
      </c>
      <c r="F45" s="139">
        <v>3.16</v>
      </c>
      <c r="G45" s="139">
        <v>0.23</v>
      </c>
      <c r="H45" s="139">
        <v>3.02</v>
      </c>
      <c r="I45" s="140">
        <f t="shared" si="5"/>
        <v>2.19</v>
      </c>
      <c r="J45" s="161"/>
    </row>
    <row r="46" spans="1:10" s="154" customFormat="1">
      <c r="A46" s="276"/>
      <c r="B46" s="148" t="s">
        <v>1138</v>
      </c>
      <c r="C46" s="138">
        <v>1</v>
      </c>
      <c r="D46" s="143" t="s">
        <v>73</v>
      </c>
      <c r="E46" s="138">
        <v>1</v>
      </c>
      <c r="F46" s="139">
        <v>2.7</v>
      </c>
      <c r="G46" s="139">
        <v>0.23</v>
      </c>
      <c r="H46" s="139">
        <v>2.95</v>
      </c>
      <c r="I46" s="140">
        <f t="shared" ref="I46:I47" si="6">ROUND(PRODUCT(C46:H46),2)</f>
        <v>1.83</v>
      </c>
      <c r="J46" s="161"/>
    </row>
    <row r="47" spans="1:10" s="136" customFormat="1">
      <c r="A47" s="339"/>
      <c r="B47" s="148" t="s">
        <v>1139</v>
      </c>
      <c r="C47" s="149">
        <v>-1</v>
      </c>
      <c r="D47" s="149" t="s">
        <v>73</v>
      </c>
      <c r="E47" s="149">
        <v>2</v>
      </c>
      <c r="F47" s="150">
        <v>0.38</v>
      </c>
      <c r="G47" s="150">
        <v>0.23</v>
      </c>
      <c r="H47" s="150">
        <v>3.02</v>
      </c>
      <c r="I47" s="151">
        <f t="shared" si="6"/>
        <v>-0.53</v>
      </c>
      <c r="J47" s="147"/>
    </row>
    <row r="48" spans="1:10" s="154" customFormat="1">
      <c r="A48" s="276"/>
      <c r="B48" s="148" t="s">
        <v>1139</v>
      </c>
      <c r="C48" s="149">
        <v>-1</v>
      </c>
      <c r="D48" s="149" t="s">
        <v>73</v>
      </c>
      <c r="E48" s="149">
        <v>5</v>
      </c>
      <c r="F48" s="150">
        <v>0.23</v>
      </c>
      <c r="G48" s="150">
        <v>0.23</v>
      </c>
      <c r="H48" s="150">
        <v>3.02</v>
      </c>
      <c r="I48" s="151">
        <f t="shared" ref="I48" si="7">ROUND(PRODUCT(C48:H48),2)</f>
        <v>-0.8</v>
      </c>
      <c r="J48" s="161"/>
    </row>
    <row r="49" spans="1:10" s="154" customFormat="1">
      <c r="A49" s="276"/>
      <c r="B49" s="148" t="s">
        <v>1140</v>
      </c>
      <c r="C49" s="149">
        <v>-1</v>
      </c>
      <c r="D49" s="149" t="s">
        <v>73</v>
      </c>
      <c r="E49" s="149">
        <v>1</v>
      </c>
      <c r="F49" s="150">
        <v>1</v>
      </c>
      <c r="G49" s="150">
        <v>0.23</v>
      </c>
      <c r="H49" s="150">
        <v>2.1</v>
      </c>
      <c r="I49" s="151">
        <f t="shared" ref="I49" si="8">ROUND(PRODUCT(C49:H49),2)</f>
        <v>-0.48</v>
      </c>
      <c r="J49" s="161"/>
    </row>
    <row r="50" spans="1:10" s="154" customFormat="1">
      <c r="A50" s="276"/>
      <c r="B50" s="148" t="s">
        <v>1141</v>
      </c>
      <c r="C50" s="149">
        <v>-1</v>
      </c>
      <c r="D50" s="149" t="s">
        <v>73</v>
      </c>
      <c r="E50" s="149">
        <v>1</v>
      </c>
      <c r="F50" s="150">
        <v>1.46</v>
      </c>
      <c r="G50" s="150">
        <v>0.23</v>
      </c>
      <c r="H50" s="150">
        <v>0.15</v>
      </c>
      <c r="I50" s="151">
        <f t="shared" ref="I50:I51" si="9">ROUND(PRODUCT(C50:H50),2)</f>
        <v>-0.05</v>
      </c>
      <c r="J50" s="161"/>
    </row>
    <row r="51" spans="1:10" s="154" customFormat="1">
      <c r="A51" s="276"/>
      <c r="B51" s="148" t="s">
        <v>1142</v>
      </c>
      <c r="C51" s="149">
        <v>-1</v>
      </c>
      <c r="D51" s="149" t="s">
        <v>73</v>
      </c>
      <c r="E51" s="149">
        <v>2</v>
      </c>
      <c r="F51" s="150">
        <v>1.35</v>
      </c>
      <c r="G51" s="150">
        <v>0.23</v>
      </c>
      <c r="H51" s="150">
        <v>1.35</v>
      </c>
      <c r="I51" s="151">
        <f t="shared" si="9"/>
        <v>-0.84</v>
      </c>
      <c r="J51" s="161"/>
    </row>
    <row r="52" spans="1:10" s="154" customFormat="1">
      <c r="A52" s="276"/>
      <c r="B52" s="148" t="s">
        <v>1143</v>
      </c>
      <c r="C52" s="149">
        <v>-1</v>
      </c>
      <c r="D52" s="149" t="s">
        <v>73</v>
      </c>
      <c r="E52" s="149">
        <v>2</v>
      </c>
      <c r="F52" s="150">
        <v>1.81</v>
      </c>
      <c r="G52" s="150">
        <v>0.23</v>
      </c>
      <c r="H52" s="150">
        <v>0.15</v>
      </c>
      <c r="I52" s="151">
        <f t="shared" ref="I52:I58" si="10">ROUND(PRODUCT(C52:H52),2)</f>
        <v>-0.12</v>
      </c>
      <c r="J52" s="161"/>
    </row>
    <row r="53" spans="1:10" s="154" customFormat="1">
      <c r="A53" s="276"/>
      <c r="B53" s="148" t="s">
        <v>1144</v>
      </c>
      <c r="C53" s="149">
        <v>-1</v>
      </c>
      <c r="D53" s="149" t="s">
        <v>73</v>
      </c>
      <c r="E53" s="149">
        <v>1</v>
      </c>
      <c r="F53" s="150">
        <v>0.75</v>
      </c>
      <c r="G53" s="150">
        <v>0.23</v>
      </c>
      <c r="H53" s="150">
        <v>2.1</v>
      </c>
      <c r="I53" s="151">
        <f t="shared" si="10"/>
        <v>-0.36</v>
      </c>
      <c r="J53" s="161"/>
    </row>
    <row r="54" spans="1:10" s="154" customFormat="1">
      <c r="A54" s="276"/>
      <c r="B54" s="148" t="s">
        <v>1145</v>
      </c>
      <c r="C54" s="149">
        <v>-1</v>
      </c>
      <c r="D54" s="149" t="s">
        <v>73</v>
      </c>
      <c r="E54" s="149">
        <v>1</v>
      </c>
      <c r="F54" s="150">
        <v>1.21</v>
      </c>
      <c r="G54" s="150">
        <v>0.23</v>
      </c>
      <c r="H54" s="150">
        <v>0.15</v>
      </c>
      <c r="I54" s="151">
        <f t="shared" si="10"/>
        <v>-0.04</v>
      </c>
      <c r="J54" s="161"/>
    </row>
    <row r="55" spans="1:10" s="154" customFormat="1">
      <c r="A55" s="276"/>
      <c r="B55" s="148" t="s">
        <v>1146</v>
      </c>
      <c r="C55" s="149">
        <v>-1</v>
      </c>
      <c r="D55" s="149" t="s">
        <v>73</v>
      </c>
      <c r="E55" s="149">
        <v>1</v>
      </c>
      <c r="F55" s="150">
        <v>1</v>
      </c>
      <c r="G55" s="150">
        <v>0.23</v>
      </c>
      <c r="H55" s="150">
        <v>2.1</v>
      </c>
      <c r="I55" s="151">
        <f t="shared" si="10"/>
        <v>-0.48</v>
      </c>
      <c r="J55" s="161"/>
    </row>
    <row r="56" spans="1:10" s="154" customFormat="1">
      <c r="A56" s="276"/>
      <c r="B56" s="148" t="s">
        <v>1147</v>
      </c>
      <c r="C56" s="149">
        <v>-1</v>
      </c>
      <c r="D56" s="149" t="s">
        <v>73</v>
      </c>
      <c r="E56" s="149">
        <v>1</v>
      </c>
      <c r="F56" s="150">
        <v>1.46</v>
      </c>
      <c r="G56" s="150">
        <v>0.23</v>
      </c>
      <c r="H56" s="150">
        <v>0.15</v>
      </c>
      <c r="I56" s="151">
        <f t="shared" si="10"/>
        <v>-0.05</v>
      </c>
      <c r="J56" s="161"/>
    </row>
    <row r="57" spans="1:10" s="154" customFormat="1">
      <c r="A57" s="276"/>
      <c r="B57" s="148" t="s">
        <v>1148</v>
      </c>
      <c r="C57" s="149">
        <v>-1</v>
      </c>
      <c r="D57" s="149" t="s">
        <v>73</v>
      </c>
      <c r="E57" s="149">
        <v>1</v>
      </c>
      <c r="F57" s="150">
        <v>0.75</v>
      </c>
      <c r="G57" s="150">
        <v>0.23</v>
      </c>
      <c r="H57" s="150">
        <v>2.1</v>
      </c>
      <c r="I57" s="151">
        <f t="shared" si="10"/>
        <v>-0.36</v>
      </c>
      <c r="J57" s="161"/>
    </row>
    <row r="58" spans="1:10" s="154" customFormat="1">
      <c r="A58" s="276"/>
      <c r="B58" s="148" t="s">
        <v>1149</v>
      </c>
      <c r="C58" s="149">
        <v>-1</v>
      </c>
      <c r="D58" s="149" t="s">
        <v>73</v>
      </c>
      <c r="E58" s="149">
        <v>1</v>
      </c>
      <c r="F58" s="150">
        <v>1.21</v>
      </c>
      <c r="G58" s="150">
        <v>0.23</v>
      </c>
      <c r="H58" s="150">
        <v>0.15</v>
      </c>
      <c r="I58" s="151">
        <f t="shared" si="10"/>
        <v>-0.04</v>
      </c>
      <c r="J58" s="161"/>
    </row>
    <row r="59" spans="1:10" s="154" customFormat="1">
      <c r="A59" s="276"/>
      <c r="B59" s="148" t="s">
        <v>1150</v>
      </c>
      <c r="C59" s="149">
        <v>-1</v>
      </c>
      <c r="D59" s="149" t="s">
        <v>73</v>
      </c>
      <c r="E59" s="149">
        <v>2</v>
      </c>
      <c r="F59" s="150">
        <v>0.75</v>
      </c>
      <c r="G59" s="150">
        <v>0.23</v>
      </c>
      <c r="H59" s="150">
        <v>0.6</v>
      </c>
      <c r="I59" s="151">
        <f t="shared" ref="I59:I76" si="11">ROUND(PRODUCT(C59:H59),2)</f>
        <v>-0.21</v>
      </c>
      <c r="J59" s="161"/>
    </row>
    <row r="60" spans="1:10" s="154" customFormat="1">
      <c r="A60" s="276"/>
      <c r="B60" s="148" t="s">
        <v>1151</v>
      </c>
      <c r="C60" s="149">
        <v>-1</v>
      </c>
      <c r="D60" s="149" t="s">
        <v>73</v>
      </c>
      <c r="E60" s="149">
        <v>2</v>
      </c>
      <c r="F60" s="150">
        <v>1.21</v>
      </c>
      <c r="G60" s="150">
        <v>0.23</v>
      </c>
      <c r="H60" s="150">
        <v>0.15</v>
      </c>
      <c r="I60" s="151">
        <f t="shared" si="11"/>
        <v>-0.08</v>
      </c>
      <c r="J60" s="161"/>
    </row>
    <row r="61" spans="1:10" s="154" customFormat="1">
      <c r="A61" s="276"/>
      <c r="B61" s="148" t="s">
        <v>1152</v>
      </c>
      <c r="C61" s="149">
        <v>-1</v>
      </c>
      <c r="D61" s="149" t="s">
        <v>73</v>
      </c>
      <c r="E61" s="149">
        <v>1</v>
      </c>
      <c r="F61" s="150">
        <v>0.9</v>
      </c>
      <c r="G61" s="150">
        <v>0.23</v>
      </c>
      <c r="H61" s="150">
        <v>0.9</v>
      </c>
      <c r="I61" s="151">
        <f t="shared" si="11"/>
        <v>-0.19</v>
      </c>
      <c r="J61" s="161"/>
    </row>
    <row r="62" spans="1:10" s="154" customFormat="1">
      <c r="A62" s="276"/>
      <c r="B62" s="148" t="s">
        <v>1153</v>
      </c>
      <c r="C62" s="149">
        <v>-1</v>
      </c>
      <c r="D62" s="149" t="s">
        <v>73</v>
      </c>
      <c r="E62" s="149">
        <v>1</v>
      </c>
      <c r="F62" s="150">
        <v>1.36</v>
      </c>
      <c r="G62" s="150">
        <v>0.23</v>
      </c>
      <c r="H62" s="150">
        <v>0.15</v>
      </c>
      <c r="I62" s="151">
        <f t="shared" si="11"/>
        <v>-0.05</v>
      </c>
      <c r="J62" s="161"/>
    </row>
    <row r="63" spans="1:10" s="154" customFormat="1">
      <c r="A63" s="276"/>
      <c r="B63" s="148" t="s">
        <v>1483</v>
      </c>
      <c r="C63" s="138">
        <v>1</v>
      </c>
      <c r="D63" s="143" t="s">
        <v>73</v>
      </c>
      <c r="E63" s="138">
        <v>1</v>
      </c>
      <c r="F63" s="139">
        <v>12.41</v>
      </c>
      <c r="G63" s="139">
        <v>0.23</v>
      </c>
      <c r="H63" s="139">
        <v>3.02</v>
      </c>
      <c r="I63" s="140">
        <f t="shared" si="11"/>
        <v>8.6199999999999992</v>
      </c>
      <c r="J63" s="161"/>
    </row>
    <row r="64" spans="1:10" s="154" customFormat="1">
      <c r="A64" s="276"/>
      <c r="B64" s="148" t="s">
        <v>1155</v>
      </c>
      <c r="C64" s="149">
        <v>-1</v>
      </c>
      <c r="D64" s="149" t="s">
        <v>73</v>
      </c>
      <c r="E64" s="149">
        <v>1</v>
      </c>
      <c r="F64" s="150">
        <v>3</v>
      </c>
      <c r="G64" s="150">
        <v>0.23</v>
      </c>
      <c r="H64" s="150">
        <v>1.35</v>
      </c>
      <c r="I64" s="140">
        <f t="shared" si="11"/>
        <v>-0.93</v>
      </c>
      <c r="J64" s="161"/>
    </row>
    <row r="65" spans="1:10" s="154" customFormat="1">
      <c r="A65" s="276"/>
      <c r="B65" s="148" t="s">
        <v>1156</v>
      </c>
      <c r="C65" s="149">
        <v>-1</v>
      </c>
      <c r="D65" s="149" t="s">
        <v>73</v>
      </c>
      <c r="E65" s="149">
        <v>1</v>
      </c>
      <c r="F65" s="150">
        <v>3.46</v>
      </c>
      <c r="G65" s="150">
        <v>0.23</v>
      </c>
      <c r="H65" s="150">
        <v>0.23</v>
      </c>
      <c r="I65" s="140">
        <f t="shared" si="11"/>
        <v>-0.18</v>
      </c>
      <c r="J65" s="161"/>
    </row>
    <row r="66" spans="1:10" s="154" customFormat="1">
      <c r="A66" s="276"/>
      <c r="B66" s="148" t="s">
        <v>1154</v>
      </c>
      <c r="C66" s="149">
        <v>-1</v>
      </c>
      <c r="D66" s="149" t="s">
        <v>73</v>
      </c>
      <c r="E66" s="149">
        <v>1</v>
      </c>
      <c r="F66" s="150">
        <v>1.35</v>
      </c>
      <c r="G66" s="150">
        <v>0.23</v>
      </c>
      <c r="H66" s="150">
        <v>1.35</v>
      </c>
      <c r="I66" s="140">
        <f t="shared" si="11"/>
        <v>-0.42</v>
      </c>
      <c r="J66" s="161"/>
    </row>
    <row r="67" spans="1:10" s="154" customFormat="1">
      <c r="A67" s="276"/>
      <c r="B67" s="148" t="s">
        <v>1157</v>
      </c>
      <c r="C67" s="149">
        <v>-1</v>
      </c>
      <c r="D67" s="149" t="s">
        <v>73</v>
      </c>
      <c r="E67" s="149">
        <v>1</v>
      </c>
      <c r="F67" s="150">
        <v>1.81</v>
      </c>
      <c r="G67" s="150">
        <v>0.23</v>
      </c>
      <c r="H67" s="150">
        <v>0.15</v>
      </c>
      <c r="I67" s="140">
        <f t="shared" si="11"/>
        <v>-0.06</v>
      </c>
      <c r="J67" s="161"/>
    </row>
    <row r="68" spans="1:10" s="154" customFormat="1">
      <c r="A68" s="276"/>
      <c r="B68" s="148" t="s">
        <v>1158</v>
      </c>
      <c r="C68" s="149">
        <v>-1</v>
      </c>
      <c r="D68" s="149" t="s">
        <v>73</v>
      </c>
      <c r="E68" s="149">
        <v>1</v>
      </c>
      <c r="F68" s="150">
        <v>1</v>
      </c>
      <c r="G68" s="150">
        <v>0.23</v>
      </c>
      <c r="H68" s="150">
        <v>2.1</v>
      </c>
      <c r="I68" s="140">
        <f t="shared" si="11"/>
        <v>-0.48</v>
      </c>
      <c r="J68" s="161"/>
    </row>
    <row r="69" spans="1:10" s="154" customFormat="1">
      <c r="A69" s="276"/>
      <c r="B69" s="148" t="s">
        <v>1154</v>
      </c>
      <c r="C69" s="149">
        <v>-1</v>
      </c>
      <c r="D69" s="149" t="s">
        <v>73</v>
      </c>
      <c r="E69" s="149">
        <v>1</v>
      </c>
      <c r="F69" s="150">
        <v>1.35</v>
      </c>
      <c r="G69" s="150">
        <v>0.23</v>
      </c>
      <c r="H69" s="150">
        <v>1.35</v>
      </c>
      <c r="I69" s="140">
        <f t="shared" si="11"/>
        <v>-0.42</v>
      </c>
      <c r="J69" s="161"/>
    </row>
    <row r="70" spans="1:10" s="154" customFormat="1">
      <c r="A70" s="276"/>
      <c r="B70" s="148" t="s">
        <v>1159</v>
      </c>
      <c r="C70" s="149">
        <v>-1</v>
      </c>
      <c r="D70" s="149" t="s">
        <v>73</v>
      </c>
      <c r="E70" s="149">
        <v>1</v>
      </c>
      <c r="F70" s="150">
        <v>3.3</v>
      </c>
      <c r="G70" s="150">
        <v>0.23</v>
      </c>
      <c r="H70" s="150">
        <v>0.15</v>
      </c>
      <c r="I70" s="140">
        <f t="shared" si="11"/>
        <v>-0.11</v>
      </c>
      <c r="J70" s="161"/>
    </row>
    <row r="71" spans="1:10" s="154" customFormat="1">
      <c r="A71" s="276"/>
      <c r="B71" s="148" t="s">
        <v>1160</v>
      </c>
      <c r="C71" s="138">
        <v>1</v>
      </c>
      <c r="D71" s="143" t="s">
        <v>73</v>
      </c>
      <c r="E71" s="138">
        <v>4</v>
      </c>
      <c r="F71" s="139">
        <v>0.6</v>
      </c>
      <c r="G71" s="139">
        <v>0.23</v>
      </c>
      <c r="H71" s="139">
        <v>3.02</v>
      </c>
      <c r="I71" s="140">
        <f t="shared" si="11"/>
        <v>1.67</v>
      </c>
      <c r="J71" s="161"/>
    </row>
    <row r="72" spans="1:10" s="154" customFormat="1">
      <c r="A72" s="276"/>
      <c r="B72" s="148" t="s">
        <v>1172</v>
      </c>
      <c r="C72" s="138">
        <v>1</v>
      </c>
      <c r="D72" s="143" t="s">
        <v>73</v>
      </c>
      <c r="E72" s="138">
        <v>1</v>
      </c>
      <c r="F72" s="139">
        <v>0.9</v>
      </c>
      <c r="G72" s="139">
        <v>0.45</v>
      </c>
      <c r="H72" s="139">
        <v>0.1</v>
      </c>
      <c r="I72" s="140">
        <f t="shared" si="11"/>
        <v>0.04</v>
      </c>
      <c r="J72" s="161"/>
    </row>
    <row r="73" spans="1:10" s="154" customFormat="1">
      <c r="A73" s="276"/>
      <c r="B73" s="148" t="s">
        <v>1484</v>
      </c>
      <c r="C73" s="138"/>
      <c r="D73" s="143"/>
      <c r="E73" s="138"/>
      <c r="F73" s="139"/>
      <c r="G73" s="139"/>
      <c r="H73" s="139"/>
      <c r="I73" s="140">
        <f t="shared" si="11"/>
        <v>0</v>
      </c>
      <c r="J73" s="161"/>
    </row>
    <row r="74" spans="1:10" s="154" customFormat="1">
      <c r="A74" s="276"/>
      <c r="B74" s="148" t="s">
        <v>1480</v>
      </c>
      <c r="C74" s="138">
        <v>2</v>
      </c>
      <c r="D74" s="143" t="s">
        <v>73</v>
      </c>
      <c r="E74" s="138">
        <v>20</v>
      </c>
      <c r="F74" s="139">
        <v>0.23</v>
      </c>
      <c r="G74" s="139">
        <v>0.23</v>
      </c>
      <c r="H74" s="369">
        <v>0.83699999999999997</v>
      </c>
      <c r="I74" s="140">
        <f t="shared" si="11"/>
        <v>1.77</v>
      </c>
      <c r="J74" s="161"/>
    </row>
    <row r="75" spans="1:10" s="154" customFormat="1">
      <c r="A75" s="276"/>
      <c r="B75" s="148" t="s">
        <v>1481</v>
      </c>
      <c r="C75" s="138">
        <v>1</v>
      </c>
      <c r="D75" s="143" t="s">
        <v>73</v>
      </c>
      <c r="E75" s="138">
        <v>20</v>
      </c>
      <c r="F75" s="139">
        <v>0.8</v>
      </c>
      <c r="G75" s="139">
        <v>0.23</v>
      </c>
      <c r="H75" s="369">
        <v>0.55900000000000005</v>
      </c>
      <c r="I75" s="140">
        <f t="shared" si="11"/>
        <v>2.06</v>
      </c>
      <c r="J75" s="161"/>
    </row>
    <row r="76" spans="1:10" s="154" customFormat="1">
      <c r="A76" s="276"/>
      <c r="B76" s="148" t="s">
        <v>1482</v>
      </c>
      <c r="C76" s="370">
        <v>-0.5</v>
      </c>
      <c r="D76" s="149" t="s">
        <v>73</v>
      </c>
      <c r="E76" s="149">
        <v>20</v>
      </c>
      <c r="F76" s="150">
        <v>3.14</v>
      </c>
      <c r="G76" s="218">
        <f>(0.17*0.17)</f>
        <v>2.8900000000000006E-2</v>
      </c>
      <c r="H76" s="150">
        <v>0.23</v>
      </c>
      <c r="I76" s="140">
        <f t="shared" si="11"/>
        <v>-0.21</v>
      </c>
      <c r="J76" s="161"/>
    </row>
    <row r="77" spans="1:10" s="154" customFormat="1">
      <c r="A77" s="276"/>
      <c r="B77" s="148" t="s">
        <v>1485</v>
      </c>
      <c r="C77" s="138">
        <v>2</v>
      </c>
      <c r="D77" s="143" t="s">
        <v>73</v>
      </c>
      <c r="E77" s="138">
        <v>35</v>
      </c>
      <c r="F77" s="139">
        <v>0.23</v>
      </c>
      <c r="G77" s="139">
        <v>0.23</v>
      </c>
      <c r="H77" s="139">
        <v>1.5</v>
      </c>
      <c r="I77" s="140">
        <f t="shared" ref="I77" si="12">ROUND(PRODUCT(C77:H77),2)</f>
        <v>5.55</v>
      </c>
      <c r="J77" s="161"/>
    </row>
    <row r="78" spans="1:10" s="154" customFormat="1">
      <c r="A78" s="276"/>
      <c r="B78" s="157"/>
      <c r="C78" s="149"/>
      <c r="D78" s="156"/>
      <c r="E78" s="149"/>
      <c r="F78" s="150"/>
      <c r="G78" s="158" t="s">
        <v>11</v>
      </c>
      <c r="H78" s="150"/>
      <c r="I78" s="159">
        <f>SUM(I40:I77)</f>
        <v>43.06</v>
      </c>
      <c r="J78" s="161"/>
    </row>
    <row r="79" spans="1:10" s="154" customFormat="1">
      <c r="A79" s="276"/>
      <c r="B79" s="157" t="s">
        <v>1406</v>
      </c>
      <c r="C79" s="149"/>
      <c r="D79" s="156"/>
      <c r="E79" s="149"/>
      <c r="F79" s="150"/>
      <c r="G79" s="158"/>
      <c r="H79" s="150"/>
      <c r="I79" s="159">
        <f>-excess!G19</f>
        <v>-24.94</v>
      </c>
      <c r="J79" s="161"/>
    </row>
    <row r="80" spans="1:10" s="154" customFormat="1">
      <c r="A80" s="276"/>
      <c r="B80" s="157"/>
      <c r="C80" s="149"/>
      <c r="D80" s="156"/>
      <c r="E80" s="149"/>
      <c r="F80" s="150"/>
      <c r="G80" s="158"/>
      <c r="H80" s="150"/>
      <c r="I80" s="159">
        <f>SUM(I78:I79)</f>
        <v>18.12</v>
      </c>
      <c r="J80" s="161"/>
    </row>
    <row r="81" spans="1:10" s="154" customFormat="1">
      <c r="A81" s="276"/>
      <c r="B81" s="157"/>
      <c r="C81" s="149"/>
      <c r="D81" s="156"/>
      <c r="E81" s="149"/>
      <c r="F81" s="150"/>
      <c r="G81" s="158"/>
      <c r="H81" s="158" t="s">
        <v>245</v>
      </c>
      <c r="I81" s="160">
        <f>ROUNDUP(I80,1)</f>
        <v>18.200000000000003</v>
      </c>
      <c r="J81" s="161" t="s">
        <v>12</v>
      </c>
    </row>
    <row r="82" spans="1:10" s="154" customFormat="1">
      <c r="A82" s="276"/>
      <c r="B82" s="157"/>
      <c r="C82" s="149"/>
      <c r="D82" s="156"/>
      <c r="E82" s="149"/>
      <c r="F82" s="150"/>
      <c r="G82" s="158"/>
      <c r="H82" s="158"/>
      <c r="I82" s="159"/>
      <c r="J82" s="161"/>
    </row>
    <row r="83" spans="1:10" s="154" customFormat="1">
      <c r="A83" s="276"/>
      <c r="B83" s="155" t="s">
        <v>250</v>
      </c>
      <c r="C83" s="149"/>
      <c r="D83" s="149"/>
      <c r="E83" s="149"/>
      <c r="F83" s="150"/>
      <c r="G83" s="150"/>
      <c r="H83" s="150"/>
      <c r="I83" s="151"/>
      <c r="J83" s="161"/>
    </row>
    <row r="84" spans="1:10" s="154" customFormat="1">
      <c r="A84" s="276"/>
      <c r="B84" s="148" t="s">
        <v>251</v>
      </c>
      <c r="C84" s="149">
        <v>1</v>
      </c>
      <c r="D84" s="149" t="s">
        <v>73</v>
      </c>
      <c r="E84" s="149">
        <v>1</v>
      </c>
      <c r="F84" s="150">
        <v>49.22</v>
      </c>
      <c r="G84" s="150">
        <v>0.23</v>
      </c>
      <c r="H84" s="150">
        <v>2.92</v>
      </c>
      <c r="I84" s="151">
        <f t="shared" ref="I84:I113" si="13">ROUND(PRODUCT(C84:H84),2)</f>
        <v>33.06</v>
      </c>
      <c r="J84" s="161"/>
    </row>
    <row r="85" spans="1:10" s="154" customFormat="1">
      <c r="A85" s="276"/>
      <c r="B85" s="148" t="s">
        <v>252</v>
      </c>
      <c r="C85" s="149">
        <v>1</v>
      </c>
      <c r="D85" s="156" t="s">
        <v>73</v>
      </c>
      <c r="E85" s="149">
        <v>2</v>
      </c>
      <c r="F85" s="150">
        <v>3.33</v>
      </c>
      <c r="G85" s="150">
        <v>0.23</v>
      </c>
      <c r="H85" s="150">
        <v>2.92</v>
      </c>
      <c r="I85" s="151">
        <f t="shared" si="13"/>
        <v>4.47</v>
      </c>
      <c r="J85" s="161"/>
    </row>
    <row r="86" spans="1:10" s="154" customFormat="1">
      <c r="A86" s="276"/>
      <c r="B86" s="148" t="s">
        <v>1161</v>
      </c>
      <c r="C86" s="149">
        <v>1</v>
      </c>
      <c r="D86" s="149" t="s">
        <v>73</v>
      </c>
      <c r="E86" s="149">
        <v>1</v>
      </c>
      <c r="F86" s="150">
        <v>7.34</v>
      </c>
      <c r="G86" s="150">
        <v>0.23</v>
      </c>
      <c r="H86" s="165">
        <v>3.1749999999999998</v>
      </c>
      <c r="I86" s="151">
        <f t="shared" si="13"/>
        <v>5.36</v>
      </c>
      <c r="J86" s="161"/>
    </row>
    <row r="87" spans="1:10" s="154" customFormat="1">
      <c r="A87" s="276"/>
      <c r="B87" s="148" t="s">
        <v>1135</v>
      </c>
      <c r="C87" s="138">
        <v>1</v>
      </c>
      <c r="D87" s="143" t="s">
        <v>73</v>
      </c>
      <c r="E87" s="138">
        <v>1</v>
      </c>
      <c r="F87" s="139">
        <v>8.1199999999999992</v>
      </c>
      <c r="G87" s="139">
        <v>0.23</v>
      </c>
      <c r="H87" s="139">
        <v>2.92</v>
      </c>
      <c r="I87" s="140">
        <f t="shared" si="13"/>
        <v>5.45</v>
      </c>
      <c r="J87" s="161"/>
    </row>
    <row r="88" spans="1:10" s="154" customFormat="1">
      <c r="A88" s="276"/>
      <c r="B88" s="148" t="s">
        <v>1162</v>
      </c>
      <c r="C88" s="149">
        <v>1</v>
      </c>
      <c r="D88" s="149" t="s">
        <v>73</v>
      </c>
      <c r="E88" s="149">
        <v>1</v>
      </c>
      <c r="F88" s="150">
        <v>4.3499999999999996</v>
      </c>
      <c r="G88" s="150">
        <v>0.23</v>
      </c>
      <c r="H88" s="150">
        <v>2.85</v>
      </c>
      <c r="I88" s="151">
        <f t="shared" ref="I88:I91" si="14">ROUND(PRODUCT(C88:H88),2)</f>
        <v>2.85</v>
      </c>
      <c r="J88" s="161"/>
    </row>
    <row r="89" spans="1:10" s="154" customFormat="1">
      <c r="A89" s="276"/>
      <c r="B89" s="148" t="s">
        <v>1163</v>
      </c>
      <c r="C89" s="149">
        <v>1</v>
      </c>
      <c r="D89" s="149" t="s">
        <v>73</v>
      </c>
      <c r="E89" s="149">
        <v>2</v>
      </c>
      <c r="F89" s="150">
        <v>2.76</v>
      </c>
      <c r="G89" s="150">
        <v>0.23</v>
      </c>
      <c r="H89" s="165">
        <v>3.1749999999999998</v>
      </c>
      <c r="I89" s="151">
        <f t="shared" si="14"/>
        <v>4.03</v>
      </c>
      <c r="J89" s="161"/>
    </row>
    <row r="90" spans="1:10" s="154" customFormat="1">
      <c r="A90" s="276"/>
      <c r="B90" s="148" t="s">
        <v>1164</v>
      </c>
      <c r="C90" s="149">
        <v>1</v>
      </c>
      <c r="D90" s="149" t="s">
        <v>73</v>
      </c>
      <c r="E90" s="149">
        <v>1</v>
      </c>
      <c r="F90" s="150">
        <v>1.68</v>
      </c>
      <c r="G90" s="150">
        <v>0.23</v>
      </c>
      <c r="H90" s="165">
        <v>3.1749999999999998</v>
      </c>
      <c r="I90" s="151">
        <f t="shared" si="14"/>
        <v>1.23</v>
      </c>
      <c r="J90" s="161"/>
    </row>
    <row r="91" spans="1:10" s="154" customFormat="1">
      <c r="A91" s="276"/>
      <c r="B91" s="148" t="s">
        <v>1165</v>
      </c>
      <c r="C91" s="149">
        <v>1</v>
      </c>
      <c r="D91" s="149" t="s">
        <v>73</v>
      </c>
      <c r="E91" s="149">
        <v>1</v>
      </c>
      <c r="F91" s="150">
        <v>5.56</v>
      </c>
      <c r="G91" s="150">
        <v>0.23</v>
      </c>
      <c r="H91" s="165">
        <v>2.92</v>
      </c>
      <c r="I91" s="151">
        <f t="shared" si="14"/>
        <v>3.73</v>
      </c>
      <c r="J91" s="161"/>
    </row>
    <row r="92" spans="1:10" s="154" customFormat="1">
      <c r="A92" s="276"/>
      <c r="B92" s="148" t="s">
        <v>1166</v>
      </c>
      <c r="C92" s="149">
        <v>1</v>
      </c>
      <c r="D92" s="149" t="s">
        <v>73</v>
      </c>
      <c r="E92" s="149">
        <v>1</v>
      </c>
      <c r="F92" s="150">
        <v>2.66</v>
      </c>
      <c r="G92" s="150">
        <v>0.23</v>
      </c>
      <c r="H92" s="165">
        <v>3.1749999999999998</v>
      </c>
      <c r="I92" s="151">
        <f t="shared" ref="I92:I101" si="15">ROUND(PRODUCT(C92:H92),2)</f>
        <v>1.94</v>
      </c>
      <c r="J92" s="161"/>
    </row>
    <row r="93" spans="1:10" s="154" customFormat="1">
      <c r="A93" s="276"/>
      <c r="B93" s="148" t="s">
        <v>1167</v>
      </c>
      <c r="C93" s="149">
        <v>-1</v>
      </c>
      <c r="D93" s="149" t="s">
        <v>73</v>
      </c>
      <c r="E93" s="149">
        <v>4</v>
      </c>
      <c r="F93" s="150">
        <v>1</v>
      </c>
      <c r="G93" s="150">
        <v>0.23</v>
      </c>
      <c r="H93" s="150">
        <v>2.1</v>
      </c>
      <c r="I93" s="151">
        <f t="shared" si="15"/>
        <v>-1.93</v>
      </c>
      <c r="J93" s="161"/>
    </row>
    <row r="94" spans="1:10" s="154" customFormat="1">
      <c r="A94" s="276"/>
      <c r="B94" s="148" t="s">
        <v>1168</v>
      </c>
      <c r="C94" s="149">
        <v>-1</v>
      </c>
      <c r="D94" s="149" t="s">
        <v>73</v>
      </c>
      <c r="E94" s="149">
        <v>4</v>
      </c>
      <c r="F94" s="150">
        <v>1.46</v>
      </c>
      <c r="G94" s="150">
        <v>0.23</v>
      </c>
      <c r="H94" s="150">
        <v>0.15</v>
      </c>
      <c r="I94" s="151">
        <f t="shared" si="15"/>
        <v>-0.2</v>
      </c>
      <c r="J94" s="161"/>
    </row>
    <row r="95" spans="1:10" s="154" customFormat="1">
      <c r="A95" s="276"/>
      <c r="B95" s="148" t="s">
        <v>1142</v>
      </c>
      <c r="C95" s="149">
        <v>-1</v>
      </c>
      <c r="D95" s="149" t="s">
        <v>73</v>
      </c>
      <c r="E95" s="149">
        <v>11</v>
      </c>
      <c r="F95" s="150">
        <v>1.35</v>
      </c>
      <c r="G95" s="150">
        <v>0.23</v>
      </c>
      <c r="H95" s="150">
        <v>1.35</v>
      </c>
      <c r="I95" s="151">
        <f t="shared" si="15"/>
        <v>-4.6100000000000003</v>
      </c>
      <c r="J95" s="161"/>
    </row>
    <row r="96" spans="1:10" s="154" customFormat="1">
      <c r="A96" s="276"/>
      <c r="B96" s="148" t="s">
        <v>1143</v>
      </c>
      <c r="C96" s="149">
        <v>-1</v>
      </c>
      <c r="D96" s="149" t="s">
        <v>73</v>
      </c>
      <c r="E96" s="149">
        <v>8</v>
      </c>
      <c r="F96" s="150">
        <v>1.35</v>
      </c>
      <c r="G96" s="150">
        <v>0.23</v>
      </c>
      <c r="H96" s="150">
        <v>0.15</v>
      </c>
      <c r="I96" s="151">
        <f t="shared" ref="I96" si="16">ROUND(PRODUCT(C96:H96),2)</f>
        <v>-0.37</v>
      </c>
      <c r="J96" s="161"/>
    </row>
    <row r="97" spans="1:10" s="154" customFormat="1">
      <c r="A97" s="276"/>
      <c r="B97" s="148" t="s">
        <v>1143</v>
      </c>
      <c r="C97" s="149">
        <v>-1</v>
      </c>
      <c r="D97" s="149" t="s">
        <v>73</v>
      </c>
      <c r="E97" s="149">
        <v>1</v>
      </c>
      <c r="F97" s="150">
        <v>6.52</v>
      </c>
      <c r="G97" s="150">
        <v>0.23</v>
      </c>
      <c r="H97" s="150">
        <v>0.15</v>
      </c>
      <c r="I97" s="151">
        <f t="shared" si="15"/>
        <v>-0.22</v>
      </c>
      <c r="J97" s="161"/>
    </row>
    <row r="98" spans="1:10" s="154" customFormat="1">
      <c r="A98" s="276"/>
      <c r="B98" s="148" t="s">
        <v>1144</v>
      </c>
      <c r="C98" s="149">
        <v>-1</v>
      </c>
      <c r="D98" s="149" t="s">
        <v>73</v>
      </c>
      <c r="E98" s="149">
        <v>1</v>
      </c>
      <c r="F98" s="150">
        <v>0.75</v>
      </c>
      <c r="G98" s="150">
        <v>0.23</v>
      </c>
      <c r="H98" s="150">
        <v>2.1</v>
      </c>
      <c r="I98" s="151">
        <f t="shared" si="15"/>
        <v>-0.36</v>
      </c>
      <c r="J98" s="161"/>
    </row>
    <row r="99" spans="1:10" s="154" customFormat="1">
      <c r="A99" s="276"/>
      <c r="B99" s="148" t="s">
        <v>1145</v>
      </c>
      <c r="C99" s="149">
        <v>-1</v>
      </c>
      <c r="D99" s="149" t="s">
        <v>73</v>
      </c>
      <c r="E99" s="149">
        <v>1</v>
      </c>
      <c r="F99" s="150">
        <v>1.21</v>
      </c>
      <c r="G99" s="150">
        <v>0.23</v>
      </c>
      <c r="H99" s="150">
        <v>0.15</v>
      </c>
      <c r="I99" s="151">
        <f t="shared" si="15"/>
        <v>-0.04</v>
      </c>
      <c r="J99" s="161"/>
    </row>
    <row r="100" spans="1:10" s="154" customFormat="1">
      <c r="A100" s="276"/>
      <c r="B100" s="148" t="s">
        <v>1150</v>
      </c>
      <c r="C100" s="149">
        <v>-1</v>
      </c>
      <c r="D100" s="149" t="s">
        <v>73</v>
      </c>
      <c r="E100" s="149">
        <v>2</v>
      </c>
      <c r="F100" s="150">
        <v>0.75</v>
      </c>
      <c r="G100" s="150">
        <v>0.23</v>
      </c>
      <c r="H100" s="150">
        <v>0.6</v>
      </c>
      <c r="I100" s="151">
        <f t="shared" si="15"/>
        <v>-0.21</v>
      </c>
      <c r="J100" s="161"/>
    </row>
    <row r="101" spans="1:10" s="154" customFormat="1">
      <c r="A101" s="276"/>
      <c r="B101" s="148" t="s">
        <v>1151</v>
      </c>
      <c r="C101" s="149">
        <v>-1</v>
      </c>
      <c r="D101" s="149" t="s">
        <v>73</v>
      </c>
      <c r="E101" s="149">
        <v>2</v>
      </c>
      <c r="F101" s="150">
        <v>1.21</v>
      </c>
      <c r="G101" s="150">
        <v>0.23</v>
      </c>
      <c r="H101" s="150">
        <v>0.15</v>
      </c>
      <c r="I101" s="151">
        <f t="shared" si="15"/>
        <v>-0.08</v>
      </c>
      <c r="J101" s="161"/>
    </row>
    <row r="102" spans="1:10" s="154" customFormat="1">
      <c r="A102" s="276"/>
      <c r="B102" s="148" t="s">
        <v>1169</v>
      </c>
      <c r="C102" s="149">
        <v>-1</v>
      </c>
      <c r="D102" s="149" t="s">
        <v>73</v>
      </c>
      <c r="E102" s="149">
        <v>1</v>
      </c>
      <c r="F102" s="150">
        <v>0.75</v>
      </c>
      <c r="G102" s="150">
        <v>0.23</v>
      </c>
      <c r="H102" s="150">
        <v>0.6</v>
      </c>
      <c r="I102" s="151">
        <f t="shared" ref="I102" si="17">ROUND(PRODUCT(C102:H102),2)</f>
        <v>-0.1</v>
      </c>
      <c r="J102" s="161"/>
    </row>
    <row r="103" spans="1:10" s="154" customFormat="1">
      <c r="A103" s="276"/>
      <c r="B103" s="148" t="s">
        <v>1170</v>
      </c>
      <c r="C103" s="149">
        <v>-1</v>
      </c>
      <c r="D103" s="149" t="s">
        <v>73</v>
      </c>
      <c r="E103" s="149">
        <v>1</v>
      </c>
      <c r="F103" s="150">
        <v>0.9</v>
      </c>
      <c r="G103" s="150">
        <v>0.23</v>
      </c>
      <c r="H103" s="150">
        <v>0.45</v>
      </c>
      <c r="I103" s="151">
        <f t="shared" si="13"/>
        <v>-0.09</v>
      </c>
      <c r="J103" s="161"/>
    </row>
    <row r="104" spans="1:10" s="154" customFormat="1">
      <c r="A104" s="276"/>
      <c r="B104" s="148" t="s">
        <v>1171</v>
      </c>
      <c r="C104" s="149">
        <v>-1</v>
      </c>
      <c r="D104" s="149" t="s">
        <v>73</v>
      </c>
      <c r="E104" s="149">
        <v>1</v>
      </c>
      <c r="F104" s="150">
        <v>3.28</v>
      </c>
      <c r="G104" s="150">
        <v>0.23</v>
      </c>
      <c r="H104" s="150">
        <v>0.15</v>
      </c>
      <c r="I104" s="151">
        <f t="shared" si="13"/>
        <v>-0.11</v>
      </c>
      <c r="J104" s="161"/>
    </row>
    <row r="105" spans="1:10" s="154" customFormat="1">
      <c r="A105" s="276"/>
      <c r="B105" s="148" t="s">
        <v>1152</v>
      </c>
      <c r="C105" s="149">
        <v>-1</v>
      </c>
      <c r="D105" s="149" t="s">
        <v>73</v>
      </c>
      <c r="E105" s="149">
        <v>2</v>
      </c>
      <c r="F105" s="150">
        <v>0.9</v>
      </c>
      <c r="G105" s="150">
        <v>0.23</v>
      </c>
      <c r="H105" s="150">
        <v>0.9</v>
      </c>
      <c r="I105" s="151">
        <f t="shared" si="13"/>
        <v>-0.37</v>
      </c>
      <c r="J105" s="161"/>
    </row>
    <row r="106" spans="1:10" s="154" customFormat="1">
      <c r="A106" s="276"/>
      <c r="B106" s="148" t="s">
        <v>1153</v>
      </c>
      <c r="C106" s="149">
        <v>-1</v>
      </c>
      <c r="D106" s="149" t="s">
        <v>73</v>
      </c>
      <c r="E106" s="149">
        <v>2</v>
      </c>
      <c r="F106" s="150">
        <v>1.36</v>
      </c>
      <c r="G106" s="150">
        <v>0.23</v>
      </c>
      <c r="H106" s="150">
        <v>0.15</v>
      </c>
      <c r="I106" s="151">
        <f t="shared" si="13"/>
        <v>-0.09</v>
      </c>
      <c r="J106" s="161"/>
    </row>
    <row r="107" spans="1:10" s="154" customFormat="1">
      <c r="A107" s="276"/>
      <c r="B107" s="148" t="s">
        <v>249</v>
      </c>
      <c r="C107" s="162">
        <v>-1</v>
      </c>
      <c r="D107" s="162" t="s">
        <v>73</v>
      </c>
      <c r="E107" s="162">
        <v>8</v>
      </c>
      <c r="F107" s="162">
        <v>0.38</v>
      </c>
      <c r="G107" s="163">
        <v>0.23</v>
      </c>
      <c r="H107" s="163">
        <v>2.92</v>
      </c>
      <c r="I107" s="151">
        <f t="shared" si="13"/>
        <v>-2.04</v>
      </c>
      <c r="J107" s="161"/>
    </row>
    <row r="108" spans="1:10" s="154" customFormat="1">
      <c r="A108" s="276"/>
      <c r="B108" s="148" t="s">
        <v>249</v>
      </c>
      <c r="C108" s="162">
        <v>-1</v>
      </c>
      <c r="D108" s="162" t="s">
        <v>73</v>
      </c>
      <c r="E108" s="162">
        <v>6</v>
      </c>
      <c r="F108" s="162">
        <v>0.23</v>
      </c>
      <c r="G108" s="163">
        <v>0.23</v>
      </c>
      <c r="H108" s="163">
        <v>2.92</v>
      </c>
      <c r="I108" s="151">
        <f t="shared" si="13"/>
        <v>-0.93</v>
      </c>
      <c r="J108" s="161"/>
    </row>
    <row r="109" spans="1:10" s="154" customFormat="1">
      <c r="A109" s="276"/>
      <c r="B109" s="148" t="s">
        <v>249</v>
      </c>
      <c r="C109" s="162">
        <v>-1</v>
      </c>
      <c r="D109" s="162" t="s">
        <v>73</v>
      </c>
      <c r="E109" s="162">
        <v>4</v>
      </c>
      <c r="F109" s="162">
        <v>0.3</v>
      </c>
      <c r="G109" s="163">
        <v>0.23</v>
      </c>
      <c r="H109" s="163">
        <v>2.92</v>
      </c>
      <c r="I109" s="151">
        <f t="shared" si="13"/>
        <v>-0.81</v>
      </c>
      <c r="J109" s="161"/>
    </row>
    <row r="110" spans="1:10" s="154" customFormat="1">
      <c r="A110" s="276"/>
      <c r="B110" s="148" t="s">
        <v>1174</v>
      </c>
      <c r="C110" s="138">
        <v>1</v>
      </c>
      <c r="D110" s="143" t="s">
        <v>73</v>
      </c>
      <c r="E110" s="138">
        <v>3</v>
      </c>
      <c r="F110" s="139">
        <v>0.9</v>
      </c>
      <c r="G110" s="139">
        <v>0.45</v>
      </c>
      <c r="H110" s="139">
        <v>0.1</v>
      </c>
      <c r="I110" s="140">
        <f t="shared" ref="I110:I111" si="18">ROUND(PRODUCT(C110:H110),2)</f>
        <v>0.12</v>
      </c>
      <c r="J110" s="161"/>
    </row>
    <row r="111" spans="1:10" s="154" customFormat="1">
      <c r="A111" s="276"/>
      <c r="B111" s="148" t="s">
        <v>1428</v>
      </c>
      <c r="C111" s="138">
        <v>1</v>
      </c>
      <c r="D111" s="143" t="s">
        <v>73</v>
      </c>
      <c r="E111" s="138">
        <v>1</v>
      </c>
      <c r="F111" s="139">
        <v>4.21</v>
      </c>
      <c r="G111" s="139">
        <v>0.6</v>
      </c>
      <c r="H111" s="139">
        <v>0.1</v>
      </c>
      <c r="I111" s="140">
        <f t="shared" si="18"/>
        <v>0.25</v>
      </c>
      <c r="J111" s="161"/>
    </row>
    <row r="112" spans="1:10" s="154" customFormat="1">
      <c r="A112" s="276"/>
      <c r="B112" s="148" t="s">
        <v>1175</v>
      </c>
      <c r="C112" s="138">
        <v>1</v>
      </c>
      <c r="D112" s="143" t="s">
        <v>73</v>
      </c>
      <c r="E112" s="138">
        <v>4</v>
      </c>
      <c r="F112" s="139">
        <v>0.8</v>
      </c>
      <c r="G112" s="139">
        <v>0.45</v>
      </c>
      <c r="H112" s="139">
        <v>0.1</v>
      </c>
      <c r="I112" s="140">
        <f t="shared" ref="I112" si="19">ROUND(PRODUCT(C112:H112),2)</f>
        <v>0.14000000000000001</v>
      </c>
      <c r="J112" s="161"/>
    </row>
    <row r="113" spans="1:10" s="154" customFormat="1">
      <c r="A113" s="276"/>
      <c r="B113" s="148" t="s">
        <v>1173</v>
      </c>
      <c r="C113" s="138">
        <v>1</v>
      </c>
      <c r="D113" s="143" t="s">
        <v>73</v>
      </c>
      <c r="E113" s="138">
        <v>3</v>
      </c>
      <c r="F113" s="139">
        <v>1.1499999999999999</v>
      </c>
      <c r="G113" s="139">
        <v>0.45</v>
      </c>
      <c r="H113" s="139">
        <v>0.1</v>
      </c>
      <c r="I113" s="140">
        <f t="shared" si="13"/>
        <v>0.16</v>
      </c>
      <c r="J113" s="161"/>
    </row>
    <row r="114" spans="1:10" s="154" customFormat="1">
      <c r="A114" s="276"/>
      <c r="B114" s="148"/>
      <c r="C114" s="162"/>
      <c r="D114" s="148"/>
      <c r="E114" s="162"/>
      <c r="F114" s="150"/>
      <c r="G114" s="158" t="s">
        <v>11</v>
      </c>
      <c r="H114" s="150"/>
      <c r="I114" s="159">
        <f>SUM(I84:I113)</f>
        <v>50.22999999999999</v>
      </c>
      <c r="J114" s="161"/>
    </row>
    <row r="115" spans="1:10" s="154" customFormat="1">
      <c r="A115" s="276"/>
      <c r="B115" s="157" t="s">
        <v>1406</v>
      </c>
      <c r="C115" s="149"/>
      <c r="D115" s="156"/>
      <c r="E115" s="149"/>
      <c r="F115" s="150"/>
      <c r="G115" s="158"/>
      <c r="H115" s="150"/>
      <c r="I115" s="159">
        <f>-excess!G20</f>
        <v>-48.45</v>
      </c>
      <c r="J115" s="161"/>
    </row>
    <row r="116" spans="1:10" s="154" customFormat="1">
      <c r="A116" s="276"/>
      <c r="B116" s="157"/>
      <c r="C116" s="149"/>
      <c r="D116" s="156"/>
      <c r="E116" s="149"/>
      <c r="F116" s="150"/>
      <c r="G116" s="158"/>
      <c r="H116" s="150"/>
      <c r="I116" s="159">
        <f>SUM(I114:I115)</f>
        <v>1.7799999999999869</v>
      </c>
      <c r="J116" s="161"/>
    </row>
    <row r="117" spans="1:10" s="154" customFormat="1">
      <c r="A117" s="276"/>
      <c r="B117" s="157"/>
      <c r="C117" s="149"/>
      <c r="D117" s="156"/>
      <c r="E117" s="149"/>
      <c r="F117" s="150"/>
      <c r="G117" s="158"/>
      <c r="H117" s="158" t="s">
        <v>245</v>
      </c>
      <c r="I117" s="160">
        <f>ROUNDUP(I116,1)</f>
        <v>1.8</v>
      </c>
      <c r="J117" s="161" t="s">
        <v>12</v>
      </c>
    </row>
    <row r="118" spans="1:10" s="154" customFormat="1">
      <c r="A118" s="276"/>
      <c r="B118" s="148"/>
      <c r="C118" s="149"/>
      <c r="D118" s="149"/>
      <c r="E118" s="149"/>
      <c r="F118" s="150"/>
      <c r="G118" s="158"/>
      <c r="H118" s="158"/>
      <c r="I118" s="160"/>
      <c r="J118" s="161"/>
    </row>
    <row r="119" spans="1:10" s="154" customFormat="1">
      <c r="A119" s="276"/>
      <c r="B119" s="155" t="s">
        <v>253</v>
      </c>
      <c r="C119" s="149"/>
      <c r="D119" s="149"/>
      <c r="E119" s="149"/>
      <c r="F119" s="150"/>
      <c r="G119" s="150"/>
      <c r="H119" s="150"/>
      <c r="I119" s="151"/>
      <c r="J119" s="161"/>
    </row>
    <row r="120" spans="1:10" s="154" customFormat="1">
      <c r="A120" s="276"/>
      <c r="B120" s="148" t="s">
        <v>1176</v>
      </c>
      <c r="C120" s="149">
        <v>1</v>
      </c>
      <c r="D120" s="149" t="s">
        <v>73</v>
      </c>
      <c r="E120" s="149">
        <v>1</v>
      </c>
      <c r="F120" s="150">
        <v>49.68</v>
      </c>
      <c r="G120" s="150">
        <v>0.23</v>
      </c>
      <c r="H120" s="150">
        <v>2.92</v>
      </c>
      <c r="I120" s="151">
        <f t="shared" ref="I120:I148" si="20">ROUND(PRODUCT(C120:H120),2)</f>
        <v>33.369999999999997</v>
      </c>
      <c r="J120" s="161"/>
    </row>
    <row r="121" spans="1:10" s="154" customFormat="1">
      <c r="A121" s="276"/>
      <c r="B121" s="148" t="s">
        <v>252</v>
      </c>
      <c r="C121" s="149">
        <v>1</v>
      </c>
      <c r="D121" s="156" t="s">
        <v>73</v>
      </c>
      <c r="E121" s="149">
        <v>2</v>
      </c>
      <c r="F121" s="150">
        <v>3.33</v>
      </c>
      <c r="G121" s="150">
        <v>0.23</v>
      </c>
      <c r="H121" s="150">
        <v>2.92</v>
      </c>
      <c r="I121" s="151">
        <f t="shared" si="20"/>
        <v>4.47</v>
      </c>
      <c r="J121" s="161"/>
    </row>
    <row r="122" spans="1:10" s="154" customFormat="1">
      <c r="A122" s="276"/>
      <c r="B122" s="148" t="s">
        <v>1161</v>
      </c>
      <c r="C122" s="149">
        <v>1</v>
      </c>
      <c r="D122" s="149" t="s">
        <v>73</v>
      </c>
      <c r="E122" s="149">
        <v>1</v>
      </c>
      <c r="F122" s="150">
        <v>7.34</v>
      </c>
      <c r="G122" s="150">
        <v>0.23</v>
      </c>
      <c r="H122" s="165">
        <v>3.1749999999999998</v>
      </c>
      <c r="I122" s="151">
        <f t="shared" si="20"/>
        <v>5.36</v>
      </c>
      <c r="J122" s="161"/>
    </row>
    <row r="123" spans="1:10" s="154" customFormat="1">
      <c r="A123" s="276"/>
      <c r="B123" s="148" t="s">
        <v>1135</v>
      </c>
      <c r="C123" s="138">
        <v>1</v>
      </c>
      <c r="D123" s="143" t="s">
        <v>73</v>
      </c>
      <c r="E123" s="138">
        <v>1</v>
      </c>
      <c r="F123" s="139">
        <v>8.1199999999999992</v>
      </c>
      <c r="G123" s="139">
        <v>0.23</v>
      </c>
      <c r="H123" s="139">
        <v>2.92</v>
      </c>
      <c r="I123" s="140">
        <f t="shared" si="20"/>
        <v>5.45</v>
      </c>
      <c r="J123" s="161"/>
    </row>
    <row r="124" spans="1:10" s="154" customFormat="1">
      <c r="A124" s="276"/>
      <c r="B124" s="148" t="s">
        <v>1162</v>
      </c>
      <c r="C124" s="149">
        <v>1</v>
      </c>
      <c r="D124" s="149" t="s">
        <v>73</v>
      </c>
      <c r="E124" s="149">
        <v>1</v>
      </c>
      <c r="F124" s="150">
        <v>4.3499999999999996</v>
      </c>
      <c r="G124" s="150">
        <v>0.23</v>
      </c>
      <c r="H124" s="150">
        <v>2.85</v>
      </c>
      <c r="I124" s="151">
        <f t="shared" si="20"/>
        <v>2.85</v>
      </c>
      <c r="J124" s="161"/>
    </row>
    <row r="125" spans="1:10" s="154" customFormat="1">
      <c r="A125" s="276"/>
      <c r="B125" s="148" t="s">
        <v>1165</v>
      </c>
      <c r="C125" s="149">
        <v>1</v>
      </c>
      <c r="D125" s="149" t="s">
        <v>73</v>
      </c>
      <c r="E125" s="149">
        <v>1</v>
      </c>
      <c r="F125" s="150">
        <v>5.56</v>
      </c>
      <c r="G125" s="150">
        <v>0.23</v>
      </c>
      <c r="H125" s="165">
        <v>2.92</v>
      </c>
      <c r="I125" s="151">
        <f t="shared" si="20"/>
        <v>3.73</v>
      </c>
      <c r="J125" s="164"/>
    </row>
    <row r="126" spans="1:10" s="154" customFormat="1">
      <c r="A126" s="276"/>
      <c r="B126" s="148" t="s">
        <v>1166</v>
      </c>
      <c r="C126" s="149">
        <v>1</v>
      </c>
      <c r="D126" s="149" t="s">
        <v>73</v>
      </c>
      <c r="E126" s="149">
        <v>1</v>
      </c>
      <c r="F126" s="150">
        <v>2.66</v>
      </c>
      <c r="G126" s="150">
        <v>0.23</v>
      </c>
      <c r="H126" s="165">
        <v>3.1749999999999998</v>
      </c>
      <c r="I126" s="151">
        <f t="shared" ref="I126" si="21">ROUND(PRODUCT(C126:H126),2)</f>
        <v>1.94</v>
      </c>
      <c r="J126" s="161"/>
    </row>
    <row r="127" spans="1:10" s="154" customFormat="1">
      <c r="A127" s="276"/>
      <c r="B127" s="148" t="s">
        <v>1177</v>
      </c>
      <c r="C127" s="149">
        <v>1</v>
      </c>
      <c r="D127" s="149" t="s">
        <v>73</v>
      </c>
      <c r="E127" s="149">
        <v>1</v>
      </c>
      <c r="F127" s="150">
        <v>2.67</v>
      </c>
      <c r="G127" s="150">
        <v>0.23</v>
      </c>
      <c r="H127" s="165">
        <v>3.1749999999999998</v>
      </c>
      <c r="I127" s="151">
        <f t="shared" si="20"/>
        <v>1.95</v>
      </c>
      <c r="J127" s="161"/>
    </row>
    <row r="128" spans="1:10" s="154" customFormat="1">
      <c r="A128" s="276"/>
      <c r="B128" s="148" t="s">
        <v>1167</v>
      </c>
      <c r="C128" s="149">
        <v>-1</v>
      </c>
      <c r="D128" s="149" t="s">
        <v>73</v>
      </c>
      <c r="E128" s="149">
        <v>4</v>
      </c>
      <c r="F128" s="150">
        <v>1</v>
      </c>
      <c r="G128" s="150">
        <v>0.23</v>
      </c>
      <c r="H128" s="150">
        <v>2.1</v>
      </c>
      <c r="I128" s="151">
        <f t="shared" si="20"/>
        <v>-1.93</v>
      </c>
      <c r="J128" s="161"/>
    </row>
    <row r="129" spans="1:10" s="154" customFormat="1">
      <c r="A129" s="276"/>
      <c r="B129" s="148" t="s">
        <v>1168</v>
      </c>
      <c r="C129" s="149">
        <v>-1</v>
      </c>
      <c r="D129" s="149" t="s">
        <v>73</v>
      </c>
      <c r="E129" s="149">
        <v>4</v>
      </c>
      <c r="F129" s="150">
        <v>1.46</v>
      </c>
      <c r="G129" s="150">
        <v>0.23</v>
      </c>
      <c r="H129" s="150">
        <v>0.15</v>
      </c>
      <c r="I129" s="151">
        <f t="shared" si="20"/>
        <v>-0.2</v>
      </c>
      <c r="J129" s="161"/>
    </row>
    <row r="130" spans="1:10" s="154" customFormat="1">
      <c r="A130" s="276"/>
      <c r="B130" s="148" t="s">
        <v>1142</v>
      </c>
      <c r="C130" s="149">
        <v>-1</v>
      </c>
      <c r="D130" s="149" t="s">
        <v>73</v>
      </c>
      <c r="E130" s="149">
        <v>12</v>
      </c>
      <c r="F130" s="150">
        <v>1.35</v>
      </c>
      <c r="G130" s="150">
        <v>0.23</v>
      </c>
      <c r="H130" s="150">
        <v>1.35</v>
      </c>
      <c r="I130" s="151">
        <f t="shared" si="20"/>
        <v>-5.03</v>
      </c>
      <c r="J130" s="161"/>
    </row>
    <row r="131" spans="1:10" s="154" customFormat="1">
      <c r="A131" s="276"/>
      <c r="B131" s="148" t="s">
        <v>1143</v>
      </c>
      <c r="C131" s="149">
        <v>-1</v>
      </c>
      <c r="D131" s="149" t="s">
        <v>73</v>
      </c>
      <c r="E131" s="149">
        <v>9</v>
      </c>
      <c r="F131" s="150">
        <v>1.81</v>
      </c>
      <c r="G131" s="150">
        <v>0.23</v>
      </c>
      <c r="H131" s="150">
        <v>0.15</v>
      </c>
      <c r="I131" s="151">
        <f t="shared" si="20"/>
        <v>-0.56000000000000005</v>
      </c>
      <c r="J131" s="161"/>
    </row>
    <row r="132" spans="1:10" s="154" customFormat="1">
      <c r="A132" s="276"/>
      <c r="B132" s="148" t="s">
        <v>1143</v>
      </c>
      <c r="C132" s="149">
        <v>-1</v>
      </c>
      <c r="D132" s="149" t="s">
        <v>73</v>
      </c>
      <c r="E132" s="149">
        <v>1</v>
      </c>
      <c r="F132" s="150">
        <v>6.52</v>
      </c>
      <c r="G132" s="150">
        <v>0.23</v>
      </c>
      <c r="H132" s="150">
        <v>0.15</v>
      </c>
      <c r="I132" s="151">
        <f t="shared" si="20"/>
        <v>-0.22</v>
      </c>
      <c r="J132" s="161"/>
    </row>
    <row r="133" spans="1:10" s="154" customFormat="1">
      <c r="A133" s="276"/>
      <c r="B133" s="148" t="s">
        <v>1144</v>
      </c>
      <c r="C133" s="149">
        <v>-1</v>
      </c>
      <c r="D133" s="149" t="s">
        <v>73</v>
      </c>
      <c r="E133" s="149">
        <v>1</v>
      </c>
      <c r="F133" s="150">
        <v>0.75</v>
      </c>
      <c r="G133" s="150">
        <v>0.23</v>
      </c>
      <c r="H133" s="150">
        <v>2.1</v>
      </c>
      <c r="I133" s="151">
        <f t="shared" si="20"/>
        <v>-0.36</v>
      </c>
      <c r="J133" s="161"/>
    </row>
    <row r="134" spans="1:10" s="154" customFormat="1">
      <c r="A134" s="276"/>
      <c r="B134" s="148" t="s">
        <v>1145</v>
      </c>
      <c r="C134" s="149">
        <v>-1</v>
      </c>
      <c r="D134" s="149" t="s">
        <v>73</v>
      </c>
      <c r="E134" s="149">
        <v>1</v>
      </c>
      <c r="F134" s="150">
        <v>1.21</v>
      </c>
      <c r="G134" s="150">
        <v>0.23</v>
      </c>
      <c r="H134" s="150">
        <v>0.15</v>
      </c>
      <c r="I134" s="151">
        <f t="shared" si="20"/>
        <v>-0.04</v>
      </c>
      <c r="J134" s="161"/>
    </row>
    <row r="135" spans="1:10" s="154" customFormat="1">
      <c r="A135" s="276"/>
      <c r="B135" s="148" t="s">
        <v>1150</v>
      </c>
      <c r="C135" s="149">
        <v>-1</v>
      </c>
      <c r="D135" s="149" t="s">
        <v>73</v>
      </c>
      <c r="E135" s="149">
        <v>1</v>
      </c>
      <c r="F135" s="150">
        <v>0.75</v>
      </c>
      <c r="G135" s="150">
        <v>0.23</v>
      </c>
      <c r="H135" s="150">
        <v>0.6</v>
      </c>
      <c r="I135" s="151">
        <f t="shared" si="20"/>
        <v>-0.1</v>
      </c>
      <c r="J135" s="161"/>
    </row>
    <row r="136" spans="1:10" s="154" customFormat="1">
      <c r="A136" s="276"/>
      <c r="B136" s="148" t="s">
        <v>1151</v>
      </c>
      <c r="C136" s="149">
        <v>-1</v>
      </c>
      <c r="D136" s="149" t="s">
        <v>73</v>
      </c>
      <c r="E136" s="149">
        <v>1</v>
      </c>
      <c r="F136" s="150">
        <v>1.21</v>
      </c>
      <c r="G136" s="150">
        <v>0.23</v>
      </c>
      <c r="H136" s="150">
        <v>0.15</v>
      </c>
      <c r="I136" s="151">
        <f t="shared" si="20"/>
        <v>-0.04</v>
      </c>
      <c r="J136" s="161"/>
    </row>
    <row r="137" spans="1:10" s="154" customFormat="1">
      <c r="A137" s="276"/>
      <c r="B137" s="148" t="s">
        <v>1169</v>
      </c>
      <c r="C137" s="149">
        <v>-1</v>
      </c>
      <c r="D137" s="149" t="s">
        <v>73</v>
      </c>
      <c r="E137" s="149">
        <v>1</v>
      </c>
      <c r="F137" s="150">
        <v>0.75</v>
      </c>
      <c r="G137" s="150">
        <v>0.23</v>
      </c>
      <c r="H137" s="150">
        <v>0.6</v>
      </c>
      <c r="I137" s="151">
        <f t="shared" si="20"/>
        <v>-0.1</v>
      </c>
      <c r="J137" s="161"/>
    </row>
    <row r="138" spans="1:10" s="154" customFormat="1">
      <c r="A138" s="276"/>
      <c r="B138" s="148" t="s">
        <v>1170</v>
      </c>
      <c r="C138" s="149">
        <v>-1</v>
      </c>
      <c r="D138" s="149" t="s">
        <v>73</v>
      </c>
      <c r="E138" s="149">
        <v>1</v>
      </c>
      <c r="F138" s="150">
        <v>0.9</v>
      </c>
      <c r="G138" s="150">
        <v>0.23</v>
      </c>
      <c r="H138" s="150">
        <v>0.45</v>
      </c>
      <c r="I138" s="151">
        <f t="shared" si="20"/>
        <v>-0.09</v>
      </c>
      <c r="J138" s="161"/>
    </row>
    <row r="139" spans="1:10" s="154" customFormat="1">
      <c r="A139" s="276"/>
      <c r="B139" s="148" t="s">
        <v>1171</v>
      </c>
      <c r="C139" s="149">
        <v>-1</v>
      </c>
      <c r="D139" s="149" t="s">
        <v>73</v>
      </c>
      <c r="E139" s="149">
        <v>1</v>
      </c>
      <c r="F139" s="150">
        <v>3.28</v>
      </c>
      <c r="G139" s="150">
        <v>0.23</v>
      </c>
      <c r="H139" s="150">
        <v>0.15</v>
      </c>
      <c r="I139" s="151">
        <f t="shared" si="20"/>
        <v>-0.11</v>
      </c>
      <c r="J139" s="161"/>
    </row>
    <row r="140" spans="1:10" s="154" customFormat="1">
      <c r="A140" s="276"/>
      <c r="B140" s="148" t="s">
        <v>1152</v>
      </c>
      <c r="C140" s="149">
        <v>-1</v>
      </c>
      <c r="D140" s="149" t="s">
        <v>73</v>
      </c>
      <c r="E140" s="149">
        <v>2</v>
      </c>
      <c r="F140" s="150">
        <v>0.9</v>
      </c>
      <c r="G140" s="150">
        <v>0.23</v>
      </c>
      <c r="H140" s="150">
        <v>0.9</v>
      </c>
      <c r="I140" s="151">
        <f t="shared" si="20"/>
        <v>-0.37</v>
      </c>
      <c r="J140" s="161"/>
    </row>
    <row r="141" spans="1:10" s="154" customFormat="1">
      <c r="A141" s="276"/>
      <c r="B141" s="148" t="s">
        <v>1153</v>
      </c>
      <c r="C141" s="149">
        <v>-1</v>
      </c>
      <c r="D141" s="149" t="s">
        <v>73</v>
      </c>
      <c r="E141" s="149">
        <v>2</v>
      </c>
      <c r="F141" s="150">
        <v>1.36</v>
      </c>
      <c r="G141" s="150">
        <v>0.23</v>
      </c>
      <c r="H141" s="150">
        <v>0.15</v>
      </c>
      <c r="I141" s="151">
        <f t="shared" si="20"/>
        <v>-0.09</v>
      </c>
      <c r="J141" s="161"/>
    </row>
    <row r="142" spans="1:10" s="154" customFormat="1">
      <c r="A142" s="276"/>
      <c r="B142" s="148" t="s">
        <v>249</v>
      </c>
      <c r="C142" s="162">
        <v>-1</v>
      </c>
      <c r="D142" s="162" t="s">
        <v>73</v>
      </c>
      <c r="E142" s="162">
        <v>8</v>
      </c>
      <c r="F142" s="162">
        <v>0.38</v>
      </c>
      <c r="G142" s="163">
        <v>0.23</v>
      </c>
      <c r="H142" s="163">
        <v>2.92</v>
      </c>
      <c r="I142" s="151">
        <f t="shared" si="20"/>
        <v>-2.04</v>
      </c>
      <c r="J142" s="161"/>
    </row>
    <row r="143" spans="1:10" s="154" customFormat="1">
      <c r="A143" s="276"/>
      <c r="B143" s="148" t="s">
        <v>249</v>
      </c>
      <c r="C143" s="162">
        <v>-1</v>
      </c>
      <c r="D143" s="162" t="s">
        <v>73</v>
      </c>
      <c r="E143" s="162">
        <v>6</v>
      </c>
      <c r="F143" s="162">
        <v>0.23</v>
      </c>
      <c r="G143" s="163">
        <v>0.23</v>
      </c>
      <c r="H143" s="163">
        <v>2.92</v>
      </c>
      <c r="I143" s="151">
        <f t="shared" si="20"/>
        <v>-0.93</v>
      </c>
      <c r="J143" s="161"/>
    </row>
    <row r="144" spans="1:10" s="154" customFormat="1">
      <c r="A144" s="276"/>
      <c r="B144" s="148" t="s">
        <v>249</v>
      </c>
      <c r="C144" s="162">
        <v>-1</v>
      </c>
      <c r="D144" s="162" t="s">
        <v>73</v>
      </c>
      <c r="E144" s="162">
        <v>4</v>
      </c>
      <c r="F144" s="162">
        <v>0.3</v>
      </c>
      <c r="G144" s="163">
        <v>0.23</v>
      </c>
      <c r="H144" s="163">
        <v>2.92</v>
      </c>
      <c r="I144" s="151">
        <f t="shared" si="20"/>
        <v>-0.81</v>
      </c>
      <c r="J144" s="161"/>
    </row>
    <row r="145" spans="1:10" s="154" customFormat="1">
      <c r="A145" s="276"/>
      <c r="B145" s="148" t="s">
        <v>1178</v>
      </c>
      <c r="C145" s="138">
        <v>1</v>
      </c>
      <c r="D145" s="143" t="s">
        <v>73</v>
      </c>
      <c r="E145" s="138">
        <v>2</v>
      </c>
      <c r="F145" s="139">
        <v>0.9</v>
      </c>
      <c r="G145" s="139">
        <v>0.45</v>
      </c>
      <c r="H145" s="139">
        <v>0.1</v>
      </c>
      <c r="I145" s="140">
        <f t="shared" si="20"/>
        <v>0.08</v>
      </c>
      <c r="J145" s="161"/>
    </row>
    <row r="146" spans="1:10" s="154" customFormat="1">
      <c r="A146" s="276"/>
      <c r="B146" s="148" t="s">
        <v>1175</v>
      </c>
      <c r="C146" s="138">
        <v>1</v>
      </c>
      <c r="D146" s="143" t="s">
        <v>73</v>
      </c>
      <c r="E146" s="138">
        <v>4</v>
      </c>
      <c r="F146" s="139">
        <v>0.8</v>
      </c>
      <c r="G146" s="139">
        <v>0.45</v>
      </c>
      <c r="H146" s="139">
        <v>0.1</v>
      </c>
      <c r="I146" s="140">
        <f t="shared" si="20"/>
        <v>0.14000000000000001</v>
      </c>
      <c r="J146" s="161"/>
    </row>
    <row r="147" spans="1:10" s="154" customFormat="1">
      <c r="A147" s="276"/>
      <c r="B147" s="148" t="s">
        <v>1173</v>
      </c>
      <c r="C147" s="138">
        <v>1</v>
      </c>
      <c r="D147" s="143" t="s">
        <v>73</v>
      </c>
      <c r="E147" s="138">
        <v>3</v>
      </c>
      <c r="F147" s="139">
        <v>1.1499999999999999</v>
      </c>
      <c r="G147" s="139">
        <v>0.45</v>
      </c>
      <c r="H147" s="139">
        <v>0.1</v>
      </c>
      <c r="I147" s="140">
        <f t="shared" ref="I147" si="22">ROUND(PRODUCT(C147:H147),2)</f>
        <v>0.16</v>
      </c>
      <c r="J147" s="161"/>
    </row>
    <row r="148" spans="1:10" s="154" customFormat="1">
      <c r="A148" s="276"/>
      <c r="B148" s="148" t="s">
        <v>1179</v>
      </c>
      <c r="C148" s="138">
        <v>1</v>
      </c>
      <c r="D148" s="143" t="s">
        <v>73</v>
      </c>
      <c r="E148" s="138">
        <v>1</v>
      </c>
      <c r="F148" s="139">
        <v>20.399999999999999</v>
      </c>
      <c r="G148" s="139">
        <v>0.23</v>
      </c>
      <c r="H148" s="139">
        <v>1.2</v>
      </c>
      <c r="I148" s="140">
        <f t="shared" si="20"/>
        <v>5.63</v>
      </c>
      <c r="J148" s="161"/>
    </row>
    <row r="149" spans="1:10" s="154" customFormat="1">
      <c r="A149" s="276"/>
      <c r="B149" s="148" t="s">
        <v>249</v>
      </c>
      <c r="C149" s="162">
        <v>-1</v>
      </c>
      <c r="D149" s="162" t="s">
        <v>73</v>
      </c>
      <c r="E149" s="162">
        <v>1</v>
      </c>
      <c r="F149" s="162">
        <v>0.38</v>
      </c>
      <c r="G149" s="163">
        <v>0.23</v>
      </c>
      <c r="H149" s="163">
        <v>1.2</v>
      </c>
      <c r="I149" s="151">
        <f t="shared" ref="I149" si="23">ROUND(PRODUCT(C149:H149),2)</f>
        <v>-0.1</v>
      </c>
      <c r="J149" s="161"/>
    </row>
    <row r="150" spans="1:10" s="154" customFormat="1">
      <c r="A150" s="276"/>
      <c r="B150" s="148" t="s">
        <v>249</v>
      </c>
      <c r="C150" s="162">
        <v>-1</v>
      </c>
      <c r="D150" s="162" t="s">
        <v>73</v>
      </c>
      <c r="E150" s="162">
        <v>2</v>
      </c>
      <c r="F150" s="162">
        <v>0.23</v>
      </c>
      <c r="G150" s="163">
        <v>0.23</v>
      </c>
      <c r="H150" s="163">
        <v>1.2</v>
      </c>
      <c r="I150" s="151">
        <f t="shared" ref="I150:I151" si="24">ROUND(PRODUCT(C150:H150),2)</f>
        <v>-0.13</v>
      </c>
      <c r="J150" s="161"/>
    </row>
    <row r="151" spans="1:10" s="154" customFormat="1">
      <c r="A151" s="276"/>
      <c r="B151" s="148" t="s">
        <v>249</v>
      </c>
      <c r="C151" s="162">
        <v>-1</v>
      </c>
      <c r="D151" s="162" t="s">
        <v>73</v>
      </c>
      <c r="E151" s="162">
        <v>1</v>
      </c>
      <c r="F151" s="162">
        <v>0.3</v>
      </c>
      <c r="G151" s="163">
        <v>0.23</v>
      </c>
      <c r="H151" s="163">
        <v>1.2</v>
      </c>
      <c r="I151" s="151">
        <f t="shared" si="24"/>
        <v>-0.08</v>
      </c>
      <c r="J151" s="161"/>
    </row>
    <row r="152" spans="1:10" s="154" customFormat="1">
      <c r="A152" s="276"/>
      <c r="B152" s="148"/>
      <c r="C152" s="162"/>
      <c r="D152" s="162"/>
      <c r="E152" s="162"/>
      <c r="F152" s="162"/>
      <c r="G152" s="163"/>
      <c r="H152" s="163"/>
      <c r="I152" s="151">
        <f>SUM(I120:I151)</f>
        <v>51.799999999999983</v>
      </c>
      <c r="J152" s="161"/>
    </row>
    <row r="153" spans="1:10" s="154" customFormat="1">
      <c r="A153" s="276"/>
      <c r="B153" s="157" t="s">
        <v>1406</v>
      </c>
      <c r="C153" s="149"/>
      <c r="D153" s="156"/>
      <c r="E153" s="149"/>
      <c r="F153" s="150"/>
      <c r="G153" s="158"/>
      <c r="H153" s="150"/>
      <c r="I153" s="159">
        <f>-excess!G21</f>
        <v>-42.85</v>
      </c>
      <c r="J153" s="161"/>
    </row>
    <row r="154" spans="1:10" s="154" customFormat="1">
      <c r="A154" s="276"/>
      <c r="B154" s="157"/>
      <c r="C154" s="149"/>
      <c r="D154" s="156"/>
      <c r="E154" s="149"/>
      <c r="F154" s="150"/>
      <c r="G154" s="158"/>
      <c r="H154" s="150"/>
      <c r="I154" s="159">
        <f>SUM(I152:I153)</f>
        <v>8.9499999999999815</v>
      </c>
      <c r="J154" s="161"/>
    </row>
    <row r="155" spans="1:10" s="154" customFormat="1">
      <c r="A155" s="276"/>
      <c r="B155" s="170"/>
      <c r="C155" s="166"/>
      <c r="D155" s="167"/>
      <c r="E155" s="166"/>
      <c r="F155" s="168"/>
      <c r="G155" s="168"/>
      <c r="H155" s="158" t="s">
        <v>245</v>
      </c>
      <c r="I155" s="160">
        <f>ROUNDUP(I154,1)</f>
        <v>9</v>
      </c>
      <c r="J155" s="161" t="s">
        <v>12</v>
      </c>
    </row>
    <row r="156" spans="1:10" s="154" customFormat="1">
      <c r="A156" s="276"/>
      <c r="B156" s="170"/>
      <c r="C156" s="166"/>
      <c r="D156" s="167"/>
      <c r="E156" s="166"/>
      <c r="F156" s="168"/>
      <c r="G156" s="168"/>
      <c r="H156" s="158"/>
      <c r="I156" s="160"/>
      <c r="J156" s="161"/>
    </row>
    <row r="157" spans="1:10" s="154" customFormat="1">
      <c r="A157" s="276"/>
      <c r="B157" s="155" t="s">
        <v>272</v>
      </c>
      <c r="C157" s="149"/>
      <c r="D157" s="149"/>
      <c r="E157" s="149"/>
      <c r="F157" s="150"/>
      <c r="G157" s="150"/>
      <c r="H157" s="150"/>
      <c r="I157" s="151"/>
      <c r="J157" s="161"/>
    </row>
    <row r="158" spans="1:10" s="154" customFormat="1">
      <c r="A158" s="276"/>
      <c r="B158" s="148" t="s">
        <v>1180</v>
      </c>
      <c r="C158" s="149">
        <v>1</v>
      </c>
      <c r="D158" s="149" t="s">
        <v>73</v>
      </c>
      <c r="E158" s="149">
        <v>1</v>
      </c>
      <c r="F158" s="150">
        <v>42.32</v>
      </c>
      <c r="G158" s="150">
        <v>0.23</v>
      </c>
      <c r="H158" s="150">
        <v>2.92</v>
      </c>
      <c r="I158" s="151">
        <f t="shared" ref="I158:I180" si="25">ROUND(PRODUCT(C158:H158),2)</f>
        <v>28.42</v>
      </c>
      <c r="J158" s="161"/>
    </row>
    <row r="159" spans="1:10" s="154" customFormat="1">
      <c r="A159" s="276"/>
      <c r="B159" s="148" t="s">
        <v>252</v>
      </c>
      <c r="C159" s="149">
        <v>1</v>
      </c>
      <c r="D159" s="156" t="s">
        <v>73</v>
      </c>
      <c r="E159" s="149">
        <v>2</v>
      </c>
      <c r="F159" s="150">
        <v>6.23</v>
      </c>
      <c r="G159" s="150">
        <v>0.23</v>
      </c>
      <c r="H159" s="150">
        <v>2.92</v>
      </c>
      <c r="I159" s="151">
        <f t="shared" si="25"/>
        <v>8.3699999999999992</v>
      </c>
      <c r="J159" s="161"/>
    </row>
    <row r="160" spans="1:10" s="154" customFormat="1">
      <c r="A160" s="276"/>
      <c r="B160" s="148" t="s">
        <v>1135</v>
      </c>
      <c r="C160" s="138">
        <v>1</v>
      </c>
      <c r="D160" s="143" t="s">
        <v>73</v>
      </c>
      <c r="E160" s="138">
        <v>1</v>
      </c>
      <c r="F160" s="139">
        <v>8.1199999999999992</v>
      </c>
      <c r="G160" s="139">
        <v>0.23</v>
      </c>
      <c r="H160" s="139">
        <v>2.92</v>
      </c>
      <c r="I160" s="140">
        <f t="shared" ref="I160" si="26">ROUND(PRODUCT(C160:H160),2)</f>
        <v>5.45</v>
      </c>
      <c r="J160" s="161"/>
    </row>
    <row r="161" spans="1:10" s="154" customFormat="1">
      <c r="A161" s="276"/>
      <c r="B161" s="148" t="s">
        <v>1183</v>
      </c>
      <c r="C161" s="138">
        <v>1</v>
      </c>
      <c r="D161" s="143" t="s">
        <v>73</v>
      </c>
      <c r="E161" s="138">
        <v>2</v>
      </c>
      <c r="F161" s="139">
        <v>0.6</v>
      </c>
      <c r="G161" s="139">
        <v>0.23</v>
      </c>
      <c r="H161" s="139">
        <v>2.92</v>
      </c>
      <c r="I161" s="140">
        <f t="shared" si="25"/>
        <v>0.81</v>
      </c>
      <c r="J161" s="161"/>
    </row>
    <row r="162" spans="1:10" s="154" customFormat="1">
      <c r="A162" s="169"/>
      <c r="B162" s="148" t="s">
        <v>1181</v>
      </c>
      <c r="C162" s="149">
        <v>-1</v>
      </c>
      <c r="D162" s="149" t="s">
        <v>73</v>
      </c>
      <c r="E162" s="149">
        <v>3</v>
      </c>
      <c r="F162" s="150">
        <v>1</v>
      </c>
      <c r="G162" s="150">
        <v>0.23</v>
      </c>
      <c r="H162" s="150">
        <v>2.1</v>
      </c>
      <c r="I162" s="151">
        <f t="shared" si="25"/>
        <v>-1.45</v>
      </c>
      <c r="J162" s="164"/>
    </row>
    <row r="163" spans="1:10" s="154" customFormat="1">
      <c r="A163" s="169"/>
      <c r="B163" s="148" t="s">
        <v>1168</v>
      </c>
      <c r="C163" s="149">
        <v>-1</v>
      </c>
      <c r="D163" s="149" t="s">
        <v>73</v>
      </c>
      <c r="E163" s="149">
        <v>3</v>
      </c>
      <c r="F163" s="150">
        <v>1.46</v>
      </c>
      <c r="G163" s="150">
        <v>0.23</v>
      </c>
      <c r="H163" s="150">
        <v>0.15</v>
      </c>
      <c r="I163" s="151">
        <f t="shared" si="25"/>
        <v>-0.15</v>
      </c>
      <c r="J163" s="164"/>
    </row>
    <row r="164" spans="1:10" s="154" customFormat="1">
      <c r="A164" s="276"/>
      <c r="B164" s="148" t="s">
        <v>1142</v>
      </c>
      <c r="C164" s="149">
        <v>-1</v>
      </c>
      <c r="D164" s="149" t="s">
        <v>73</v>
      </c>
      <c r="E164" s="149">
        <v>4</v>
      </c>
      <c r="F164" s="150">
        <v>1.35</v>
      </c>
      <c r="G164" s="150">
        <v>0.23</v>
      </c>
      <c r="H164" s="150">
        <v>1.35</v>
      </c>
      <c r="I164" s="151">
        <f t="shared" si="25"/>
        <v>-1.68</v>
      </c>
      <c r="J164" s="161"/>
    </row>
    <row r="165" spans="1:10" s="154" customFormat="1">
      <c r="A165" s="276"/>
      <c r="B165" s="148" t="s">
        <v>1143</v>
      </c>
      <c r="C165" s="149">
        <v>-1</v>
      </c>
      <c r="D165" s="149" t="s">
        <v>73</v>
      </c>
      <c r="E165" s="149">
        <v>4</v>
      </c>
      <c r="F165" s="150">
        <v>1.81</v>
      </c>
      <c r="G165" s="150">
        <v>0.23</v>
      </c>
      <c r="H165" s="150">
        <v>0.15</v>
      </c>
      <c r="I165" s="151">
        <f t="shared" si="25"/>
        <v>-0.25</v>
      </c>
      <c r="J165" s="161"/>
    </row>
    <row r="166" spans="1:10" s="154" customFormat="1">
      <c r="A166" s="276"/>
      <c r="B166" s="148" t="s">
        <v>1144</v>
      </c>
      <c r="C166" s="149">
        <v>-1</v>
      </c>
      <c r="D166" s="149" t="s">
        <v>73</v>
      </c>
      <c r="E166" s="149">
        <v>1</v>
      </c>
      <c r="F166" s="150">
        <v>0.75</v>
      </c>
      <c r="G166" s="150">
        <v>0.23</v>
      </c>
      <c r="H166" s="150">
        <v>2.1</v>
      </c>
      <c r="I166" s="151">
        <f t="shared" si="25"/>
        <v>-0.36</v>
      </c>
      <c r="J166" s="161"/>
    </row>
    <row r="167" spans="1:10" s="154" customFormat="1">
      <c r="A167" s="276"/>
      <c r="B167" s="148" t="s">
        <v>1145</v>
      </c>
      <c r="C167" s="149">
        <v>-1</v>
      </c>
      <c r="D167" s="149" t="s">
        <v>73</v>
      </c>
      <c r="E167" s="149">
        <v>1</v>
      </c>
      <c r="F167" s="150">
        <v>1.21</v>
      </c>
      <c r="G167" s="150">
        <v>0.23</v>
      </c>
      <c r="H167" s="150">
        <v>0.15</v>
      </c>
      <c r="I167" s="151">
        <f t="shared" si="25"/>
        <v>-0.04</v>
      </c>
      <c r="J167" s="161"/>
    </row>
    <row r="168" spans="1:10" s="154" customFormat="1">
      <c r="A168" s="276"/>
      <c r="B168" s="148" t="s">
        <v>1150</v>
      </c>
      <c r="C168" s="149">
        <v>-1</v>
      </c>
      <c r="D168" s="149" t="s">
        <v>73</v>
      </c>
      <c r="E168" s="149">
        <v>8</v>
      </c>
      <c r="F168" s="150">
        <v>0.75</v>
      </c>
      <c r="G168" s="150">
        <v>0.23</v>
      </c>
      <c r="H168" s="150">
        <v>0.6</v>
      </c>
      <c r="I168" s="151">
        <f t="shared" si="25"/>
        <v>-0.83</v>
      </c>
      <c r="J168" s="161"/>
    </row>
    <row r="169" spans="1:10" s="154" customFormat="1">
      <c r="A169" s="276"/>
      <c r="B169" s="148" t="s">
        <v>1151</v>
      </c>
      <c r="C169" s="149">
        <v>-1</v>
      </c>
      <c r="D169" s="149" t="s">
        <v>73</v>
      </c>
      <c r="E169" s="149">
        <v>8</v>
      </c>
      <c r="F169" s="150">
        <v>1.21</v>
      </c>
      <c r="G169" s="150">
        <v>0.23</v>
      </c>
      <c r="H169" s="150">
        <v>0.15</v>
      </c>
      <c r="I169" s="151">
        <f t="shared" si="25"/>
        <v>-0.33</v>
      </c>
      <c r="J169" s="161"/>
    </row>
    <row r="170" spans="1:10" s="154" customFormat="1">
      <c r="A170" s="276"/>
      <c r="B170" s="148" t="s">
        <v>1152</v>
      </c>
      <c r="C170" s="149">
        <v>-1</v>
      </c>
      <c r="D170" s="149" t="s">
        <v>73</v>
      </c>
      <c r="E170" s="149">
        <v>2</v>
      </c>
      <c r="F170" s="150">
        <v>0.9</v>
      </c>
      <c r="G170" s="150">
        <v>0.23</v>
      </c>
      <c r="H170" s="150">
        <v>0.9</v>
      </c>
      <c r="I170" s="151">
        <f t="shared" si="25"/>
        <v>-0.37</v>
      </c>
      <c r="J170" s="161"/>
    </row>
    <row r="171" spans="1:10" s="154" customFormat="1">
      <c r="A171" s="276"/>
      <c r="B171" s="148" t="s">
        <v>1153</v>
      </c>
      <c r="C171" s="149">
        <v>-1</v>
      </c>
      <c r="D171" s="149" t="s">
        <v>73</v>
      </c>
      <c r="E171" s="149">
        <v>2</v>
      </c>
      <c r="F171" s="150">
        <v>1.36</v>
      </c>
      <c r="G171" s="150">
        <v>0.23</v>
      </c>
      <c r="H171" s="150">
        <v>0.15</v>
      </c>
      <c r="I171" s="151">
        <f t="shared" si="25"/>
        <v>-0.09</v>
      </c>
      <c r="J171" s="161"/>
    </row>
    <row r="172" spans="1:10" s="154" customFormat="1">
      <c r="A172" s="276"/>
      <c r="B172" s="148" t="s">
        <v>249</v>
      </c>
      <c r="C172" s="162">
        <v>-1</v>
      </c>
      <c r="D172" s="162" t="s">
        <v>73</v>
      </c>
      <c r="E172" s="162">
        <v>7</v>
      </c>
      <c r="F172" s="162">
        <v>0.38</v>
      </c>
      <c r="G172" s="163">
        <v>0.23</v>
      </c>
      <c r="H172" s="163">
        <v>2.92</v>
      </c>
      <c r="I172" s="151">
        <f t="shared" si="25"/>
        <v>-1.79</v>
      </c>
      <c r="J172" s="161"/>
    </row>
    <row r="173" spans="1:10" s="154" customFormat="1">
      <c r="A173" s="276"/>
      <c r="B173" s="148" t="s">
        <v>249</v>
      </c>
      <c r="C173" s="162">
        <v>-1</v>
      </c>
      <c r="D173" s="162" t="s">
        <v>73</v>
      </c>
      <c r="E173" s="162">
        <v>10</v>
      </c>
      <c r="F173" s="162">
        <v>0.23</v>
      </c>
      <c r="G173" s="163">
        <v>0.23</v>
      </c>
      <c r="H173" s="163">
        <v>2.92</v>
      </c>
      <c r="I173" s="151">
        <f t="shared" si="25"/>
        <v>-1.54</v>
      </c>
      <c r="J173" s="161"/>
    </row>
    <row r="174" spans="1:10" s="154" customFormat="1">
      <c r="A174" s="276"/>
      <c r="B174" s="148" t="s">
        <v>249</v>
      </c>
      <c r="C174" s="162">
        <v>-1</v>
      </c>
      <c r="D174" s="162" t="s">
        <v>73</v>
      </c>
      <c r="E174" s="162">
        <v>1</v>
      </c>
      <c r="F174" s="162">
        <v>0.3</v>
      </c>
      <c r="G174" s="163">
        <v>0.23</v>
      </c>
      <c r="H174" s="163">
        <v>2.92</v>
      </c>
      <c r="I174" s="151">
        <f t="shared" si="25"/>
        <v>-0.2</v>
      </c>
      <c r="J174" s="161"/>
    </row>
    <row r="175" spans="1:10" s="154" customFormat="1">
      <c r="A175" s="276"/>
      <c r="B175" s="148" t="s">
        <v>1182</v>
      </c>
      <c r="C175" s="138">
        <v>2</v>
      </c>
      <c r="D175" s="143" t="s">
        <v>73</v>
      </c>
      <c r="E175" s="138">
        <v>4</v>
      </c>
      <c r="F175" s="139">
        <v>0.7</v>
      </c>
      <c r="G175" s="139">
        <v>0.6</v>
      </c>
      <c r="H175" s="139">
        <v>0.1</v>
      </c>
      <c r="I175" s="140">
        <f t="shared" si="25"/>
        <v>0.34</v>
      </c>
      <c r="J175" s="161"/>
    </row>
    <row r="176" spans="1:10" s="154" customFormat="1">
      <c r="A176" s="276"/>
      <c r="B176" s="148" t="s">
        <v>1186</v>
      </c>
      <c r="C176" s="138">
        <v>1</v>
      </c>
      <c r="D176" s="143" t="s">
        <v>73</v>
      </c>
      <c r="E176" s="138">
        <v>1</v>
      </c>
      <c r="F176" s="139">
        <v>6.54</v>
      </c>
      <c r="G176" s="139">
        <v>0.23</v>
      </c>
      <c r="H176" s="139">
        <v>1.2</v>
      </c>
      <c r="I176" s="140">
        <f t="shared" si="25"/>
        <v>1.81</v>
      </c>
      <c r="J176" s="161"/>
    </row>
    <row r="177" spans="1:10" s="154" customFormat="1">
      <c r="A177" s="276"/>
      <c r="B177" s="148" t="s">
        <v>1185</v>
      </c>
      <c r="C177" s="138">
        <v>1</v>
      </c>
      <c r="D177" s="143" t="s">
        <v>73</v>
      </c>
      <c r="E177" s="138">
        <v>1</v>
      </c>
      <c r="F177" s="139">
        <v>8.1199999999999992</v>
      </c>
      <c r="G177" s="139">
        <v>0.23</v>
      </c>
      <c r="H177" s="139">
        <v>0.82</v>
      </c>
      <c r="I177" s="140">
        <f t="shared" ref="I177:I178" si="27">ROUND(PRODUCT(C177:H177),2)</f>
        <v>1.53</v>
      </c>
      <c r="J177" s="161"/>
    </row>
    <row r="178" spans="1:10" s="154" customFormat="1">
      <c r="A178" s="276"/>
      <c r="B178" s="148" t="s">
        <v>1184</v>
      </c>
      <c r="C178" s="138">
        <v>1</v>
      </c>
      <c r="D178" s="143" t="s">
        <v>73</v>
      </c>
      <c r="E178" s="138">
        <v>1</v>
      </c>
      <c r="F178" s="139">
        <v>43.52</v>
      </c>
      <c r="G178" s="139">
        <v>0.23</v>
      </c>
      <c r="H178" s="139">
        <v>0.45</v>
      </c>
      <c r="I178" s="140">
        <f t="shared" si="27"/>
        <v>4.5</v>
      </c>
      <c r="J178" s="161"/>
    </row>
    <row r="179" spans="1:10" s="154" customFormat="1">
      <c r="A179" s="276"/>
      <c r="B179" s="148" t="s">
        <v>1220</v>
      </c>
      <c r="C179" s="138">
        <v>1</v>
      </c>
      <c r="D179" s="143" t="s">
        <v>73</v>
      </c>
      <c r="E179" s="138">
        <v>1</v>
      </c>
      <c r="F179" s="139">
        <v>14.7</v>
      </c>
      <c r="G179" s="139">
        <v>0.23</v>
      </c>
      <c r="H179" s="139">
        <v>0.3</v>
      </c>
      <c r="I179" s="140">
        <f t="shared" si="25"/>
        <v>1.01</v>
      </c>
      <c r="J179" s="161"/>
    </row>
    <row r="180" spans="1:10" s="154" customFormat="1">
      <c r="A180" s="276"/>
      <c r="B180" s="148" t="s">
        <v>249</v>
      </c>
      <c r="C180" s="162">
        <v>-1</v>
      </c>
      <c r="D180" s="162" t="s">
        <v>73</v>
      </c>
      <c r="E180" s="162">
        <v>4</v>
      </c>
      <c r="F180" s="162">
        <v>0.23</v>
      </c>
      <c r="G180" s="163">
        <v>0.23</v>
      </c>
      <c r="H180" s="163">
        <v>0.82</v>
      </c>
      <c r="I180" s="151">
        <f t="shared" si="25"/>
        <v>-0.17</v>
      </c>
      <c r="J180" s="161"/>
    </row>
    <row r="181" spans="1:10" s="154" customFormat="1">
      <c r="A181" s="276"/>
      <c r="B181" s="148"/>
      <c r="C181" s="162"/>
      <c r="D181" s="162"/>
      <c r="E181" s="162"/>
      <c r="F181" s="162"/>
      <c r="G181" s="163"/>
      <c r="H181" s="163"/>
      <c r="I181" s="151">
        <f>SUM(I158:I180)</f>
        <v>42.990000000000009</v>
      </c>
      <c r="J181" s="161"/>
    </row>
    <row r="182" spans="1:10" s="154" customFormat="1">
      <c r="A182" s="276"/>
      <c r="B182" s="157" t="s">
        <v>1406</v>
      </c>
      <c r="C182" s="162"/>
      <c r="D182" s="162"/>
      <c r="E182" s="162"/>
      <c r="F182" s="162"/>
      <c r="G182" s="163"/>
      <c r="H182" s="163"/>
      <c r="I182" s="151">
        <f>-excess!G22</f>
        <v>-23.59</v>
      </c>
      <c r="J182" s="161"/>
    </row>
    <row r="183" spans="1:10" s="154" customFormat="1">
      <c r="A183" s="276"/>
      <c r="B183" s="157"/>
      <c r="C183" s="162"/>
      <c r="D183" s="162"/>
      <c r="E183" s="162"/>
      <c r="F183" s="162"/>
      <c r="G183" s="163"/>
      <c r="H183" s="163"/>
      <c r="I183" s="151">
        <f>SUM(I181:I182)</f>
        <v>19.400000000000009</v>
      </c>
      <c r="J183" s="161"/>
    </row>
    <row r="184" spans="1:10" s="154" customFormat="1">
      <c r="A184" s="276"/>
      <c r="B184" s="170"/>
      <c r="C184" s="166"/>
      <c r="D184" s="167"/>
      <c r="E184" s="166"/>
      <c r="F184" s="168"/>
      <c r="G184" s="168"/>
      <c r="H184" s="158" t="s">
        <v>245</v>
      </c>
      <c r="I184" s="160">
        <f>ROUNDUP(I183,1)</f>
        <v>19.399999999999999</v>
      </c>
      <c r="J184" s="161" t="s">
        <v>12</v>
      </c>
    </row>
    <row r="185" spans="1:10" s="154" customFormat="1">
      <c r="A185" s="276"/>
      <c r="B185" s="170"/>
      <c r="C185" s="166"/>
      <c r="D185" s="167"/>
      <c r="E185" s="166"/>
      <c r="F185" s="168"/>
      <c r="G185" s="168"/>
      <c r="H185" s="158"/>
      <c r="I185" s="160"/>
      <c r="J185" s="161"/>
    </row>
    <row r="186" spans="1:10" s="154" customFormat="1" ht="90" customHeight="1">
      <c r="A186" s="169">
        <v>10.199999999999999</v>
      </c>
      <c r="B186" s="153" t="s">
        <v>257</v>
      </c>
      <c r="C186" s="149"/>
      <c r="D186" s="149"/>
      <c r="E186" s="149"/>
      <c r="F186" s="150"/>
      <c r="G186" s="150"/>
      <c r="H186" s="150"/>
      <c r="I186" s="151"/>
      <c r="J186" s="161"/>
    </row>
    <row r="187" spans="1:10" s="154" customFormat="1" ht="18.75" customHeight="1">
      <c r="A187" s="169"/>
      <c r="B187" s="155" t="s">
        <v>1471</v>
      </c>
      <c r="C187" s="149"/>
      <c r="D187" s="149"/>
      <c r="E187" s="149"/>
      <c r="F187" s="150"/>
      <c r="G187" s="150"/>
      <c r="H187" s="150"/>
      <c r="I187" s="151"/>
      <c r="J187" s="161"/>
    </row>
    <row r="188" spans="1:10" s="154" customFormat="1" ht="18.75" customHeight="1">
      <c r="A188" s="169"/>
      <c r="B188" s="347" t="s">
        <v>1446</v>
      </c>
      <c r="C188" s="149"/>
      <c r="D188" s="149"/>
      <c r="E188" s="149"/>
      <c r="F188" s="150"/>
      <c r="G188" s="150"/>
      <c r="H188" s="150"/>
      <c r="I188" s="159">
        <v>8.4</v>
      </c>
      <c r="J188" s="161" t="s">
        <v>75</v>
      </c>
    </row>
    <row r="189" spans="1:10" s="154" customFormat="1" ht="18.75" customHeight="1">
      <c r="A189" s="169"/>
      <c r="B189" s="155"/>
      <c r="C189" s="149"/>
      <c r="D189" s="149"/>
      <c r="E189" s="149"/>
      <c r="F189" s="150"/>
      <c r="G189" s="150"/>
      <c r="H189" s="150"/>
      <c r="I189" s="151"/>
      <c r="J189" s="161"/>
    </row>
    <row r="190" spans="1:10" s="154" customFormat="1">
      <c r="A190" s="276"/>
      <c r="B190" s="155" t="s">
        <v>1479</v>
      </c>
      <c r="C190" s="149"/>
      <c r="D190" s="149"/>
      <c r="E190" s="149"/>
      <c r="F190" s="150"/>
      <c r="G190" s="150"/>
      <c r="H190" s="150"/>
      <c r="I190" s="151"/>
      <c r="J190" s="161"/>
    </row>
    <row r="191" spans="1:10" s="154" customFormat="1">
      <c r="A191" s="276"/>
      <c r="B191" s="148" t="s">
        <v>1484</v>
      </c>
      <c r="C191" s="138"/>
      <c r="D191" s="143"/>
      <c r="E191" s="138"/>
      <c r="F191" s="139"/>
      <c r="G191" s="139"/>
      <c r="H191" s="139"/>
      <c r="I191" s="140">
        <f t="shared" ref="I191:I197" si="28">ROUND(PRODUCT(C191:H191),2)</f>
        <v>0</v>
      </c>
      <c r="J191" s="161"/>
    </row>
    <row r="192" spans="1:10" s="154" customFormat="1">
      <c r="A192" s="276"/>
      <c r="B192" s="148" t="s">
        <v>1474</v>
      </c>
      <c r="C192" s="138">
        <v>1</v>
      </c>
      <c r="D192" s="143" t="s">
        <v>73</v>
      </c>
      <c r="E192" s="138">
        <v>1</v>
      </c>
      <c r="F192" s="139">
        <v>66</v>
      </c>
      <c r="G192" s="139"/>
      <c r="H192" s="139">
        <v>1.5</v>
      </c>
      <c r="I192" s="140">
        <f t="shared" si="28"/>
        <v>99</v>
      </c>
      <c r="J192" s="161"/>
    </row>
    <row r="193" spans="1:10" s="154" customFormat="1">
      <c r="A193" s="276"/>
      <c r="B193" s="148" t="s">
        <v>1486</v>
      </c>
      <c r="C193" s="138">
        <v>-1</v>
      </c>
      <c r="D193" s="143" t="s">
        <v>73</v>
      </c>
      <c r="E193" s="138">
        <v>2</v>
      </c>
      <c r="F193" s="139">
        <v>4.5</v>
      </c>
      <c r="G193" s="139"/>
      <c r="H193" s="139">
        <v>1.5</v>
      </c>
      <c r="I193" s="140">
        <f t="shared" ref="I193" si="29">ROUND(PRODUCT(C193:H193),2)</f>
        <v>-13.5</v>
      </c>
      <c r="J193" s="161"/>
    </row>
    <row r="194" spans="1:10" s="154" customFormat="1">
      <c r="A194" s="276"/>
      <c r="B194" s="148" t="s">
        <v>1487</v>
      </c>
      <c r="C194" s="138">
        <v>-2</v>
      </c>
      <c r="D194" s="143" t="s">
        <v>73</v>
      </c>
      <c r="E194" s="138">
        <v>20</v>
      </c>
      <c r="F194" s="139">
        <v>0.23</v>
      </c>
      <c r="G194" s="139"/>
      <c r="H194" s="139">
        <v>1.5</v>
      </c>
      <c r="I194" s="140">
        <f t="shared" si="28"/>
        <v>-13.8</v>
      </c>
      <c r="J194" s="161"/>
    </row>
    <row r="195" spans="1:10" s="154" customFormat="1">
      <c r="A195" s="276"/>
      <c r="B195" s="148" t="s">
        <v>1488</v>
      </c>
      <c r="C195" s="149">
        <v>-1</v>
      </c>
      <c r="D195" s="149" t="s">
        <v>73</v>
      </c>
      <c r="E195" s="149">
        <v>20</v>
      </c>
      <c r="F195" s="150">
        <v>0.34</v>
      </c>
      <c r="G195" s="218"/>
      <c r="H195" s="165">
        <v>0.38900000000000001</v>
      </c>
      <c r="I195" s="140">
        <f t="shared" si="28"/>
        <v>-2.65</v>
      </c>
      <c r="J195" s="161"/>
    </row>
    <row r="196" spans="1:10" s="154" customFormat="1">
      <c r="A196" s="276"/>
      <c r="B196" s="148" t="s">
        <v>1489</v>
      </c>
      <c r="C196" s="138">
        <v>1</v>
      </c>
      <c r="D196" s="143" t="s">
        <v>73</v>
      </c>
      <c r="E196" s="138">
        <v>1</v>
      </c>
      <c r="F196" s="139">
        <v>91.4</v>
      </c>
      <c r="G196" s="139"/>
      <c r="H196" s="139">
        <v>1.5</v>
      </c>
      <c r="I196" s="140">
        <f t="shared" ref="I196" si="30">ROUND(PRODUCT(C196:H196),2)</f>
        <v>137.1</v>
      </c>
      <c r="J196" s="161"/>
    </row>
    <row r="197" spans="1:10" s="154" customFormat="1">
      <c r="A197" s="276"/>
      <c r="B197" s="148" t="s">
        <v>1490</v>
      </c>
      <c r="C197" s="138">
        <v>-1</v>
      </c>
      <c r="D197" s="143" t="s">
        <v>73</v>
      </c>
      <c r="E197" s="138">
        <v>35</v>
      </c>
      <c r="F197" s="139">
        <v>0.23</v>
      </c>
      <c r="G197" s="139"/>
      <c r="H197" s="139">
        <v>1.5</v>
      </c>
      <c r="I197" s="140">
        <f t="shared" si="28"/>
        <v>-12.08</v>
      </c>
      <c r="J197" s="161"/>
    </row>
    <row r="198" spans="1:10" s="154" customFormat="1">
      <c r="A198" s="276"/>
      <c r="B198" s="221"/>
      <c r="C198" s="149"/>
      <c r="D198" s="149"/>
      <c r="E198" s="149"/>
      <c r="F198" s="150"/>
      <c r="G198" s="150"/>
      <c r="H198" s="150"/>
      <c r="I198" s="151">
        <f>SUM(I192:I197)</f>
        <v>194.06999999999996</v>
      </c>
      <c r="J198" s="161"/>
    </row>
    <row r="199" spans="1:10" s="154" customFormat="1">
      <c r="A199" s="276"/>
      <c r="B199" s="221"/>
      <c r="C199" s="149"/>
      <c r="D199" s="149"/>
      <c r="E199" s="149"/>
      <c r="F199" s="150"/>
      <c r="G199" s="150"/>
      <c r="H199" s="158" t="s">
        <v>74</v>
      </c>
      <c r="I199" s="159">
        <f>ROUND(I198,1)</f>
        <v>194.1</v>
      </c>
      <c r="J199" s="161" t="s">
        <v>75</v>
      </c>
    </row>
    <row r="200" spans="1:10" s="154" customFormat="1">
      <c r="A200" s="276"/>
      <c r="B200" s="221"/>
      <c r="C200" s="149"/>
      <c r="D200" s="149"/>
      <c r="E200" s="149"/>
      <c r="F200" s="150"/>
      <c r="G200" s="150"/>
      <c r="H200" s="150"/>
      <c r="I200" s="151"/>
      <c r="J200" s="161"/>
    </row>
    <row r="201" spans="1:10" s="381" customFormat="1">
      <c r="A201" s="362"/>
      <c r="B201" s="376" t="s">
        <v>1446</v>
      </c>
      <c r="C201" s="377"/>
      <c r="D201" s="377"/>
      <c r="E201" s="377"/>
      <c r="F201" s="378"/>
      <c r="G201" s="378"/>
      <c r="H201" s="378"/>
      <c r="I201" s="379">
        <v>116.7</v>
      </c>
      <c r="J201" s="380" t="s">
        <v>75</v>
      </c>
    </row>
    <row r="202" spans="1:10" s="154" customFormat="1" ht="18.75" customHeight="1">
      <c r="A202" s="169"/>
      <c r="B202" s="153"/>
      <c r="C202" s="149"/>
      <c r="D202" s="149"/>
      <c r="E202" s="149"/>
      <c r="F202" s="150"/>
      <c r="G202" s="150"/>
      <c r="H202" s="150"/>
      <c r="I202" s="151"/>
      <c r="J202" s="161"/>
    </row>
    <row r="203" spans="1:10" s="154" customFormat="1">
      <c r="A203" s="276"/>
      <c r="B203" s="155" t="s">
        <v>258</v>
      </c>
      <c r="C203" s="149"/>
      <c r="D203" s="149"/>
      <c r="E203" s="149"/>
      <c r="F203" s="150"/>
      <c r="G203" s="150"/>
      <c r="H203" s="150"/>
      <c r="I203" s="151"/>
      <c r="J203" s="161"/>
    </row>
    <row r="204" spans="1:10" s="154" customFormat="1">
      <c r="A204" s="276"/>
      <c r="B204" s="171" t="s">
        <v>259</v>
      </c>
      <c r="C204" s="172">
        <v>1</v>
      </c>
      <c r="D204" s="172" t="s">
        <v>73</v>
      </c>
      <c r="E204" s="172">
        <v>1</v>
      </c>
      <c r="F204" s="173">
        <v>6.67</v>
      </c>
      <c r="G204" s="173"/>
      <c r="H204" s="174">
        <v>2.92</v>
      </c>
      <c r="I204" s="175">
        <f t="shared" ref="I204:I211" si="31">PRODUCT(C204:H204)</f>
        <v>19.476399999999998</v>
      </c>
      <c r="J204" s="161"/>
    </row>
    <row r="205" spans="1:10" s="154" customFormat="1">
      <c r="A205" s="276"/>
      <c r="B205" s="171" t="s">
        <v>260</v>
      </c>
      <c r="C205" s="172">
        <v>1</v>
      </c>
      <c r="D205" s="156" t="s">
        <v>73</v>
      </c>
      <c r="E205" s="172">
        <v>1</v>
      </c>
      <c r="F205" s="173">
        <v>2.1800000000000002</v>
      </c>
      <c r="G205" s="173"/>
      <c r="H205" s="174">
        <v>2.92</v>
      </c>
      <c r="I205" s="175">
        <f t="shared" si="31"/>
        <v>6.3656000000000006</v>
      </c>
      <c r="J205" s="161"/>
    </row>
    <row r="206" spans="1:10" s="154" customFormat="1">
      <c r="A206" s="276"/>
      <c r="B206" s="171" t="s">
        <v>261</v>
      </c>
      <c r="C206" s="172">
        <v>1</v>
      </c>
      <c r="D206" s="156" t="s">
        <v>73</v>
      </c>
      <c r="E206" s="172">
        <v>1</v>
      </c>
      <c r="F206" s="173">
        <v>1.85</v>
      </c>
      <c r="G206" s="173"/>
      <c r="H206" s="174">
        <v>2.92</v>
      </c>
      <c r="I206" s="175">
        <f t="shared" si="31"/>
        <v>5.4020000000000001</v>
      </c>
      <c r="J206" s="161"/>
    </row>
    <row r="207" spans="1:10" s="154" customFormat="1">
      <c r="A207" s="169"/>
      <c r="B207" s="171" t="s">
        <v>262</v>
      </c>
      <c r="C207" s="172">
        <v>1</v>
      </c>
      <c r="D207" s="156" t="s">
        <v>73</v>
      </c>
      <c r="E207" s="172">
        <v>1</v>
      </c>
      <c r="F207" s="173">
        <v>1.72</v>
      </c>
      <c r="G207" s="173"/>
      <c r="H207" s="174">
        <v>3.1749999999999998</v>
      </c>
      <c r="I207" s="175">
        <f t="shared" si="31"/>
        <v>5.4609999999999994</v>
      </c>
      <c r="J207" s="164"/>
    </row>
    <row r="208" spans="1:10" s="154" customFormat="1">
      <c r="A208" s="169"/>
      <c r="B208" s="171" t="s">
        <v>1187</v>
      </c>
      <c r="C208" s="172">
        <v>1</v>
      </c>
      <c r="D208" s="156" t="s">
        <v>73</v>
      </c>
      <c r="E208" s="172">
        <v>1</v>
      </c>
      <c r="F208" s="173">
        <v>1.91</v>
      </c>
      <c r="G208" s="173"/>
      <c r="H208" s="174">
        <v>2.92</v>
      </c>
      <c r="I208" s="175">
        <f t="shared" si="31"/>
        <v>5.5771999999999995</v>
      </c>
      <c r="J208" s="164"/>
    </row>
    <row r="209" spans="1:10" s="154" customFormat="1" ht="18.75" customHeight="1">
      <c r="A209" s="349"/>
      <c r="B209" s="171" t="s">
        <v>1188</v>
      </c>
      <c r="C209" s="172">
        <v>1</v>
      </c>
      <c r="D209" s="156" t="s">
        <v>73</v>
      </c>
      <c r="E209" s="172">
        <v>1</v>
      </c>
      <c r="F209" s="173">
        <v>2.2149999999999999</v>
      </c>
      <c r="G209" s="173"/>
      <c r="H209" s="174">
        <v>1.35</v>
      </c>
      <c r="I209" s="175">
        <f t="shared" ref="I209" si="32">PRODUCT(C209:H209)</f>
        <v>2.9902500000000001</v>
      </c>
      <c r="J209" s="161"/>
    </row>
    <row r="210" spans="1:10" s="154" customFormat="1">
      <c r="A210" s="276"/>
      <c r="B210" s="171" t="s">
        <v>263</v>
      </c>
      <c r="C210" s="172">
        <v>1</v>
      </c>
      <c r="D210" s="156" t="s">
        <v>73</v>
      </c>
      <c r="E210" s="172">
        <v>1</v>
      </c>
      <c r="F210" s="173">
        <v>4.12</v>
      </c>
      <c r="G210" s="173"/>
      <c r="H210" s="174">
        <v>2.92</v>
      </c>
      <c r="I210" s="175">
        <f t="shared" si="31"/>
        <v>12.0304</v>
      </c>
      <c r="J210" s="161"/>
    </row>
    <row r="211" spans="1:10" s="154" customFormat="1">
      <c r="A211" s="276"/>
      <c r="B211" s="171" t="s">
        <v>264</v>
      </c>
      <c r="C211" s="172">
        <v>1</v>
      </c>
      <c r="D211" s="156" t="s">
        <v>73</v>
      </c>
      <c r="E211" s="172">
        <v>1</v>
      </c>
      <c r="F211" s="173">
        <v>2.0750000000000002</v>
      </c>
      <c r="G211" s="173"/>
      <c r="H211" s="174">
        <v>2.92</v>
      </c>
      <c r="I211" s="175">
        <f t="shared" si="31"/>
        <v>6.0590000000000002</v>
      </c>
      <c r="J211" s="161"/>
    </row>
    <row r="212" spans="1:10" s="154" customFormat="1">
      <c r="A212" s="276"/>
      <c r="B212" s="176" t="s">
        <v>254</v>
      </c>
      <c r="C212" s="172"/>
      <c r="D212" s="156"/>
      <c r="E212" s="172"/>
      <c r="F212" s="173"/>
      <c r="G212" s="173"/>
      <c r="H212" s="174"/>
      <c r="I212" s="175"/>
      <c r="J212" s="161"/>
    </row>
    <row r="213" spans="1:10" s="154" customFormat="1">
      <c r="A213" s="276"/>
      <c r="B213" s="177" t="s">
        <v>72</v>
      </c>
      <c r="C213" s="172">
        <v>-1</v>
      </c>
      <c r="D213" s="156" t="s">
        <v>73</v>
      </c>
      <c r="E213" s="172">
        <v>3</v>
      </c>
      <c r="F213" s="173">
        <v>1</v>
      </c>
      <c r="G213" s="174"/>
      <c r="H213" s="174">
        <v>2.1</v>
      </c>
      <c r="I213" s="175">
        <f t="shared" ref="I213:I223" si="33">PRODUCT(C213:H213)</f>
        <v>-6.3000000000000007</v>
      </c>
      <c r="J213" s="161"/>
    </row>
    <row r="214" spans="1:10" s="154" customFormat="1">
      <c r="A214" s="276"/>
      <c r="B214" s="177" t="s">
        <v>1189</v>
      </c>
      <c r="C214" s="172">
        <v>-1</v>
      </c>
      <c r="D214" s="156" t="s">
        <v>73</v>
      </c>
      <c r="E214" s="172">
        <v>2</v>
      </c>
      <c r="F214" s="173">
        <v>1.46</v>
      </c>
      <c r="G214" s="174"/>
      <c r="H214" s="174">
        <v>0.15</v>
      </c>
      <c r="I214" s="175">
        <f t="shared" si="33"/>
        <v>-0.438</v>
      </c>
      <c r="J214" s="161"/>
    </row>
    <row r="215" spans="1:10" s="154" customFormat="1">
      <c r="A215" s="276"/>
      <c r="B215" s="177" t="s">
        <v>265</v>
      </c>
      <c r="C215" s="172">
        <v>-1</v>
      </c>
      <c r="D215" s="156" t="s">
        <v>73</v>
      </c>
      <c r="E215" s="172">
        <v>1</v>
      </c>
      <c r="F215" s="173">
        <v>0.9</v>
      </c>
      <c r="G215" s="174"/>
      <c r="H215" s="174">
        <v>2.1</v>
      </c>
      <c r="I215" s="175">
        <f t="shared" si="33"/>
        <v>-1.8900000000000001</v>
      </c>
      <c r="J215" s="161"/>
    </row>
    <row r="216" spans="1:10" s="154" customFormat="1">
      <c r="A216" s="276"/>
      <c r="B216" s="177" t="s">
        <v>1190</v>
      </c>
      <c r="C216" s="172">
        <v>-1</v>
      </c>
      <c r="D216" s="156" t="s">
        <v>73</v>
      </c>
      <c r="E216" s="172">
        <v>1</v>
      </c>
      <c r="F216" s="173">
        <v>1.36</v>
      </c>
      <c r="G216" s="174"/>
      <c r="H216" s="174">
        <v>0.15</v>
      </c>
      <c r="I216" s="175">
        <f t="shared" si="33"/>
        <v>-0.20400000000000001</v>
      </c>
      <c r="J216" s="161"/>
    </row>
    <row r="217" spans="1:10" s="154" customFormat="1">
      <c r="A217" s="276"/>
      <c r="B217" s="177" t="s">
        <v>266</v>
      </c>
      <c r="C217" s="172">
        <v>-1</v>
      </c>
      <c r="D217" s="156" t="s">
        <v>73</v>
      </c>
      <c r="E217" s="172">
        <v>2</v>
      </c>
      <c r="F217" s="173">
        <v>0.75</v>
      </c>
      <c r="G217" s="174"/>
      <c r="H217" s="174">
        <v>2.1</v>
      </c>
      <c r="I217" s="175">
        <f t="shared" si="33"/>
        <v>-3.1500000000000004</v>
      </c>
      <c r="J217" s="161"/>
    </row>
    <row r="218" spans="1:10" s="154" customFormat="1">
      <c r="A218" s="276"/>
      <c r="B218" s="177" t="s">
        <v>1196</v>
      </c>
      <c r="C218" s="172">
        <v>-1</v>
      </c>
      <c r="D218" s="156" t="s">
        <v>73</v>
      </c>
      <c r="E218" s="172">
        <v>1</v>
      </c>
      <c r="F218" s="173">
        <v>0.75</v>
      </c>
      <c r="G218" s="174"/>
      <c r="H218" s="174">
        <v>1.35</v>
      </c>
      <c r="I218" s="175">
        <f t="shared" si="33"/>
        <v>-1.0125000000000002</v>
      </c>
      <c r="J218" s="161"/>
    </row>
    <row r="219" spans="1:10" s="154" customFormat="1">
      <c r="A219" s="276"/>
      <c r="B219" s="177" t="s">
        <v>1191</v>
      </c>
      <c r="C219" s="172">
        <v>-1</v>
      </c>
      <c r="D219" s="156" t="s">
        <v>73</v>
      </c>
      <c r="E219" s="172">
        <v>2</v>
      </c>
      <c r="F219" s="173">
        <v>1.21</v>
      </c>
      <c r="G219" s="174"/>
      <c r="H219" s="174">
        <v>0.15</v>
      </c>
      <c r="I219" s="175">
        <f t="shared" si="33"/>
        <v>-0.36299999999999999</v>
      </c>
      <c r="J219" s="161"/>
    </row>
    <row r="220" spans="1:10" s="154" customFormat="1">
      <c r="A220" s="276"/>
      <c r="B220" s="177" t="s">
        <v>1192</v>
      </c>
      <c r="C220" s="172">
        <v>-1</v>
      </c>
      <c r="D220" s="156" t="s">
        <v>73</v>
      </c>
      <c r="E220" s="172">
        <v>1</v>
      </c>
      <c r="F220" s="173">
        <v>6.67</v>
      </c>
      <c r="G220" s="174"/>
      <c r="H220" s="174">
        <v>0.15</v>
      </c>
      <c r="I220" s="175">
        <f t="shared" si="33"/>
        <v>-1.0004999999999999</v>
      </c>
      <c r="J220" s="161"/>
    </row>
    <row r="221" spans="1:10" s="154" customFormat="1">
      <c r="A221" s="276"/>
      <c r="B221" s="177" t="s">
        <v>1193</v>
      </c>
      <c r="C221" s="172">
        <v>-1</v>
      </c>
      <c r="D221" s="156" t="s">
        <v>73</v>
      </c>
      <c r="E221" s="172">
        <v>1</v>
      </c>
      <c r="F221" s="173">
        <v>1.72</v>
      </c>
      <c r="G221" s="174"/>
      <c r="H221" s="174">
        <v>0.15</v>
      </c>
      <c r="I221" s="175">
        <f t="shared" si="33"/>
        <v>-0.25800000000000001</v>
      </c>
      <c r="J221" s="161"/>
    </row>
    <row r="222" spans="1:10" s="154" customFormat="1">
      <c r="A222" s="276"/>
      <c r="B222" s="177" t="s">
        <v>1194</v>
      </c>
      <c r="C222" s="172">
        <v>-1</v>
      </c>
      <c r="D222" s="156" t="s">
        <v>73</v>
      </c>
      <c r="E222" s="172">
        <v>1</v>
      </c>
      <c r="F222" s="173">
        <v>1</v>
      </c>
      <c r="G222" s="174"/>
      <c r="H222" s="174">
        <v>2.1</v>
      </c>
      <c r="I222" s="175">
        <f t="shared" si="33"/>
        <v>-2.1</v>
      </c>
      <c r="J222" s="161"/>
    </row>
    <row r="223" spans="1:10" s="154" customFormat="1">
      <c r="A223" s="276"/>
      <c r="B223" s="177" t="s">
        <v>1195</v>
      </c>
      <c r="C223" s="172">
        <v>-1</v>
      </c>
      <c r="D223" s="156" t="s">
        <v>73</v>
      </c>
      <c r="E223" s="172">
        <v>1</v>
      </c>
      <c r="F223" s="173">
        <v>0.72</v>
      </c>
      <c r="G223" s="174"/>
      <c r="H223" s="174">
        <v>1.35</v>
      </c>
      <c r="I223" s="175">
        <f t="shared" si="33"/>
        <v>-0.97199999999999998</v>
      </c>
      <c r="J223" s="161"/>
    </row>
    <row r="224" spans="1:10" s="154" customFormat="1">
      <c r="A224" s="276"/>
      <c r="B224" s="148"/>
      <c r="C224" s="149"/>
      <c r="D224" s="149"/>
      <c r="E224" s="149"/>
      <c r="F224" s="150"/>
      <c r="G224" s="150"/>
      <c r="H224" s="150"/>
      <c r="I224" s="159">
        <f>SUM(I204:I223)</f>
        <v>45.67384999999998</v>
      </c>
      <c r="J224" s="161"/>
    </row>
    <row r="225" spans="1:10" s="154" customFormat="1">
      <c r="A225" s="276"/>
      <c r="B225" s="157" t="s">
        <v>1407</v>
      </c>
      <c r="C225" s="149"/>
      <c r="D225" s="149"/>
      <c r="E225" s="149"/>
      <c r="F225" s="150"/>
      <c r="G225" s="150"/>
      <c r="H225" s="150"/>
      <c r="I225" s="159">
        <f>-excess!G25</f>
        <v>-31.69</v>
      </c>
      <c r="J225" s="161"/>
    </row>
    <row r="226" spans="1:10" s="154" customFormat="1">
      <c r="A226" s="276"/>
      <c r="B226" s="148"/>
      <c r="C226" s="149"/>
      <c r="D226" s="149"/>
      <c r="E226" s="149"/>
      <c r="F226" s="150"/>
      <c r="G226" s="150"/>
      <c r="H226" s="150"/>
      <c r="I226" s="159">
        <f>SUM(I224:I225)</f>
        <v>13.983849999999979</v>
      </c>
      <c r="J226" s="161"/>
    </row>
    <row r="227" spans="1:10" s="154" customFormat="1">
      <c r="A227" s="276"/>
      <c r="B227" s="148"/>
      <c r="C227" s="149"/>
      <c r="D227" s="149"/>
      <c r="E227" s="149"/>
      <c r="F227" s="150"/>
      <c r="G227" s="150"/>
      <c r="H227" s="158" t="s">
        <v>245</v>
      </c>
      <c r="I227" s="160">
        <f>ROUNDUP(I226,1)</f>
        <v>14</v>
      </c>
      <c r="J227" s="161" t="s">
        <v>75</v>
      </c>
    </row>
    <row r="228" spans="1:10" s="154" customFormat="1">
      <c r="A228" s="276"/>
      <c r="B228" s="148"/>
      <c r="C228" s="149"/>
      <c r="D228" s="149"/>
      <c r="E228" s="149"/>
      <c r="F228" s="150"/>
      <c r="G228" s="150"/>
      <c r="H228" s="158"/>
      <c r="I228" s="160"/>
      <c r="J228" s="161"/>
    </row>
    <row r="229" spans="1:10" s="154" customFormat="1">
      <c r="A229" s="276"/>
      <c r="B229" s="155" t="s">
        <v>267</v>
      </c>
      <c r="C229" s="149"/>
      <c r="D229" s="149"/>
      <c r="E229" s="149"/>
      <c r="F229" s="150"/>
      <c r="G229" s="150"/>
      <c r="H229" s="150"/>
      <c r="I229" s="151"/>
      <c r="J229" s="161"/>
    </row>
    <row r="230" spans="1:10" s="154" customFormat="1">
      <c r="A230" s="276"/>
      <c r="B230" s="171" t="s">
        <v>259</v>
      </c>
      <c r="C230" s="172">
        <v>1</v>
      </c>
      <c r="D230" s="172" t="s">
        <v>73</v>
      </c>
      <c r="E230" s="172">
        <v>1</v>
      </c>
      <c r="F230" s="173">
        <v>6.67</v>
      </c>
      <c r="G230" s="173"/>
      <c r="H230" s="174">
        <v>2.92</v>
      </c>
      <c r="I230" s="175">
        <f t="shared" ref="I230:I234" si="34">PRODUCT(C230:H230)</f>
        <v>19.476399999999998</v>
      </c>
      <c r="J230" s="161"/>
    </row>
    <row r="231" spans="1:10" s="154" customFormat="1">
      <c r="A231" s="276"/>
      <c r="B231" s="171" t="s">
        <v>262</v>
      </c>
      <c r="C231" s="172">
        <v>1</v>
      </c>
      <c r="D231" s="156" t="s">
        <v>73</v>
      </c>
      <c r="E231" s="172">
        <v>1</v>
      </c>
      <c r="F231" s="174">
        <v>1.835</v>
      </c>
      <c r="G231" s="173"/>
      <c r="H231" s="174">
        <v>3.1749999999999998</v>
      </c>
      <c r="I231" s="175">
        <f t="shared" si="34"/>
        <v>5.8261249999999993</v>
      </c>
      <c r="J231" s="161"/>
    </row>
    <row r="232" spans="1:10" s="154" customFormat="1">
      <c r="A232" s="276"/>
      <c r="B232" s="171" t="s">
        <v>1188</v>
      </c>
      <c r="C232" s="172">
        <v>1</v>
      </c>
      <c r="D232" s="156" t="s">
        <v>73</v>
      </c>
      <c r="E232" s="172">
        <v>1</v>
      </c>
      <c r="F232" s="173">
        <v>2.2149999999999999</v>
      </c>
      <c r="G232" s="173"/>
      <c r="H232" s="174">
        <v>1.35</v>
      </c>
      <c r="I232" s="175">
        <f t="shared" si="34"/>
        <v>2.9902500000000001</v>
      </c>
      <c r="J232" s="161"/>
    </row>
    <row r="233" spans="1:10" s="154" customFormat="1">
      <c r="A233" s="276"/>
      <c r="B233" s="171" t="s">
        <v>263</v>
      </c>
      <c r="C233" s="172">
        <v>1</v>
      </c>
      <c r="D233" s="156" t="s">
        <v>73</v>
      </c>
      <c r="E233" s="172">
        <v>1</v>
      </c>
      <c r="F233" s="173">
        <v>4.12</v>
      </c>
      <c r="G233" s="173"/>
      <c r="H233" s="174">
        <v>2.92</v>
      </c>
      <c r="I233" s="175">
        <f t="shared" si="34"/>
        <v>12.0304</v>
      </c>
      <c r="J233" s="161"/>
    </row>
    <row r="234" spans="1:10" s="154" customFormat="1">
      <c r="A234" s="276"/>
      <c r="B234" s="171" t="s">
        <v>264</v>
      </c>
      <c r="C234" s="172">
        <v>1</v>
      </c>
      <c r="D234" s="156" t="s">
        <v>73</v>
      </c>
      <c r="E234" s="172">
        <v>1</v>
      </c>
      <c r="F234" s="173">
        <v>2.19</v>
      </c>
      <c r="G234" s="173"/>
      <c r="H234" s="174">
        <v>3.1749999999999998</v>
      </c>
      <c r="I234" s="175">
        <f t="shared" si="34"/>
        <v>6.9532499999999997</v>
      </c>
      <c r="J234" s="164"/>
    </row>
    <row r="235" spans="1:10" s="154" customFormat="1">
      <c r="A235" s="276"/>
      <c r="B235" s="176" t="s">
        <v>254</v>
      </c>
      <c r="C235" s="172"/>
      <c r="D235" s="156"/>
      <c r="E235" s="172"/>
      <c r="F235" s="173"/>
      <c r="G235" s="173"/>
      <c r="H235" s="174"/>
      <c r="I235" s="175"/>
      <c r="J235" s="164"/>
    </row>
    <row r="236" spans="1:10" s="154" customFormat="1">
      <c r="A236" s="276"/>
      <c r="B236" s="177" t="s">
        <v>72</v>
      </c>
      <c r="C236" s="172">
        <v>-1</v>
      </c>
      <c r="D236" s="156" t="s">
        <v>73</v>
      </c>
      <c r="E236" s="172">
        <v>2</v>
      </c>
      <c r="F236" s="173">
        <v>1</v>
      </c>
      <c r="G236" s="174"/>
      <c r="H236" s="174">
        <v>2.1</v>
      </c>
      <c r="I236" s="175">
        <f t="shared" ref="I236:I244" si="35">PRODUCT(C236:H236)</f>
        <v>-4.2</v>
      </c>
      <c r="J236" s="161"/>
    </row>
    <row r="237" spans="1:10" s="154" customFormat="1">
      <c r="A237" s="276"/>
      <c r="B237" s="177" t="s">
        <v>1189</v>
      </c>
      <c r="C237" s="172">
        <v>-1</v>
      </c>
      <c r="D237" s="156" t="s">
        <v>73</v>
      </c>
      <c r="E237" s="172">
        <v>1</v>
      </c>
      <c r="F237" s="173">
        <v>1.46</v>
      </c>
      <c r="G237" s="174"/>
      <c r="H237" s="174">
        <v>0.15</v>
      </c>
      <c r="I237" s="175">
        <f t="shared" si="35"/>
        <v>-0.219</v>
      </c>
      <c r="J237" s="161"/>
    </row>
    <row r="238" spans="1:10" s="154" customFormat="1">
      <c r="A238" s="276"/>
      <c r="B238" s="177" t="s">
        <v>266</v>
      </c>
      <c r="C238" s="172">
        <v>-1</v>
      </c>
      <c r="D238" s="156" t="s">
        <v>73</v>
      </c>
      <c r="E238" s="172">
        <v>1</v>
      </c>
      <c r="F238" s="173">
        <v>0.75</v>
      </c>
      <c r="G238" s="174"/>
      <c r="H238" s="174">
        <v>2.1</v>
      </c>
      <c r="I238" s="175">
        <f t="shared" si="35"/>
        <v>-1.5750000000000002</v>
      </c>
      <c r="J238" s="161"/>
    </row>
    <row r="239" spans="1:10" s="154" customFormat="1">
      <c r="A239" s="276"/>
      <c r="B239" s="177" t="s">
        <v>1196</v>
      </c>
      <c r="C239" s="172">
        <v>-1</v>
      </c>
      <c r="D239" s="156" t="s">
        <v>73</v>
      </c>
      <c r="E239" s="172">
        <v>1</v>
      </c>
      <c r="F239" s="173">
        <v>0.75</v>
      </c>
      <c r="G239" s="174"/>
      <c r="H239" s="174">
        <v>1.35</v>
      </c>
      <c r="I239" s="175">
        <f t="shared" si="35"/>
        <v>-1.0125000000000002</v>
      </c>
      <c r="J239" s="161"/>
    </row>
    <row r="240" spans="1:10" s="154" customFormat="1">
      <c r="A240" s="276"/>
      <c r="B240" s="177" t="s">
        <v>1191</v>
      </c>
      <c r="C240" s="172">
        <v>-1</v>
      </c>
      <c r="D240" s="156" t="s">
        <v>73</v>
      </c>
      <c r="E240" s="172">
        <v>1</v>
      </c>
      <c r="F240" s="173">
        <v>1.21</v>
      </c>
      <c r="G240" s="174"/>
      <c r="H240" s="174">
        <v>0.15</v>
      </c>
      <c r="I240" s="175">
        <f t="shared" si="35"/>
        <v>-0.18149999999999999</v>
      </c>
      <c r="J240" s="161"/>
    </row>
    <row r="241" spans="1:10" s="154" customFormat="1">
      <c r="A241" s="276"/>
      <c r="B241" s="177" t="s">
        <v>1192</v>
      </c>
      <c r="C241" s="172">
        <v>-1</v>
      </c>
      <c r="D241" s="156" t="s">
        <v>73</v>
      </c>
      <c r="E241" s="172">
        <v>1</v>
      </c>
      <c r="F241" s="173">
        <v>6.67</v>
      </c>
      <c r="G241" s="174"/>
      <c r="H241" s="174">
        <v>0.15</v>
      </c>
      <c r="I241" s="175">
        <f t="shared" si="35"/>
        <v>-1.0004999999999999</v>
      </c>
      <c r="J241" s="161"/>
    </row>
    <row r="242" spans="1:10" s="154" customFormat="1">
      <c r="A242" s="276"/>
      <c r="B242" s="177" t="s">
        <v>1193</v>
      </c>
      <c r="C242" s="172">
        <v>-1</v>
      </c>
      <c r="D242" s="156" t="s">
        <v>73</v>
      </c>
      <c r="E242" s="172">
        <v>1</v>
      </c>
      <c r="F242" s="174">
        <v>1.835</v>
      </c>
      <c r="G242" s="174"/>
      <c r="H242" s="174">
        <v>0.15</v>
      </c>
      <c r="I242" s="175">
        <f t="shared" si="35"/>
        <v>-0.27524999999999999</v>
      </c>
      <c r="J242" s="161"/>
    </row>
    <row r="243" spans="1:10" s="154" customFormat="1">
      <c r="A243" s="276"/>
      <c r="B243" s="177" t="s">
        <v>1194</v>
      </c>
      <c r="C243" s="172">
        <v>-1</v>
      </c>
      <c r="D243" s="156" t="s">
        <v>73</v>
      </c>
      <c r="E243" s="172">
        <v>1</v>
      </c>
      <c r="F243" s="173">
        <v>1</v>
      </c>
      <c r="G243" s="174"/>
      <c r="H243" s="174">
        <v>2.1</v>
      </c>
      <c r="I243" s="175">
        <f t="shared" si="35"/>
        <v>-2.1</v>
      </c>
      <c r="J243" s="161"/>
    </row>
    <row r="244" spans="1:10" s="154" customFormat="1">
      <c r="A244" s="276"/>
      <c r="B244" s="177" t="s">
        <v>1195</v>
      </c>
      <c r="C244" s="172">
        <v>-1</v>
      </c>
      <c r="D244" s="156" t="s">
        <v>73</v>
      </c>
      <c r="E244" s="172">
        <v>1</v>
      </c>
      <c r="F244" s="174">
        <v>0.83499999999999996</v>
      </c>
      <c r="G244" s="174"/>
      <c r="H244" s="174">
        <v>1.35</v>
      </c>
      <c r="I244" s="175">
        <f t="shared" si="35"/>
        <v>-1.1272500000000001</v>
      </c>
      <c r="J244" s="161"/>
    </row>
    <row r="245" spans="1:10" s="154" customFormat="1">
      <c r="A245" s="276"/>
      <c r="B245" s="148"/>
      <c r="C245" s="149"/>
      <c r="D245" s="149"/>
      <c r="E245" s="149"/>
      <c r="F245" s="150"/>
      <c r="G245" s="150"/>
      <c r="H245" s="150"/>
      <c r="I245" s="159">
        <f>SUM(I230:I244)</f>
        <v>35.585424999999972</v>
      </c>
      <c r="J245" s="161"/>
    </row>
    <row r="246" spans="1:10" s="154" customFormat="1">
      <c r="A246" s="276"/>
      <c r="B246" s="157" t="s">
        <v>1407</v>
      </c>
      <c r="C246" s="149"/>
      <c r="D246" s="149"/>
      <c r="E246" s="149"/>
      <c r="F246" s="150"/>
      <c r="G246" s="150"/>
      <c r="H246" s="150"/>
      <c r="I246" s="159">
        <f>-excess!G26</f>
        <v>-34</v>
      </c>
      <c r="J246" s="161"/>
    </row>
    <row r="247" spans="1:10" s="154" customFormat="1">
      <c r="A247" s="276"/>
      <c r="B247" s="157"/>
      <c r="C247" s="149"/>
      <c r="D247" s="149"/>
      <c r="E247" s="149"/>
      <c r="F247" s="150"/>
      <c r="G247" s="150"/>
      <c r="H247" s="150"/>
      <c r="I247" s="159">
        <f>SUM(I245:I246)</f>
        <v>1.5854249999999723</v>
      </c>
      <c r="J247" s="161"/>
    </row>
    <row r="248" spans="1:10" s="154" customFormat="1">
      <c r="A248" s="276"/>
      <c r="B248" s="148"/>
      <c r="C248" s="149"/>
      <c r="D248" s="149"/>
      <c r="E248" s="149"/>
      <c r="F248" s="150"/>
      <c r="G248" s="150"/>
      <c r="H248" s="158" t="s">
        <v>245</v>
      </c>
      <c r="I248" s="160">
        <f>ROUNDUP(I247,1)</f>
        <v>1.6</v>
      </c>
      <c r="J248" s="161" t="s">
        <v>75</v>
      </c>
    </row>
    <row r="249" spans="1:10" s="154" customFormat="1">
      <c r="A249" s="276"/>
      <c r="B249" s="177"/>
      <c r="C249" s="172"/>
      <c r="D249" s="156"/>
      <c r="E249" s="172"/>
      <c r="F249" s="173"/>
      <c r="G249" s="174"/>
      <c r="H249" s="174"/>
      <c r="I249" s="175"/>
      <c r="J249" s="161"/>
    </row>
    <row r="250" spans="1:10" s="154" customFormat="1">
      <c r="A250" s="276"/>
      <c r="B250" s="155" t="s">
        <v>268</v>
      </c>
      <c r="C250" s="149"/>
      <c r="D250" s="149"/>
      <c r="E250" s="149"/>
      <c r="F250" s="150"/>
      <c r="G250" s="150"/>
      <c r="H250" s="150"/>
      <c r="I250" s="151"/>
      <c r="J250" s="161"/>
    </row>
    <row r="251" spans="1:10" s="154" customFormat="1">
      <c r="A251" s="276"/>
      <c r="B251" s="171" t="s">
        <v>1197</v>
      </c>
      <c r="C251" s="172">
        <v>1</v>
      </c>
      <c r="D251" s="172" t="s">
        <v>73</v>
      </c>
      <c r="E251" s="172">
        <v>2</v>
      </c>
      <c r="F251" s="173">
        <v>4.6100000000000003</v>
      </c>
      <c r="G251" s="173"/>
      <c r="H251" s="174">
        <v>2.92</v>
      </c>
      <c r="I251" s="175">
        <f t="shared" ref="I251:I253" si="36">PRODUCT(C251:H251)</f>
        <v>26.9224</v>
      </c>
      <c r="J251" s="161"/>
    </row>
    <row r="252" spans="1:10" s="154" customFormat="1">
      <c r="A252" s="276"/>
      <c r="B252" s="171" t="s">
        <v>1198</v>
      </c>
      <c r="C252" s="172">
        <v>1</v>
      </c>
      <c r="D252" s="156" t="s">
        <v>73</v>
      </c>
      <c r="E252" s="172">
        <v>2</v>
      </c>
      <c r="F252" s="174">
        <v>4.6100000000000003</v>
      </c>
      <c r="G252" s="173"/>
      <c r="H252" s="174">
        <v>3.1749999999999998</v>
      </c>
      <c r="I252" s="175">
        <f t="shared" si="36"/>
        <v>29.273500000000002</v>
      </c>
      <c r="J252" s="161"/>
    </row>
    <row r="253" spans="1:10" s="154" customFormat="1">
      <c r="A253" s="276"/>
      <c r="B253" s="171" t="s">
        <v>1199</v>
      </c>
      <c r="C253" s="172">
        <v>2</v>
      </c>
      <c r="D253" s="156" t="s">
        <v>73</v>
      </c>
      <c r="E253" s="172">
        <v>2</v>
      </c>
      <c r="F253" s="173">
        <v>1.4850000000000001</v>
      </c>
      <c r="G253" s="173"/>
      <c r="H253" s="174">
        <v>3.1749999999999998</v>
      </c>
      <c r="I253" s="175">
        <f t="shared" si="36"/>
        <v>18.859500000000001</v>
      </c>
      <c r="J253" s="161"/>
    </row>
    <row r="254" spans="1:10" s="154" customFormat="1">
      <c r="A254" s="276"/>
      <c r="B254" s="176" t="s">
        <v>254</v>
      </c>
      <c r="C254" s="172"/>
      <c r="D254" s="156"/>
      <c r="E254" s="172"/>
      <c r="F254" s="173"/>
      <c r="G254" s="173"/>
      <c r="H254" s="174"/>
      <c r="I254" s="175"/>
      <c r="J254" s="161"/>
    </row>
    <row r="255" spans="1:10" s="154" customFormat="1">
      <c r="A255" s="276"/>
      <c r="B255" s="177" t="s">
        <v>265</v>
      </c>
      <c r="C255" s="172">
        <v>-1</v>
      </c>
      <c r="D255" s="156" t="s">
        <v>73</v>
      </c>
      <c r="E255" s="172">
        <v>2</v>
      </c>
      <c r="F255" s="173">
        <v>0.9</v>
      </c>
      <c r="G255" s="174"/>
      <c r="H255" s="174">
        <v>2.1</v>
      </c>
      <c r="I255" s="175">
        <f>PRODUCT(C255:H255)</f>
        <v>-3.7800000000000002</v>
      </c>
      <c r="J255" s="164"/>
    </row>
    <row r="256" spans="1:10" s="154" customFormat="1">
      <c r="A256" s="276"/>
      <c r="B256" s="177" t="s">
        <v>1190</v>
      </c>
      <c r="C256" s="172">
        <v>-1</v>
      </c>
      <c r="D256" s="156" t="s">
        <v>73</v>
      </c>
      <c r="E256" s="172">
        <v>2</v>
      </c>
      <c r="F256" s="173">
        <v>1.46</v>
      </c>
      <c r="G256" s="174"/>
      <c r="H256" s="174">
        <v>0.15</v>
      </c>
      <c r="I256" s="175">
        <f>PRODUCT(C256:H256)</f>
        <v>-0.438</v>
      </c>
      <c r="J256" s="161"/>
    </row>
    <row r="257" spans="1:10" s="154" customFormat="1">
      <c r="A257" s="276"/>
      <c r="B257" s="177" t="s">
        <v>266</v>
      </c>
      <c r="C257" s="172">
        <v>-1</v>
      </c>
      <c r="D257" s="156" t="s">
        <v>73</v>
      </c>
      <c r="E257" s="172">
        <v>6</v>
      </c>
      <c r="F257" s="173">
        <v>0.75</v>
      </c>
      <c r="G257" s="174"/>
      <c r="H257" s="174">
        <v>2.1</v>
      </c>
      <c r="I257" s="175">
        <f>PRODUCT(C257:H257)</f>
        <v>-9.4500000000000011</v>
      </c>
      <c r="J257" s="161"/>
    </row>
    <row r="258" spans="1:10" s="154" customFormat="1">
      <c r="A258" s="276"/>
      <c r="B258" s="177" t="s">
        <v>1200</v>
      </c>
      <c r="C258" s="172">
        <v>-1</v>
      </c>
      <c r="D258" s="156" t="s">
        <v>73</v>
      </c>
      <c r="E258" s="172">
        <v>1</v>
      </c>
      <c r="F258" s="173">
        <v>4.6100000000000003</v>
      </c>
      <c r="G258" s="174"/>
      <c r="H258" s="174">
        <v>0.15</v>
      </c>
      <c r="I258" s="175">
        <f>PRODUCT(C258:H258)</f>
        <v>-0.6915</v>
      </c>
      <c r="J258" s="161"/>
    </row>
    <row r="259" spans="1:10" s="154" customFormat="1">
      <c r="A259" s="276"/>
      <c r="B259" s="148"/>
      <c r="C259" s="149"/>
      <c r="D259" s="149"/>
      <c r="E259" s="149"/>
      <c r="F259" s="150"/>
      <c r="G259" s="150"/>
      <c r="H259" s="150"/>
      <c r="I259" s="159">
        <f>SUM(I251:I258)</f>
        <v>60.695900000000002</v>
      </c>
      <c r="J259" s="161"/>
    </row>
    <row r="260" spans="1:10" s="154" customFormat="1">
      <c r="A260" s="276"/>
      <c r="B260" s="148"/>
      <c r="C260" s="149"/>
      <c r="D260" s="149"/>
      <c r="E260" s="149"/>
      <c r="F260" s="150"/>
      <c r="G260" s="150"/>
      <c r="H260" s="158" t="s">
        <v>245</v>
      </c>
      <c r="I260" s="160">
        <f>ROUNDUP(I259,1)</f>
        <v>60.7</v>
      </c>
      <c r="J260" s="161" t="s">
        <v>75</v>
      </c>
    </row>
    <row r="261" spans="1:10" s="154" customFormat="1">
      <c r="A261" s="276"/>
      <c r="B261" s="148"/>
      <c r="C261" s="149"/>
      <c r="D261" s="149"/>
      <c r="E261" s="149"/>
      <c r="F261" s="150"/>
      <c r="G261" s="150"/>
      <c r="H261" s="158"/>
      <c r="I261" s="159"/>
      <c r="J261" s="161"/>
    </row>
    <row r="262" spans="1:10" s="154" customFormat="1" ht="93" customHeight="1">
      <c r="A262" s="276">
        <v>11.2</v>
      </c>
      <c r="B262" s="153" t="s">
        <v>269</v>
      </c>
      <c r="C262" s="149"/>
      <c r="D262" s="149"/>
      <c r="E262" s="149"/>
      <c r="F262" s="150"/>
      <c r="G262" s="150"/>
      <c r="H262" s="150"/>
      <c r="I262" s="151"/>
      <c r="J262" s="161"/>
    </row>
    <row r="263" spans="1:10" s="154" customFormat="1">
      <c r="A263" s="276"/>
      <c r="B263" s="155" t="s">
        <v>253</v>
      </c>
      <c r="C263" s="149"/>
      <c r="D263" s="149"/>
      <c r="E263" s="149"/>
      <c r="F263" s="150"/>
      <c r="G263" s="150"/>
      <c r="H263" s="150"/>
      <c r="I263" s="151"/>
      <c r="J263" s="161"/>
    </row>
    <row r="264" spans="1:10" s="154" customFormat="1">
      <c r="A264" s="152"/>
      <c r="B264" s="148" t="s">
        <v>299</v>
      </c>
      <c r="C264" s="149">
        <v>1</v>
      </c>
      <c r="D264" s="149" t="s">
        <v>73</v>
      </c>
      <c r="E264" s="149">
        <v>2</v>
      </c>
      <c r="F264" s="150">
        <v>0.45</v>
      </c>
      <c r="G264" s="150"/>
      <c r="H264" s="150">
        <v>2.1</v>
      </c>
      <c r="I264" s="151">
        <f>ROUND(PRODUCT(C264:H264),2)</f>
        <v>1.89</v>
      </c>
      <c r="J264" s="161"/>
    </row>
    <row r="265" spans="1:10" s="154" customFormat="1">
      <c r="A265" s="152"/>
      <c r="B265" s="148" t="s">
        <v>1201</v>
      </c>
      <c r="C265" s="149">
        <v>1</v>
      </c>
      <c r="D265" s="149" t="s">
        <v>73</v>
      </c>
      <c r="E265" s="149">
        <v>5</v>
      </c>
      <c r="F265" s="150">
        <v>0.45</v>
      </c>
      <c r="G265" s="150"/>
      <c r="H265" s="150">
        <v>2.1</v>
      </c>
      <c r="I265" s="151">
        <f>ROUND(PRODUCT(C265:H265),2)</f>
        <v>4.7300000000000004</v>
      </c>
      <c r="J265" s="161"/>
    </row>
    <row r="266" spans="1:10" s="154" customFormat="1">
      <c r="A266" s="152"/>
      <c r="B266" s="148" t="s">
        <v>1202</v>
      </c>
      <c r="C266" s="149">
        <v>2</v>
      </c>
      <c r="D266" s="149" t="s">
        <v>73</v>
      </c>
      <c r="E266" s="149">
        <v>2</v>
      </c>
      <c r="F266" s="150">
        <v>0.45</v>
      </c>
      <c r="G266" s="150"/>
      <c r="H266" s="150">
        <v>2.1</v>
      </c>
      <c r="I266" s="151">
        <f>ROUND(PRODUCT(C266:H266),2)</f>
        <v>3.78</v>
      </c>
      <c r="J266" s="161"/>
    </row>
    <row r="267" spans="1:10" s="154" customFormat="1">
      <c r="A267" s="276"/>
      <c r="B267" s="148"/>
      <c r="C267" s="149"/>
      <c r="D267" s="149"/>
      <c r="E267" s="149"/>
      <c r="F267" s="150"/>
      <c r="G267" s="158" t="s">
        <v>11</v>
      </c>
      <c r="H267" s="150"/>
      <c r="I267" s="159">
        <f>SUM(I264:I266)</f>
        <v>10.4</v>
      </c>
      <c r="J267" s="161"/>
    </row>
    <row r="268" spans="1:10" s="154" customFormat="1" ht="16.5" customHeight="1">
      <c r="A268" s="276"/>
      <c r="B268" s="148"/>
      <c r="C268" s="149"/>
      <c r="D268" s="149"/>
      <c r="E268" s="149"/>
      <c r="F268" s="150"/>
      <c r="G268" s="150"/>
      <c r="H268" s="158" t="s">
        <v>74</v>
      </c>
      <c r="I268" s="160">
        <f>ROUNDUP(I267,1)</f>
        <v>10.4</v>
      </c>
      <c r="J268" s="161" t="s">
        <v>75</v>
      </c>
    </row>
    <row r="269" spans="1:10" s="154" customFormat="1" ht="16.5" customHeight="1">
      <c r="A269" s="276"/>
      <c r="B269" s="148"/>
      <c r="C269" s="149"/>
      <c r="D269" s="149"/>
      <c r="E269" s="149"/>
      <c r="F269" s="150"/>
      <c r="G269" s="150"/>
      <c r="H269" s="158"/>
      <c r="I269" s="160"/>
      <c r="J269" s="161"/>
    </row>
    <row r="270" spans="1:10" s="154" customFormat="1" ht="16.5" customHeight="1">
      <c r="A270" s="276"/>
      <c r="B270" s="155" t="s">
        <v>272</v>
      </c>
      <c r="C270" s="149"/>
      <c r="D270" s="149"/>
      <c r="E270" s="149"/>
      <c r="F270" s="150"/>
      <c r="G270" s="150"/>
      <c r="H270" s="150"/>
      <c r="I270" s="151"/>
      <c r="J270" s="164"/>
    </row>
    <row r="271" spans="1:10" s="154" customFormat="1">
      <c r="A271" s="276"/>
      <c r="B271" s="148" t="s">
        <v>273</v>
      </c>
      <c r="C271" s="149">
        <v>2</v>
      </c>
      <c r="D271" s="149" t="s">
        <v>73</v>
      </c>
      <c r="E271" s="149">
        <v>5</v>
      </c>
      <c r="F271" s="150">
        <v>0.6</v>
      </c>
      <c r="G271" s="150"/>
      <c r="H271" s="150">
        <v>2.1</v>
      </c>
      <c r="I271" s="151">
        <f>ROUND(PRODUCT(C271:H271),2)</f>
        <v>12.6</v>
      </c>
      <c r="J271" s="161"/>
    </row>
    <row r="272" spans="1:10" s="154" customFormat="1">
      <c r="A272" s="152"/>
      <c r="B272" s="148"/>
      <c r="C272" s="149"/>
      <c r="D272" s="149"/>
      <c r="E272" s="149"/>
      <c r="F272" s="150"/>
      <c r="G272" s="158" t="s">
        <v>11</v>
      </c>
      <c r="H272" s="150"/>
      <c r="I272" s="159">
        <f>SUM(I271:I271)</f>
        <v>12.6</v>
      </c>
      <c r="J272" s="161"/>
    </row>
    <row r="273" spans="1:10" s="154" customFormat="1">
      <c r="A273" s="152"/>
      <c r="B273" s="148"/>
      <c r="C273" s="149"/>
      <c r="D273" s="149"/>
      <c r="E273" s="149"/>
      <c r="F273" s="150"/>
      <c r="G273" s="150"/>
      <c r="H273" s="158" t="s">
        <v>74</v>
      </c>
      <c r="I273" s="160">
        <f>ROUNDUP(I272,1)</f>
        <v>12.6</v>
      </c>
      <c r="J273" s="161" t="s">
        <v>75</v>
      </c>
    </row>
    <row r="274" spans="1:10" s="154" customFormat="1">
      <c r="A274" s="152"/>
      <c r="B274" s="148"/>
      <c r="C274" s="149"/>
      <c r="D274" s="149"/>
      <c r="E274" s="149"/>
      <c r="F274" s="150"/>
      <c r="G274" s="150"/>
      <c r="H274" s="158"/>
      <c r="I274" s="160"/>
      <c r="J274" s="161"/>
    </row>
    <row r="275" spans="1:10" s="154" customFormat="1" ht="56.25">
      <c r="A275" s="276">
        <v>25</v>
      </c>
      <c r="B275" s="178" t="s">
        <v>277</v>
      </c>
      <c r="C275" s="149"/>
      <c r="D275" s="149"/>
      <c r="E275" s="149"/>
      <c r="F275" s="150"/>
      <c r="G275" s="150"/>
      <c r="H275" s="150"/>
      <c r="I275" s="151"/>
      <c r="J275" s="161"/>
    </row>
    <row r="276" spans="1:10" s="154" customFormat="1">
      <c r="A276" s="276"/>
      <c r="B276" s="148" t="s">
        <v>278</v>
      </c>
      <c r="C276" s="149">
        <v>1</v>
      </c>
      <c r="D276" s="149" t="s">
        <v>73</v>
      </c>
      <c r="E276" s="149">
        <v>6</v>
      </c>
      <c r="F276" s="150"/>
      <c r="G276" s="150"/>
      <c r="H276" s="150"/>
      <c r="I276" s="151">
        <f>ROUND(PRODUCT(C276:H276),2)</f>
        <v>6</v>
      </c>
      <c r="J276" s="161"/>
    </row>
    <row r="277" spans="1:10" s="154" customFormat="1">
      <c r="A277" s="276"/>
      <c r="B277" s="148" t="s">
        <v>274</v>
      </c>
      <c r="C277" s="149">
        <v>7</v>
      </c>
      <c r="D277" s="149" t="s">
        <v>73</v>
      </c>
      <c r="E277" s="149">
        <v>6</v>
      </c>
      <c r="F277" s="150"/>
      <c r="G277" s="150"/>
      <c r="H277" s="150"/>
      <c r="I277" s="151">
        <f>ROUND(PRODUCT(C277:H277),2)</f>
        <v>42</v>
      </c>
      <c r="J277" s="164"/>
    </row>
    <row r="278" spans="1:10" s="154" customFormat="1">
      <c r="A278" s="276"/>
      <c r="B278" s="148" t="s">
        <v>275</v>
      </c>
      <c r="C278" s="149">
        <v>5</v>
      </c>
      <c r="D278" s="149" t="s">
        <v>73</v>
      </c>
      <c r="E278" s="149">
        <v>6</v>
      </c>
      <c r="F278" s="150"/>
      <c r="G278" s="150"/>
      <c r="H278" s="150"/>
      <c r="I278" s="151">
        <f>ROUND(PRODUCT(C278:H278),2)</f>
        <v>30</v>
      </c>
      <c r="J278" s="161"/>
    </row>
    <row r="279" spans="1:10" s="154" customFormat="1">
      <c r="A279" s="276"/>
      <c r="B279" s="148" t="s">
        <v>124</v>
      </c>
      <c r="C279" s="149">
        <v>4</v>
      </c>
      <c r="D279" s="149" t="s">
        <v>73</v>
      </c>
      <c r="E279" s="149">
        <v>6</v>
      </c>
      <c r="F279" s="150"/>
      <c r="G279" s="150"/>
      <c r="H279" s="150"/>
      <c r="I279" s="151">
        <f>ROUND(PRODUCT(C279:H279),2)</f>
        <v>24</v>
      </c>
      <c r="J279" s="161"/>
    </row>
    <row r="280" spans="1:10" s="154" customFormat="1">
      <c r="A280" s="276"/>
      <c r="B280" s="148"/>
      <c r="C280" s="149"/>
      <c r="D280" s="149"/>
      <c r="E280" s="149"/>
      <c r="F280" s="150"/>
      <c r="G280" s="158" t="s">
        <v>11</v>
      </c>
      <c r="H280" s="150"/>
      <c r="I280" s="160">
        <f>SUM(I276:I279)</f>
        <v>102</v>
      </c>
      <c r="J280" s="180" t="s">
        <v>128</v>
      </c>
    </row>
    <row r="281" spans="1:10" s="154" customFormat="1">
      <c r="A281" s="276"/>
      <c r="B281" s="148"/>
      <c r="C281" s="149"/>
      <c r="D281" s="149"/>
      <c r="E281" s="149"/>
      <c r="F281" s="150"/>
      <c r="G281" s="158"/>
      <c r="H281" s="150"/>
      <c r="I281" s="160"/>
      <c r="J281" s="161"/>
    </row>
    <row r="282" spans="1:10" s="154" customFormat="1" ht="79.5" customHeight="1">
      <c r="A282" s="276">
        <v>28</v>
      </c>
      <c r="B282" s="153" t="s">
        <v>279</v>
      </c>
      <c r="C282" s="149"/>
      <c r="D282" s="149"/>
      <c r="E282" s="149"/>
      <c r="F282" s="150"/>
      <c r="G282" s="150"/>
      <c r="H282" s="150"/>
      <c r="I282" s="151"/>
      <c r="J282" s="164"/>
    </row>
    <row r="283" spans="1:10" s="181" customFormat="1">
      <c r="A283" s="221"/>
      <c r="B283" s="148" t="s">
        <v>280</v>
      </c>
      <c r="C283" s="149">
        <v>1</v>
      </c>
      <c r="D283" s="149" t="s">
        <v>73</v>
      </c>
      <c r="E283" s="149">
        <v>10</v>
      </c>
      <c r="F283" s="150">
        <v>0.6</v>
      </c>
      <c r="G283" s="150">
        <v>0.6</v>
      </c>
      <c r="H283" s="150"/>
      <c r="I283" s="151">
        <f>ROUND(PRODUCT(C283:H283),2)</f>
        <v>3.6</v>
      </c>
      <c r="J283" s="180"/>
    </row>
    <row r="284" spans="1:10" s="181" customFormat="1">
      <c r="A284" s="276"/>
      <c r="B284" s="148" t="s">
        <v>1408</v>
      </c>
      <c r="C284" s="149">
        <v>1</v>
      </c>
      <c r="D284" s="149" t="s">
        <v>73</v>
      </c>
      <c r="E284" s="149">
        <v>2</v>
      </c>
      <c r="F284" s="150">
        <v>0.6</v>
      </c>
      <c r="G284" s="150">
        <v>0.6</v>
      </c>
      <c r="H284" s="150"/>
      <c r="I284" s="151">
        <f>ROUND(PRODUCT(C284:H284),2)</f>
        <v>0.72</v>
      </c>
      <c r="J284" s="180"/>
    </row>
    <row r="285" spans="1:10" s="181" customFormat="1">
      <c r="A285" s="276"/>
      <c r="B285" s="148"/>
      <c r="C285" s="149"/>
      <c r="D285" s="149"/>
      <c r="E285" s="149"/>
      <c r="F285" s="150"/>
      <c r="G285" s="150"/>
      <c r="H285" s="150"/>
      <c r="I285" s="151">
        <f>SUM(I283:I284)</f>
        <v>4.32</v>
      </c>
      <c r="J285" s="180"/>
    </row>
    <row r="286" spans="1:10" s="181" customFormat="1">
      <c r="A286" s="276"/>
      <c r="B286" s="148"/>
      <c r="C286" s="149"/>
      <c r="D286" s="149"/>
      <c r="E286" s="149"/>
      <c r="F286" s="150"/>
      <c r="G286" s="150"/>
      <c r="H286" s="150" t="s">
        <v>245</v>
      </c>
      <c r="I286" s="160">
        <f>ROUNDUP(I285,1)</f>
        <v>4.3999999999999995</v>
      </c>
      <c r="J286" s="180" t="s">
        <v>75</v>
      </c>
    </row>
    <row r="287" spans="1:10" s="181" customFormat="1">
      <c r="A287" s="276"/>
      <c r="B287" s="148"/>
      <c r="C287" s="149"/>
      <c r="D287" s="149"/>
      <c r="E287" s="149"/>
      <c r="F287" s="150"/>
      <c r="G287" s="150"/>
      <c r="H287" s="150"/>
      <c r="I287" s="160"/>
      <c r="J287" s="180"/>
    </row>
    <row r="288" spans="1:10" s="181" customFormat="1" ht="100.5" customHeight="1">
      <c r="A288" s="276">
        <v>30</v>
      </c>
      <c r="B288" s="178" t="s">
        <v>281</v>
      </c>
      <c r="C288" s="149"/>
      <c r="D288" s="149"/>
      <c r="E288" s="149"/>
      <c r="F288" s="150"/>
      <c r="G288" s="158"/>
      <c r="H288" s="150"/>
      <c r="I288" s="159"/>
      <c r="J288" s="180"/>
    </row>
    <row r="289" spans="1:10" s="181" customFormat="1">
      <c r="A289" s="276"/>
      <c r="B289" s="178" t="s">
        <v>282</v>
      </c>
      <c r="C289" s="149">
        <v>1</v>
      </c>
      <c r="D289" s="149" t="s">
        <v>73</v>
      </c>
      <c r="E289" s="149">
        <v>1</v>
      </c>
      <c r="F289" s="150">
        <v>2.5299999999999998</v>
      </c>
      <c r="G289" s="150">
        <v>1.68</v>
      </c>
      <c r="H289" s="150"/>
      <c r="I289" s="151">
        <f t="shared" ref="I289:I294" si="37">ROUND(PRODUCT(C289:H289),2)</f>
        <v>4.25</v>
      </c>
      <c r="J289" s="221"/>
    </row>
    <row r="290" spans="1:10" s="181" customFormat="1" ht="18.75" customHeight="1">
      <c r="A290" s="221"/>
      <c r="B290" s="178" t="s">
        <v>1203</v>
      </c>
      <c r="C290" s="149">
        <v>1</v>
      </c>
      <c r="D290" s="149" t="s">
        <v>73</v>
      </c>
      <c r="E290" s="149">
        <v>1</v>
      </c>
      <c r="F290" s="150">
        <v>1</v>
      </c>
      <c r="G290" s="150">
        <v>0.23</v>
      </c>
      <c r="H290" s="150"/>
      <c r="I290" s="151">
        <f t="shared" si="37"/>
        <v>0.23</v>
      </c>
      <c r="J290" s="180"/>
    </row>
    <row r="291" spans="1:10" s="181" customFormat="1">
      <c r="A291" s="276"/>
      <c r="B291" s="182" t="s">
        <v>283</v>
      </c>
      <c r="C291" s="149">
        <v>1</v>
      </c>
      <c r="D291" s="149" t="s">
        <v>73</v>
      </c>
      <c r="E291" s="149">
        <v>2</v>
      </c>
      <c r="F291" s="150">
        <v>2.66</v>
      </c>
      <c r="G291" s="150">
        <v>3.33</v>
      </c>
      <c r="H291" s="150"/>
      <c r="I291" s="151">
        <f t="shared" si="37"/>
        <v>17.72</v>
      </c>
      <c r="J291" s="180"/>
    </row>
    <row r="292" spans="1:10" s="181" customFormat="1">
      <c r="A292" s="276"/>
      <c r="B292" s="182" t="s">
        <v>1204</v>
      </c>
      <c r="C292" s="149">
        <v>1</v>
      </c>
      <c r="D292" s="149" t="s">
        <v>73</v>
      </c>
      <c r="E292" s="149">
        <v>2</v>
      </c>
      <c r="F292" s="150">
        <v>1</v>
      </c>
      <c r="G292" s="150">
        <v>0.23</v>
      </c>
      <c r="H292" s="150"/>
      <c r="I292" s="151">
        <f t="shared" si="37"/>
        <v>0.46</v>
      </c>
      <c r="J292" s="180"/>
    </row>
    <row r="293" spans="1:10" s="181" customFormat="1">
      <c r="A293" s="276"/>
      <c r="B293" s="148" t="s">
        <v>284</v>
      </c>
      <c r="C293" s="149">
        <v>-1</v>
      </c>
      <c r="D293" s="149" t="s">
        <v>73</v>
      </c>
      <c r="E293" s="149">
        <v>2</v>
      </c>
      <c r="F293" s="150">
        <v>0.57999999999999996</v>
      </c>
      <c r="G293" s="150">
        <v>0.44</v>
      </c>
      <c r="H293" s="150"/>
      <c r="I293" s="151">
        <f t="shared" si="37"/>
        <v>-0.51</v>
      </c>
      <c r="J293" s="180"/>
    </row>
    <row r="294" spans="1:10" s="181" customFormat="1">
      <c r="A294" s="276"/>
      <c r="B294" s="182" t="s">
        <v>1281</v>
      </c>
      <c r="C294" s="149">
        <v>1</v>
      </c>
      <c r="D294" s="149" t="s">
        <v>73</v>
      </c>
      <c r="E294" s="149">
        <v>1</v>
      </c>
      <c r="F294" s="150">
        <v>2.56</v>
      </c>
      <c r="G294" s="150">
        <v>1.66</v>
      </c>
      <c r="H294" s="150"/>
      <c r="I294" s="151">
        <f t="shared" si="37"/>
        <v>4.25</v>
      </c>
      <c r="J294" s="180"/>
    </row>
    <row r="295" spans="1:10" s="181" customFormat="1" ht="18" customHeight="1">
      <c r="A295" s="221"/>
      <c r="B295" s="148"/>
      <c r="C295" s="149"/>
      <c r="D295" s="149"/>
      <c r="E295" s="149"/>
      <c r="F295" s="150"/>
      <c r="G295" s="158" t="s">
        <v>11</v>
      </c>
      <c r="H295" s="150"/>
      <c r="I295" s="159">
        <f>SUM(I289:I294)</f>
        <v>26.4</v>
      </c>
      <c r="J295" s="180"/>
    </row>
    <row r="296" spans="1:10" s="181" customFormat="1" ht="23.25" customHeight="1">
      <c r="A296" s="276"/>
      <c r="B296" s="148"/>
      <c r="C296" s="149"/>
      <c r="D296" s="149"/>
      <c r="E296" s="149"/>
      <c r="F296" s="150"/>
      <c r="G296" s="158"/>
      <c r="H296" s="158" t="s">
        <v>245</v>
      </c>
      <c r="I296" s="160">
        <f>ROUNDUP(I295,1)</f>
        <v>26.4</v>
      </c>
      <c r="J296" s="180" t="s">
        <v>75</v>
      </c>
    </row>
    <row r="297" spans="1:10" s="181" customFormat="1" ht="23.25" customHeight="1">
      <c r="A297" s="276"/>
      <c r="B297" s="148"/>
      <c r="C297" s="149"/>
      <c r="D297" s="149"/>
      <c r="E297" s="149"/>
      <c r="F297" s="150"/>
      <c r="G297" s="158"/>
      <c r="H297" s="158"/>
      <c r="I297" s="160"/>
      <c r="J297" s="180"/>
    </row>
    <row r="298" spans="1:10" s="181" customFormat="1" ht="100.5" customHeight="1">
      <c r="A298" s="276">
        <v>31</v>
      </c>
      <c r="B298" s="153" t="s">
        <v>285</v>
      </c>
      <c r="C298" s="149"/>
      <c r="D298" s="149"/>
      <c r="E298" s="149"/>
      <c r="F298" s="150"/>
      <c r="G298" s="150"/>
      <c r="H298" s="150"/>
      <c r="I298" s="151"/>
      <c r="J298" s="180"/>
    </row>
    <row r="299" spans="1:10" s="181" customFormat="1">
      <c r="A299" s="276"/>
      <c r="B299" s="148" t="s">
        <v>1205</v>
      </c>
      <c r="C299" s="149">
        <v>1</v>
      </c>
      <c r="D299" s="156" t="s">
        <v>73</v>
      </c>
      <c r="E299" s="149">
        <v>2</v>
      </c>
      <c r="F299" s="150">
        <v>2.0750000000000002</v>
      </c>
      <c r="G299" s="150">
        <v>1.32</v>
      </c>
      <c r="H299" s="165">
        <v>0.32500000000000001</v>
      </c>
      <c r="I299" s="151">
        <f>ROUND(PRODUCT(C299:H299),2)</f>
        <v>1.78</v>
      </c>
      <c r="J299" s="180"/>
    </row>
    <row r="300" spans="1:10" s="181" customFormat="1">
      <c r="A300" s="276"/>
      <c r="B300" s="148" t="s">
        <v>1206</v>
      </c>
      <c r="C300" s="149">
        <v>1</v>
      </c>
      <c r="D300" s="156" t="s">
        <v>73</v>
      </c>
      <c r="E300" s="149">
        <v>2</v>
      </c>
      <c r="F300" s="150">
        <v>1.85</v>
      </c>
      <c r="G300" s="150">
        <v>1.1000000000000001</v>
      </c>
      <c r="H300" s="165">
        <v>0.32500000000000001</v>
      </c>
      <c r="I300" s="151">
        <f>ROUND(PRODUCT(C300:H300),2)</f>
        <v>1.32</v>
      </c>
      <c r="J300" s="180"/>
    </row>
    <row r="301" spans="1:10" s="181" customFormat="1">
      <c r="A301" s="276"/>
      <c r="B301" s="148" t="s">
        <v>1207</v>
      </c>
      <c r="C301" s="149">
        <v>1</v>
      </c>
      <c r="D301" s="156" t="s">
        <v>73</v>
      </c>
      <c r="E301" s="149">
        <v>2</v>
      </c>
      <c r="F301" s="150">
        <v>1.32</v>
      </c>
      <c r="G301" s="165">
        <v>1.4850000000000001</v>
      </c>
      <c r="H301" s="165">
        <v>0.48499999999999999</v>
      </c>
      <c r="I301" s="151">
        <f>ROUND(PRODUCT(C301:H301),2)</f>
        <v>1.9</v>
      </c>
      <c r="J301" s="180"/>
    </row>
    <row r="302" spans="1:10" s="181" customFormat="1">
      <c r="A302" s="276"/>
      <c r="B302" s="148" t="s">
        <v>1207</v>
      </c>
      <c r="C302" s="149">
        <v>1</v>
      </c>
      <c r="D302" s="156" t="s">
        <v>73</v>
      </c>
      <c r="E302" s="149">
        <v>2</v>
      </c>
      <c r="F302" s="150">
        <v>1.21</v>
      </c>
      <c r="G302" s="165">
        <v>1.4850000000000001</v>
      </c>
      <c r="H302" s="165">
        <v>0.32500000000000001</v>
      </c>
      <c r="I302" s="151">
        <f>ROUND(PRODUCT(C302:H302),2)</f>
        <v>1.17</v>
      </c>
      <c r="J302" s="180"/>
    </row>
    <row r="303" spans="1:10" s="181" customFormat="1">
      <c r="A303" s="276"/>
      <c r="B303" s="148" t="s">
        <v>1207</v>
      </c>
      <c r="C303" s="149">
        <v>1</v>
      </c>
      <c r="D303" s="156" t="s">
        <v>73</v>
      </c>
      <c r="E303" s="149">
        <v>2</v>
      </c>
      <c r="F303" s="150">
        <v>1.85</v>
      </c>
      <c r="G303" s="165">
        <v>1.4850000000000001</v>
      </c>
      <c r="H303" s="165">
        <v>0.32500000000000001</v>
      </c>
      <c r="I303" s="151">
        <f>ROUND(PRODUCT(C303:H303),2)</f>
        <v>1.79</v>
      </c>
      <c r="J303" s="180"/>
    </row>
    <row r="304" spans="1:10" s="181" customFormat="1">
      <c r="A304" s="276"/>
      <c r="B304" s="148"/>
      <c r="C304" s="149"/>
      <c r="D304" s="149"/>
      <c r="E304" s="149"/>
      <c r="F304" s="150"/>
      <c r="G304" s="158" t="s">
        <v>11</v>
      </c>
      <c r="H304" s="150"/>
      <c r="I304" s="159">
        <f>SUM(I299:I303)</f>
        <v>7.96</v>
      </c>
      <c r="J304" s="221"/>
    </row>
    <row r="305" spans="1:10" s="181" customFormat="1" ht="18.75" customHeight="1">
      <c r="A305" s="221"/>
      <c r="B305" s="148"/>
      <c r="C305" s="149"/>
      <c r="D305" s="149"/>
      <c r="E305" s="149"/>
      <c r="F305" s="150"/>
      <c r="G305" s="150"/>
      <c r="H305" s="158" t="s">
        <v>245</v>
      </c>
      <c r="I305" s="160">
        <f>ROUNDUP(I304,1)</f>
        <v>8</v>
      </c>
      <c r="J305" s="180" t="s">
        <v>12</v>
      </c>
    </row>
    <row r="306" spans="1:10" s="181" customFormat="1" ht="18.75" customHeight="1">
      <c r="A306" s="221"/>
      <c r="B306" s="148"/>
      <c r="C306" s="149"/>
      <c r="D306" s="149"/>
      <c r="E306" s="149"/>
      <c r="F306" s="150"/>
      <c r="G306" s="150"/>
      <c r="H306" s="158"/>
      <c r="I306" s="160"/>
      <c r="J306" s="180"/>
    </row>
    <row r="307" spans="1:10" s="181" customFormat="1" ht="100.5" customHeight="1">
      <c r="A307" s="276">
        <v>33</v>
      </c>
      <c r="B307" s="153" t="s">
        <v>286</v>
      </c>
      <c r="C307" s="149"/>
      <c r="D307" s="149"/>
      <c r="E307" s="149"/>
      <c r="F307" s="150"/>
      <c r="G307" s="150"/>
      <c r="H307" s="150"/>
      <c r="I307" s="151"/>
      <c r="J307" s="180"/>
    </row>
    <row r="308" spans="1:10" s="181" customFormat="1">
      <c r="A308" s="276"/>
      <c r="B308" s="155" t="s">
        <v>287</v>
      </c>
      <c r="C308" s="149"/>
      <c r="D308" s="149"/>
      <c r="E308" s="149"/>
      <c r="F308" s="150"/>
      <c r="G308" s="150"/>
      <c r="H308" s="150"/>
      <c r="I308" s="151"/>
      <c r="J308" s="180"/>
    </row>
    <row r="309" spans="1:10" s="181" customFormat="1">
      <c r="A309" s="276"/>
      <c r="B309" s="148" t="s">
        <v>288</v>
      </c>
      <c r="C309" s="149">
        <v>1</v>
      </c>
      <c r="D309" s="149" t="s">
        <v>73</v>
      </c>
      <c r="E309" s="149">
        <v>2</v>
      </c>
      <c r="F309" s="150">
        <f>2*(1.5+2.7)</f>
        <v>8.4</v>
      </c>
      <c r="G309" s="150"/>
      <c r="H309" s="165">
        <v>3.1749999999999998</v>
      </c>
      <c r="I309" s="151">
        <f t="shared" ref="I309:I389" si="38">ROUND(PRODUCT(C309:H309),2)</f>
        <v>53.34</v>
      </c>
      <c r="J309" s="180"/>
    </row>
    <row r="310" spans="1:10" s="181" customFormat="1">
      <c r="A310" s="276"/>
      <c r="B310" s="148" t="s">
        <v>289</v>
      </c>
      <c r="C310" s="149">
        <v>1</v>
      </c>
      <c r="D310" s="149" t="s">
        <v>73</v>
      </c>
      <c r="E310" s="149">
        <v>1</v>
      </c>
      <c r="F310" s="150">
        <f>(0.785+3.46+2.93)</f>
        <v>7.1750000000000007</v>
      </c>
      <c r="G310" s="150"/>
      <c r="H310" s="165">
        <v>3.1749999999999998</v>
      </c>
      <c r="I310" s="151">
        <f t="shared" ref="I310:I311" si="39">ROUND(PRODUCT(C310:H310),2)</f>
        <v>22.78</v>
      </c>
      <c r="J310" s="180"/>
    </row>
    <row r="311" spans="1:10" s="181" customFormat="1">
      <c r="A311" s="276"/>
      <c r="B311" s="148" t="s">
        <v>1208</v>
      </c>
      <c r="C311" s="149">
        <v>1</v>
      </c>
      <c r="D311" s="149" t="s">
        <v>73</v>
      </c>
      <c r="E311" s="149">
        <v>1</v>
      </c>
      <c r="F311" s="150">
        <v>0.23</v>
      </c>
      <c r="G311" s="150"/>
      <c r="H311" s="165">
        <v>3.1749999999999998</v>
      </c>
      <c r="I311" s="151">
        <f t="shared" si="39"/>
        <v>0.73</v>
      </c>
      <c r="J311" s="180"/>
    </row>
    <row r="312" spans="1:10" s="181" customFormat="1">
      <c r="A312" s="276"/>
      <c r="B312" s="148" t="s">
        <v>1209</v>
      </c>
      <c r="C312" s="149">
        <v>1</v>
      </c>
      <c r="D312" s="149" t="s">
        <v>73</v>
      </c>
      <c r="E312" s="149">
        <v>1</v>
      </c>
      <c r="F312" s="150">
        <v>0.23</v>
      </c>
      <c r="G312" s="150"/>
      <c r="H312" s="165">
        <v>2.92</v>
      </c>
      <c r="I312" s="151">
        <f t="shared" si="38"/>
        <v>0.67</v>
      </c>
      <c r="J312" s="180"/>
    </row>
    <row r="313" spans="1:10" s="181" customFormat="1">
      <c r="A313" s="276"/>
      <c r="B313" s="148" t="s">
        <v>290</v>
      </c>
      <c r="C313" s="149">
        <v>1</v>
      </c>
      <c r="D313" s="149" t="s">
        <v>73</v>
      </c>
      <c r="E313" s="149">
        <v>1</v>
      </c>
      <c r="F313" s="150">
        <f>(2*(4.61+3.07))</f>
        <v>15.36</v>
      </c>
      <c r="G313" s="150"/>
      <c r="H313" s="165">
        <v>3.1749999999999998</v>
      </c>
      <c r="I313" s="151">
        <f t="shared" si="38"/>
        <v>48.77</v>
      </c>
      <c r="J313" s="180"/>
    </row>
    <row r="314" spans="1:10" s="181" customFormat="1" ht="22.5" customHeight="1">
      <c r="A314" s="221"/>
      <c r="B314" s="148" t="s">
        <v>291</v>
      </c>
      <c r="C314" s="149">
        <v>1</v>
      </c>
      <c r="D314" s="149" t="s">
        <v>73</v>
      </c>
      <c r="E314" s="149">
        <v>1</v>
      </c>
      <c r="F314" s="150">
        <f>(4.61+0.38)</f>
        <v>4.99</v>
      </c>
      <c r="G314" s="150"/>
      <c r="H314" s="165">
        <v>3.1749999999999998</v>
      </c>
      <c r="I314" s="151">
        <f t="shared" si="38"/>
        <v>15.84</v>
      </c>
      <c r="J314" s="180"/>
    </row>
    <row r="315" spans="1:10" s="181" customFormat="1">
      <c r="A315" s="276"/>
      <c r="B315" s="148" t="s">
        <v>1208</v>
      </c>
      <c r="C315" s="149">
        <v>1</v>
      </c>
      <c r="D315" s="149" t="s">
        <v>73</v>
      </c>
      <c r="E315" s="149">
        <v>1</v>
      </c>
      <c r="F315" s="150">
        <v>0.23</v>
      </c>
      <c r="G315" s="150"/>
      <c r="H315" s="165">
        <v>3.1749999999999998</v>
      </c>
      <c r="I315" s="151">
        <f t="shared" si="38"/>
        <v>0.73</v>
      </c>
      <c r="J315" s="180"/>
    </row>
    <row r="316" spans="1:10" s="181" customFormat="1">
      <c r="A316" s="276"/>
      <c r="B316" s="148" t="s">
        <v>1209</v>
      </c>
      <c r="C316" s="149">
        <v>1</v>
      </c>
      <c r="D316" s="149" t="s">
        <v>73</v>
      </c>
      <c r="E316" s="149">
        <v>1</v>
      </c>
      <c r="F316" s="150">
        <v>0.23</v>
      </c>
      <c r="G316" s="150"/>
      <c r="H316" s="165">
        <v>2.92</v>
      </c>
      <c r="I316" s="151">
        <f t="shared" si="38"/>
        <v>0.67</v>
      </c>
      <c r="J316" s="180"/>
    </row>
    <row r="317" spans="1:10" s="181" customFormat="1">
      <c r="A317" s="276"/>
      <c r="B317" s="148" t="s">
        <v>1210</v>
      </c>
      <c r="C317" s="149">
        <v>1</v>
      </c>
      <c r="D317" s="149" t="s">
        <v>73</v>
      </c>
      <c r="E317" s="149">
        <v>1</v>
      </c>
      <c r="F317" s="150">
        <f>0.23+1.7+0.23</f>
        <v>2.16</v>
      </c>
      <c r="G317" s="150"/>
      <c r="H317" s="165">
        <v>3.1749999999999998</v>
      </c>
      <c r="I317" s="151">
        <f t="shared" ref="I317" si="40">ROUND(PRODUCT(C317:H317),2)</f>
        <v>6.86</v>
      </c>
      <c r="J317" s="180"/>
    </row>
    <row r="318" spans="1:10" s="181" customFormat="1">
      <c r="A318" s="276"/>
      <c r="B318" s="155" t="s">
        <v>254</v>
      </c>
      <c r="C318" s="149"/>
      <c r="D318" s="149"/>
      <c r="E318" s="149"/>
      <c r="F318" s="150"/>
      <c r="G318" s="150"/>
      <c r="H318" s="150"/>
      <c r="I318" s="151">
        <f t="shared" si="38"/>
        <v>0</v>
      </c>
      <c r="J318" s="180"/>
    </row>
    <row r="319" spans="1:10" s="181" customFormat="1">
      <c r="A319" s="276"/>
      <c r="B319" s="148" t="s">
        <v>1211</v>
      </c>
      <c r="C319" s="149">
        <v>-2</v>
      </c>
      <c r="D319" s="156" t="s">
        <v>73</v>
      </c>
      <c r="E319" s="149">
        <v>2</v>
      </c>
      <c r="F319" s="150">
        <v>1</v>
      </c>
      <c r="G319" s="150"/>
      <c r="H319" s="150">
        <v>2.1</v>
      </c>
      <c r="I319" s="151">
        <f t="shared" si="38"/>
        <v>-8.4</v>
      </c>
      <c r="J319" s="180"/>
    </row>
    <row r="320" spans="1:10" s="181" customFormat="1">
      <c r="A320" s="276"/>
      <c r="B320" s="148" t="s">
        <v>292</v>
      </c>
      <c r="C320" s="149">
        <v>1</v>
      </c>
      <c r="D320" s="156" t="s">
        <v>73</v>
      </c>
      <c r="E320" s="149">
        <v>1</v>
      </c>
      <c r="F320" s="150">
        <f>1+2.1+2.1</f>
        <v>5.2</v>
      </c>
      <c r="G320" s="150">
        <v>0.13</v>
      </c>
      <c r="H320" s="150"/>
      <c r="I320" s="151">
        <f t="shared" ref="I320" si="41">ROUND(PRODUCT(C320:H320),2)</f>
        <v>0.68</v>
      </c>
      <c r="J320" s="180"/>
    </row>
    <row r="321" spans="1:10" s="181" customFormat="1">
      <c r="A321" s="276"/>
      <c r="B321" s="148" t="s">
        <v>1212</v>
      </c>
      <c r="C321" s="149">
        <v>1</v>
      </c>
      <c r="D321" s="156" t="s">
        <v>73</v>
      </c>
      <c r="E321" s="149">
        <v>1</v>
      </c>
      <c r="F321" s="150">
        <f>1+2.1+2.1</f>
        <v>5.2</v>
      </c>
      <c r="G321" s="150">
        <v>0.23</v>
      </c>
      <c r="H321" s="150"/>
      <c r="I321" s="151">
        <f t="shared" si="38"/>
        <v>1.2</v>
      </c>
      <c r="J321" s="180"/>
    </row>
    <row r="322" spans="1:10" s="181" customFormat="1">
      <c r="A322" s="276"/>
      <c r="B322" s="148" t="s">
        <v>266</v>
      </c>
      <c r="C322" s="149">
        <v>-1</v>
      </c>
      <c r="D322" s="156" t="s">
        <v>73</v>
      </c>
      <c r="E322" s="149">
        <v>2</v>
      </c>
      <c r="F322" s="150">
        <v>0.75</v>
      </c>
      <c r="G322" s="150"/>
      <c r="H322" s="150">
        <v>2.1</v>
      </c>
      <c r="I322" s="151">
        <f t="shared" si="38"/>
        <v>-3.15</v>
      </c>
      <c r="J322" s="180"/>
    </row>
    <row r="323" spans="1:10" s="181" customFormat="1">
      <c r="A323" s="276"/>
      <c r="B323" s="148" t="s">
        <v>293</v>
      </c>
      <c r="C323" s="149">
        <v>1</v>
      </c>
      <c r="D323" s="156" t="s">
        <v>73</v>
      </c>
      <c r="E323" s="149">
        <v>1</v>
      </c>
      <c r="F323" s="150">
        <f>0.75+2.1+2.1</f>
        <v>4.95</v>
      </c>
      <c r="G323" s="150">
        <v>0.23</v>
      </c>
      <c r="H323" s="150"/>
      <c r="I323" s="151">
        <f t="shared" si="38"/>
        <v>1.1399999999999999</v>
      </c>
      <c r="J323" s="180"/>
    </row>
    <row r="324" spans="1:10" s="181" customFormat="1">
      <c r="A324" s="276"/>
      <c r="B324" s="148" t="s">
        <v>294</v>
      </c>
      <c r="C324" s="149">
        <v>-1</v>
      </c>
      <c r="D324" s="156" t="s">
        <v>73</v>
      </c>
      <c r="E324" s="149">
        <v>2</v>
      </c>
      <c r="F324" s="150">
        <v>1.35</v>
      </c>
      <c r="G324" s="150"/>
      <c r="H324" s="150">
        <v>1.35</v>
      </c>
      <c r="I324" s="151">
        <f t="shared" si="38"/>
        <v>-3.65</v>
      </c>
      <c r="J324" s="180"/>
    </row>
    <row r="325" spans="1:10" s="181" customFormat="1">
      <c r="A325" s="276"/>
      <c r="B325" s="148" t="s">
        <v>295</v>
      </c>
      <c r="C325" s="149">
        <v>1</v>
      </c>
      <c r="D325" s="156" t="s">
        <v>73</v>
      </c>
      <c r="E325" s="149">
        <v>2</v>
      </c>
      <c r="F325" s="150">
        <f>1.35*4</f>
        <v>5.4</v>
      </c>
      <c r="G325" s="150">
        <v>0.23</v>
      </c>
      <c r="H325" s="150"/>
      <c r="I325" s="151">
        <f t="shared" si="38"/>
        <v>2.48</v>
      </c>
      <c r="J325" s="180"/>
    </row>
    <row r="326" spans="1:10" s="181" customFormat="1">
      <c r="A326" s="276"/>
      <c r="B326" s="148" t="s">
        <v>256</v>
      </c>
      <c r="C326" s="149">
        <v>-1</v>
      </c>
      <c r="D326" s="156" t="s">
        <v>73</v>
      </c>
      <c r="E326" s="149">
        <v>2</v>
      </c>
      <c r="F326" s="150">
        <v>0.75</v>
      </c>
      <c r="G326" s="150"/>
      <c r="H326" s="150">
        <v>0.6</v>
      </c>
      <c r="I326" s="151">
        <f t="shared" si="38"/>
        <v>-0.9</v>
      </c>
      <c r="J326" s="180"/>
    </row>
    <row r="327" spans="1:10" s="181" customFormat="1">
      <c r="A327" s="276"/>
      <c r="B327" s="148" t="s">
        <v>297</v>
      </c>
      <c r="C327" s="149">
        <v>1</v>
      </c>
      <c r="D327" s="156" t="s">
        <v>73</v>
      </c>
      <c r="E327" s="149">
        <v>2</v>
      </c>
      <c r="F327" s="150">
        <v>2.7</v>
      </c>
      <c r="G327" s="150">
        <v>0.23</v>
      </c>
      <c r="H327" s="150"/>
      <c r="I327" s="151">
        <f t="shared" si="38"/>
        <v>1.24</v>
      </c>
      <c r="J327" s="180"/>
    </row>
    <row r="328" spans="1:10" s="181" customFormat="1">
      <c r="A328" s="276"/>
      <c r="B328" s="148" t="s">
        <v>1213</v>
      </c>
      <c r="C328" s="149">
        <v>1</v>
      </c>
      <c r="D328" s="149" t="s">
        <v>73</v>
      </c>
      <c r="E328" s="149">
        <v>1</v>
      </c>
      <c r="F328" s="150">
        <f>(2*(2.075+3.45))</f>
        <v>11.05</v>
      </c>
      <c r="G328" s="150"/>
      <c r="H328" s="165">
        <v>3.1749999999999998</v>
      </c>
      <c r="I328" s="151">
        <f t="shared" si="38"/>
        <v>35.08</v>
      </c>
      <c r="J328" s="180"/>
    </row>
    <row r="329" spans="1:10" s="181" customFormat="1">
      <c r="A329" s="276"/>
      <c r="B329" s="148" t="s">
        <v>1214</v>
      </c>
      <c r="C329" s="149">
        <v>1</v>
      </c>
      <c r="D329" s="149" t="s">
        <v>73</v>
      </c>
      <c r="E329" s="149">
        <v>1</v>
      </c>
      <c r="F329" s="150">
        <f>3.45+0.38+2.075+0.67</f>
        <v>6.5750000000000002</v>
      </c>
      <c r="G329" s="150"/>
      <c r="H329" s="165">
        <v>3.1749999999999998</v>
      </c>
      <c r="I329" s="151">
        <f t="shared" ref="I329:I331" si="42">ROUND(PRODUCT(C329:H329),2)</f>
        <v>20.88</v>
      </c>
      <c r="J329" s="180"/>
    </row>
    <row r="330" spans="1:10" s="181" customFormat="1">
      <c r="A330" s="276"/>
      <c r="B330" s="148" t="s">
        <v>1217</v>
      </c>
      <c r="C330" s="149">
        <v>-1</v>
      </c>
      <c r="D330" s="156" t="s">
        <v>73</v>
      </c>
      <c r="E330" s="149">
        <v>3</v>
      </c>
      <c r="F330" s="150">
        <v>1.35</v>
      </c>
      <c r="G330" s="150"/>
      <c r="H330" s="150">
        <v>1.35</v>
      </c>
      <c r="I330" s="151">
        <f t="shared" si="42"/>
        <v>-5.47</v>
      </c>
      <c r="J330" s="180"/>
    </row>
    <row r="331" spans="1:10" s="181" customFormat="1">
      <c r="A331" s="276"/>
      <c r="B331" s="148" t="s">
        <v>1218</v>
      </c>
      <c r="C331" s="149">
        <v>1</v>
      </c>
      <c r="D331" s="156" t="s">
        <v>73</v>
      </c>
      <c r="E331" s="149">
        <v>2</v>
      </c>
      <c r="F331" s="150">
        <v>5.4</v>
      </c>
      <c r="G331" s="150">
        <v>0.23</v>
      </c>
      <c r="H331" s="150"/>
      <c r="I331" s="151">
        <f t="shared" si="42"/>
        <v>2.48</v>
      </c>
      <c r="J331" s="180"/>
    </row>
    <row r="332" spans="1:10" s="181" customFormat="1" ht="19.5" customHeight="1">
      <c r="A332" s="276"/>
      <c r="B332" s="148" t="s">
        <v>1215</v>
      </c>
      <c r="C332" s="149">
        <v>-1</v>
      </c>
      <c r="D332" s="156" t="s">
        <v>73</v>
      </c>
      <c r="E332" s="149">
        <v>2</v>
      </c>
      <c r="F332" s="150">
        <v>1</v>
      </c>
      <c r="G332" s="150"/>
      <c r="H332" s="150">
        <v>2.1</v>
      </c>
      <c r="I332" s="151">
        <f t="shared" ref="I332:I337" si="43">ROUND(PRODUCT(C332:H332),2)</f>
        <v>-4.2</v>
      </c>
      <c r="J332" s="180"/>
    </row>
    <row r="333" spans="1:10" s="181" customFormat="1">
      <c r="A333" s="276"/>
      <c r="B333" s="148" t="s">
        <v>1216</v>
      </c>
      <c r="C333" s="149">
        <v>1</v>
      </c>
      <c r="D333" s="156" t="s">
        <v>73</v>
      </c>
      <c r="E333" s="149">
        <v>1</v>
      </c>
      <c r="F333" s="150">
        <f>1+2.1+2.1</f>
        <v>5.2</v>
      </c>
      <c r="G333" s="150">
        <v>0.23</v>
      </c>
      <c r="H333" s="150"/>
      <c r="I333" s="151">
        <f t="shared" si="43"/>
        <v>1.2</v>
      </c>
      <c r="J333" s="180"/>
    </row>
    <row r="334" spans="1:10" s="181" customFormat="1">
      <c r="A334" s="276"/>
      <c r="B334" s="148" t="s">
        <v>1219</v>
      </c>
      <c r="C334" s="149">
        <v>-1</v>
      </c>
      <c r="D334" s="156" t="s">
        <v>73</v>
      </c>
      <c r="E334" s="149">
        <v>2</v>
      </c>
      <c r="F334" s="150">
        <v>1.35</v>
      </c>
      <c r="G334" s="150"/>
      <c r="H334" s="150">
        <v>1.35</v>
      </c>
      <c r="I334" s="151">
        <f t="shared" si="43"/>
        <v>-3.65</v>
      </c>
      <c r="J334" s="180"/>
    </row>
    <row r="335" spans="1:10" s="181" customFormat="1">
      <c r="A335" s="276"/>
      <c r="B335" s="148" t="s">
        <v>1218</v>
      </c>
      <c r="C335" s="149">
        <v>1</v>
      </c>
      <c r="D335" s="156" t="s">
        <v>73</v>
      </c>
      <c r="E335" s="149">
        <v>2</v>
      </c>
      <c r="F335" s="150">
        <v>5.4</v>
      </c>
      <c r="G335" s="150">
        <v>0.23</v>
      </c>
      <c r="H335" s="150"/>
      <c r="I335" s="151">
        <f t="shared" si="43"/>
        <v>2.48</v>
      </c>
      <c r="J335" s="180"/>
    </row>
    <row r="336" spans="1:10" s="181" customFormat="1">
      <c r="A336" s="276"/>
      <c r="B336" s="148" t="s">
        <v>1208</v>
      </c>
      <c r="C336" s="149">
        <v>1</v>
      </c>
      <c r="D336" s="149" t="s">
        <v>73</v>
      </c>
      <c r="E336" s="149">
        <v>2</v>
      </c>
      <c r="F336" s="150">
        <v>0.23</v>
      </c>
      <c r="G336" s="150"/>
      <c r="H336" s="165">
        <v>2.92</v>
      </c>
      <c r="I336" s="151">
        <f t="shared" si="43"/>
        <v>1.34</v>
      </c>
      <c r="J336" s="180"/>
    </row>
    <row r="337" spans="1:11" s="181" customFormat="1" ht="17.25" customHeight="1">
      <c r="A337" s="276"/>
      <c r="B337" s="148" t="s">
        <v>1209</v>
      </c>
      <c r="C337" s="149">
        <v>1</v>
      </c>
      <c r="D337" s="149" t="s">
        <v>73</v>
      </c>
      <c r="E337" s="149">
        <v>1</v>
      </c>
      <c r="F337" s="150">
        <v>0.3</v>
      </c>
      <c r="G337" s="150"/>
      <c r="H337" s="165">
        <v>2.92</v>
      </c>
      <c r="I337" s="151">
        <f t="shared" si="43"/>
        <v>0.88</v>
      </c>
      <c r="J337" s="180"/>
    </row>
    <row r="338" spans="1:11" s="181" customFormat="1">
      <c r="A338" s="276"/>
      <c r="B338" s="183" t="s">
        <v>190</v>
      </c>
      <c r="C338" s="149"/>
      <c r="D338" s="149"/>
      <c r="E338" s="149"/>
      <c r="F338" s="150"/>
      <c r="G338" s="150"/>
      <c r="H338" s="150"/>
      <c r="I338" s="151">
        <f t="shared" si="38"/>
        <v>0</v>
      </c>
      <c r="J338" s="180"/>
    </row>
    <row r="339" spans="1:11" s="181" customFormat="1">
      <c r="A339" s="276"/>
      <c r="B339" s="148" t="s">
        <v>298</v>
      </c>
      <c r="C339" s="149">
        <v>1</v>
      </c>
      <c r="D339" s="156" t="s">
        <v>73</v>
      </c>
      <c r="E339" s="149">
        <v>1</v>
      </c>
      <c r="F339" s="150">
        <f>2*(6.67+3.565)</f>
        <v>20.47</v>
      </c>
      <c r="G339" s="150"/>
      <c r="H339" s="150">
        <v>3.15</v>
      </c>
      <c r="I339" s="151">
        <f t="shared" si="38"/>
        <v>64.48</v>
      </c>
      <c r="J339" s="180"/>
    </row>
    <row r="340" spans="1:11" s="181" customFormat="1">
      <c r="A340" s="276"/>
      <c r="B340" s="148" t="s">
        <v>299</v>
      </c>
      <c r="C340" s="149">
        <v>1</v>
      </c>
      <c r="D340" s="156" t="s">
        <v>73</v>
      </c>
      <c r="E340" s="149">
        <v>1</v>
      </c>
      <c r="F340" s="150">
        <f>2*(5.15+4.12)</f>
        <v>18.54</v>
      </c>
      <c r="G340" s="150"/>
      <c r="H340" s="150">
        <v>3.15</v>
      </c>
      <c r="I340" s="151">
        <f t="shared" si="38"/>
        <v>58.4</v>
      </c>
      <c r="J340" s="180"/>
    </row>
    <row r="341" spans="1:11" s="181" customFormat="1" ht="17.25" customHeight="1">
      <c r="A341" s="276"/>
      <c r="B341" s="182" t="s">
        <v>300</v>
      </c>
      <c r="C341" s="149">
        <v>1</v>
      </c>
      <c r="D341" s="156" t="s">
        <v>73</v>
      </c>
      <c r="E341" s="149">
        <v>1</v>
      </c>
      <c r="F341" s="150">
        <f>2*(2.075+2.685)</f>
        <v>9.52</v>
      </c>
      <c r="G341" s="150"/>
      <c r="H341" s="165">
        <v>3.1749999999999998</v>
      </c>
      <c r="I341" s="151">
        <f t="shared" si="38"/>
        <v>30.23</v>
      </c>
      <c r="J341" s="180"/>
    </row>
    <row r="342" spans="1:11" s="181" customFormat="1">
      <c r="A342" s="276"/>
      <c r="B342" s="182" t="s">
        <v>160</v>
      </c>
      <c r="C342" s="149">
        <v>1</v>
      </c>
      <c r="D342" s="156" t="s">
        <v>73</v>
      </c>
      <c r="E342" s="149">
        <v>1</v>
      </c>
      <c r="F342" s="150">
        <f>2*(2.075+1.32)</f>
        <v>6.7900000000000009</v>
      </c>
      <c r="G342" s="150"/>
      <c r="H342" s="165">
        <v>3.1749999999999998</v>
      </c>
      <c r="I342" s="151">
        <f t="shared" si="38"/>
        <v>21.56</v>
      </c>
      <c r="J342" s="180"/>
    </row>
    <row r="343" spans="1:11" s="181" customFormat="1">
      <c r="A343" s="276"/>
      <c r="B343" s="182" t="s">
        <v>301</v>
      </c>
      <c r="C343" s="149">
        <v>1</v>
      </c>
      <c r="D343" s="156" t="s">
        <v>73</v>
      </c>
      <c r="E343" s="149">
        <v>1</v>
      </c>
      <c r="F343" s="150">
        <f>2*(4.86+9.56)</f>
        <v>28.840000000000003</v>
      </c>
      <c r="G343" s="150"/>
      <c r="H343" s="165">
        <v>3.1749999999999998</v>
      </c>
      <c r="I343" s="151">
        <f t="shared" si="38"/>
        <v>91.57</v>
      </c>
      <c r="J343" s="180"/>
    </row>
    <row r="344" spans="1:11" s="181" customFormat="1">
      <c r="A344" s="276"/>
      <c r="B344" s="148" t="s">
        <v>302</v>
      </c>
      <c r="C344" s="149">
        <v>1</v>
      </c>
      <c r="D344" s="156" t="s">
        <v>73</v>
      </c>
      <c r="E344" s="149">
        <v>1</v>
      </c>
      <c r="F344" s="150">
        <f>2*(2.53+1.68)</f>
        <v>8.42</v>
      </c>
      <c r="G344" s="150"/>
      <c r="H344" s="165">
        <v>3.1749999999999998</v>
      </c>
      <c r="I344" s="151">
        <f t="shared" si="38"/>
        <v>26.73</v>
      </c>
      <c r="J344" s="180"/>
      <c r="K344" s="184">
        <f>SUM(I309:I337)</f>
        <v>192.04999999999993</v>
      </c>
    </row>
    <row r="345" spans="1:11" s="181" customFormat="1">
      <c r="A345" s="276"/>
      <c r="B345" s="148" t="s">
        <v>184</v>
      </c>
      <c r="C345" s="149">
        <v>1</v>
      </c>
      <c r="D345" s="156" t="s">
        <v>73</v>
      </c>
      <c r="E345" s="149">
        <v>1</v>
      </c>
      <c r="F345" s="150">
        <f>2*(2.645+1.91)</f>
        <v>9.11</v>
      </c>
      <c r="G345" s="150"/>
      <c r="H345" s="165">
        <v>3.1749999999999998</v>
      </c>
      <c r="I345" s="151">
        <f t="shared" si="38"/>
        <v>28.92</v>
      </c>
      <c r="J345" s="180"/>
    </row>
    <row r="346" spans="1:11" s="181" customFormat="1">
      <c r="A346" s="276"/>
      <c r="B346" s="148" t="s">
        <v>191</v>
      </c>
      <c r="C346" s="149">
        <v>1</v>
      </c>
      <c r="D346" s="156" t="s">
        <v>73</v>
      </c>
      <c r="E346" s="149">
        <v>1</v>
      </c>
      <c r="F346" s="150">
        <f>2*(1.72+3.185)</f>
        <v>9.81</v>
      </c>
      <c r="G346" s="150"/>
      <c r="H346" s="165">
        <v>3.1749999999999998</v>
      </c>
      <c r="I346" s="151">
        <f t="shared" si="38"/>
        <v>31.15</v>
      </c>
      <c r="J346" s="180"/>
    </row>
    <row r="347" spans="1:11" s="181" customFormat="1">
      <c r="A347" s="276"/>
      <c r="B347" s="148" t="s">
        <v>1202</v>
      </c>
      <c r="C347" s="149">
        <v>1</v>
      </c>
      <c r="D347" s="156" t="s">
        <v>73</v>
      </c>
      <c r="E347" s="149">
        <v>1</v>
      </c>
      <c r="F347" s="150">
        <f>2*(2.66+2)</f>
        <v>9.32</v>
      </c>
      <c r="G347" s="150"/>
      <c r="H347" s="165">
        <v>3.1749999999999998</v>
      </c>
      <c r="I347" s="151">
        <f t="shared" ref="I347" si="44">ROUND(PRODUCT(C347:H347),2)</f>
        <v>29.59</v>
      </c>
      <c r="J347" s="180"/>
    </row>
    <row r="348" spans="1:11" s="181" customFormat="1">
      <c r="A348" s="276"/>
      <c r="B348" s="148" t="s">
        <v>1221</v>
      </c>
      <c r="C348" s="149">
        <v>1</v>
      </c>
      <c r="D348" s="156" t="s">
        <v>73</v>
      </c>
      <c r="E348" s="149">
        <v>1</v>
      </c>
      <c r="F348" s="150">
        <f>2*(2.66+3.33)</f>
        <v>11.98</v>
      </c>
      <c r="G348" s="150"/>
      <c r="H348" s="165">
        <v>3.1749999999999998</v>
      </c>
      <c r="I348" s="151">
        <f t="shared" ref="I348:I349" si="45">ROUND(PRODUCT(C348:H348),2)</f>
        <v>38.04</v>
      </c>
      <c r="J348" s="180"/>
    </row>
    <row r="349" spans="1:11" s="181" customFormat="1">
      <c r="A349" s="276"/>
      <c r="B349" s="148" t="s">
        <v>538</v>
      </c>
      <c r="C349" s="149">
        <v>1</v>
      </c>
      <c r="D349" s="156" t="s">
        <v>73</v>
      </c>
      <c r="E349" s="149">
        <v>2</v>
      </c>
      <c r="F349" s="150">
        <v>2.2149999999999999</v>
      </c>
      <c r="G349" s="150"/>
      <c r="H349" s="165">
        <v>1.35</v>
      </c>
      <c r="I349" s="151">
        <f t="shared" si="45"/>
        <v>5.98</v>
      </c>
      <c r="J349" s="180"/>
    </row>
    <row r="350" spans="1:11" s="181" customFormat="1">
      <c r="A350" s="276"/>
      <c r="B350" s="148" t="s">
        <v>126</v>
      </c>
      <c r="C350" s="149">
        <v>1</v>
      </c>
      <c r="D350" s="156" t="s">
        <v>73</v>
      </c>
      <c r="E350" s="149">
        <v>1</v>
      </c>
      <c r="F350" s="150">
        <f>2*(1.85+1.255)</f>
        <v>6.21</v>
      </c>
      <c r="G350" s="150"/>
      <c r="H350" s="165">
        <v>3.1749999999999998</v>
      </c>
      <c r="I350" s="151">
        <f t="shared" si="38"/>
        <v>19.72</v>
      </c>
      <c r="J350" s="180"/>
    </row>
    <row r="351" spans="1:11" s="181" customFormat="1">
      <c r="A351" s="276"/>
      <c r="B351" s="148" t="s">
        <v>122</v>
      </c>
      <c r="C351" s="149">
        <v>1</v>
      </c>
      <c r="D351" s="156" t="s">
        <v>73</v>
      </c>
      <c r="E351" s="149">
        <v>1</v>
      </c>
      <c r="F351" s="150">
        <f>2*(2.645+2.18)</f>
        <v>9.65</v>
      </c>
      <c r="G351" s="150"/>
      <c r="H351" s="165">
        <v>3.1749999999999998</v>
      </c>
      <c r="I351" s="151">
        <f t="shared" si="38"/>
        <v>30.64</v>
      </c>
      <c r="J351" s="180"/>
    </row>
    <row r="352" spans="1:11" s="181" customFormat="1">
      <c r="A352" s="276"/>
      <c r="B352" s="155" t="s">
        <v>254</v>
      </c>
      <c r="C352" s="149"/>
      <c r="D352" s="156"/>
      <c r="E352" s="149"/>
      <c r="F352" s="150"/>
      <c r="G352" s="150"/>
      <c r="H352" s="150"/>
      <c r="I352" s="151">
        <f t="shared" si="38"/>
        <v>0</v>
      </c>
      <c r="J352" s="180"/>
    </row>
    <row r="353" spans="1:17" s="181" customFormat="1">
      <c r="A353" s="276"/>
      <c r="B353" s="148" t="s">
        <v>72</v>
      </c>
      <c r="C353" s="149">
        <v>-2</v>
      </c>
      <c r="D353" s="156" t="s">
        <v>73</v>
      </c>
      <c r="E353" s="149">
        <v>6</v>
      </c>
      <c r="F353" s="150">
        <v>1</v>
      </c>
      <c r="G353" s="150"/>
      <c r="H353" s="150">
        <v>2.1</v>
      </c>
      <c r="I353" s="151">
        <f t="shared" si="38"/>
        <v>-25.2</v>
      </c>
      <c r="J353" s="180"/>
    </row>
    <row r="354" spans="1:17" s="181" customFormat="1">
      <c r="A354" s="276"/>
      <c r="B354" s="148" t="s">
        <v>292</v>
      </c>
      <c r="C354" s="149">
        <v>1</v>
      </c>
      <c r="D354" s="156" t="s">
        <v>73</v>
      </c>
      <c r="E354" s="149">
        <v>3</v>
      </c>
      <c r="F354" s="150">
        <f>1+2.1+2.1</f>
        <v>5.2</v>
      </c>
      <c r="G354" s="150">
        <v>0.13</v>
      </c>
      <c r="H354" s="150"/>
      <c r="I354" s="151">
        <f t="shared" si="38"/>
        <v>2.0299999999999998</v>
      </c>
      <c r="J354" s="180"/>
    </row>
    <row r="355" spans="1:17" s="181" customFormat="1">
      <c r="A355" s="276"/>
      <c r="B355" s="148" t="s">
        <v>292</v>
      </c>
      <c r="C355" s="149">
        <v>1</v>
      </c>
      <c r="D355" s="156" t="s">
        <v>73</v>
      </c>
      <c r="E355" s="149">
        <v>3</v>
      </c>
      <c r="F355" s="150">
        <f>1+2.1+2.1</f>
        <v>5.2</v>
      </c>
      <c r="G355" s="150">
        <v>0.05</v>
      </c>
      <c r="H355" s="150"/>
      <c r="I355" s="151">
        <f t="shared" ref="I355" si="46">ROUND(PRODUCT(C355:H355),2)</f>
        <v>0.78</v>
      </c>
      <c r="J355" s="180"/>
    </row>
    <row r="356" spans="1:17" s="181" customFormat="1">
      <c r="A356" s="276"/>
      <c r="B356" s="148" t="s">
        <v>1222</v>
      </c>
      <c r="C356" s="149">
        <v>-2</v>
      </c>
      <c r="D356" s="156" t="s">
        <v>73</v>
      </c>
      <c r="E356" s="149">
        <v>1</v>
      </c>
      <c r="F356" s="150">
        <v>1</v>
      </c>
      <c r="G356" s="150"/>
      <c r="H356" s="150">
        <v>2.1</v>
      </c>
      <c r="I356" s="151">
        <f t="shared" ref="I356" si="47">ROUND(PRODUCT(C356:H356),2)</f>
        <v>-4.2</v>
      </c>
      <c r="J356" s="180"/>
    </row>
    <row r="357" spans="1:17" s="181" customFormat="1">
      <c r="A357" s="276"/>
      <c r="B357" s="148" t="s">
        <v>292</v>
      </c>
      <c r="C357" s="149">
        <v>1</v>
      </c>
      <c r="D357" s="156" t="s">
        <v>73</v>
      </c>
      <c r="E357" s="149">
        <v>1</v>
      </c>
      <c r="F357" s="150">
        <f>1+2.1+2.1</f>
        <v>5.2</v>
      </c>
      <c r="G357" s="150">
        <v>0.23</v>
      </c>
      <c r="H357" s="150"/>
      <c r="I357" s="151">
        <f t="shared" si="38"/>
        <v>1.2</v>
      </c>
      <c r="J357" s="180"/>
    </row>
    <row r="358" spans="1:17" s="181" customFormat="1">
      <c r="A358" s="276"/>
      <c r="B358" s="148" t="s">
        <v>265</v>
      </c>
      <c r="C358" s="149">
        <v>-2</v>
      </c>
      <c r="D358" s="156" t="s">
        <v>73</v>
      </c>
      <c r="E358" s="149">
        <v>1</v>
      </c>
      <c r="F358" s="150">
        <v>0.9</v>
      </c>
      <c r="G358" s="150"/>
      <c r="H358" s="150">
        <v>2.1</v>
      </c>
      <c r="I358" s="151">
        <f t="shared" si="38"/>
        <v>-3.78</v>
      </c>
      <c r="J358" s="180"/>
    </row>
    <row r="359" spans="1:17" s="181" customFormat="1">
      <c r="A359" s="276"/>
      <c r="B359" s="148" t="s">
        <v>304</v>
      </c>
      <c r="C359" s="149">
        <v>1</v>
      </c>
      <c r="D359" s="156" t="s">
        <v>73</v>
      </c>
      <c r="E359" s="149">
        <v>1</v>
      </c>
      <c r="F359" s="150">
        <f>0.9+2.1+2.1</f>
        <v>5.0999999999999996</v>
      </c>
      <c r="G359" s="150">
        <v>0.05</v>
      </c>
      <c r="H359" s="150"/>
      <c r="I359" s="151">
        <f t="shared" si="38"/>
        <v>0.26</v>
      </c>
      <c r="J359" s="180"/>
    </row>
    <row r="360" spans="1:17" s="181" customFormat="1">
      <c r="A360" s="276"/>
      <c r="B360" s="148" t="s">
        <v>266</v>
      </c>
      <c r="C360" s="149">
        <v>-2</v>
      </c>
      <c r="D360" s="156" t="s">
        <v>73</v>
      </c>
      <c r="E360" s="149">
        <v>2</v>
      </c>
      <c r="F360" s="150">
        <v>0.75</v>
      </c>
      <c r="G360" s="150"/>
      <c r="H360" s="150">
        <v>2.1</v>
      </c>
      <c r="I360" s="151">
        <f t="shared" ref="I360:I361" si="48">ROUND(PRODUCT(C360:H360),2)</f>
        <v>-6.3</v>
      </c>
      <c r="J360" s="180"/>
    </row>
    <row r="361" spans="1:17" s="181" customFormat="1">
      <c r="A361" s="276"/>
      <c r="B361" s="148" t="s">
        <v>293</v>
      </c>
      <c r="C361" s="149">
        <v>1</v>
      </c>
      <c r="D361" s="156" t="s">
        <v>73</v>
      </c>
      <c r="E361" s="149">
        <v>2</v>
      </c>
      <c r="F361" s="150">
        <f>0.75+2.1+2.1</f>
        <v>4.95</v>
      </c>
      <c r="G361" s="165">
        <v>0.115</v>
      </c>
      <c r="H361" s="165"/>
      <c r="I361" s="151">
        <f t="shared" si="48"/>
        <v>1.1399999999999999</v>
      </c>
      <c r="J361" s="180"/>
    </row>
    <row r="362" spans="1:17" s="181" customFormat="1">
      <c r="A362" s="276"/>
      <c r="B362" s="148" t="s">
        <v>1223</v>
      </c>
      <c r="C362" s="149">
        <v>-2</v>
      </c>
      <c r="D362" s="156" t="s">
        <v>73</v>
      </c>
      <c r="E362" s="149">
        <v>1</v>
      </c>
      <c r="F362" s="150">
        <v>0.75</v>
      </c>
      <c r="G362" s="150"/>
      <c r="H362" s="150">
        <v>1.35</v>
      </c>
      <c r="I362" s="151">
        <f t="shared" si="38"/>
        <v>-2.0299999999999998</v>
      </c>
      <c r="J362" s="180"/>
    </row>
    <row r="363" spans="1:17" s="181" customFormat="1">
      <c r="A363" s="276"/>
      <c r="B363" s="148" t="s">
        <v>293</v>
      </c>
      <c r="C363" s="149">
        <v>1</v>
      </c>
      <c r="D363" s="156" t="s">
        <v>73</v>
      </c>
      <c r="E363" s="149">
        <v>2</v>
      </c>
      <c r="F363" s="150">
        <v>1.35</v>
      </c>
      <c r="G363" s="165">
        <v>0.115</v>
      </c>
      <c r="H363" s="165"/>
      <c r="I363" s="151">
        <f t="shared" ref="I363" si="49">ROUND(PRODUCT(C363:H363),2)</f>
        <v>0.31</v>
      </c>
      <c r="J363" s="180"/>
    </row>
    <row r="364" spans="1:17" s="181" customFormat="1">
      <c r="A364" s="276"/>
      <c r="B364" s="148" t="s">
        <v>1224</v>
      </c>
      <c r="C364" s="149">
        <v>1</v>
      </c>
      <c r="D364" s="156" t="s">
        <v>73</v>
      </c>
      <c r="E364" s="149">
        <v>1</v>
      </c>
      <c r="F364" s="150">
        <v>1.4650000000000001</v>
      </c>
      <c r="G364" s="165">
        <v>0.115</v>
      </c>
      <c r="H364" s="165"/>
      <c r="I364" s="151">
        <f t="shared" si="38"/>
        <v>0.17</v>
      </c>
      <c r="J364" s="180"/>
    </row>
    <row r="365" spans="1:17" s="181" customFormat="1">
      <c r="A365" s="276"/>
      <c r="B365" s="148" t="s">
        <v>305</v>
      </c>
      <c r="C365" s="149">
        <v>-1</v>
      </c>
      <c r="D365" s="156" t="s">
        <v>73</v>
      </c>
      <c r="E365" s="149">
        <v>3</v>
      </c>
      <c r="F365" s="150">
        <v>0.75</v>
      </c>
      <c r="G365" s="150"/>
      <c r="H365" s="150">
        <v>0.6</v>
      </c>
      <c r="I365" s="151">
        <f t="shared" si="38"/>
        <v>-1.35</v>
      </c>
      <c r="J365" s="180"/>
    </row>
    <row r="366" spans="1:17" s="181" customFormat="1">
      <c r="A366" s="276"/>
      <c r="B366" s="148" t="s">
        <v>306</v>
      </c>
      <c r="C366" s="149">
        <v>1</v>
      </c>
      <c r="D366" s="156" t="s">
        <v>73</v>
      </c>
      <c r="E366" s="149">
        <v>3</v>
      </c>
      <c r="F366" s="150">
        <v>2.7</v>
      </c>
      <c r="G366" s="150">
        <v>0.23</v>
      </c>
      <c r="H366" s="150"/>
      <c r="I366" s="151">
        <f t="shared" si="38"/>
        <v>1.86</v>
      </c>
      <c r="J366" s="180"/>
    </row>
    <row r="367" spans="1:17" s="181" customFormat="1">
      <c r="A367" s="276"/>
      <c r="B367" s="148" t="s">
        <v>307</v>
      </c>
      <c r="C367" s="149">
        <v>-1</v>
      </c>
      <c r="D367" s="156" t="s">
        <v>73</v>
      </c>
      <c r="E367" s="149">
        <v>1</v>
      </c>
      <c r="F367" s="150">
        <v>0.9</v>
      </c>
      <c r="G367" s="150"/>
      <c r="H367" s="150">
        <v>0.45</v>
      </c>
      <c r="I367" s="151">
        <f t="shared" si="38"/>
        <v>-0.41</v>
      </c>
      <c r="J367" s="180"/>
    </row>
    <row r="368" spans="1:17" s="181" customFormat="1">
      <c r="A368" s="276"/>
      <c r="B368" s="148" t="s">
        <v>308</v>
      </c>
      <c r="C368" s="149">
        <v>1</v>
      </c>
      <c r="D368" s="156" t="s">
        <v>73</v>
      </c>
      <c r="E368" s="149">
        <v>1</v>
      </c>
      <c r="F368" s="150">
        <v>2.7</v>
      </c>
      <c r="G368" s="150">
        <v>0.23</v>
      </c>
      <c r="H368" s="150"/>
      <c r="I368" s="151">
        <f t="shared" si="38"/>
        <v>0.62</v>
      </c>
      <c r="J368" s="180"/>
      <c r="L368" s="185"/>
      <c r="M368" s="185"/>
      <c r="N368" s="185"/>
      <c r="O368" s="186"/>
      <c r="P368" s="186"/>
      <c r="Q368" s="186"/>
    </row>
    <row r="369" spans="1:17" s="181" customFormat="1">
      <c r="A369" s="276"/>
      <c r="B369" s="148" t="s">
        <v>294</v>
      </c>
      <c r="C369" s="149">
        <v>-1</v>
      </c>
      <c r="D369" s="156" t="s">
        <v>73</v>
      </c>
      <c r="E369" s="149">
        <v>11</v>
      </c>
      <c r="F369" s="150">
        <v>1.35</v>
      </c>
      <c r="G369" s="150"/>
      <c r="H369" s="150">
        <v>1.35</v>
      </c>
      <c r="I369" s="151">
        <f t="shared" si="38"/>
        <v>-20.05</v>
      </c>
      <c r="J369" s="180"/>
    </row>
    <row r="370" spans="1:17" s="181" customFormat="1">
      <c r="A370" s="276"/>
      <c r="B370" s="148" t="s">
        <v>295</v>
      </c>
      <c r="C370" s="149">
        <v>1</v>
      </c>
      <c r="D370" s="156" t="s">
        <v>73</v>
      </c>
      <c r="E370" s="149">
        <v>11</v>
      </c>
      <c r="F370" s="150">
        <v>5.4</v>
      </c>
      <c r="G370" s="150">
        <v>0.23</v>
      </c>
      <c r="H370" s="150"/>
      <c r="I370" s="151">
        <f t="shared" ref="I370" si="50">ROUND(PRODUCT(C370:H370),2)</f>
        <v>13.66</v>
      </c>
      <c r="J370" s="180"/>
      <c r="L370" s="185"/>
      <c r="M370" s="185"/>
      <c r="N370" s="185"/>
      <c r="O370" s="186"/>
      <c r="P370" s="186"/>
      <c r="Q370" s="186"/>
    </row>
    <row r="371" spans="1:17" s="181" customFormat="1">
      <c r="A371" s="276"/>
      <c r="B371" s="148" t="s">
        <v>1215</v>
      </c>
      <c r="C371" s="149">
        <v>-2</v>
      </c>
      <c r="D371" s="156" t="s">
        <v>73</v>
      </c>
      <c r="E371" s="149">
        <v>1</v>
      </c>
      <c r="F371" s="150">
        <v>1</v>
      </c>
      <c r="G371" s="150"/>
      <c r="H371" s="150">
        <v>2.1</v>
      </c>
      <c r="I371" s="151">
        <f t="shared" si="38"/>
        <v>-4.2</v>
      </c>
      <c r="J371" s="180"/>
      <c r="L371" s="185"/>
      <c r="M371" s="185"/>
      <c r="N371" s="185"/>
      <c r="O371" s="186"/>
      <c r="P371" s="186"/>
      <c r="Q371" s="186"/>
    </row>
    <row r="372" spans="1:17" s="181" customFormat="1">
      <c r="A372" s="276"/>
      <c r="B372" s="148" t="s">
        <v>1195</v>
      </c>
      <c r="C372" s="149">
        <v>-2</v>
      </c>
      <c r="D372" s="156" t="s">
        <v>73</v>
      </c>
      <c r="E372" s="149">
        <v>1</v>
      </c>
      <c r="F372" s="150">
        <v>0.72</v>
      </c>
      <c r="G372" s="150"/>
      <c r="H372" s="150">
        <v>1.35</v>
      </c>
      <c r="I372" s="151">
        <f t="shared" ref="I372:I373" si="51">ROUND(PRODUCT(C372:H372),2)</f>
        <v>-1.94</v>
      </c>
      <c r="J372" s="180"/>
      <c r="L372" s="185"/>
      <c r="M372" s="185"/>
      <c r="N372" s="185"/>
      <c r="O372" s="186"/>
      <c r="P372" s="186"/>
      <c r="Q372" s="186"/>
    </row>
    <row r="373" spans="1:17" s="181" customFormat="1">
      <c r="A373" s="276"/>
      <c r="B373" s="148" t="s">
        <v>1216</v>
      </c>
      <c r="C373" s="149">
        <v>1</v>
      </c>
      <c r="D373" s="156" t="s">
        <v>73</v>
      </c>
      <c r="E373" s="149">
        <v>1</v>
      </c>
      <c r="F373" s="150">
        <v>5.9119999999999999</v>
      </c>
      <c r="G373" s="150">
        <v>0.23</v>
      </c>
      <c r="H373" s="150"/>
      <c r="I373" s="151">
        <f t="shared" si="51"/>
        <v>1.36</v>
      </c>
      <c r="J373" s="180"/>
      <c r="L373" s="185"/>
      <c r="M373" s="185"/>
      <c r="N373" s="185"/>
      <c r="O373" s="186"/>
      <c r="P373" s="186"/>
      <c r="Q373" s="186"/>
    </row>
    <row r="374" spans="1:17" s="181" customFormat="1">
      <c r="A374" s="276"/>
      <c r="B374" s="148" t="s">
        <v>1229</v>
      </c>
      <c r="C374" s="149">
        <v>-1</v>
      </c>
      <c r="D374" s="156" t="s">
        <v>73</v>
      </c>
      <c r="E374" s="149">
        <v>1</v>
      </c>
      <c r="F374" s="150">
        <v>0.75</v>
      </c>
      <c r="G374" s="150"/>
      <c r="H374" s="150">
        <v>2.1</v>
      </c>
      <c r="I374" s="151">
        <f t="shared" ref="I374:I375" si="52">ROUND(PRODUCT(C374:H374),2)</f>
        <v>-1.58</v>
      </c>
      <c r="J374" s="180"/>
      <c r="L374" s="185"/>
      <c r="M374" s="185"/>
      <c r="N374" s="185"/>
      <c r="O374" s="186"/>
      <c r="P374" s="186"/>
      <c r="Q374" s="186"/>
    </row>
    <row r="375" spans="1:17" s="181" customFormat="1">
      <c r="A375" s="276"/>
      <c r="B375" s="148" t="s">
        <v>1231</v>
      </c>
      <c r="C375" s="149">
        <v>1</v>
      </c>
      <c r="D375" s="156" t="s">
        <v>73</v>
      </c>
      <c r="E375" s="149">
        <v>1</v>
      </c>
      <c r="F375" s="150">
        <v>4.95</v>
      </c>
      <c r="G375" s="150">
        <v>0.23</v>
      </c>
      <c r="H375" s="150"/>
      <c r="I375" s="151">
        <f t="shared" si="52"/>
        <v>1.1399999999999999</v>
      </c>
      <c r="J375" s="180"/>
      <c r="L375" s="185"/>
      <c r="M375" s="185"/>
      <c r="N375" s="185"/>
      <c r="O375" s="186"/>
      <c r="P375" s="186"/>
      <c r="Q375" s="186"/>
    </row>
    <row r="376" spans="1:17" s="181" customFormat="1">
      <c r="A376" s="276"/>
      <c r="B376" s="148" t="s">
        <v>1230</v>
      </c>
      <c r="C376" s="149">
        <v>-2</v>
      </c>
      <c r="D376" s="156" t="s">
        <v>73</v>
      </c>
      <c r="E376" s="149">
        <v>1</v>
      </c>
      <c r="F376" s="150">
        <v>1.2</v>
      </c>
      <c r="G376" s="150"/>
      <c r="H376" s="150">
        <v>2.92</v>
      </c>
      <c r="I376" s="151">
        <f t="shared" si="38"/>
        <v>-7.01</v>
      </c>
      <c r="J376" s="180"/>
    </row>
    <row r="377" spans="1:17" s="181" customFormat="1">
      <c r="A377" s="276"/>
      <c r="B377" s="148" t="s">
        <v>1232</v>
      </c>
      <c r="C377" s="149">
        <v>2</v>
      </c>
      <c r="D377" s="156" t="s">
        <v>73</v>
      </c>
      <c r="E377" s="149">
        <v>2</v>
      </c>
      <c r="F377" s="150">
        <v>0.15</v>
      </c>
      <c r="G377" s="150"/>
      <c r="H377" s="150">
        <v>2.92</v>
      </c>
      <c r="I377" s="151">
        <f t="shared" ref="I377" si="53">ROUND(PRODUCT(C377:H377),2)</f>
        <v>1.75</v>
      </c>
      <c r="J377" s="180"/>
    </row>
    <row r="378" spans="1:17" s="181" customFormat="1">
      <c r="A378" s="276"/>
      <c r="B378" s="148" t="s">
        <v>1232</v>
      </c>
      <c r="C378" s="149">
        <v>1</v>
      </c>
      <c r="D378" s="156" t="s">
        <v>73</v>
      </c>
      <c r="E378" s="149">
        <v>2</v>
      </c>
      <c r="F378" s="165">
        <v>0.26500000000000001</v>
      </c>
      <c r="G378" s="150"/>
      <c r="H378" s="150">
        <v>2.92</v>
      </c>
      <c r="I378" s="151">
        <f t="shared" si="38"/>
        <v>1.55</v>
      </c>
      <c r="J378" s="180"/>
    </row>
    <row r="379" spans="1:17" s="181" customFormat="1">
      <c r="A379" s="276"/>
      <c r="B379" s="148" t="s">
        <v>1227</v>
      </c>
      <c r="C379" s="149">
        <v>1</v>
      </c>
      <c r="D379" s="156" t="s">
        <v>73</v>
      </c>
      <c r="E379" s="149">
        <v>1</v>
      </c>
      <c r="F379" s="150">
        <v>6.67</v>
      </c>
      <c r="G379" s="150">
        <v>0.6</v>
      </c>
      <c r="H379" s="150"/>
      <c r="I379" s="151">
        <f t="shared" si="38"/>
        <v>4</v>
      </c>
      <c r="J379" s="180"/>
    </row>
    <row r="380" spans="1:17" s="181" customFormat="1">
      <c r="A380" s="276"/>
      <c r="B380" s="148" t="s">
        <v>1228</v>
      </c>
      <c r="C380" s="149">
        <v>1</v>
      </c>
      <c r="D380" s="156" t="s">
        <v>73</v>
      </c>
      <c r="E380" s="149">
        <v>1</v>
      </c>
      <c r="F380" s="150">
        <v>4.0599999999999996</v>
      </c>
      <c r="G380" s="150">
        <v>0.6</v>
      </c>
      <c r="H380" s="150"/>
      <c r="I380" s="151">
        <f t="shared" ref="I380" si="54">ROUND(PRODUCT(C380:H380),2)</f>
        <v>2.44</v>
      </c>
      <c r="J380" s="180"/>
    </row>
    <row r="381" spans="1:17" s="181" customFormat="1">
      <c r="A381" s="276"/>
      <c r="B381" s="183" t="s">
        <v>309</v>
      </c>
      <c r="C381" s="149"/>
      <c r="D381" s="156"/>
      <c r="E381" s="149"/>
      <c r="F381" s="150"/>
      <c r="G381" s="150"/>
      <c r="H381" s="150"/>
      <c r="I381" s="151">
        <f t="shared" si="38"/>
        <v>0</v>
      </c>
      <c r="J381" s="180"/>
    </row>
    <row r="382" spans="1:17" s="181" customFormat="1">
      <c r="A382" s="276"/>
      <c r="B382" s="148" t="s">
        <v>1225</v>
      </c>
      <c r="C382" s="149">
        <v>3</v>
      </c>
      <c r="D382" s="149" t="s">
        <v>73</v>
      </c>
      <c r="E382" s="149">
        <v>2</v>
      </c>
      <c r="F382" s="150">
        <v>0.45</v>
      </c>
      <c r="G382" s="150"/>
      <c r="H382" s="150">
        <v>2.1</v>
      </c>
      <c r="I382" s="151">
        <f t="shared" si="38"/>
        <v>5.67</v>
      </c>
      <c r="J382" s="180"/>
      <c r="L382" s="185"/>
      <c r="M382" s="185"/>
      <c r="N382" s="185"/>
      <c r="O382" s="186"/>
      <c r="P382" s="186"/>
      <c r="Q382" s="186"/>
    </row>
    <row r="383" spans="1:17" s="181" customFormat="1">
      <c r="A383" s="276"/>
      <c r="B383" s="148" t="s">
        <v>1201</v>
      </c>
      <c r="C383" s="149">
        <v>4</v>
      </c>
      <c r="D383" s="149" t="s">
        <v>73</v>
      </c>
      <c r="E383" s="149">
        <v>2</v>
      </c>
      <c r="F383" s="150">
        <v>0.45</v>
      </c>
      <c r="G383" s="150"/>
      <c r="H383" s="150">
        <v>2.1</v>
      </c>
      <c r="I383" s="151">
        <f t="shared" si="38"/>
        <v>7.56</v>
      </c>
      <c r="J383" s="180"/>
    </row>
    <row r="384" spans="1:17" s="181" customFormat="1">
      <c r="A384" s="276"/>
      <c r="B384" s="148" t="s">
        <v>1202</v>
      </c>
      <c r="C384" s="149">
        <v>4</v>
      </c>
      <c r="D384" s="149" t="s">
        <v>73</v>
      </c>
      <c r="E384" s="149">
        <v>2</v>
      </c>
      <c r="F384" s="150">
        <v>0.45</v>
      </c>
      <c r="G384" s="150"/>
      <c r="H384" s="150">
        <v>2.1</v>
      </c>
      <c r="I384" s="151">
        <f t="shared" si="38"/>
        <v>7.56</v>
      </c>
      <c r="J384" s="180"/>
    </row>
    <row r="385" spans="1:17" s="181" customFormat="1">
      <c r="A385" s="276"/>
      <c r="B385" s="183" t="s">
        <v>1226</v>
      </c>
      <c r="C385" s="149"/>
      <c r="D385" s="149"/>
      <c r="E385" s="149"/>
      <c r="F385" s="150"/>
      <c r="G385" s="150"/>
      <c r="H385" s="150"/>
      <c r="I385" s="151">
        <f t="shared" si="38"/>
        <v>0</v>
      </c>
      <c r="J385" s="180"/>
    </row>
    <row r="386" spans="1:17" s="181" customFormat="1">
      <c r="A386" s="276"/>
      <c r="B386" s="148" t="s">
        <v>1225</v>
      </c>
      <c r="C386" s="149">
        <v>3</v>
      </c>
      <c r="D386" s="149" t="s">
        <v>73</v>
      </c>
      <c r="E386" s="149">
        <v>1</v>
      </c>
      <c r="F386" s="150">
        <v>1.05</v>
      </c>
      <c r="G386" s="150">
        <v>0.45</v>
      </c>
      <c r="H386" s="150"/>
      <c r="I386" s="151">
        <f t="shared" ref="I386:I388" si="55">ROUND(PRODUCT(C386:H386),2)</f>
        <v>1.42</v>
      </c>
      <c r="J386" s="180"/>
    </row>
    <row r="387" spans="1:17" s="181" customFormat="1">
      <c r="A387" s="276"/>
      <c r="B387" s="148" t="s">
        <v>1201</v>
      </c>
      <c r="C387" s="149">
        <v>1</v>
      </c>
      <c r="D387" s="149" t="s">
        <v>73</v>
      </c>
      <c r="E387" s="149">
        <v>3</v>
      </c>
      <c r="F387" s="150">
        <v>1.2</v>
      </c>
      <c r="G387" s="150">
        <v>0.45</v>
      </c>
      <c r="H387" s="150"/>
      <c r="I387" s="151">
        <f t="shared" si="55"/>
        <v>1.62</v>
      </c>
      <c r="J387" s="180"/>
    </row>
    <row r="388" spans="1:17" s="181" customFormat="1">
      <c r="A388" s="276"/>
      <c r="B388" s="148" t="s">
        <v>1202</v>
      </c>
      <c r="C388" s="149">
        <v>1</v>
      </c>
      <c r="D388" s="149" t="s">
        <v>73</v>
      </c>
      <c r="E388" s="149">
        <v>4</v>
      </c>
      <c r="F388" s="150">
        <v>0.9</v>
      </c>
      <c r="G388" s="150">
        <v>0.45</v>
      </c>
      <c r="H388" s="150"/>
      <c r="I388" s="151">
        <f t="shared" si="55"/>
        <v>1.62</v>
      </c>
      <c r="J388" s="180"/>
      <c r="L388" s="185"/>
      <c r="M388" s="185"/>
      <c r="N388" s="185"/>
      <c r="O388" s="186"/>
      <c r="P388" s="186"/>
      <c r="Q388" s="186"/>
    </row>
    <row r="389" spans="1:17" s="181" customFormat="1">
      <c r="A389" s="276"/>
      <c r="B389" s="183" t="s">
        <v>157</v>
      </c>
      <c r="C389" s="149"/>
      <c r="D389" s="156"/>
      <c r="E389" s="149"/>
      <c r="F389" s="150"/>
      <c r="G389" s="150"/>
      <c r="H389" s="150"/>
      <c r="I389" s="151">
        <f t="shared" si="38"/>
        <v>0</v>
      </c>
      <c r="J389" s="180"/>
    </row>
    <row r="390" spans="1:17" s="181" customFormat="1">
      <c r="A390" s="276"/>
      <c r="B390" s="148" t="s">
        <v>298</v>
      </c>
      <c r="C390" s="149">
        <v>1</v>
      </c>
      <c r="D390" s="156" t="s">
        <v>73</v>
      </c>
      <c r="E390" s="149">
        <v>1</v>
      </c>
      <c r="F390" s="150">
        <f>2*(6.67+3.565)</f>
        <v>20.47</v>
      </c>
      <c r="G390" s="150"/>
      <c r="H390" s="150">
        <v>3.15</v>
      </c>
      <c r="I390" s="151">
        <f t="shared" ref="I390:I434" si="56">ROUND(PRODUCT(C390:H390),2)</f>
        <v>64.48</v>
      </c>
      <c r="J390" s="180"/>
    </row>
    <row r="391" spans="1:17" s="181" customFormat="1">
      <c r="A391" s="276"/>
      <c r="B391" s="148" t="s">
        <v>299</v>
      </c>
      <c r="C391" s="149">
        <v>1</v>
      </c>
      <c r="D391" s="156" t="s">
        <v>73</v>
      </c>
      <c r="E391" s="149">
        <v>1</v>
      </c>
      <c r="F391" s="150">
        <f>2*(5.15+4.12)</f>
        <v>18.54</v>
      </c>
      <c r="G391" s="150"/>
      <c r="H391" s="150">
        <v>3.15</v>
      </c>
      <c r="I391" s="151">
        <f t="shared" si="56"/>
        <v>58.4</v>
      </c>
      <c r="J391" s="180"/>
    </row>
    <row r="392" spans="1:17" s="181" customFormat="1">
      <c r="A392" s="276"/>
      <c r="B392" s="182" t="s">
        <v>300</v>
      </c>
      <c r="C392" s="149">
        <v>1</v>
      </c>
      <c r="D392" s="156" t="s">
        <v>73</v>
      </c>
      <c r="E392" s="149">
        <v>1</v>
      </c>
      <c r="F392" s="150">
        <f>2*(2.075+2.685)</f>
        <v>9.52</v>
      </c>
      <c r="G392" s="150"/>
      <c r="H392" s="165">
        <v>3.1749999999999998</v>
      </c>
      <c r="I392" s="151">
        <f t="shared" si="56"/>
        <v>30.23</v>
      </c>
      <c r="J392" s="180"/>
    </row>
    <row r="393" spans="1:17" s="181" customFormat="1">
      <c r="A393" s="276"/>
      <c r="B393" s="182" t="s">
        <v>160</v>
      </c>
      <c r="C393" s="149">
        <v>1</v>
      </c>
      <c r="D393" s="156" t="s">
        <v>73</v>
      </c>
      <c r="E393" s="149">
        <v>1</v>
      </c>
      <c r="F393" s="150">
        <f>2*(2.075+1.32)</f>
        <v>6.7900000000000009</v>
      </c>
      <c r="G393" s="150"/>
      <c r="H393" s="165">
        <v>3.1749999999999998</v>
      </c>
      <c r="I393" s="151">
        <f t="shared" si="56"/>
        <v>21.56</v>
      </c>
      <c r="J393" s="180"/>
    </row>
    <row r="394" spans="1:17" s="181" customFormat="1">
      <c r="A394" s="276"/>
      <c r="B394" s="182" t="s">
        <v>301</v>
      </c>
      <c r="C394" s="149">
        <v>1</v>
      </c>
      <c r="D394" s="156" t="s">
        <v>73</v>
      </c>
      <c r="E394" s="149">
        <v>1</v>
      </c>
      <c r="F394" s="150">
        <f>2*(2.67+6.63)</f>
        <v>18.600000000000001</v>
      </c>
      <c r="G394" s="150"/>
      <c r="H394" s="165">
        <v>3.1749999999999998</v>
      </c>
      <c r="I394" s="151">
        <f t="shared" si="56"/>
        <v>59.06</v>
      </c>
      <c r="J394" s="180"/>
    </row>
    <row r="395" spans="1:17" s="181" customFormat="1">
      <c r="A395" s="276"/>
      <c r="B395" s="148" t="s">
        <v>191</v>
      </c>
      <c r="C395" s="149">
        <v>1</v>
      </c>
      <c r="D395" s="156" t="s">
        <v>73</v>
      </c>
      <c r="E395" s="149">
        <v>1</v>
      </c>
      <c r="F395" s="150">
        <f>2*(1.835+3.185)</f>
        <v>10.039999999999999</v>
      </c>
      <c r="G395" s="150"/>
      <c r="H395" s="165">
        <v>3.1749999999999998</v>
      </c>
      <c r="I395" s="151">
        <f t="shared" si="56"/>
        <v>31.88</v>
      </c>
      <c r="J395" s="180"/>
      <c r="K395" s="184">
        <f>SUM(I339:I388)</f>
        <v>458.68000000000006</v>
      </c>
    </row>
    <row r="396" spans="1:17" s="181" customFormat="1">
      <c r="A396" s="276"/>
      <c r="B396" s="148" t="s">
        <v>1202</v>
      </c>
      <c r="C396" s="149">
        <v>1</v>
      </c>
      <c r="D396" s="156" t="s">
        <v>73</v>
      </c>
      <c r="E396" s="149">
        <v>1</v>
      </c>
      <c r="F396" s="150">
        <f>2*(2.545+2)</f>
        <v>9.09</v>
      </c>
      <c r="G396" s="150"/>
      <c r="H396" s="165">
        <v>3.1749999999999998</v>
      </c>
      <c r="I396" s="151">
        <f t="shared" si="56"/>
        <v>28.86</v>
      </c>
      <c r="J396" s="180"/>
    </row>
    <row r="397" spans="1:17" s="181" customFormat="1">
      <c r="A397" s="276"/>
      <c r="B397" s="148" t="s">
        <v>1221</v>
      </c>
      <c r="C397" s="149">
        <v>1</v>
      </c>
      <c r="D397" s="156" t="s">
        <v>73</v>
      </c>
      <c r="E397" s="149">
        <v>1</v>
      </c>
      <c r="F397" s="150">
        <f>2*(2.66+3.33)</f>
        <v>11.98</v>
      </c>
      <c r="G397" s="150"/>
      <c r="H397" s="165">
        <v>3.1749999999999998</v>
      </c>
      <c r="I397" s="151">
        <f t="shared" si="56"/>
        <v>38.04</v>
      </c>
      <c r="J397" s="180"/>
    </row>
    <row r="398" spans="1:17" s="181" customFormat="1">
      <c r="A398" s="276"/>
      <c r="B398" s="148" t="s">
        <v>538</v>
      </c>
      <c r="C398" s="149">
        <v>1</v>
      </c>
      <c r="D398" s="156" t="s">
        <v>73</v>
      </c>
      <c r="E398" s="149">
        <v>2</v>
      </c>
      <c r="F398" s="150">
        <v>2.2149999999999999</v>
      </c>
      <c r="G398" s="150"/>
      <c r="H398" s="165">
        <v>1.35</v>
      </c>
      <c r="I398" s="151">
        <f t="shared" si="56"/>
        <v>5.98</v>
      </c>
      <c r="J398" s="180"/>
    </row>
    <row r="399" spans="1:17" s="181" customFormat="1">
      <c r="A399" s="276"/>
      <c r="B399" s="148" t="s">
        <v>156</v>
      </c>
      <c r="C399" s="149">
        <v>1</v>
      </c>
      <c r="D399" s="156" t="s">
        <v>73</v>
      </c>
      <c r="E399" s="149">
        <v>1</v>
      </c>
      <c r="F399" s="150">
        <f>2*(6.23+4.61)</f>
        <v>21.68</v>
      </c>
      <c r="G399" s="150"/>
      <c r="H399" s="165">
        <v>3.1749999999999998</v>
      </c>
      <c r="I399" s="151">
        <f t="shared" si="56"/>
        <v>68.83</v>
      </c>
      <c r="J399" s="180"/>
    </row>
    <row r="400" spans="1:17" s="181" customFormat="1">
      <c r="A400" s="276"/>
      <c r="B400" s="155" t="s">
        <v>254</v>
      </c>
      <c r="C400" s="149"/>
      <c r="D400" s="156"/>
      <c r="E400" s="149"/>
      <c r="F400" s="150"/>
      <c r="G400" s="150"/>
      <c r="H400" s="150"/>
      <c r="I400" s="151">
        <f t="shared" si="56"/>
        <v>0</v>
      </c>
      <c r="J400" s="180"/>
    </row>
    <row r="401" spans="1:17" s="181" customFormat="1">
      <c r="A401" s="276"/>
      <c r="B401" s="148" t="s">
        <v>72</v>
      </c>
      <c r="C401" s="149">
        <v>-2</v>
      </c>
      <c r="D401" s="156" t="s">
        <v>73</v>
      </c>
      <c r="E401" s="149">
        <v>5</v>
      </c>
      <c r="F401" s="150">
        <v>1</v>
      </c>
      <c r="G401" s="150"/>
      <c r="H401" s="150">
        <v>2.1</v>
      </c>
      <c r="I401" s="151">
        <f t="shared" si="56"/>
        <v>-21</v>
      </c>
      <c r="J401" s="180"/>
    </row>
    <row r="402" spans="1:17" s="181" customFormat="1">
      <c r="A402" s="276"/>
      <c r="B402" s="148" t="s">
        <v>292</v>
      </c>
      <c r="C402" s="149">
        <v>1</v>
      </c>
      <c r="D402" s="156" t="s">
        <v>73</v>
      </c>
      <c r="E402" s="149">
        <v>2</v>
      </c>
      <c r="F402" s="150">
        <f>1+2.1+2.1</f>
        <v>5.2</v>
      </c>
      <c r="G402" s="150">
        <v>0.13</v>
      </c>
      <c r="H402" s="150"/>
      <c r="I402" s="151">
        <f t="shared" si="56"/>
        <v>1.35</v>
      </c>
      <c r="J402" s="180"/>
    </row>
    <row r="403" spans="1:17" s="181" customFormat="1">
      <c r="A403" s="276"/>
      <c r="B403" s="148" t="s">
        <v>292</v>
      </c>
      <c r="C403" s="149">
        <v>1</v>
      </c>
      <c r="D403" s="156" t="s">
        <v>73</v>
      </c>
      <c r="E403" s="149">
        <v>3</v>
      </c>
      <c r="F403" s="150">
        <f>1+2.1+2.1</f>
        <v>5.2</v>
      </c>
      <c r="G403" s="150">
        <v>0.05</v>
      </c>
      <c r="H403" s="150"/>
      <c r="I403" s="151">
        <f t="shared" si="56"/>
        <v>0.78</v>
      </c>
      <c r="J403" s="180"/>
    </row>
    <row r="404" spans="1:17" s="181" customFormat="1">
      <c r="A404" s="276"/>
      <c r="B404" s="148" t="s">
        <v>1222</v>
      </c>
      <c r="C404" s="149">
        <v>-2</v>
      </c>
      <c r="D404" s="156" t="s">
        <v>73</v>
      </c>
      <c r="E404" s="149">
        <v>1</v>
      </c>
      <c r="F404" s="150">
        <v>1</v>
      </c>
      <c r="G404" s="150"/>
      <c r="H404" s="150">
        <v>2.1</v>
      </c>
      <c r="I404" s="151">
        <f t="shared" si="56"/>
        <v>-4.2</v>
      </c>
      <c r="J404" s="180"/>
    </row>
    <row r="405" spans="1:17" s="181" customFormat="1">
      <c r="A405" s="276"/>
      <c r="B405" s="148" t="s">
        <v>1233</v>
      </c>
      <c r="C405" s="149">
        <v>1</v>
      </c>
      <c r="D405" s="156" t="s">
        <v>73</v>
      </c>
      <c r="E405" s="149">
        <v>1</v>
      </c>
      <c r="F405" s="150">
        <f>1+2.1+2.1</f>
        <v>5.2</v>
      </c>
      <c r="G405" s="150">
        <v>0.23</v>
      </c>
      <c r="H405" s="150"/>
      <c r="I405" s="151">
        <f t="shared" si="56"/>
        <v>1.2</v>
      </c>
      <c r="J405" s="180"/>
    </row>
    <row r="406" spans="1:17" s="181" customFormat="1">
      <c r="A406" s="276"/>
      <c r="B406" s="148" t="s">
        <v>266</v>
      </c>
      <c r="C406" s="149">
        <v>-1</v>
      </c>
      <c r="D406" s="156" t="s">
        <v>73</v>
      </c>
      <c r="E406" s="149">
        <v>2</v>
      </c>
      <c r="F406" s="150">
        <v>0.75</v>
      </c>
      <c r="G406" s="150"/>
      <c r="H406" s="150">
        <v>2.1</v>
      </c>
      <c r="I406" s="151">
        <f t="shared" si="56"/>
        <v>-3.15</v>
      </c>
      <c r="J406" s="180"/>
    </row>
    <row r="407" spans="1:17" s="181" customFormat="1">
      <c r="A407" s="276"/>
      <c r="B407" s="148" t="s">
        <v>293</v>
      </c>
      <c r="C407" s="149">
        <v>1</v>
      </c>
      <c r="D407" s="156" t="s">
        <v>73</v>
      </c>
      <c r="E407" s="149">
        <v>1</v>
      </c>
      <c r="F407" s="150">
        <f>0.75+2.1+2.1</f>
        <v>4.95</v>
      </c>
      <c r="G407" s="165">
        <v>0.115</v>
      </c>
      <c r="H407" s="165"/>
      <c r="I407" s="151">
        <f t="shared" si="56"/>
        <v>0.56999999999999995</v>
      </c>
      <c r="J407" s="180"/>
    </row>
    <row r="408" spans="1:17" s="181" customFormat="1">
      <c r="A408" s="276"/>
      <c r="B408" s="148" t="s">
        <v>1223</v>
      </c>
      <c r="C408" s="149">
        <v>-1</v>
      </c>
      <c r="D408" s="156" t="s">
        <v>73</v>
      </c>
      <c r="E408" s="149">
        <v>2</v>
      </c>
      <c r="F408" s="150">
        <v>0.75</v>
      </c>
      <c r="G408" s="150"/>
      <c r="H408" s="150">
        <v>1.35</v>
      </c>
      <c r="I408" s="151">
        <f t="shared" si="56"/>
        <v>-2.0299999999999998</v>
      </c>
      <c r="J408" s="180"/>
    </row>
    <row r="409" spans="1:17" s="181" customFormat="1">
      <c r="A409" s="276"/>
      <c r="B409" s="148" t="s">
        <v>293</v>
      </c>
      <c r="C409" s="149">
        <v>1</v>
      </c>
      <c r="D409" s="156" t="s">
        <v>73</v>
      </c>
      <c r="E409" s="149">
        <v>2</v>
      </c>
      <c r="F409" s="150">
        <v>1.35</v>
      </c>
      <c r="G409" s="165">
        <v>0.115</v>
      </c>
      <c r="H409" s="165"/>
      <c r="I409" s="151">
        <f t="shared" si="56"/>
        <v>0.31</v>
      </c>
      <c r="J409" s="180"/>
    </row>
    <row r="410" spans="1:17" s="181" customFormat="1">
      <c r="A410" s="276"/>
      <c r="B410" s="148" t="s">
        <v>1224</v>
      </c>
      <c r="C410" s="149">
        <v>1</v>
      </c>
      <c r="D410" s="156" t="s">
        <v>73</v>
      </c>
      <c r="E410" s="149">
        <v>1</v>
      </c>
      <c r="F410" s="150">
        <v>1.4650000000000001</v>
      </c>
      <c r="G410" s="165">
        <v>0.115</v>
      </c>
      <c r="H410" s="165"/>
      <c r="I410" s="151">
        <f t="shared" si="56"/>
        <v>0.17</v>
      </c>
      <c r="J410" s="180"/>
    </row>
    <row r="411" spans="1:17" s="181" customFormat="1">
      <c r="A411" s="276"/>
      <c r="B411" s="148" t="s">
        <v>305</v>
      </c>
      <c r="C411" s="149">
        <v>-1</v>
      </c>
      <c r="D411" s="156" t="s">
        <v>73</v>
      </c>
      <c r="E411" s="149">
        <v>3</v>
      </c>
      <c r="F411" s="150">
        <v>0.75</v>
      </c>
      <c r="G411" s="150"/>
      <c r="H411" s="150">
        <v>0.6</v>
      </c>
      <c r="I411" s="151">
        <f t="shared" si="56"/>
        <v>-1.35</v>
      </c>
      <c r="J411" s="180"/>
    </row>
    <row r="412" spans="1:17" s="181" customFormat="1">
      <c r="A412" s="276"/>
      <c r="B412" s="148" t="s">
        <v>306</v>
      </c>
      <c r="C412" s="149">
        <v>1</v>
      </c>
      <c r="D412" s="156" t="s">
        <v>73</v>
      </c>
      <c r="E412" s="149">
        <v>3</v>
      </c>
      <c r="F412" s="150">
        <v>2.7</v>
      </c>
      <c r="G412" s="150">
        <v>0.23</v>
      </c>
      <c r="H412" s="150"/>
      <c r="I412" s="151">
        <f t="shared" si="56"/>
        <v>1.86</v>
      </c>
      <c r="J412" s="180"/>
    </row>
    <row r="413" spans="1:17" s="181" customFormat="1">
      <c r="A413" s="276"/>
      <c r="B413" s="148" t="s">
        <v>307</v>
      </c>
      <c r="C413" s="149">
        <v>-1</v>
      </c>
      <c r="D413" s="156" t="s">
        <v>73</v>
      </c>
      <c r="E413" s="149">
        <v>1</v>
      </c>
      <c r="F413" s="150">
        <v>0.9</v>
      </c>
      <c r="G413" s="150"/>
      <c r="H413" s="150">
        <v>0.45</v>
      </c>
      <c r="I413" s="151">
        <f t="shared" si="56"/>
        <v>-0.41</v>
      </c>
      <c r="J413" s="180"/>
    </row>
    <row r="414" spans="1:17" s="181" customFormat="1">
      <c r="A414" s="276"/>
      <c r="B414" s="148" t="s">
        <v>308</v>
      </c>
      <c r="C414" s="149">
        <v>1</v>
      </c>
      <c r="D414" s="156" t="s">
        <v>73</v>
      </c>
      <c r="E414" s="149">
        <v>1</v>
      </c>
      <c r="F414" s="150">
        <v>2.7</v>
      </c>
      <c r="G414" s="150">
        <v>0.23</v>
      </c>
      <c r="H414" s="150"/>
      <c r="I414" s="151">
        <f t="shared" si="56"/>
        <v>0.62</v>
      </c>
      <c r="J414" s="180"/>
      <c r="L414" s="185"/>
      <c r="M414" s="185"/>
      <c r="N414" s="185"/>
      <c r="O414" s="186"/>
      <c r="P414" s="186"/>
      <c r="Q414" s="186"/>
    </row>
    <row r="415" spans="1:17" s="181" customFormat="1">
      <c r="A415" s="276"/>
      <c r="B415" s="148" t="s">
        <v>294</v>
      </c>
      <c r="C415" s="149">
        <v>-1</v>
      </c>
      <c r="D415" s="156" t="s">
        <v>73</v>
      </c>
      <c r="E415" s="149">
        <v>12</v>
      </c>
      <c r="F415" s="150">
        <v>1.35</v>
      </c>
      <c r="G415" s="150"/>
      <c r="H415" s="150">
        <v>1.35</v>
      </c>
      <c r="I415" s="151">
        <f t="shared" si="56"/>
        <v>-21.87</v>
      </c>
      <c r="J415" s="180"/>
    </row>
    <row r="416" spans="1:17" s="181" customFormat="1">
      <c r="A416" s="276"/>
      <c r="B416" s="148" t="s">
        <v>295</v>
      </c>
      <c r="C416" s="149">
        <v>1</v>
      </c>
      <c r="D416" s="156" t="s">
        <v>73</v>
      </c>
      <c r="E416" s="149">
        <v>12</v>
      </c>
      <c r="F416" s="150">
        <v>5.4</v>
      </c>
      <c r="G416" s="150">
        <v>0.23</v>
      </c>
      <c r="H416" s="150"/>
      <c r="I416" s="151">
        <f t="shared" si="56"/>
        <v>14.9</v>
      </c>
      <c r="J416" s="180"/>
      <c r="L416" s="185"/>
      <c r="M416" s="185"/>
      <c r="N416" s="185"/>
      <c r="O416" s="186"/>
      <c r="P416" s="186"/>
      <c r="Q416" s="186"/>
    </row>
    <row r="417" spans="1:17" s="181" customFormat="1">
      <c r="A417" s="276"/>
      <c r="B417" s="148" t="s">
        <v>1215</v>
      </c>
      <c r="C417" s="149">
        <v>-2</v>
      </c>
      <c r="D417" s="156" t="s">
        <v>73</v>
      </c>
      <c r="E417" s="149">
        <v>1</v>
      </c>
      <c r="F417" s="150">
        <v>1</v>
      </c>
      <c r="G417" s="150"/>
      <c r="H417" s="150">
        <v>2.1</v>
      </c>
      <c r="I417" s="151">
        <f t="shared" si="56"/>
        <v>-4.2</v>
      </c>
      <c r="J417" s="180"/>
      <c r="L417" s="185"/>
      <c r="M417" s="185"/>
      <c r="N417" s="185"/>
      <c r="O417" s="186"/>
      <c r="P417" s="186"/>
      <c r="Q417" s="186"/>
    </row>
    <row r="418" spans="1:17" s="181" customFormat="1">
      <c r="A418" s="276"/>
      <c r="B418" s="148" t="s">
        <v>1195</v>
      </c>
      <c r="C418" s="149">
        <v>-2</v>
      </c>
      <c r="D418" s="156" t="s">
        <v>73</v>
      </c>
      <c r="E418" s="149">
        <v>1</v>
      </c>
      <c r="F418" s="150">
        <v>0.72</v>
      </c>
      <c r="G418" s="150"/>
      <c r="H418" s="150">
        <v>1.35</v>
      </c>
      <c r="I418" s="151">
        <f t="shared" si="56"/>
        <v>-1.94</v>
      </c>
      <c r="J418" s="180"/>
      <c r="L418" s="185"/>
      <c r="M418" s="185"/>
      <c r="N418" s="185"/>
      <c r="O418" s="186"/>
      <c r="P418" s="186"/>
      <c r="Q418" s="186"/>
    </row>
    <row r="419" spans="1:17" s="181" customFormat="1">
      <c r="A419" s="276"/>
      <c r="B419" s="148" t="s">
        <v>1216</v>
      </c>
      <c r="C419" s="149">
        <v>1</v>
      </c>
      <c r="D419" s="156" t="s">
        <v>73</v>
      </c>
      <c r="E419" s="149">
        <v>1</v>
      </c>
      <c r="F419" s="150">
        <v>5.9119999999999999</v>
      </c>
      <c r="G419" s="150">
        <v>0.23</v>
      </c>
      <c r="H419" s="150"/>
      <c r="I419" s="151">
        <f t="shared" si="56"/>
        <v>1.36</v>
      </c>
      <c r="J419" s="180"/>
      <c r="L419" s="185"/>
      <c r="M419" s="185"/>
      <c r="N419" s="185"/>
      <c r="O419" s="186"/>
      <c r="P419" s="186"/>
      <c r="Q419" s="186"/>
    </row>
    <row r="420" spans="1:17" s="181" customFormat="1">
      <c r="A420" s="276"/>
      <c r="B420" s="148" t="s">
        <v>1229</v>
      </c>
      <c r="C420" s="149">
        <v>-1</v>
      </c>
      <c r="D420" s="156" t="s">
        <v>73</v>
      </c>
      <c r="E420" s="149">
        <v>1</v>
      </c>
      <c r="F420" s="150">
        <v>0.75</v>
      </c>
      <c r="G420" s="150"/>
      <c r="H420" s="150">
        <v>2.1</v>
      </c>
      <c r="I420" s="151">
        <f t="shared" si="56"/>
        <v>-1.58</v>
      </c>
      <c r="J420" s="180"/>
      <c r="L420" s="185"/>
      <c r="M420" s="185"/>
      <c r="N420" s="185"/>
      <c r="O420" s="186"/>
      <c r="P420" s="186"/>
      <c r="Q420" s="186"/>
    </row>
    <row r="421" spans="1:17" s="181" customFormat="1">
      <c r="A421" s="276"/>
      <c r="B421" s="148" t="s">
        <v>1231</v>
      </c>
      <c r="C421" s="149">
        <v>1</v>
      </c>
      <c r="D421" s="156" t="s">
        <v>73</v>
      </c>
      <c r="E421" s="149">
        <v>1</v>
      </c>
      <c r="F421" s="150">
        <v>4.95</v>
      </c>
      <c r="G421" s="150">
        <v>0.23</v>
      </c>
      <c r="H421" s="150"/>
      <c r="I421" s="151">
        <f t="shared" si="56"/>
        <v>1.1399999999999999</v>
      </c>
      <c r="J421" s="180"/>
      <c r="L421" s="185"/>
      <c r="M421" s="185"/>
      <c r="N421" s="185"/>
      <c r="O421" s="186"/>
      <c r="P421" s="186"/>
      <c r="Q421" s="186"/>
    </row>
    <row r="422" spans="1:17" s="181" customFormat="1">
      <c r="A422" s="276"/>
      <c r="B422" s="148" t="s">
        <v>1230</v>
      </c>
      <c r="C422" s="149">
        <v>-2</v>
      </c>
      <c r="D422" s="156" t="s">
        <v>73</v>
      </c>
      <c r="E422" s="149">
        <v>1</v>
      </c>
      <c r="F422" s="150">
        <v>1.2</v>
      </c>
      <c r="G422" s="150"/>
      <c r="H422" s="150">
        <v>2.92</v>
      </c>
      <c r="I422" s="151">
        <f t="shared" si="56"/>
        <v>-7.01</v>
      </c>
      <c r="J422" s="180"/>
    </row>
    <row r="423" spans="1:17" s="181" customFormat="1">
      <c r="A423" s="276"/>
      <c r="B423" s="148" t="s">
        <v>1232</v>
      </c>
      <c r="C423" s="149">
        <v>2</v>
      </c>
      <c r="D423" s="156" t="s">
        <v>73</v>
      </c>
      <c r="E423" s="149">
        <v>2</v>
      </c>
      <c r="F423" s="150">
        <v>0.15</v>
      </c>
      <c r="G423" s="150"/>
      <c r="H423" s="150">
        <v>2.92</v>
      </c>
      <c r="I423" s="151">
        <f t="shared" si="56"/>
        <v>1.75</v>
      </c>
      <c r="J423" s="180"/>
    </row>
    <row r="424" spans="1:17" s="181" customFormat="1">
      <c r="A424" s="276"/>
      <c r="B424" s="148" t="s">
        <v>1232</v>
      </c>
      <c r="C424" s="149">
        <v>1</v>
      </c>
      <c r="D424" s="156" t="s">
        <v>73</v>
      </c>
      <c r="E424" s="149">
        <v>2</v>
      </c>
      <c r="F424" s="165">
        <v>0.26500000000000001</v>
      </c>
      <c r="G424" s="150"/>
      <c r="H424" s="150">
        <v>2.92</v>
      </c>
      <c r="I424" s="151">
        <f t="shared" si="56"/>
        <v>1.55</v>
      </c>
      <c r="J424" s="180"/>
    </row>
    <row r="425" spans="1:17" s="181" customFormat="1">
      <c r="A425" s="276"/>
      <c r="B425" s="148" t="s">
        <v>1227</v>
      </c>
      <c r="C425" s="149">
        <v>1</v>
      </c>
      <c r="D425" s="156" t="s">
        <v>73</v>
      </c>
      <c r="E425" s="149">
        <v>1</v>
      </c>
      <c r="F425" s="150">
        <v>6.67</v>
      </c>
      <c r="G425" s="150">
        <v>0.6</v>
      </c>
      <c r="H425" s="150"/>
      <c r="I425" s="151">
        <f t="shared" si="56"/>
        <v>4</v>
      </c>
      <c r="J425" s="180"/>
    </row>
    <row r="426" spans="1:17" s="181" customFormat="1">
      <c r="A426" s="276"/>
      <c r="B426" s="148" t="s">
        <v>1228</v>
      </c>
      <c r="C426" s="149">
        <v>1</v>
      </c>
      <c r="D426" s="156" t="s">
        <v>73</v>
      </c>
      <c r="E426" s="149">
        <v>1</v>
      </c>
      <c r="F426" s="150">
        <v>4.0599999999999996</v>
      </c>
      <c r="G426" s="150">
        <v>0.6</v>
      </c>
      <c r="H426" s="150"/>
      <c r="I426" s="151">
        <f t="shared" si="56"/>
        <v>2.44</v>
      </c>
      <c r="J426" s="180"/>
    </row>
    <row r="427" spans="1:17" s="181" customFormat="1">
      <c r="A427" s="276"/>
      <c r="B427" s="183" t="s">
        <v>309</v>
      </c>
      <c r="C427" s="149"/>
      <c r="D427" s="156"/>
      <c r="E427" s="149"/>
      <c r="F427" s="150"/>
      <c r="G427" s="150"/>
      <c r="H427" s="150"/>
      <c r="I427" s="151">
        <f t="shared" si="56"/>
        <v>0</v>
      </c>
      <c r="J427" s="180"/>
    </row>
    <row r="428" spans="1:17" s="181" customFormat="1">
      <c r="A428" s="276"/>
      <c r="B428" s="148" t="s">
        <v>1234</v>
      </c>
      <c r="C428" s="149">
        <v>2</v>
      </c>
      <c r="D428" s="149" t="s">
        <v>73</v>
      </c>
      <c r="E428" s="149">
        <v>2</v>
      </c>
      <c r="F428" s="150">
        <v>0.45</v>
      </c>
      <c r="G428" s="150"/>
      <c r="H428" s="150">
        <v>2.1</v>
      </c>
      <c r="I428" s="151">
        <f t="shared" si="56"/>
        <v>3.78</v>
      </c>
      <c r="J428" s="180"/>
      <c r="L428" s="185"/>
      <c r="M428" s="185"/>
      <c r="N428" s="185"/>
      <c r="O428" s="186"/>
      <c r="P428" s="186"/>
      <c r="Q428" s="186"/>
    </row>
    <row r="429" spans="1:17" s="181" customFormat="1">
      <c r="A429" s="276"/>
      <c r="B429" s="148" t="s">
        <v>1201</v>
      </c>
      <c r="C429" s="149">
        <v>1</v>
      </c>
      <c r="D429" s="149" t="s">
        <v>73</v>
      </c>
      <c r="E429" s="149">
        <v>8</v>
      </c>
      <c r="F429" s="150">
        <v>0.45</v>
      </c>
      <c r="G429" s="150"/>
      <c r="H429" s="150">
        <v>2.1</v>
      </c>
      <c r="I429" s="151">
        <f t="shared" si="56"/>
        <v>7.56</v>
      </c>
      <c r="J429" s="180"/>
    </row>
    <row r="430" spans="1:17" s="181" customFormat="1">
      <c r="A430" s="276"/>
      <c r="B430" s="148" t="s">
        <v>1202</v>
      </c>
      <c r="C430" s="149">
        <v>1</v>
      </c>
      <c r="D430" s="149" t="s">
        <v>73</v>
      </c>
      <c r="E430" s="149">
        <v>8</v>
      </c>
      <c r="F430" s="150">
        <v>0.45</v>
      </c>
      <c r="G430" s="150"/>
      <c r="H430" s="150">
        <v>2.1</v>
      </c>
      <c r="I430" s="151">
        <f t="shared" si="56"/>
        <v>7.56</v>
      </c>
      <c r="J430" s="180"/>
    </row>
    <row r="431" spans="1:17" s="181" customFormat="1">
      <c r="A431" s="276"/>
      <c r="B431" s="183" t="s">
        <v>1226</v>
      </c>
      <c r="C431" s="149"/>
      <c r="D431" s="149"/>
      <c r="E431" s="149"/>
      <c r="F431" s="150"/>
      <c r="G431" s="150"/>
      <c r="H431" s="150"/>
      <c r="I431" s="151">
        <f t="shared" si="56"/>
        <v>0</v>
      </c>
      <c r="J431" s="180"/>
    </row>
    <row r="432" spans="1:17" s="181" customFormat="1">
      <c r="A432" s="276"/>
      <c r="B432" s="148" t="s">
        <v>1234</v>
      </c>
      <c r="C432" s="149">
        <v>2</v>
      </c>
      <c r="D432" s="149" t="s">
        <v>73</v>
      </c>
      <c r="E432" s="149">
        <v>1</v>
      </c>
      <c r="F432" s="150">
        <v>1.05</v>
      </c>
      <c r="G432" s="150">
        <v>0.45</v>
      </c>
      <c r="H432" s="150"/>
      <c r="I432" s="151">
        <f t="shared" si="56"/>
        <v>0.95</v>
      </c>
      <c r="J432" s="180"/>
    </row>
    <row r="433" spans="1:17" s="181" customFormat="1">
      <c r="A433" s="276"/>
      <c r="B433" s="148" t="s">
        <v>1201</v>
      </c>
      <c r="C433" s="149">
        <v>1</v>
      </c>
      <c r="D433" s="149" t="s">
        <v>73</v>
      </c>
      <c r="E433" s="149">
        <v>3</v>
      </c>
      <c r="F433" s="150">
        <v>1.2</v>
      </c>
      <c r="G433" s="150">
        <v>0.45</v>
      </c>
      <c r="H433" s="150"/>
      <c r="I433" s="151">
        <f t="shared" si="56"/>
        <v>1.62</v>
      </c>
      <c r="J433" s="180"/>
    </row>
    <row r="434" spans="1:17" s="181" customFormat="1">
      <c r="A434" s="276"/>
      <c r="B434" s="148" t="s">
        <v>1202</v>
      </c>
      <c r="C434" s="149">
        <v>1</v>
      </c>
      <c r="D434" s="149" t="s">
        <v>73</v>
      </c>
      <c r="E434" s="149">
        <v>4</v>
      </c>
      <c r="F434" s="150">
        <v>0.9</v>
      </c>
      <c r="G434" s="150">
        <v>0.45</v>
      </c>
      <c r="H434" s="150"/>
      <c r="I434" s="151">
        <f t="shared" si="56"/>
        <v>1.62</v>
      </c>
      <c r="J434" s="180"/>
      <c r="L434" s="185"/>
      <c r="M434" s="185"/>
      <c r="N434" s="185"/>
      <c r="O434" s="186"/>
      <c r="P434" s="186"/>
      <c r="Q434" s="186"/>
    </row>
    <row r="435" spans="1:17" s="181" customFormat="1">
      <c r="A435" s="276"/>
      <c r="B435" s="148"/>
      <c r="C435" s="149"/>
      <c r="D435" s="156"/>
      <c r="E435" s="149"/>
      <c r="F435" s="150"/>
      <c r="G435" s="150"/>
      <c r="H435" s="150"/>
      <c r="I435" s="151"/>
      <c r="J435" s="180"/>
    </row>
    <row r="436" spans="1:17" s="181" customFormat="1">
      <c r="A436" s="276"/>
      <c r="B436" s="183" t="s">
        <v>123</v>
      </c>
      <c r="C436" s="149"/>
      <c r="D436" s="156"/>
      <c r="E436" s="149"/>
      <c r="F436" s="150"/>
      <c r="G436" s="150"/>
      <c r="H436" s="150"/>
      <c r="I436" s="151">
        <f t="shared" ref="I436:I465" si="57">ROUND(PRODUCT(C436:H436),2)</f>
        <v>0</v>
      </c>
      <c r="J436" s="180"/>
    </row>
    <row r="437" spans="1:17" s="181" customFormat="1">
      <c r="A437" s="276"/>
      <c r="B437" s="148" t="s">
        <v>1235</v>
      </c>
      <c r="C437" s="149">
        <v>1</v>
      </c>
      <c r="D437" s="156" t="s">
        <v>73</v>
      </c>
      <c r="E437" s="149">
        <v>1</v>
      </c>
      <c r="F437" s="150">
        <f>2*(4.61+3.045)</f>
        <v>15.31</v>
      </c>
      <c r="G437" s="150"/>
      <c r="H437" s="165">
        <v>3.1749999999999998</v>
      </c>
      <c r="I437" s="151">
        <f t="shared" si="57"/>
        <v>48.61</v>
      </c>
      <c r="J437" s="180"/>
    </row>
    <row r="438" spans="1:17" s="181" customFormat="1">
      <c r="A438" s="276"/>
      <c r="B438" s="148" t="s">
        <v>1236</v>
      </c>
      <c r="C438" s="149">
        <v>1</v>
      </c>
      <c r="D438" s="156" t="s">
        <v>73</v>
      </c>
      <c r="E438" s="149">
        <v>1</v>
      </c>
      <c r="F438" s="150">
        <f>2*(4.61+3.045)</f>
        <v>15.31</v>
      </c>
      <c r="G438" s="150"/>
      <c r="H438" s="165">
        <v>3.1749999999999998</v>
      </c>
      <c r="I438" s="151">
        <f t="shared" ref="I438" si="58">ROUND(PRODUCT(C438:H438),2)</f>
        <v>48.61</v>
      </c>
      <c r="J438" s="180"/>
    </row>
    <row r="439" spans="1:17" s="181" customFormat="1">
      <c r="A439" s="276"/>
      <c r="B439" s="182" t="s">
        <v>1237</v>
      </c>
      <c r="C439" s="149">
        <v>1</v>
      </c>
      <c r="D439" s="156" t="s">
        <v>73</v>
      </c>
      <c r="E439" s="149">
        <v>2</v>
      </c>
      <c r="F439" s="150">
        <f>2*(4.61+1.47)</f>
        <v>12.16</v>
      </c>
      <c r="G439" s="150"/>
      <c r="H439" s="165">
        <v>3.1749999999999998</v>
      </c>
      <c r="I439" s="151">
        <f t="shared" si="57"/>
        <v>77.22</v>
      </c>
      <c r="J439" s="180"/>
    </row>
    <row r="440" spans="1:17" s="181" customFormat="1">
      <c r="A440" s="276"/>
      <c r="B440" s="182" t="s">
        <v>1238</v>
      </c>
      <c r="C440" s="149">
        <v>1</v>
      </c>
      <c r="D440" s="156" t="s">
        <v>73</v>
      </c>
      <c r="E440" s="149">
        <v>2</v>
      </c>
      <c r="F440" s="150">
        <f>2*(1.32+1.485)</f>
        <v>5.61</v>
      </c>
      <c r="G440" s="150"/>
      <c r="H440" s="165">
        <v>3.1749999999999998</v>
      </c>
      <c r="I440" s="151">
        <f t="shared" si="57"/>
        <v>35.619999999999997</v>
      </c>
      <c r="J440" s="180"/>
    </row>
    <row r="441" spans="1:17" s="181" customFormat="1">
      <c r="A441" s="276"/>
      <c r="B441" s="182" t="s">
        <v>1239</v>
      </c>
      <c r="C441" s="149">
        <v>1</v>
      </c>
      <c r="D441" s="156" t="s">
        <v>73</v>
      </c>
      <c r="E441" s="149">
        <v>2</v>
      </c>
      <c r="F441" s="150">
        <f>2*(1.485+1.21)</f>
        <v>5.3900000000000006</v>
      </c>
      <c r="G441" s="150"/>
      <c r="H441" s="165">
        <v>3.1749999999999998</v>
      </c>
      <c r="I441" s="151">
        <f t="shared" si="57"/>
        <v>34.229999999999997</v>
      </c>
      <c r="J441" s="180"/>
      <c r="K441" s="184">
        <f>SUM(I390:I434)</f>
        <v>395.67000000000007</v>
      </c>
    </row>
    <row r="442" spans="1:17" s="181" customFormat="1">
      <c r="A442" s="276"/>
      <c r="B442" s="182" t="s">
        <v>1240</v>
      </c>
      <c r="C442" s="149">
        <v>1</v>
      </c>
      <c r="D442" s="156" t="s">
        <v>73</v>
      </c>
      <c r="E442" s="149">
        <v>2</v>
      </c>
      <c r="F442" s="150">
        <f>2*(1.485+1.85)</f>
        <v>6.67</v>
      </c>
      <c r="G442" s="150"/>
      <c r="H442" s="165">
        <v>3.1749999999999998</v>
      </c>
      <c r="I442" s="151">
        <f t="shared" ref="I442" si="59">ROUND(PRODUCT(C442:H442),2)</f>
        <v>42.35</v>
      </c>
      <c r="J442" s="180"/>
    </row>
    <row r="443" spans="1:17" s="181" customFormat="1">
      <c r="A443" s="276"/>
      <c r="B443" s="148" t="s">
        <v>1241</v>
      </c>
      <c r="C443" s="149">
        <v>1</v>
      </c>
      <c r="D443" s="156" t="s">
        <v>73</v>
      </c>
      <c r="E443" s="149">
        <v>1</v>
      </c>
      <c r="F443" s="150">
        <f>2*(4.56+2.67)</f>
        <v>14.459999999999999</v>
      </c>
      <c r="G443" s="150"/>
      <c r="H443" s="165">
        <v>3.1749999999999998</v>
      </c>
      <c r="I443" s="151">
        <f t="shared" si="57"/>
        <v>45.91</v>
      </c>
      <c r="J443" s="180"/>
    </row>
    <row r="444" spans="1:17" s="181" customFormat="1">
      <c r="A444" s="276"/>
      <c r="B444" s="155" t="s">
        <v>254</v>
      </c>
      <c r="C444" s="149"/>
      <c r="D444" s="156"/>
      <c r="E444" s="149"/>
      <c r="F444" s="150"/>
      <c r="G444" s="150"/>
      <c r="H444" s="150"/>
      <c r="I444" s="151">
        <f t="shared" si="57"/>
        <v>0</v>
      </c>
      <c r="J444" s="180"/>
    </row>
    <row r="445" spans="1:17" s="181" customFormat="1">
      <c r="A445" s="276"/>
      <c r="B445" s="148" t="s">
        <v>72</v>
      </c>
      <c r="C445" s="149">
        <v>-2</v>
      </c>
      <c r="D445" s="156" t="s">
        <v>73</v>
      </c>
      <c r="E445" s="149">
        <v>2</v>
      </c>
      <c r="F445" s="150">
        <v>1</v>
      </c>
      <c r="G445" s="150"/>
      <c r="H445" s="150">
        <v>2.1</v>
      </c>
      <c r="I445" s="151">
        <f t="shared" si="57"/>
        <v>-8.4</v>
      </c>
      <c r="J445" s="180"/>
    </row>
    <row r="446" spans="1:17" s="181" customFormat="1">
      <c r="A446" s="276"/>
      <c r="B446" s="148" t="s">
        <v>292</v>
      </c>
      <c r="C446" s="149">
        <v>1</v>
      </c>
      <c r="D446" s="156" t="s">
        <v>73</v>
      </c>
      <c r="E446" s="149">
        <v>2</v>
      </c>
      <c r="F446" s="150">
        <f>1+2.1+2.1</f>
        <v>5.2</v>
      </c>
      <c r="G446" s="150">
        <v>0.13</v>
      </c>
      <c r="H446" s="150"/>
      <c r="I446" s="151">
        <f t="shared" si="57"/>
        <v>1.35</v>
      </c>
      <c r="J446" s="180"/>
    </row>
    <row r="447" spans="1:17" s="181" customFormat="1">
      <c r="A447" s="276"/>
      <c r="B447" s="148" t="s">
        <v>1242</v>
      </c>
      <c r="C447" s="149">
        <v>-1</v>
      </c>
      <c r="D447" s="156" t="s">
        <v>73</v>
      </c>
      <c r="E447" s="149">
        <v>1</v>
      </c>
      <c r="F447" s="150">
        <v>1</v>
      </c>
      <c r="G447" s="150"/>
      <c r="H447" s="150">
        <v>2.1</v>
      </c>
      <c r="I447" s="151">
        <f t="shared" si="57"/>
        <v>-2.1</v>
      </c>
      <c r="J447" s="180"/>
    </row>
    <row r="448" spans="1:17" s="181" customFormat="1">
      <c r="A448" s="276"/>
      <c r="B448" s="148" t="s">
        <v>1216</v>
      </c>
      <c r="C448" s="149">
        <v>1</v>
      </c>
      <c r="D448" s="156" t="s">
        <v>73</v>
      </c>
      <c r="E448" s="149">
        <v>1</v>
      </c>
      <c r="F448" s="150">
        <f>1+2.1+2.1</f>
        <v>5.2</v>
      </c>
      <c r="G448" s="150">
        <v>0.23</v>
      </c>
      <c r="H448" s="150"/>
      <c r="I448" s="151">
        <f t="shared" si="57"/>
        <v>1.2</v>
      </c>
      <c r="J448" s="180"/>
    </row>
    <row r="449" spans="1:17" s="181" customFormat="1">
      <c r="A449" s="276"/>
      <c r="B449" s="148" t="s">
        <v>266</v>
      </c>
      <c r="C449" s="149">
        <v>-6</v>
      </c>
      <c r="D449" s="156" t="s">
        <v>73</v>
      </c>
      <c r="E449" s="149">
        <v>2</v>
      </c>
      <c r="F449" s="150">
        <v>0.75</v>
      </c>
      <c r="G449" s="150"/>
      <c r="H449" s="150">
        <v>2.1</v>
      </c>
      <c r="I449" s="151">
        <f t="shared" si="57"/>
        <v>-18.899999999999999</v>
      </c>
      <c r="J449" s="180"/>
    </row>
    <row r="450" spans="1:17" s="181" customFormat="1">
      <c r="A450" s="276"/>
      <c r="B450" s="148" t="s">
        <v>293</v>
      </c>
      <c r="C450" s="149">
        <v>6</v>
      </c>
      <c r="D450" s="156" t="s">
        <v>73</v>
      </c>
      <c r="E450" s="149">
        <v>1</v>
      </c>
      <c r="F450" s="150">
        <f>0.75+2.1+2.1</f>
        <v>4.95</v>
      </c>
      <c r="G450" s="165">
        <v>0.115</v>
      </c>
      <c r="H450" s="165"/>
      <c r="I450" s="151">
        <f t="shared" si="57"/>
        <v>3.42</v>
      </c>
      <c r="J450" s="180"/>
    </row>
    <row r="451" spans="1:17" s="181" customFormat="1">
      <c r="A451" s="276"/>
      <c r="B451" s="148" t="s">
        <v>265</v>
      </c>
      <c r="C451" s="149">
        <v>-2</v>
      </c>
      <c r="D451" s="156" t="s">
        <v>73</v>
      </c>
      <c r="E451" s="149">
        <v>2</v>
      </c>
      <c r="F451" s="150">
        <v>0.9</v>
      </c>
      <c r="G451" s="150"/>
      <c r="H451" s="150">
        <v>2.1</v>
      </c>
      <c r="I451" s="151">
        <f t="shared" si="57"/>
        <v>-7.56</v>
      </c>
      <c r="J451" s="180"/>
    </row>
    <row r="452" spans="1:17" s="181" customFormat="1">
      <c r="A452" s="276"/>
      <c r="B452" s="148" t="s">
        <v>304</v>
      </c>
      <c r="C452" s="149">
        <v>2</v>
      </c>
      <c r="D452" s="156" t="s">
        <v>73</v>
      </c>
      <c r="E452" s="149">
        <v>2</v>
      </c>
      <c r="F452" s="150">
        <v>5.0999999999999996</v>
      </c>
      <c r="G452" s="165">
        <v>0.05</v>
      </c>
      <c r="H452" s="165"/>
      <c r="I452" s="151">
        <f t="shared" si="57"/>
        <v>1.02</v>
      </c>
      <c r="J452" s="180"/>
    </row>
    <row r="453" spans="1:17" s="181" customFormat="1">
      <c r="A453" s="276"/>
      <c r="B453" s="148" t="s">
        <v>305</v>
      </c>
      <c r="C453" s="149">
        <v>-8</v>
      </c>
      <c r="D453" s="156" t="s">
        <v>73</v>
      </c>
      <c r="E453" s="149">
        <v>1</v>
      </c>
      <c r="F453" s="150">
        <v>0.75</v>
      </c>
      <c r="G453" s="150"/>
      <c r="H453" s="150">
        <v>0.6</v>
      </c>
      <c r="I453" s="151">
        <f t="shared" si="57"/>
        <v>-3.6</v>
      </c>
      <c r="J453" s="180"/>
    </row>
    <row r="454" spans="1:17" s="181" customFormat="1">
      <c r="A454" s="276"/>
      <c r="B454" s="148" t="s">
        <v>306</v>
      </c>
      <c r="C454" s="149">
        <v>8</v>
      </c>
      <c r="D454" s="156" t="s">
        <v>73</v>
      </c>
      <c r="E454" s="149">
        <v>1</v>
      </c>
      <c r="F454" s="150">
        <v>2.7</v>
      </c>
      <c r="G454" s="150">
        <v>0.23</v>
      </c>
      <c r="H454" s="150"/>
      <c r="I454" s="151">
        <f t="shared" si="57"/>
        <v>4.97</v>
      </c>
      <c r="J454" s="180"/>
    </row>
    <row r="455" spans="1:17" s="181" customFormat="1">
      <c r="A455" s="276"/>
      <c r="B455" s="148" t="s">
        <v>294</v>
      </c>
      <c r="C455" s="149">
        <v>-1</v>
      </c>
      <c r="D455" s="156" t="s">
        <v>73</v>
      </c>
      <c r="E455" s="149">
        <v>4</v>
      </c>
      <c r="F455" s="150">
        <v>1.35</v>
      </c>
      <c r="G455" s="150"/>
      <c r="H455" s="150">
        <v>1.35</v>
      </c>
      <c r="I455" s="151">
        <f t="shared" si="57"/>
        <v>-7.29</v>
      </c>
      <c r="J455" s="180"/>
    </row>
    <row r="456" spans="1:17" s="181" customFormat="1">
      <c r="A456" s="276"/>
      <c r="B456" s="148" t="s">
        <v>295</v>
      </c>
      <c r="C456" s="149">
        <v>1</v>
      </c>
      <c r="D456" s="156" t="s">
        <v>73</v>
      </c>
      <c r="E456" s="149">
        <v>4</v>
      </c>
      <c r="F456" s="150">
        <v>5.4</v>
      </c>
      <c r="G456" s="150">
        <v>0.23</v>
      </c>
      <c r="H456" s="150"/>
      <c r="I456" s="151">
        <f t="shared" si="57"/>
        <v>4.97</v>
      </c>
      <c r="J456" s="180"/>
    </row>
    <row r="457" spans="1:17" s="181" customFormat="1">
      <c r="A457" s="276"/>
      <c r="B457" s="148" t="s">
        <v>1229</v>
      </c>
      <c r="C457" s="149">
        <v>-1</v>
      </c>
      <c r="D457" s="156" t="s">
        <v>73</v>
      </c>
      <c r="E457" s="149">
        <v>1</v>
      </c>
      <c r="F457" s="150">
        <v>0.75</v>
      </c>
      <c r="G457" s="150"/>
      <c r="H457" s="150">
        <v>2.1</v>
      </c>
      <c r="I457" s="151">
        <f t="shared" si="57"/>
        <v>-1.58</v>
      </c>
      <c r="J457" s="180"/>
      <c r="L457" s="185"/>
      <c r="M457" s="185"/>
      <c r="N457" s="185"/>
      <c r="O457" s="186"/>
      <c r="P457" s="186"/>
      <c r="Q457" s="186"/>
    </row>
    <row r="458" spans="1:17" s="181" customFormat="1">
      <c r="A458" s="276"/>
      <c r="B458" s="148" t="s">
        <v>1231</v>
      </c>
      <c r="C458" s="149">
        <v>1</v>
      </c>
      <c r="D458" s="156" t="s">
        <v>73</v>
      </c>
      <c r="E458" s="149">
        <v>1</v>
      </c>
      <c r="F458" s="150">
        <v>4.95</v>
      </c>
      <c r="G458" s="150">
        <v>0.23</v>
      </c>
      <c r="H458" s="150"/>
      <c r="I458" s="151">
        <f t="shared" si="57"/>
        <v>1.1399999999999999</v>
      </c>
      <c r="J458" s="180"/>
    </row>
    <row r="459" spans="1:17" s="181" customFormat="1">
      <c r="A459" s="276"/>
      <c r="B459" s="148" t="s">
        <v>1230</v>
      </c>
      <c r="C459" s="149">
        <v>-1</v>
      </c>
      <c r="D459" s="156" t="s">
        <v>73</v>
      </c>
      <c r="E459" s="149">
        <v>1</v>
      </c>
      <c r="F459" s="150">
        <v>1.2</v>
      </c>
      <c r="G459" s="150"/>
      <c r="H459" s="150">
        <v>2.92</v>
      </c>
      <c r="I459" s="151">
        <f t="shared" ref="I459" si="60">ROUND(PRODUCT(C459:H459),2)</f>
        <v>-3.5</v>
      </c>
      <c r="J459" s="180"/>
      <c r="L459" s="185"/>
      <c r="M459" s="185"/>
      <c r="N459" s="185"/>
      <c r="O459" s="186"/>
      <c r="P459" s="186"/>
      <c r="Q459" s="186"/>
    </row>
    <row r="460" spans="1:17" s="181" customFormat="1">
      <c r="A460" s="276"/>
      <c r="B460" s="148" t="s">
        <v>1230</v>
      </c>
      <c r="C460" s="149">
        <v>-1</v>
      </c>
      <c r="D460" s="156" t="s">
        <v>73</v>
      </c>
      <c r="E460" s="149">
        <v>1</v>
      </c>
      <c r="F460" s="150">
        <v>1.2</v>
      </c>
      <c r="G460" s="150"/>
      <c r="H460" s="150">
        <v>1.92</v>
      </c>
      <c r="I460" s="151">
        <f t="shared" si="57"/>
        <v>-2.2999999999999998</v>
      </c>
      <c r="J460" s="180"/>
      <c r="L460" s="185"/>
      <c r="M460" s="185"/>
      <c r="N460" s="185"/>
      <c r="O460" s="186"/>
      <c r="P460" s="186"/>
      <c r="Q460" s="186"/>
    </row>
    <row r="461" spans="1:17" s="181" customFormat="1">
      <c r="A461" s="276"/>
      <c r="B461" s="148" t="s">
        <v>1232</v>
      </c>
      <c r="C461" s="149">
        <v>1</v>
      </c>
      <c r="D461" s="156" t="s">
        <v>73</v>
      </c>
      <c r="E461" s="149">
        <v>2</v>
      </c>
      <c r="F461" s="150">
        <v>0.15</v>
      </c>
      <c r="G461" s="150"/>
      <c r="H461" s="150">
        <v>2.92</v>
      </c>
      <c r="I461" s="151">
        <f t="shared" si="57"/>
        <v>0.88</v>
      </c>
      <c r="J461" s="180"/>
      <c r="L461" s="185"/>
      <c r="M461" s="185"/>
      <c r="N461" s="185"/>
      <c r="O461" s="186"/>
      <c r="P461" s="186"/>
      <c r="Q461" s="186"/>
    </row>
    <row r="462" spans="1:17" s="181" customFormat="1">
      <c r="A462" s="276"/>
      <c r="B462" s="148" t="s">
        <v>1243</v>
      </c>
      <c r="C462" s="149">
        <v>1</v>
      </c>
      <c r="D462" s="156" t="s">
        <v>73</v>
      </c>
      <c r="E462" s="149">
        <v>2</v>
      </c>
      <c r="F462" s="150">
        <v>4.6100000000000003</v>
      </c>
      <c r="G462" s="150">
        <v>0.6</v>
      </c>
      <c r="H462" s="150"/>
      <c r="I462" s="151">
        <f t="shared" si="57"/>
        <v>5.53</v>
      </c>
      <c r="J462" s="180"/>
    </row>
    <row r="463" spans="1:17" s="181" customFormat="1">
      <c r="A463" s="276"/>
      <c r="B463" s="183" t="s">
        <v>309</v>
      </c>
      <c r="C463" s="149"/>
      <c r="D463" s="156"/>
      <c r="E463" s="149"/>
      <c r="F463" s="150"/>
      <c r="G463" s="150"/>
      <c r="H463" s="150"/>
      <c r="I463" s="151">
        <f t="shared" si="57"/>
        <v>0</v>
      </c>
      <c r="J463" s="180"/>
    </row>
    <row r="464" spans="1:17" s="181" customFormat="1">
      <c r="A464" s="276"/>
      <c r="B464" s="148" t="s">
        <v>1244</v>
      </c>
      <c r="C464" s="149">
        <v>2</v>
      </c>
      <c r="D464" s="149" t="s">
        <v>73</v>
      </c>
      <c r="E464" s="149">
        <v>8</v>
      </c>
      <c r="F464" s="150">
        <v>0.6</v>
      </c>
      <c r="G464" s="150"/>
      <c r="H464" s="150">
        <v>2.1</v>
      </c>
      <c r="I464" s="151">
        <f t="shared" si="57"/>
        <v>20.16</v>
      </c>
      <c r="J464" s="180"/>
    </row>
    <row r="465" spans="1:17" s="181" customFormat="1">
      <c r="A465" s="276"/>
      <c r="B465" s="183" t="s">
        <v>1226</v>
      </c>
      <c r="C465" s="149"/>
      <c r="D465" s="149"/>
      <c r="E465" s="149"/>
      <c r="F465" s="150"/>
      <c r="G465" s="150"/>
      <c r="H465" s="150"/>
      <c r="I465" s="151">
        <f t="shared" si="57"/>
        <v>0</v>
      </c>
      <c r="J465" s="180"/>
      <c r="L465" s="185"/>
      <c r="M465" s="185"/>
      <c r="N465" s="185"/>
      <c r="O465" s="186"/>
      <c r="P465" s="186"/>
      <c r="Q465" s="186"/>
    </row>
    <row r="466" spans="1:17" s="181" customFormat="1">
      <c r="A466" s="276"/>
      <c r="B466" s="148" t="s">
        <v>1244</v>
      </c>
      <c r="C466" s="149">
        <v>2</v>
      </c>
      <c r="D466" s="149" t="s">
        <v>73</v>
      </c>
      <c r="E466" s="149">
        <v>4</v>
      </c>
      <c r="F466" s="150">
        <v>0.75</v>
      </c>
      <c r="G466" s="150">
        <v>0.6</v>
      </c>
      <c r="H466" s="150"/>
      <c r="I466" s="151">
        <f t="shared" ref="I466:I471" si="61">ROUND(PRODUCT(C466:H466),2)</f>
        <v>3.6</v>
      </c>
      <c r="J466" s="180"/>
    </row>
    <row r="467" spans="1:17" s="181" customFormat="1">
      <c r="A467" s="276"/>
      <c r="B467" s="183" t="s">
        <v>1245</v>
      </c>
      <c r="C467" s="149"/>
      <c r="D467" s="156"/>
      <c r="E467" s="149"/>
      <c r="F467" s="150"/>
      <c r="G467" s="150"/>
      <c r="H467" s="150"/>
      <c r="I467" s="151">
        <f t="shared" si="61"/>
        <v>0</v>
      </c>
      <c r="J467" s="180"/>
    </row>
    <row r="468" spans="1:17" s="181" customFormat="1">
      <c r="A468" s="276"/>
      <c r="B468" s="148" t="s">
        <v>1246</v>
      </c>
      <c r="C468" s="149">
        <v>1</v>
      </c>
      <c r="D468" s="149" t="s">
        <v>73</v>
      </c>
      <c r="E468" s="149">
        <v>1</v>
      </c>
      <c r="F468" s="150">
        <f>3.56+4.56+3.56</f>
        <v>11.68</v>
      </c>
      <c r="G468" s="150"/>
      <c r="H468" s="150">
        <v>13.074999999999999</v>
      </c>
      <c r="I468" s="151">
        <f t="shared" ref="I468" si="62">ROUND(PRODUCT(C468:H468),2)</f>
        <v>152.72</v>
      </c>
      <c r="J468" s="180"/>
    </row>
    <row r="469" spans="1:17" s="181" customFormat="1">
      <c r="A469" s="276"/>
      <c r="B469" s="148" t="s">
        <v>1247</v>
      </c>
      <c r="C469" s="149">
        <v>1</v>
      </c>
      <c r="D469" s="149" t="s">
        <v>73</v>
      </c>
      <c r="E469" s="149">
        <v>1</v>
      </c>
      <c r="F469" s="150">
        <f>2.36+2.16+2.36</f>
        <v>6.879999999999999</v>
      </c>
      <c r="G469" s="150"/>
      <c r="H469" s="150">
        <v>13.074999999999999</v>
      </c>
      <c r="I469" s="151">
        <f t="shared" si="61"/>
        <v>89.96</v>
      </c>
      <c r="J469" s="180"/>
    </row>
    <row r="470" spans="1:17" s="181" customFormat="1">
      <c r="A470" s="276"/>
      <c r="B470" s="148" t="s">
        <v>1248</v>
      </c>
      <c r="C470" s="149">
        <v>-1</v>
      </c>
      <c r="D470" s="156" t="s">
        <v>73</v>
      </c>
      <c r="E470" s="149">
        <v>7</v>
      </c>
      <c r="F470" s="150">
        <v>0.9</v>
      </c>
      <c r="G470" s="150"/>
      <c r="H470" s="150">
        <v>0.9</v>
      </c>
      <c r="I470" s="151">
        <f t="shared" si="61"/>
        <v>-5.67</v>
      </c>
      <c r="J470" s="180"/>
      <c r="L470" s="185"/>
      <c r="M470" s="185"/>
      <c r="N470" s="185"/>
      <c r="O470" s="186"/>
      <c r="P470" s="186"/>
      <c r="Q470" s="186"/>
    </row>
    <row r="471" spans="1:17" s="181" customFormat="1">
      <c r="A471" s="276"/>
      <c r="B471" s="148" t="s">
        <v>296</v>
      </c>
      <c r="C471" s="149">
        <v>1</v>
      </c>
      <c r="D471" s="156" t="s">
        <v>73</v>
      </c>
      <c r="E471" s="149">
        <v>7</v>
      </c>
      <c r="F471" s="150">
        <v>3.6</v>
      </c>
      <c r="G471" s="150">
        <v>0.23</v>
      </c>
      <c r="H471" s="150"/>
      <c r="I471" s="151">
        <f t="shared" si="61"/>
        <v>5.8</v>
      </c>
      <c r="J471" s="180"/>
    </row>
    <row r="472" spans="1:17" s="181" customFormat="1">
      <c r="A472" s="276"/>
      <c r="B472" s="148" t="s">
        <v>1249</v>
      </c>
      <c r="C472" s="149">
        <v>-1</v>
      </c>
      <c r="D472" s="156" t="s">
        <v>73</v>
      </c>
      <c r="E472" s="149">
        <v>3</v>
      </c>
      <c r="F472" s="150">
        <f>2.35+1.2+2+1.2+1.2+2+0.55</f>
        <v>10.5</v>
      </c>
      <c r="G472" s="150"/>
      <c r="H472" s="150">
        <v>0.15</v>
      </c>
      <c r="I472" s="151">
        <f t="shared" ref="I472" si="63">ROUND(PRODUCT(C472:H472),2)</f>
        <v>-4.7300000000000004</v>
      </c>
      <c r="J472" s="180"/>
    </row>
    <row r="473" spans="1:17" s="181" customFormat="1">
      <c r="A473" s="276"/>
      <c r="B473" s="148" t="s">
        <v>1249</v>
      </c>
      <c r="C473" s="149">
        <v>-1</v>
      </c>
      <c r="D473" s="156" t="s">
        <v>73</v>
      </c>
      <c r="E473" s="149">
        <v>3</v>
      </c>
      <c r="F473" s="150">
        <f>2.35+2+2+0.55</f>
        <v>6.8999999999999995</v>
      </c>
      <c r="G473" s="150"/>
      <c r="H473" s="150">
        <v>0.15</v>
      </c>
      <c r="I473" s="151">
        <f t="shared" ref="I473" si="64">ROUND(PRODUCT(C473:H473),2)</f>
        <v>-3.11</v>
      </c>
      <c r="J473" s="180"/>
      <c r="K473" s="184">
        <f>SUM(I437:I466)</f>
        <v>325.56</v>
      </c>
    </row>
    <row r="474" spans="1:17" s="181" customFormat="1">
      <c r="A474" s="276"/>
      <c r="B474" s="148" t="s">
        <v>1250</v>
      </c>
      <c r="C474" s="149">
        <v>-3</v>
      </c>
      <c r="D474" s="156" t="s">
        <v>73</v>
      </c>
      <c r="E474" s="149">
        <v>19</v>
      </c>
      <c r="F474" s="150">
        <v>0.3</v>
      </c>
      <c r="G474" s="150">
        <v>0.5</v>
      </c>
      <c r="H474" s="150">
        <v>0.15</v>
      </c>
      <c r="I474" s="151">
        <f>ROUND(PRODUCT(C474:H474),2)</f>
        <v>-1.28</v>
      </c>
      <c r="J474" s="180"/>
      <c r="L474" s="185"/>
      <c r="M474" s="185"/>
      <c r="N474" s="185"/>
      <c r="O474" s="186"/>
      <c r="P474" s="186"/>
      <c r="Q474" s="186"/>
    </row>
    <row r="475" spans="1:17" s="181" customFormat="1">
      <c r="A475" s="276"/>
      <c r="B475" s="183" t="s">
        <v>1251</v>
      </c>
      <c r="C475" s="149"/>
      <c r="D475" s="156"/>
      <c r="E475" s="149"/>
      <c r="F475" s="150"/>
      <c r="G475" s="150"/>
      <c r="H475" s="150"/>
      <c r="I475" s="151">
        <f t="shared" ref="I475:I478" si="65">ROUND(PRODUCT(C475:H475),2)</f>
        <v>0</v>
      </c>
      <c r="J475" s="180"/>
    </row>
    <row r="476" spans="1:17" s="181" customFormat="1">
      <c r="A476" s="276"/>
      <c r="B476" s="148" t="s">
        <v>1252</v>
      </c>
      <c r="C476" s="149">
        <v>1</v>
      </c>
      <c r="D476" s="149" t="s">
        <v>73</v>
      </c>
      <c r="E476" s="149">
        <v>1</v>
      </c>
      <c r="F476" s="150">
        <f>2*(1.9+1.7)</f>
        <v>7.1999999999999993</v>
      </c>
      <c r="G476" s="150"/>
      <c r="H476" s="150">
        <f>1.8+3.3+3.3+3.3+3.3+1.05</f>
        <v>16.05</v>
      </c>
      <c r="I476" s="151">
        <f t="shared" si="65"/>
        <v>115.56</v>
      </c>
      <c r="J476" s="180"/>
    </row>
    <row r="477" spans="1:17" s="181" customFormat="1">
      <c r="A477" s="276"/>
      <c r="B477" s="148" t="s">
        <v>1253</v>
      </c>
      <c r="C477" s="149">
        <v>-1</v>
      </c>
      <c r="D477" s="156" t="s">
        <v>73</v>
      </c>
      <c r="E477" s="149">
        <v>4</v>
      </c>
      <c r="F477" s="150">
        <v>0.75</v>
      </c>
      <c r="G477" s="150"/>
      <c r="H477" s="150">
        <v>2.1</v>
      </c>
      <c r="I477" s="151">
        <f t="shared" si="65"/>
        <v>-6.3</v>
      </c>
      <c r="J477" s="180"/>
    </row>
    <row r="478" spans="1:17" s="181" customFormat="1">
      <c r="A478" s="276"/>
      <c r="B478" s="148" t="s">
        <v>1254</v>
      </c>
      <c r="C478" s="149">
        <v>1</v>
      </c>
      <c r="D478" s="156" t="s">
        <v>73</v>
      </c>
      <c r="E478" s="149">
        <v>4</v>
      </c>
      <c r="F478" s="150">
        <v>4.95</v>
      </c>
      <c r="G478" s="150">
        <v>0.23</v>
      </c>
      <c r="H478" s="150"/>
      <c r="I478" s="151">
        <f t="shared" si="65"/>
        <v>4.55</v>
      </c>
      <c r="J478" s="180"/>
    </row>
    <row r="479" spans="1:17" s="181" customFormat="1">
      <c r="A479" s="276"/>
      <c r="B479" s="157" t="s">
        <v>313</v>
      </c>
      <c r="C479" s="149"/>
      <c r="D479" s="149"/>
      <c r="E479" s="149"/>
      <c r="F479" s="150"/>
      <c r="G479" s="158" t="s">
        <v>314</v>
      </c>
      <c r="H479" s="150"/>
      <c r="I479" s="159">
        <f>SUM(I309:I478)</f>
        <v>1719.4599999999989</v>
      </c>
      <c r="J479" s="180" t="s">
        <v>75</v>
      </c>
    </row>
    <row r="480" spans="1:17" s="181" customFormat="1">
      <c r="A480" s="276"/>
      <c r="B480" s="183" t="s">
        <v>315</v>
      </c>
      <c r="C480" s="149"/>
      <c r="D480" s="149"/>
      <c r="E480" s="149"/>
      <c r="F480" s="150"/>
      <c r="G480" s="150"/>
      <c r="H480" s="150"/>
      <c r="I480" s="151"/>
      <c r="J480" s="180"/>
    </row>
    <row r="481" spans="1:17" s="181" customFormat="1">
      <c r="A481" s="276"/>
      <c r="B481" s="148" t="s">
        <v>1255</v>
      </c>
      <c r="C481" s="149">
        <v>1</v>
      </c>
      <c r="D481" s="149" t="s">
        <v>73</v>
      </c>
      <c r="E481" s="149">
        <v>1</v>
      </c>
      <c r="F481" s="150">
        <v>14.7</v>
      </c>
      <c r="G481" s="150"/>
      <c r="H481" s="150">
        <v>8.18</v>
      </c>
      <c r="I481" s="151">
        <f t="shared" ref="I481:I529" si="66">ROUND(PRODUCT(C481:H481),2)</f>
        <v>120.25</v>
      </c>
      <c r="J481" s="180"/>
    </row>
    <row r="482" spans="1:17" s="181" customFormat="1">
      <c r="A482" s="276"/>
      <c r="B482" s="148" t="s">
        <v>1258</v>
      </c>
      <c r="C482" s="149">
        <v>-1</v>
      </c>
      <c r="D482" s="156" t="s">
        <v>73</v>
      </c>
      <c r="E482" s="149">
        <v>12</v>
      </c>
      <c r="F482" s="150">
        <v>1.35</v>
      </c>
      <c r="G482" s="150"/>
      <c r="H482" s="150">
        <v>1.35</v>
      </c>
      <c r="I482" s="151">
        <f t="shared" si="66"/>
        <v>-21.87</v>
      </c>
      <c r="J482" s="180"/>
      <c r="L482" s="185"/>
      <c r="M482" s="185"/>
      <c r="N482" s="185"/>
      <c r="O482" s="186"/>
      <c r="P482" s="186"/>
      <c r="Q482" s="186"/>
    </row>
    <row r="483" spans="1:17" s="181" customFormat="1">
      <c r="A483" s="276"/>
      <c r="B483" s="148" t="s">
        <v>1256</v>
      </c>
      <c r="C483" s="149">
        <v>1</v>
      </c>
      <c r="D483" s="156" t="s">
        <v>73</v>
      </c>
      <c r="E483" s="149">
        <v>12</v>
      </c>
      <c r="F483" s="150">
        <v>1.81</v>
      </c>
      <c r="G483" s="150">
        <v>0.6</v>
      </c>
      <c r="H483" s="150"/>
      <c r="I483" s="151">
        <f t="shared" si="66"/>
        <v>13.03</v>
      </c>
      <c r="J483" s="180"/>
    </row>
    <row r="484" spans="1:17" s="181" customFormat="1">
      <c r="A484" s="276"/>
      <c r="B484" s="148" t="s">
        <v>1257</v>
      </c>
      <c r="C484" s="149">
        <v>1</v>
      </c>
      <c r="D484" s="149" t="s">
        <v>73</v>
      </c>
      <c r="E484" s="149">
        <v>1</v>
      </c>
      <c r="F484" s="150">
        <v>14.7</v>
      </c>
      <c r="G484" s="150"/>
      <c r="H484" s="150">
        <v>13.65</v>
      </c>
      <c r="I484" s="151">
        <f t="shared" ref="I484:I486" si="67">ROUND(PRODUCT(C484:H484),2)</f>
        <v>200.66</v>
      </c>
      <c r="J484" s="180"/>
    </row>
    <row r="485" spans="1:17" s="181" customFormat="1">
      <c r="A485" s="276"/>
      <c r="B485" s="148" t="s">
        <v>1258</v>
      </c>
      <c r="C485" s="149">
        <v>-1</v>
      </c>
      <c r="D485" s="156" t="s">
        <v>73</v>
      </c>
      <c r="E485" s="149">
        <v>5</v>
      </c>
      <c r="F485" s="150">
        <v>1.35</v>
      </c>
      <c r="G485" s="150"/>
      <c r="H485" s="150">
        <v>1.35</v>
      </c>
      <c r="I485" s="151">
        <f t="shared" si="67"/>
        <v>-9.11</v>
      </c>
      <c r="J485" s="180"/>
      <c r="K485" s="184">
        <f>SUM(I468:I478)</f>
        <v>347.5</v>
      </c>
    </row>
    <row r="486" spans="1:17" s="181" customFormat="1">
      <c r="A486" s="276"/>
      <c r="B486" s="148" t="s">
        <v>1256</v>
      </c>
      <c r="C486" s="149">
        <v>1</v>
      </c>
      <c r="D486" s="156" t="s">
        <v>73</v>
      </c>
      <c r="E486" s="149">
        <v>5</v>
      </c>
      <c r="F486" s="150">
        <v>1.81</v>
      </c>
      <c r="G486" s="150">
        <v>0.6</v>
      </c>
      <c r="H486" s="150"/>
      <c r="I486" s="151">
        <f t="shared" si="67"/>
        <v>5.43</v>
      </c>
      <c r="J486" s="180"/>
      <c r="K486" s="159">
        <f>SUM(K316:K485)</f>
        <v>1719.46</v>
      </c>
    </row>
    <row r="487" spans="1:17" s="181" customFormat="1">
      <c r="A487" s="276"/>
      <c r="B487" s="148" t="s">
        <v>1248</v>
      </c>
      <c r="C487" s="149">
        <v>-1</v>
      </c>
      <c r="D487" s="156" t="s">
        <v>73</v>
      </c>
      <c r="E487" s="149">
        <v>7</v>
      </c>
      <c r="F487" s="150">
        <v>0.9</v>
      </c>
      <c r="G487" s="150"/>
      <c r="H487" s="150">
        <v>0.9</v>
      </c>
      <c r="I487" s="151">
        <f t="shared" ref="I487:I488" si="68">ROUND(PRODUCT(C487:H487),2)</f>
        <v>-5.67</v>
      </c>
      <c r="J487" s="180"/>
    </row>
    <row r="488" spans="1:17" s="181" customFormat="1">
      <c r="A488" s="276"/>
      <c r="B488" s="148" t="s">
        <v>1256</v>
      </c>
      <c r="C488" s="149">
        <v>1</v>
      </c>
      <c r="D488" s="156" t="s">
        <v>73</v>
      </c>
      <c r="E488" s="149">
        <v>7</v>
      </c>
      <c r="F488" s="150">
        <v>1.36</v>
      </c>
      <c r="G488" s="150">
        <v>0.6</v>
      </c>
      <c r="H488" s="150"/>
      <c r="I488" s="151">
        <f t="shared" si="68"/>
        <v>5.71</v>
      </c>
      <c r="J488" s="180"/>
    </row>
    <row r="489" spans="1:17" s="181" customFormat="1">
      <c r="A489" s="276"/>
      <c r="B489" s="148" t="s">
        <v>1260</v>
      </c>
      <c r="C489" s="149">
        <v>1</v>
      </c>
      <c r="D489" s="149" t="s">
        <v>73</v>
      </c>
      <c r="E489" s="149">
        <v>1</v>
      </c>
      <c r="F489" s="150">
        <v>10.37</v>
      </c>
      <c r="G489" s="150"/>
      <c r="H489" s="150">
        <v>8.18</v>
      </c>
      <c r="I489" s="151">
        <f t="shared" ref="I489" si="69">ROUND(PRODUCT(C489:H489),2)</f>
        <v>84.83</v>
      </c>
      <c r="J489" s="180"/>
    </row>
    <row r="490" spans="1:17" s="181" customFormat="1">
      <c r="A490" s="276"/>
      <c r="B490" s="148" t="s">
        <v>1261</v>
      </c>
      <c r="C490" s="149">
        <v>1</v>
      </c>
      <c r="D490" s="149" t="s">
        <v>73</v>
      </c>
      <c r="E490" s="149">
        <v>1</v>
      </c>
      <c r="F490" s="150">
        <v>7.29</v>
      </c>
      <c r="G490" s="150"/>
      <c r="H490" s="150">
        <v>2.5499999999999998</v>
      </c>
      <c r="I490" s="151">
        <f t="shared" ref="I490:I492" si="70">ROUND(PRODUCT(C490:H490),2)</f>
        <v>18.59</v>
      </c>
      <c r="J490" s="180"/>
    </row>
    <row r="491" spans="1:17" s="181" customFormat="1">
      <c r="A491" s="276"/>
      <c r="B491" s="148" t="s">
        <v>1258</v>
      </c>
      <c r="C491" s="149">
        <v>-1</v>
      </c>
      <c r="D491" s="156" t="s">
        <v>73</v>
      </c>
      <c r="E491" s="149">
        <v>6</v>
      </c>
      <c r="F491" s="150">
        <v>1.35</v>
      </c>
      <c r="G491" s="150"/>
      <c r="H491" s="150">
        <v>1.35</v>
      </c>
      <c r="I491" s="151">
        <f t="shared" si="70"/>
        <v>-10.94</v>
      </c>
      <c r="J491" s="180"/>
    </row>
    <row r="492" spans="1:17" s="181" customFormat="1">
      <c r="A492" s="276"/>
      <c r="B492" s="148" t="s">
        <v>1256</v>
      </c>
      <c r="C492" s="149">
        <v>1</v>
      </c>
      <c r="D492" s="156" t="s">
        <v>73</v>
      </c>
      <c r="E492" s="149">
        <v>6</v>
      </c>
      <c r="F492" s="150">
        <v>1.81</v>
      </c>
      <c r="G492" s="150">
        <v>0.6</v>
      </c>
      <c r="H492" s="150"/>
      <c r="I492" s="151">
        <f t="shared" si="70"/>
        <v>6.52</v>
      </c>
      <c r="J492" s="180"/>
    </row>
    <row r="493" spans="1:17" s="181" customFormat="1">
      <c r="A493" s="276"/>
      <c r="B493" s="148" t="s">
        <v>1259</v>
      </c>
      <c r="C493" s="149">
        <v>-1</v>
      </c>
      <c r="D493" s="156" t="s">
        <v>73</v>
      </c>
      <c r="E493" s="149">
        <v>2</v>
      </c>
      <c r="F493" s="150">
        <v>0.75</v>
      </c>
      <c r="G493" s="150"/>
      <c r="H493" s="150">
        <v>0.6</v>
      </c>
      <c r="I493" s="151">
        <f>ROUND(PRODUCT(C493:H493),2)</f>
        <v>-0.9</v>
      </c>
      <c r="J493" s="180"/>
    </row>
    <row r="494" spans="1:17" s="181" customFormat="1">
      <c r="A494" s="276"/>
      <c r="B494" s="148" t="s">
        <v>1262</v>
      </c>
      <c r="C494" s="149">
        <v>1</v>
      </c>
      <c r="D494" s="149" t="s">
        <v>73</v>
      </c>
      <c r="E494" s="149">
        <v>1</v>
      </c>
      <c r="F494" s="150">
        <v>3.53</v>
      </c>
      <c r="G494" s="150"/>
      <c r="H494" s="150">
        <v>3.02</v>
      </c>
      <c r="I494" s="151">
        <f t="shared" ref="I494:I498" si="71">ROUND(PRODUCT(C494:H494),2)</f>
        <v>10.66</v>
      </c>
      <c r="J494" s="180"/>
    </row>
    <row r="495" spans="1:17" s="181" customFormat="1">
      <c r="A495" s="276"/>
      <c r="B495" s="148" t="s">
        <v>1263</v>
      </c>
      <c r="C495" s="149">
        <v>1</v>
      </c>
      <c r="D495" s="149" t="s">
        <v>73</v>
      </c>
      <c r="E495" s="149">
        <v>1</v>
      </c>
      <c r="F495" s="150">
        <v>10.37</v>
      </c>
      <c r="G495" s="150"/>
      <c r="H495" s="150">
        <v>8.18</v>
      </c>
      <c r="I495" s="151">
        <f t="shared" si="71"/>
        <v>84.83</v>
      </c>
      <c r="J495" s="180"/>
    </row>
    <row r="496" spans="1:17" s="181" customFormat="1">
      <c r="A496" s="276"/>
      <c r="B496" s="148" t="s">
        <v>1264</v>
      </c>
      <c r="C496" s="149">
        <v>1</v>
      </c>
      <c r="D496" s="149" t="s">
        <v>73</v>
      </c>
      <c r="E496" s="149">
        <v>1</v>
      </c>
      <c r="F496" s="150">
        <v>7.29</v>
      </c>
      <c r="G496" s="150"/>
      <c r="H496" s="150">
        <v>3.3</v>
      </c>
      <c r="I496" s="151">
        <f t="shared" si="71"/>
        <v>24.06</v>
      </c>
      <c r="J496" s="180"/>
    </row>
    <row r="497" spans="1:10" s="181" customFormat="1">
      <c r="A497" s="276"/>
      <c r="B497" s="148" t="s">
        <v>1258</v>
      </c>
      <c r="C497" s="149">
        <v>-1</v>
      </c>
      <c r="D497" s="156" t="s">
        <v>73</v>
      </c>
      <c r="E497" s="149">
        <v>2</v>
      </c>
      <c r="F497" s="150">
        <v>1.35</v>
      </c>
      <c r="G497" s="150"/>
      <c r="H497" s="150">
        <v>1.35</v>
      </c>
      <c r="I497" s="151">
        <f t="shared" si="71"/>
        <v>-3.65</v>
      </c>
      <c r="J497" s="180"/>
    </row>
    <row r="498" spans="1:10" s="181" customFormat="1">
      <c r="A498" s="276"/>
      <c r="B498" s="148" t="s">
        <v>1256</v>
      </c>
      <c r="C498" s="149">
        <v>1</v>
      </c>
      <c r="D498" s="156" t="s">
        <v>73</v>
      </c>
      <c r="E498" s="149">
        <v>2</v>
      </c>
      <c r="F498" s="150">
        <v>1.81</v>
      </c>
      <c r="G498" s="150">
        <v>0.6</v>
      </c>
      <c r="H498" s="150"/>
      <c r="I498" s="151">
        <f t="shared" si="71"/>
        <v>2.17</v>
      </c>
      <c r="J498" s="180"/>
    </row>
    <row r="499" spans="1:10" s="181" customFormat="1">
      <c r="A499" s="276"/>
      <c r="B499" s="148" t="s">
        <v>1259</v>
      </c>
      <c r="C499" s="149">
        <v>-1</v>
      </c>
      <c r="D499" s="156" t="s">
        <v>73</v>
      </c>
      <c r="E499" s="149">
        <v>6</v>
      </c>
      <c r="F499" s="150">
        <v>0.75</v>
      </c>
      <c r="G499" s="150"/>
      <c r="H499" s="150">
        <v>0.6</v>
      </c>
      <c r="I499" s="151">
        <f>ROUND(PRODUCT(C499:H499),2)</f>
        <v>-2.7</v>
      </c>
      <c r="J499" s="180"/>
    </row>
    <row r="500" spans="1:10" s="181" customFormat="1">
      <c r="A500" s="276"/>
      <c r="B500" s="148" t="s">
        <v>1265</v>
      </c>
      <c r="C500" s="149">
        <v>-1</v>
      </c>
      <c r="D500" s="156" t="s">
        <v>73</v>
      </c>
      <c r="E500" s="149">
        <v>2</v>
      </c>
      <c r="F500" s="150">
        <v>0.9</v>
      </c>
      <c r="G500" s="150"/>
      <c r="H500" s="150">
        <v>0.45</v>
      </c>
      <c r="I500" s="151">
        <f>ROUND(PRODUCT(C500:H500),2)</f>
        <v>-0.81</v>
      </c>
      <c r="J500" s="180"/>
    </row>
    <row r="501" spans="1:10" s="181" customFormat="1">
      <c r="A501" s="276"/>
      <c r="B501" s="148" t="s">
        <v>1266</v>
      </c>
      <c r="C501" s="149">
        <v>1</v>
      </c>
      <c r="D501" s="149" t="s">
        <v>73</v>
      </c>
      <c r="E501" s="149">
        <v>1</v>
      </c>
      <c r="F501" s="150">
        <v>4.58</v>
      </c>
      <c r="G501" s="150"/>
      <c r="H501" s="150">
        <v>3.02</v>
      </c>
      <c r="I501" s="151">
        <f t="shared" ref="I501:I503" si="72">ROUND(PRODUCT(C501:H501),2)</f>
        <v>13.83</v>
      </c>
      <c r="J501" s="180"/>
    </row>
    <row r="502" spans="1:10" s="181" customFormat="1">
      <c r="A502" s="276"/>
      <c r="B502" s="148" t="s">
        <v>1267</v>
      </c>
      <c r="C502" s="149">
        <v>-1</v>
      </c>
      <c r="D502" s="156" t="s">
        <v>73</v>
      </c>
      <c r="E502" s="149">
        <v>2</v>
      </c>
      <c r="F502" s="150">
        <v>1.35</v>
      </c>
      <c r="G502" s="150"/>
      <c r="H502" s="150">
        <v>1.35</v>
      </c>
      <c r="I502" s="151">
        <f t="shared" si="72"/>
        <v>-3.65</v>
      </c>
      <c r="J502" s="180"/>
    </row>
    <row r="503" spans="1:10" s="181" customFormat="1">
      <c r="A503" s="276"/>
      <c r="B503" s="148" t="s">
        <v>1256</v>
      </c>
      <c r="C503" s="149">
        <v>1</v>
      </c>
      <c r="D503" s="156" t="s">
        <v>73</v>
      </c>
      <c r="E503" s="149">
        <v>2</v>
      </c>
      <c r="F503" s="150">
        <v>1.81</v>
      </c>
      <c r="G503" s="150">
        <v>0.6</v>
      </c>
      <c r="H503" s="150"/>
      <c r="I503" s="151">
        <f t="shared" si="72"/>
        <v>2.17</v>
      </c>
      <c r="J503" s="180"/>
    </row>
    <row r="504" spans="1:10" s="181" customFormat="1">
      <c r="A504" s="276"/>
      <c r="B504" s="148" t="s">
        <v>1268</v>
      </c>
      <c r="C504" s="149">
        <v>1</v>
      </c>
      <c r="D504" s="149" t="s">
        <v>73</v>
      </c>
      <c r="E504" s="149">
        <v>1</v>
      </c>
      <c r="F504" s="150">
        <v>2.5350000000000001</v>
      </c>
      <c r="G504" s="150"/>
      <c r="H504" s="150">
        <v>3.02</v>
      </c>
      <c r="I504" s="151">
        <f t="shared" ref="I504:I507" si="73">ROUND(PRODUCT(C504:H504),2)</f>
        <v>7.66</v>
      </c>
      <c r="J504" s="180"/>
    </row>
    <row r="505" spans="1:10" s="181" customFormat="1">
      <c r="A505" s="276"/>
      <c r="B505" s="148" t="s">
        <v>1267</v>
      </c>
      <c r="C505" s="149">
        <v>-1</v>
      </c>
      <c r="D505" s="156" t="s">
        <v>73</v>
      </c>
      <c r="E505" s="149">
        <v>1</v>
      </c>
      <c r="F505" s="150">
        <v>1.35</v>
      </c>
      <c r="G505" s="150"/>
      <c r="H505" s="150">
        <v>1.35</v>
      </c>
      <c r="I505" s="151">
        <f t="shared" si="73"/>
        <v>-1.82</v>
      </c>
      <c r="J505" s="180"/>
    </row>
    <row r="506" spans="1:10" s="181" customFormat="1">
      <c r="A506" s="276"/>
      <c r="B506" s="148" t="s">
        <v>1256</v>
      </c>
      <c r="C506" s="149">
        <v>1</v>
      </c>
      <c r="D506" s="156" t="s">
        <v>73</v>
      </c>
      <c r="E506" s="149">
        <v>1</v>
      </c>
      <c r="F506" s="150">
        <v>1.81</v>
      </c>
      <c r="G506" s="150">
        <v>0.6</v>
      </c>
      <c r="H506" s="150"/>
      <c r="I506" s="151">
        <f t="shared" si="73"/>
        <v>1.0900000000000001</v>
      </c>
      <c r="J506" s="180"/>
    </row>
    <row r="507" spans="1:10" s="181" customFormat="1">
      <c r="A507" s="276"/>
      <c r="B507" s="148" t="s">
        <v>1269</v>
      </c>
      <c r="C507" s="149">
        <v>1</v>
      </c>
      <c r="D507" s="156" t="s">
        <v>73</v>
      </c>
      <c r="E507" s="149">
        <v>3</v>
      </c>
      <c r="F507" s="150">
        <v>1.66</v>
      </c>
      <c r="G507" s="150"/>
      <c r="H507" s="150">
        <v>3.02</v>
      </c>
      <c r="I507" s="151">
        <f t="shared" si="73"/>
        <v>15.04</v>
      </c>
      <c r="J507" s="180"/>
    </row>
    <row r="508" spans="1:10" s="181" customFormat="1">
      <c r="A508" s="276"/>
      <c r="B508" s="148" t="s">
        <v>1270</v>
      </c>
      <c r="C508" s="149">
        <v>1</v>
      </c>
      <c r="D508" s="149" t="s">
        <v>73</v>
      </c>
      <c r="E508" s="149">
        <v>1</v>
      </c>
      <c r="F508" s="150">
        <v>14.7</v>
      </c>
      <c r="G508" s="150"/>
      <c r="H508" s="150">
        <v>3.75</v>
      </c>
      <c r="I508" s="151">
        <f t="shared" si="66"/>
        <v>55.13</v>
      </c>
      <c r="J508" s="180"/>
    </row>
    <row r="509" spans="1:10" s="181" customFormat="1">
      <c r="A509" s="276"/>
      <c r="B509" s="148" t="s">
        <v>1271</v>
      </c>
      <c r="C509" s="149">
        <v>1</v>
      </c>
      <c r="D509" s="149" t="s">
        <v>73</v>
      </c>
      <c r="E509" s="149">
        <v>1</v>
      </c>
      <c r="F509" s="150">
        <v>14.7</v>
      </c>
      <c r="G509" s="150"/>
      <c r="H509" s="150">
        <v>0.3</v>
      </c>
      <c r="I509" s="151">
        <f t="shared" si="66"/>
        <v>4.41</v>
      </c>
      <c r="J509" s="180"/>
    </row>
    <row r="510" spans="1:10" s="181" customFormat="1">
      <c r="A510" s="276"/>
      <c r="B510" s="148" t="s">
        <v>1272</v>
      </c>
      <c r="C510" s="149">
        <v>1</v>
      </c>
      <c r="D510" s="149" t="s">
        <v>73</v>
      </c>
      <c r="E510" s="149">
        <v>1</v>
      </c>
      <c r="F510" s="150">
        <f>2*(14.24+6.83)</f>
        <v>42.14</v>
      </c>
      <c r="G510" s="150"/>
      <c r="H510" s="150">
        <v>0.45</v>
      </c>
      <c r="I510" s="151">
        <f t="shared" si="66"/>
        <v>18.96</v>
      </c>
      <c r="J510" s="180"/>
    </row>
    <row r="511" spans="1:10" s="181" customFormat="1">
      <c r="A511" s="276"/>
      <c r="B511" s="148" t="s">
        <v>1273</v>
      </c>
      <c r="C511" s="149">
        <v>1</v>
      </c>
      <c r="D511" s="149" t="s">
        <v>73</v>
      </c>
      <c r="E511" s="149">
        <v>1</v>
      </c>
      <c r="F511" s="150">
        <f>2*(14.47+7.06)</f>
        <v>43.06</v>
      </c>
      <c r="G511" s="150">
        <v>0.23</v>
      </c>
      <c r="H511" s="150"/>
      <c r="I511" s="151">
        <f t="shared" ref="I511:I512" si="74">ROUND(PRODUCT(C511:H511),2)</f>
        <v>9.9</v>
      </c>
      <c r="J511" s="180"/>
    </row>
    <row r="512" spans="1:10" s="181" customFormat="1">
      <c r="A512" s="276"/>
      <c r="B512" s="148" t="s">
        <v>1274</v>
      </c>
      <c r="C512" s="149">
        <v>1</v>
      </c>
      <c r="D512" s="149" t="s">
        <v>73</v>
      </c>
      <c r="E512" s="149">
        <v>1</v>
      </c>
      <c r="F512" s="150">
        <f>3.45+14.24+3.45</f>
        <v>21.14</v>
      </c>
      <c r="G512" s="150"/>
      <c r="H512" s="150">
        <v>1.2</v>
      </c>
      <c r="I512" s="151">
        <f t="shared" si="74"/>
        <v>25.37</v>
      </c>
      <c r="J512" s="180"/>
    </row>
    <row r="513" spans="1:10" s="181" customFormat="1">
      <c r="A513" s="276"/>
      <c r="B513" s="148" t="s">
        <v>1275</v>
      </c>
      <c r="C513" s="149">
        <v>1</v>
      </c>
      <c r="D513" s="149" t="s">
        <v>73</v>
      </c>
      <c r="E513" s="149">
        <v>1</v>
      </c>
      <c r="F513" s="150">
        <v>21.6</v>
      </c>
      <c r="G513" s="150">
        <v>0.23</v>
      </c>
      <c r="H513" s="150"/>
      <c r="I513" s="151">
        <f t="shared" ref="I513:I515" si="75">ROUND(PRODUCT(C513:H513),2)</f>
        <v>4.97</v>
      </c>
      <c r="J513" s="180"/>
    </row>
    <row r="514" spans="1:10" s="181" customFormat="1">
      <c r="A514" s="276"/>
      <c r="B514" s="148" t="s">
        <v>1276</v>
      </c>
      <c r="C514" s="149">
        <v>1</v>
      </c>
      <c r="D514" s="149" t="s">
        <v>73</v>
      </c>
      <c r="E514" s="149">
        <v>2</v>
      </c>
      <c r="F514" s="150">
        <v>0.6</v>
      </c>
      <c r="G514" s="150"/>
      <c r="H514" s="150">
        <v>2.1</v>
      </c>
      <c r="I514" s="151">
        <f t="shared" si="75"/>
        <v>2.52</v>
      </c>
      <c r="J514" s="180"/>
    </row>
    <row r="515" spans="1:10" s="181" customFormat="1">
      <c r="A515" s="276"/>
      <c r="B515" s="148" t="s">
        <v>1277</v>
      </c>
      <c r="C515" s="149">
        <v>1</v>
      </c>
      <c r="D515" s="149" t="s">
        <v>73</v>
      </c>
      <c r="E515" s="149">
        <v>1</v>
      </c>
      <c r="F515" s="150">
        <f>2*(2.36+2.16)</f>
        <v>9.0399999999999991</v>
      </c>
      <c r="G515" s="150"/>
      <c r="H515" s="150">
        <v>1.2</v>
      </c>
      <c r="I515" s="151">
        <f t="shared" si="75"/>
        <v>10.85</v>
      </c>
      <c r="J515" s="180"/>
    </row>
    <row r="516" spans="1:10" s="181" customFormat="1">
      <c r="A516" s="276"/>
      <c r="B516" s="148" t="s">
        <v>1282</v>
      </c>
      <c r="C516" s="149">
        <v>1</v>
      </c>
      <c r="D516" s="149" t="s">
        <v>73</v>
      </c>
      <c r="E516" s="149">
        <v>1</v>
      </c>
      <c r="F516" s="150">
        <v>2.36</v>
      </c>
      <c r="G516" s="150">
        <v>2.16</v>
      </c>
      <c r="H516" s="150"/>
      <c r="I516" s="151">
        <f t="shared" ref="I516" si="76">ROUND(PRODUCT(C516:H516),2)</f>
        <v>5.0999999999999996</v>
      </c>
      <c r="J516" s="180"/>
    </row>
    <row r="517" spans="1:10" s="181" customFormat="1">
      <c r="A517" s="276"/>
      <c r="B517" s="148" t="s">
        <v>1278</v>
      </c>
      <c r="C517" s="149">
        <v>1</v>
      </c>
      <c r="D517" s="149" t="s">
        <v>73</v>
      </c>
      <c r="E517" s="149">
        <v>1</v>
      </c>
      <c r="F517" s="150">
        <f>2*(3.01+1.63)</f>
        <v>9.2799999999999994</v>
      </c>
      <c r="G517" s="150"/>
      <c r="H517" s="150">
        <v>1.2</v>
      </c>
      <c r="I517" s="151">
        <f t="shared" ref="I517" si="77">ROUND(PRODUCT(C517:H517),2)</f>
        <v>11.14</v>
      </c>
      <c r="J517" s="180"/>
    </row>
    <row r="518" spans="1:10" s="181" customFormat="1">
      <c r="A518" s="276"/>
      <c r="B518" s="148" t="s">
        <v>1279</v>
      </c>
      <c r="C518" s="149">
        <v>1</v>
      </c>
      <c r="D518" s="149" t="s">
        <v>73</v>
      </c>
      <c r="E518" s="149">
        <v>1</v>
      </c>
      <c r="F518" s="150">
        <v>11</v>
      </c>
      <c r="G518" s="150"/>
      <c r="H518" s="150">
        <v>0.75</v>
      </c>
      <c r="I518" s="151">
        <f t="shared" ref="I518" si="78">ROUND(PRODUCT(C518:H518),2)</f>
        <v>8.25</v>
      </c>
      <c r="J518" s="180"/>
    </row>
    <row r="519" spans="1:10" s="181" customFormat="1">
      <c r="A519" s="276"/>
      <c r="B519" s="148" t="s">
        <v>1280</v>
      </c>
      <c r="C519" s="149">
        <v>1</v>
      </c>
      <c r="D519" s="149" t="s">
        <v>73</v>
      </c>
      <c r="E519" s="149">
        <v>2</v>
      </c>
      <c r="F519" s="150">
        <v>3.71</v>
      </c>
      <c r="G519" s="150"/>
      <c r="H519" s="150">
        <v>1.22</v>
      </c>
      <c r="I519" s="151">
        <f t="shared" ref="I519" si="79">ROUND(PRODUCT(C519:H519),2)</f>
        <v>9.0500000000000007</v>
      </c>
      <c r="J519" s="180"/>
    </row>
    <row r="520" spans="1:10" s="181" customFormat="1">
      <c r="A520" s="276"/>
      <c r="B520" s="148" t="s">
        <v>1280</v>
      </c>
      <c r="C520" s="149">
        <v>2</v>
      </c>
      <c r="D520" s="149" t="s">
        <v>73</v>
      </c>
      <c r="E520" s="149">
        <v>2</v>
      </c>
      <c r="F520" s="150">
        <v>1.1499999999999999</v>
      </c>
      <c r="G520" s="150"/>
      <c r="H520" s="150">
        <v>1.22</v>
      </c>
      <c r="I520" s="151">
        <f t="shared" ref="I520:I521" si="80">ROUND(PRODUCT(C520:H520),2)</f>
        <v>5.61</v>
      </c>
      <c r="J520" s="180"/>
    </row>
    <row r="521" spans="1:10" s="181" customFormat="1">
      <c r="A521" s="276"/>
      <c r="B521" s="148" t="s">
        <v>1281</v>
      </c>
      <c r="C521" s="149">
        <v>1</v>
      </c>
      <c r="D521" s="149" t="s">
        <v>73</v>
      </c>
      <c r="E521" s="149">
        <v>1</v>
      </c>
      <c r="F521" s="150">
        <v>3.1</v>
      </c>
      <c r="G521" s="150">
        <v>1.63</v>
      </c>
      <c r="H521" s="150"/>
      <c r="I521" s="151">
        <f t="shared" si="80"/>
        <v>5.05</v>
      </c>
      <c r="J521" s="180"/>
    </row>
    <row r="522" spans="1:10" s="181" customFormat="1">
      <c r="A522" s="276"/>
      <c r="B522" s="148" t="s">
        <v>1283</v>
      </c>
      <c r="C522" s="149">
        <v>-1</v>
      </c>
      <c r="D522" s="149" t="s">
        <v>73</v>
      </c>
      <c r="E522" s="149">
        <v>1</v>
      </c>
      <c r="F522" s="150">
        <v>0.6</v>
      </c>
      <c r="G522" s="150">
        <v>0.6</v>
      </c>
      <c r="H522" s="150"/>
      <c r="I522" s="151">
        <f t="shared" ref="I522" si="81">ROUND(PRODUCT(C522:H522),2)</f>
        <v>-0.36</v>
      </c>
      <c r="J522" s="180"/>
    </row>
    <row r="523" spans="1:10" s="181" customFormat="1">
      <c r="A523" s="276"/>
      <c r="B523" s="182" t="s">
        <v>316</v>
      </c>
      <c r="C523" s="149">
        <v>1</v>
      </c>
      <c r="D523" s="156" t="s">
        <v>73</v>
      </c>
      <c r="E523" s="149">
        <v>1</v>
      </c>
      <c r="F523" s="150">
        <f>2*(14.7+10.37)</f>
        <v>50.14</v>
      </c>
      <c r="G523" s="150"/>
      <c r="H523" s="150">
        <v>1.2</v>
      </c>
      <c r="I523" s="151">
        <f t="shared" si="66"/>
        <v>60.17</v>
      </c>
      <c r="J523" s="180"/>
    </row>
    <row r="524" spans="1:10" s="181" customFormat="1">
      <c r="A524" s="276"/>
      <c r="B524" s="182" t="s">
        <v>317</v>
      </c>
      <c r="C524" s="149">
        <v>1</v>
      </c>
      <c r="D524" s="156" t="s">
        <v>73</v>
      </c>
      <c r="E524" s="149">
        <v>10</v>
      </c>
      <c r="F524" s="150">
        <v>3.32</v>
      </c>
      <c r="G524" s="150">
        <v>0.23</v>
      </c>
      <c r="H524" s="150"/>
      <c r="I524" s="151">
        <f t="shared" si="66"/>
        <v>7.64</v>
      </c>
      <c r="J524" s="180"/>
    </row>
    <row r="525" spans="1:10" s="181" customFormat="1">
      <c r="A525" s="276"/>
      <c r="B525" s="182" t="s">
        <v>318</v>
      </c>
      <c r="C525" s="149">
        <v>1</v>
      </c>
      <c r="D525" s="156" t="s">
        <v>73</v>
      </c>
      <c r="E525" s="149">
        <v>10</v>
      </c>
      <c r="F525" s="150">
        <v>4.24</v>
      </c>
      <c r="G525" s="150"/>
      <c r="H525" s="150">
        <v>0.9</v>
      </c>
      <c r="I525" s="151">
        <f t="shared" si="66"/>
        <v>38.159999999999997</v>
      </c>
      <c r="J525" s="180"/>
    </row>
    <row r="526" spans="1:10" s="181" customFormat="1">
      <c r="A526" s="276"/>
      <c r="B526" s="182" t="s">
        <v>1309</v>
      </c>
      <c r="C526" s="149">
        <v>1</v>
      </c>
      <c r="D526" s="156" t="s">
        <v>73</v>
      </c>
      <c r="E526" s="149">
        <v>32</v>
      </c>
      <c r="F526" s="150">
        <v>1.81</v>
      </c>
      <c r="G526" s="150">
        <v>0.6</v>
      </c>
      <c r="H526" s="150"/>
      <c r="I526" s="151">
        <f t="shared" ref="I526:I528" si="82">ROUND(PRODUCT(C526:H526),2)</f>
        <v>34.75</v>
      </c>
      <c r="J526" s="180"/>
    </row>
    <row r="527" spans="1:10" s="181" customFormat="1">
      <c r="A527" s="276"/>
      <c r="B527" s="182" t="s">
        <v>1310</v>
      </c>
      <c r="C527" s="149">
        <v>1</v>
      </c>
      <c r="D527" s="156" t="s">
        <v>73</v>
      </c>
      <c r="E527" s="149">
        <v>7</v>
      </c>
      <c r="F527" s="150">
        <v>1.36</v>
      </c>
      <c r="G527" s="150">
        <v>0.6</v>
      </c>
      <c r="H527" s="150"/>
      <c r="I527" s="151">
        <f t="shared" ref="I527" si="83">ROUND(PRODUCT(C527:H527),2)</f>
        <v>5.71</v>
      </c>
      <c r="J527" s="180"/>
    </row>
    <row r="528" spans="1:10" s="181" customFormat="1">
      <c r="A528" s="276"/>
      <c r="B528" s="182" t="s">
        <v>1312</v>
      </c>
      <c r="C528" s="149">
        <v>1</v>
      </c>
      <c r="D528" s="156" t="s">
        <v>73</v>
      </c>
      <c r="E528" s="149">
        <v>1</v>
      </c>
      <c r="F528" s="150">
        <v>1.46</v>
      </c>
      <c r="G528" s="150">
        <v>0.6</v>
      </c>
      <c r="H528" s="150"/>
      <c r="I528" s="151">
        <f t="shared" si="82"/>
        <v>0.88</v>
      </c>
      <c r="J528" s="180"/>
    </row>
    <row r="529" spans="1:11" s="181" customFormat="1">
      <c r="A529" s="276"/>
      <c r="B529" s="182" t="s">
        <v>1311</v>
      </c>
      <c r="C529" s="149">
        <v>2</v>
      </c>
      <c r="D529" s="156" t="s">
        <v>73</v>
      </c>
      <c r="E529" s="149">
        <v>40</v>
      </c>
      <c r="F529" s="150">
        <v>0.6</v>
      </c>
      <c r="G529" s="150"/>
      <c r="H529" s="150">
        <v>0.08</v>
      </c>
      <c r="I529" s="151">
        <f t="shared" si="66"/>
        <v>3.84</v>
      </c>
      <c r="J529" s="180"/>
    </row>
    <row r="530" spans="1:11" s="181" customFormat="1">
      <c r="A530" s="276"/>
      <c r="B530" s="157" t="s">
        <v>322</v>
      </c>
      <c r="C530" s="149"/>
      <c r="D530" s="149"/>
      <c r="E530" s="149"/>
      <c r="F530" s="150"/>
      <c r="G530" s="158" t="s">
        <v>323</v>
      </c>
      <c r="H530" s="150"/>
      <c r="I530" s="159">
        <f>SUM(I481:I529)</f>
        <v>882.50999999999976</v>
      </c>
      <c r="J530" s="180" t="s">
        <v>75</v>
      </c>
    </row>
    <row r="531" spans="1:11" s="181" customFormat="1">
      <c r="A531" s="276"/>
      <c r="B531" s="148"/>
      <c r="C531" s="149"/>
      <c r="D531" s="149"/>
      <c r="E531" s="149"/>
      <c r="F531" s="150"/>
      <c r="G531" s="150"/>
      <c r="H531" s="150"/>
      <c r="I531" s="151"/>
      <c r="J531" s="180"/>
    </row>
    <row r="532" spans="1:11" s="181" customFormat="1">
      <c r="A532" s="276"/>
      <c r="B532" s="170" t="s">
        <v>1491</v>
      </c>
      <c r="C532" s="149">
        <v>1</v>
      </c>
      <c r="D532" s="149" t="s">
        <v>73</v>
      </c>
      <c r="E532" s="149">
        <v>2</v>
      </c>
      <c r="F532" s="150">
        <v>66</v>
      </c>
      <c r="G532" s="150"/>
      <c r="H532" s="150">
        <v>2.4</v>
      </c>
      <c r="I532" s="151">
        <f t="shared" ref="I532:I536" si="84">ROUND(PRODUCT(C532:H532),2)</f>
        <v>316.8</v>
      </c>
      <c r="J532" s="180"/>
      <c r="K532" s="184">
        <f>SUM(I479:I525)</f>
        <v>2556.7899999999986</v>
      </c>
    </row>
    <row r="533" spans="1:11" s="181" customFormat="1">
      <c r="A533" s="276"/>
      <c r="B533" s="170" t="s">
        <v>1426</v>
      </c>
      <c r="C533" s="149">
        <v>1</v>
      </c>
      <c r="D533" s="149" t="s">
        <v>73</v>
      </c>
      <c r="E533" s="149">
        <v>1</v>
      </c>
      <c r="F533" s="150">
        <v>66</v>
      </c>
      <c r="G533" s="150">
        <v>0.23</v>
      </c>
      <c r="H533" s="150"/>
      <c r="I533" s="151">
        <f t="shared" ref="I533:I534" si="85">ROUND(PRODUCT(C533:H533),2)</f>
        <v>15.18</v>
      </c>
      <c r="J533" s="180"/>
      <c r="K533" s="184">
        <f>SUM(I479:I525)</f>
        <v>2556.7899999999986</v>
      </c>
    </row>
    <row r="534" spans="1:11" s="181" customFormat="1">
      <c r="A534" s="276"/>
      <c r="B534" s="170" t="s">
        <v>1492</v>
      </c>
      <c r="C534" s="149">
        <v>2</v>
      </c>
      <c r="D534" s="149" t="s">
        <v>73</v>
      </c>
      <c r="E534" s="149">
        <v>20</v>
      </c>
      <c r="F534" s="150">
        <v>1.25</v>
      </c>
      <c r="G534" s="150">
        <v>0.12</v>
      </c>
      <c r="H534" s="150"/>
      <c r="I534" s="151">
        <f t="shared" si="85"/>
        <v>6</v>
      </c>
      <c r="J534" s="180"/>
      <c r="K534" s="184">
        <f>SUM(I479:I525)</f>
        <v>2556.7899999999986</v>
      </c>
    </row>
    <row r="535" spans="1:11" s="181" customFormat="1">
      <c r="A535" s="276"/>
      <c r="B535" s="170" t="s">
        <v>1493</v>
      </c>
      <c r="C535" s="149">
        <v>1</v>
      </c>
      <c r="D535" s="149" t="s">
        <v>73</v>
      </c>
      <c r="E535" s="149">
        <v>20</v>
      </c>
      <c r="F535" s="150">
        <v>2.54</v>
      </c>
      <c r="G535" s="150">
        <v>0.12</v>
      </c>
      <c r="H535" s="150"/>
      <c r="I535" s="151">
        <f t="shared" si="84"/>
        <v>6.1</v>
      </c>
      <c r="J535" s="180"/>
      <c r="K535" s="184">
        <f>SUM(I480:I526)</f>
        <v>872.0799999999997</v>
      </c>
    </row>
    <row r="536" spans="1:11" s="181" customFormat="1">
      <c r="A536" s="276"/>
      <c r="B536" s="148" t="s">
        <v>1427</v>
      </c>
      <c r="C536" s="149">
        <v>-2</v>
      </c>
      <c r="D536" s="149" t="s">
        <v>73</v>
      </c>
      <c r="E536" s="149">
        <v>2</v>
      </c>
      <c r="F536" s="150">
        <v>4.5</v>
      </c>
      <c r="G536" s="150"/>
      <c r="H536" s="150">
        <v>1.5</v>
      </c>
      <c r="I536" s="151">
        <f t="shared" si="84"/>
        <v>-27</v>
      </c>
      <c r="J536" s="180"/>
      <c r="K536" s="184">
        <f>SUM(I479:I527)</f>
        <v>2597.2499999999986</v>
      </c>
    </row>
    <row r="537" spans="1:11" s="181" customFormat="1">
      <c r="A537" s="276"/>
      <c r="B537" s="170" t="s">
        <v>1494</v>
      </c>
      <c r="C537" s="149">
        <v>1</v>
      </c>
      <c r="D537" s="149" t="s">
        <v>73</v>
      </c>
      <c r="E537" s="149">
        <v>2</v>
      </c>
      <c r="F537" s="150">
        <v>91.4</v>
      </c>
      <c r="G537" s="150"/>
      <c r="H537" s="150">
        <v>1.8</v>
      </c>
      <c r="I537" s="151">
        <f t="shared" ref="I537:I539" si="86">ROUND(PRODUCT(C537:H537),2)</f>
        <v>329.04</v>
      </c>
      <c r="J537" s="180"/>
      <c r="K537" s="184">
        <f>SUM(I484:I530)</f>
        <v>1653.6099999999997</v>
      </c>
    </row>
    <row r="538" spans="1:11" s="181" customFormat="1">
      <c r="A538" s="276"/>
      <c r="B538" s="170" t="s">
        <v>1426</v>
      </c>
      <c r="C538" s="149">
        <v>1</v>
      </c>
      <c r="D538" s="149" t="s">
        <v>73</v>
      </c>
      <c r="E538" s="149">
        <v>1</v>
      </c>
      <c r="F538" s="150">
        <v>91.4</v>
      </c>
      <c r="G538" s="150">
        <v>0.23</v>
      </c>
      <c r="H538" s="150"/>
      <c r="I538" s="151">
        <f t="shared" si="86"/>
        <v>21.02</v>
      </c>
      <c r="J538" s="180"/>
      <c r="K538" s="184">
        <f>SUM(I484:I530)</f>
        <v>1653.6099999999997</v>
      </c>
    </row>
    <row r="539" spans="1:11" s="181" customFormat="1">
      <c r="A539" s="276"/>
      <c r="B539" s="170" t="s">
        <v>1492</v>
      </c>
      <c r="C539" s="149">
        <v>2</v>
      </c>
      <c r="D539" s="149" t="s">
        <v>73</v>
      </c>
      <c r="E539" s="149">
        <v>35</v>
      </c>
      <c r="F539" s="150">
        <v>1.5</v>
      </c>
      <c r="G539" s="150">
        <v>0.12</v>
      </c>
      <c r="H539" s="150"/>
      <c r="I539" s="151">
        <f t="shared" si="86"/>
        <v>12.6</v>
      </c>
      <c r="J539" s="180"/>
      <c r="K539" s="184">
        <f>SUM(I484:I530)</f>
        <v>1653.6099999999997</v>
      </c>
    </row>
    <row r="540" spans="1:11" s="181" customFormat="1">
      <c r="A540" s="276"/>
      <c r="B540" s="182" t="s">
        <v>1284</v>
      </c>
      <c r="C540" s="149"/>
      <c r="D540" s="149"/>
      <c r="E540" s="149"/>
      <c r="F540" s="150"/>
      <c r="G540" s="150"/>
      <c r="H540" s="150"/>
      <c r="I540" s="151"/>
      <c r="J540" s="180"/>
      <c r="K540" s="184">
        <f>SUM(I480:I528)</f>
        <v>878.66999999999973</v>
      </c>
    </row>
    <row r="541" spans="1:11" s="181" customFormat="1">
      <c r="A541" s="276"/>
      <c r="B541" s="148" t="s">
        <v>1285</v>
      </c>
      <c r="C541" s="149">
        <v>1</v>
      </c>
      <c r="D541" s="149" t="s">
        <v>73</v>
      </c>
      <c r="E541" s="149">
        <v>1</v>
      </c>
      <c r="F541" s="150">
        <f>14.7+1.06+1.06+1.06+1.06</f>
        <v>18.939999999999998</v>
      </c>
      <c r="G541" s="150"/>
      <c r="H541" s="150">
        <v>0.6</v>
      </c>
      <c r="I541" s="151">
        <f t="shared" ref="I541" si="87">ROUND(PRODUCT(C541:H541),2)</f>
        <v>11.36</v>
      </c>
      <c r="J541" s="180"/>
      <c r="K541" s="184">
        <f>SUM(I481:I529)</f>
        <v>882.50999999999976</v>
      </c>
    </row>
    <row r="542" spans="1:11" s="181" customFormat="1">
      <c r="A542" s="276"/>
      <c r="B542" s="148" t="s">
        <v>1286</v>
      </c>
      <c r="C542" s="149">
        <v>1</v>
      </c>
      <c r="D542" s="149" t="s">
        <v>73</v>
      </c>
      <c r="E542" s="149">
        <v>1</v>
      </c>
      <c r="F542" s="150">
        <v>18.71</v>
      </c>
      <c r="G542" s="150">
        <v>0.115</v>
      </c>
      <c r="H542" s="150"/>
      <c r="I542" s="151">
        <f t="shared" ref="I542" si="88">ROUND(PRODUCT(C542:H542),2)</f>
        <v>2.15</v>
      </c>
      <c r="J542" s="180"/>
    </row>
    <row r="543" spans="1:11" s="181" customFormat="1">
      <c r="A543" s="276"/>
      <c r="B543" s="157"/>
      <c r="C543" s="149"/>
      <c r="D543" s="149"/>
      <c r="E543" s="149"/>
      <c r="F543" s="150"/>
      <c r="G543" s="158" t="s">
        <v>1429</v>
      </c>
      <c r="H543" s="150"/>
      <c r="I543" s="159">
        <f>SUM(I532:I542)</f>
        <v>693.25000000000011</v>
      </c>
      <c r="J543" s="180"/>
    </row>
    <row r="544" spans="1:11" s="181" customFormat="1" ht="37.5">
      <c r="A544" s="169"/>
      <c r="B544" s="157" t="s">
        <v>11</v>
      </c>
      <c r="C544" s="149"/>
      <c r="D544" s="149"/>
      <c r="E544" s="149"/>
      <c r="F544" s="150"/>
      <c r="G544" s="158" t="s">
        <v>1430</v>
      </c>
      <c r="H544" s="150"/>
      <c r="I544" s="159">
        <f>I530+I479+I543</f>
        <v>3295.2199999999984</v>
      </c>
      <c r="J544" s="180" t="s">
        <v>75</v>
      </c>
    </row>
    <row r="545" spans="1:10" s="181" customFormat="1">
      <c r="A545" s="276"/>
      <c r="B545" s="157" t="s">
        <v>1409</v>
      </c>
      <c r="C545" s="149"/>
      <c r="D545" s="149"/>
      <c r="E545" s="149"/>
      <c r="F545" s="150"/>
      <c r="G545" s="158"/>
      <c r="H545" s="150"/>
      <c r="I545" s="159">
        <f>-excess!G40</f>
        <v>-529.63</v>
      </c>
      <c r="J545" s="180"/>
    </row>
    <row r="546" spans="1:10" s="181" customFormat="1">
      <c r="A546" s="276"/>
      <c r="B546" s="157"/>
      <c r="C546" s="149"/>
      <c r="D546" s="149"/>
      <c r="E546" s="149"/>
      <c r="F546" s="150"/>
      <c r="G546" s="158"/>
      <c r="H546" s="150"/>
      <c r="I546" s="159">
        <f>SUM(I544:I545)</f>
        <v>2765.5899999999983</v>
      </c>
      <c r="J546" s="180"/>
    </row>
    <row r="547" spans="1:10" s="181" customFormat="1">
      <c r="A547" s="276"/>
      <c r="B547" s="182"/>
      <c r="C547" s="149"/>
      <c r="D547" s="149"/>
      <c r="E547" s="149"/>
      <c r="F547" s="150"/>
      <c r="G547" s="158"/>
      <c r="H547" s="158" t="s">
        <v>245</v>
      </c>
      <c r="I547" s="160">
        <f>ROUNDUP(I546,1)</f>
        <v>2765.6</v>
      </c>
      <c r="J547" s="180" t="s">
        <v>75</v>
      </c>
    </row>
    <row r="548" spans="1:10" s="181" customFormat="1">
      <c r="A548" s="276"/>
      <c r="B548" s="182"/>
      <c r="C548" s="149"/>
      <c r="D548" s="149"/>
      <c r="E548" s="149"/>
      <c r="F548" s="150"/>
      <c r="G548" s="158"/>
      <c r="H548" s="158"/>
      <c r="I548" s="160"/>
      <c r="J548" s="180"/>
    </row>
    <row r="549" spans="1:10" s="181" customFormat="1" ht="98.25" customHeight="1">
      <c r="A549" s="276">
        <v>34</v>
      </c>
      <c r="B549" s="153" t="s">
        <v>324</v>
      </c>
      <c r="C549" s="149"/>
      <c r="D549" s="149"/>
      <c r="E549" s="149"/>
      <c r="F549" s="150"/>
      <c r="G549" s="150"/>
      <c r="H549" s="150"/>
      <c r="I549" s="151"/>
      <c r="J549" s="180"/>
    </row>
    <row r="550" spans="1:10" s="181" customFormat="1">
      <c r="A550" s="276"/>
      <c r="B550" s="148" t="s">
        <v>325</v>
      </c>
      <c r="C550" s="149">
        <v>1</v>
      </c>
      <c r="D550" s="149" t="s">
        <v>73</v>
      </c>
      <c r="E550" s="149">
        <v>10</v>
      </c>
      <c r="F550" s="150">
        <v>2.4</v>
      </c>
      <c r="G550" s="150"/>
      <c r="H550" s="150">
        <v>0.9</v>
      </c>
      <c r="I550" s="151">
        <f t="shared" ref="I550:I563" si="89">ROUND(PRODUCT(C550:H550),2)</f>
        <v>21.6</v>
      </c>
      <c r="J550" s="180"/>
    </row>
    <row r="551" spans="1:10" s="181" customFormat="1">
      <c r="A551" s="276"/>
      <c r="B551" s="148" t="s">
        <v>1287</v>
      </c>
      <c r="C551" s="149">
        <v>1</v>
      </c>
      <c r="D551" s="149" t="s">
        <v>73</v>
      </c>
      <c r="E551" s="149">
        <v>2</v>
      </c>
      <c r="F551" s="150">
        <v>2.4</v>
      </c>
      <c r="G551" s="150"/>
      <c r="H551" s="150">
        <v>0.9</v>
      </c>
      <c r="I551" s="151">
        <f t="shared" si="89"/>
        <v>4.32</v>
      </c>
      <c r="J551" s="180"/>
    </row>
    <row r="552" spans="1:10" s="181" customFormat="1">
      <c r="A552" s="276"/>
      <c r="B552" s="148" t="s">
        <v>1288</v>
      </c>
      <c r="C552" s="149">
        <v>1</v>
      </c>
      <c r="D552" s="156" t="s">
        <v>73</v>
      </c>
      <c r="E552" s="149">
        <v>1</v>
      </c>
      <c r="F552" s="165">
        <v>2.0750000000000002</v>
      </c>
      <c r="G552" s="150">
        <v>1.32</v>
      </c>
      <c r="H552" s="165"/>
      <c r="I552" s="151">
        <f t="shared" si="89"/>
        <v>2.74</v>
      </c>
      <c r="J552" s="180"/>
    </row>
    <row r="553" spans="1:10" s="181" customFormat="1">
      <c r="A553" s="276"/>
      <c r="B553" s="148" t="s">
        <v>1294</v>
      </c>
      <c r="C553" s="149">
        <v>1</v>
      </c>
      <c r="D553" s="156" t="s">
        <v>73</v>
      </c>
      <c r="E553" s="149">
        <v>1</v>
      </c>
      <c r="F553" s="150">
        <f>2*(2.075+1.32)</f>
        <v>6.7900000000000009</v>
      </c>
      <c r="G553" s="150"/>
      <c r="H553" s="165">
        <v>0.32500000000000001</v>
      </c>
      <c r="I553" s="151">
        <f t="shared" si="89"/>
        <v>2.21</v>
      </c>
      <c r="J553" s="180"/>
    </row>
    <row r="554" spans="1:10" s="181" customFormat="1">
      <c r="A554" s="276"/>
      <c r="B554" s="148" t="s">
        <v>1289</v>
      </c>
      <c r="C554" s="149">
        <v>1</v>
      </c>
      <c r="D554" s="156" t="s">
        <v>73</v>
      </c>
      <c r="E554" s="149">
        <v>1</v>
      </c>
      <c r="F554" s="150">
        <v>1.85</v>
      </c>
      <c r="G554" s="150">
        <v>1.2549999999999999</v>
      </c>
      <c r="H554" s="165"/>
      <c r="I554" s="151">
        <f t="shared" si="89"/>
        <v>2.3199999999999998</v>
      </c>
      <c r="J554" s="180"/>
    </row>
    <row r="555" spans="1:10" s="154" customFormat="1">
      <c r="A555" s="276"/>
      <c r="B555" s="148" t="s">
        <v>1295</v>
      </c>
      <c r="C555" s="149">
        <v>1</v>
      </c>
      <c r="D555" s="156" t="s">
        <v>73</v>
      </c>
      <c r="E555" s="149">
        <v>1</v>
      </c>
      <c r="F555" s="150">
        <f>2*(1.85+1.255)</f>
        <v>6.21</v>
      </c>
      <c r="G555" s="150"/>
      <c r="H555" s="165">
        <v>0.32500000000000001</v>
      </c>
      <c r="I555" s="151">
        <f t="shared" si="89"/>
        <v>2.02</v>
      </c>
      <c r="J555" s="349"/>
    </row>
    <row r="556" spans="1:10" s="181" customFormat="1" ht="19.5" customHeight="1">
      <c r="A556" s="221"/>
      <c r="B556" s="148" t="s">
        <v>1291</v>
      </c>
      <c r="C556" s="149">
        <v>1</v>
      </c>
      <c r="D556" s="156" t="s">
        <v>73</v>
      </c>
      <c r="E556" s="149">
        <v>1</v>
      </c>
      <c r="F556" s="150">
        <v>1.2</v>
      </c>
      <c r="G556" s="150">
        <v>0.9</v>
      </c>
      <c r="H556" s="165"/>
      <c r="I556" s="151">
        <f t="shared" si="89"/>
        <v>1.08</v>
      </c>
      <c r="J556" s="180"/>
    </row>
    <row r="557" spans="1:10" s="181" customFormat="1">
      <c r="A557" s="276"/>
      <c r="B557" s="148" t="s">
        <v>1296</v>
      </c>
      <c r="C557" s="149">
        <v>1</v>
      </c>
      <c r="D557" s="156" t="s">
        <v>73</v>
      </c>
      <c r="E557" s="149">
        <v>1</v>
      </c>
      <c r="F557" s="150">
        <f>2*(1.2+0.9)</f>
        <v>4.2</v>
      </c>
      <c r="G557" s="150"/>
      <c r="H557" s="165">
        <v>0.47499999999999998</v>
      </c>
      <c r="I557" s="151">
        <f t="shared" si="89"/>
        <v>2</v>
      </c>
      <c r="J557" s="180"/>
    </row>
    <row r="558" spans="1:10" s="181" customFormat="1">
      <c r="A558" s="276"/>
      <c r="B558" s="148" t="s">
        <v>1290</v>
      </c>
      <c r="C558" s="149">
        <v>1</v>
      </c>
      <c r="D558" s="156" t="s">
        <v>73</v>
      </c>
      <c r="E558" s="149">
        <v>1</v>
      </c>
      <c r="F558" s="165">
        <v>2.0750000000000002</v>
      </c>
      <c r="G558" s="150">
        <v>1.32</v>
      </c>
      <c r="H558" s="165"/>
      <c r="I558" s="151">
        <f t="shared" si="89"/>
        <v>2.74</v>
      </c>
      <c r="J558" s="180"/>
    </row>
    <row r="559" spans="1:10" s="181" customFormat="1">
      <c r="A559" s="276"/>
      <c r="B559" s="148" t="s">
        <v>1297</v>
      </c>
      <c r="C559" s="149">
        <v>1</v>
      </c>
      <c r="D559" s="156" t="s">
        <v>73</v>
      </c>
      <c r="E559" s="149">
        <v>1</v>
      </c>
      <c r="F559" s="150">
        <f>2*(2.075+1.32)</f>
        <v>6.7900000000000009</v>
      </c>
      <c r="G559" s="150"/>
      <c r="H559" s="165">
        <v>0.32500000000000001</v>
      </c>
      <c r="I559" s="151">
        <f t="shared" si="89"/>
        <v>2.21</v>
      </c>
      <c r="J559" s="180"/>
    </row>
    <row r="560" spans="1:10" s="181" customFormat="1">
      <c r="A560" s="276"/>
      <c r="B560" s="148" t="s">
        <v>1292</v>
      </c>
      <c r="C560" s="149">
        <v>1</v>
      </c>
      <c r="D560" s="156" t="s">
        <v>73</v>
      </c>
      <c r="E560" s="149">
        <v>1</v>
      </c>
      <c r="F560" s="150">
        <v>1.2</v>
      </c>
      <c r="G560" s="150">
        <v>0.9</v>
      </c>
      <c r="H560" s="165"/>
      <c r="I560" s="151">
        <f t="shared" si="89"/>
        <v>1.08</v>
      </c>
      <c r="J560" s="180"/>
    </row>
    <row r="561" spans="1:10" s="181" customFormat="1">
      <c r="A561" s="276"/>
      <c r="B561" s="148" t="s">
        <v>1298</v>
      </c>
      <c r="C561" s="149">
        <v>1</v>
      </c>
      <c r="D561" s="156" t="s">
        <v>73</v>
      </c>
      <c r="E561" s="149">
        <v>1</v>
      </c>
      <c r="F561" s="150">
        <f>2*(1.2+0.9)</f>
        <v>4.2</v>
      </c>
      <c r="G561" s="150"/>
      <c r="H561" s="165">
        <v>0.47499999999999998</v>
      </c>
      <c r="I561" s="151">
        <f t="shared" si="89"/>
        <v>2</v>
      </c>
      <c r="J561" s="180"/>
    </row>
    <row r="562" spans="1:10" s="181" customFormat="1">
      <c r="A562" s="276"/>
      <c r="B562" s="148" t="s">
        <v>1293</v>
      </c>
      <c r="C562" s="149">
        <v>1</v>
      </c>
      <c r="D562" s="156" t="s">
        <v>73</v>
      </c>
      <c r="E562" s="149">
        <v>2</v>
      </c>
      <c r="F562" s="150">
        <v>4.6100000000000003</v>
      </c>
      <c r="G562" s="165">
        <v>1.4850000000000001</v>
      </c>
      <c r="H562" s="165"/>
      <c r="I562" s="151">
        <f t="shared" si="89"/>
        <v>13.69</v>
      </c>
      <c r="J562" s="180"/>
    </row>
    <row r="563" spans="1:10" s="181" customFormat="1" ht="19.5" customHeight="1">
      <c r="A563" s="276"/>
      <c r="B563" s="148" t="s">
        <v>1299</v>
      </c>
      <c r="C563" s="149">
        <v>1</v>
      </c>
      <c r="D563" s="156" t="s">
        <v>73</v>
      </c>
      <c r="E563" s="149">
        <v>2</v>
      </c>
      <c r="F563" s="150">
        <f>2*(4.61+1.485)</f>
        <v>12.190000000000001</v>
      </c>
      <c r="G563" s="150"/>
      <c r="H563" s="165">
        <v>0.27500000000000002</v>
      </c>
      <c r="I563" s="151">
        <f t="shared" si="89"/>
        <v>6.7</v>
      </c>
      <c r="J563" s="180"/>
    </row>
    <row r="564" spans="1:10" s="181" customFormat="1">
      <c r="A564" s="276"/>
      <c r="B564" s="170"/>
      <c r="C564" s="149"/>
      <c r="D564" s="149"/>
      <c r="E564" s="149"/>
      <c r="F564" s="150"/>
      <c r="G564" s="150"/>
      <c r="H564" s="150"/>
      <c r="I564" s="159">
        <f>SUM(I551:I563)</f>
        <v>45.11</v>
      </c>
      <c r="J564" s="180"/>
    </row>
    <row r="565" spans="1:10" s="181" customFormat="1">
      <c r="A565" s="276"/>
      <c r="B565" s="148"/>
      <c r="C565" s="149"/>
      <c r="D565" s="149"/>
      <c r="E565" s="149"/>
      <c r="F565" s="150"/>
      <c r="G565" s="150"/>
      <c r="H565" s="158" t="s">
        <v>245</v>
      </c>
      <c r="I565" s="160">
        <f>ROUNDUP(I564,1)</f>
        <v>45.2</v>
      </c>
      <c r="J565" s="180" t="s">
        <v>75</v>
      </c>
    </row>
    <row r="566" spans="1:10" s="181" customFormat="1">
      <c r="A566" s="276"/>
      <c r="B566" s="148"/>
      <c r="C566" s="149"/>
      <c r="D566" s="149"/>
      <c r="E566" s="149"/>
      <c r="F566" s="150"/>
      <c r="G566" s="150"/>
      <c r="H566" s="158"/>
      <c r="I566" s="160"/>
      <c r="J566" s="180"/>
    </row>
    <row r="567" spans="1:10" s="181" customFormat="1" ht="104.25" customHeight="1">
      <c r="A567" s="276">
        <v>35</v>
      </c>
      <c r="B567" s="153" t="s">
        <v>326</v>
      </c>
      <c r="C567" s="149"/>
      <c r="D567" s="149"/>
      <c r="E567" s="149"/>
      <c r="F567" s="150"/>
      <c r="G567" s="150"/>
      <c r="H567" s="150"/>
      <c r="I567" s="151"/>
      <c r="J567" s="180"/>
    </row>
    <row r="568" spans="1:10" s="181" customFormat="1">
      <c r="A568" s="276"/>
      <c r="B568" s="155" t="s">
        <v>327</v>
      </c>
      <c r="C568" s="149"/>
      <c r="D568" s="149"/>
      <c r="E568" s="149"/>
      <c r="F568" s="150"/>
      <c r="G568" s="150"/>
      <c r="H568" s="150"/>
      <c r="I568" s="151"/>
      <c r="J568" s="180"/>
    </row>
    <row r="569" spans="1:10" s="181" customFormat="1">
      <c r="A569" s="276"/>
      <c r="B569" s="148" t="s">
        <v>251</v>
      </c>
      <c r="C569" s="149">
        <v>1</v>
      </c>
      <c r="D569" s="156" t="s">
        <v>73</v>
      </c>
      <c r="E569" s="149">
        <v>1</v>
      </c>
      <c r="F569" s="150">
        <v>14.7</v>
      </c>
      <c r="G569" s="150">
        <v>10.37</v>
      </c>
      <c r="H569" s="150"/>
      <c r="I569" s="151">
        <f t="shared" ref="I569:I656" si="90">ROUND(PRODUCT(C569:H569),2)</f>
        <v>152.44</v>
      </c>
      <c r="J569" s="180"/>
    </row>
    <row r="570" spans="1:10" s="181" customFormat="1">
      <c r="A570" s="276"/>
      <c r="B570" s="148" t="s">
        <v>328</v>
      </c>
      <c r="C570" s="149">
        <v>-1</v>
      </c>
      <c r="D570" s="156" t="s">
        <v>73</v>
      </c>
      <c r="E570" s="149">
        <v>1</v>
      </c>
      <c r="F570" s="150">
        <v>5.0199999999999996</v>
      </c>
      <c r="G570" s="150">
        <v>3.56</v>
      </c>
      <c r="H570" s="150"/>
      <c r="I570" s="151">
        <f t="shared" ref="I570:I576" si="91">ROUND(PRODUCT(C570:H570),2)</f>
        <v>-17.87</v>
      </c>
      <c r="J570" s="180"/>
    </row>
    <row r="571" spans="1:10" s="181" customFormat="1" ht="18" customHeight="1">
      <c r="A571" s="276"/>
      <c r="B571" s="148" t="s">
        <v>1131</v>
      </c>
      <c r="C571" s="149">
        <v>-1</v>
      </c>
      <c r="D571" s="156" t="s">
        <v>73</v>
      </c>
      <c r="E571" s="149">
        <v>1</v>
      </c>
      <c r="F571" s="150">
        <v>14.7</v>
      </c>
      <c r="G571" s="150">
        <v>0.23</v>
      </c>
      <c r="H571" s="150"/>
      <c r="I571" s="151">
        <f t="shared" si="91"/>
        <v>-3.38</v>
      </c>
      <c r="J571" s="180"/>
    </row>
    <row r="572" spans="1:10" s="181" customFormat="1">
      <c r="A572" s="276"/>
      <c r="B572" s="148" t="s">
        <v>1131</v>
      </c>
      <c r="C572" s="149">
        <v>-1</v>
      </c>
      <c r="D572" s="156" t="s">
        <v>73</v>
      </c>
      <c r="E572" s="149">
        <v>1</v>
      </c>
      <c r="F572" s="150">
        <v>4.84</v>
      </c>
      <c r="G572" s="150">
        <v>0.23</v>
      </c>
      <c r="H572" s="150"/>
      <c r="I572" s="151">
        <f t="shared" si="91"/>
        <v>-1.1100000000000001</v>
      </c>
      <c r="J572" s="161"/>
    </row>
    <row r="573" spans="1:10" s="181" customFormat="1">
      <c r="A573" s="276"/>
      <c r="B573" s="148" t="s">
        <v>1131</v>
      </c>
      <c r="C573" s="149">
        <v>-1</v>
      </c>
      <c r="D573" s="156" t="s">
        <v>73</v>
      </c>
      <c r="E573" s="149">
        <v>1</v>
      </c>
      <c r="F573" s="150">
        <v>3.07</v>
      </c>
      <c r="G573" s="150">
        <v>0.23</v>
      </c>
      <c r="H573" s="150"/>
      <c r="I573" s="151">
        <f t="shared" si="91"/>
        <v>-0.71</v>
      </c>
      <c r="J573" s="221"/>
    </row>
    <row r="574" spans="1:10" s="181" customFormat="1" ht="20.25" customHeight="1">
      <c r="A574" s="221"/>
      <c r="B574" s="148" t="s">
        <v>1131</v>
      </c>
      <c r="C574" s="149">
        <v>-1</v>
      </c>
      <c r="D574" s="156" t="s">
        <v>73</v>
      </c>
      <c r="E574" s="149">
        <v>1</v>
      </c>
      <c r="F574" s="150">
        <v>2.0699999999999998</v>
      </c>
      <c r="G574" s="150">
        <v>0.23</v>
      </c>
      <c r="H574" s="150"/>
      <c r="I574" s="151">
        <f t="shared" si="91"/>
        <v>-0.48</v>
      </c>
      <c r="J574" s="180"/>
    </row>
    <row r="575" spans="1:10" s="181" customFormat="1">
      <c r="A575" s="276"/>
      <c r="B575" s="148" t="s">
        <v>1131</v>
      </c>
      <c r="C575" s="149">
        <v>-1</v>
      </c>
      <c r="D575" s="156" t="s">
        <v>73</v>
      </c>
      <c r="E575" s="149">
        <v>1</v>
      </c>
      <c r="F575" s="150">
        <v>3.46</v>
      </c>
      <c r="G575" s="150">
        <v>0.23</v>
      </c>
      <c r="H575" s="150"/>
      <c r="I575" s="151">
        <f t="shared" si="91"/>
        <v>-0.8</v>
      </c>
      <c r="J575" s="180"/>
    </row>
    <row r="576" spans="1:10" s="181" customFormat="1">
      <c r="A576" s="276"/>
      <c r="B576" s="148" t="s">
        <v>1139</v>
      </c>
      <c r="C576" s="149">
        <v>-1</v>
      </c>
      <c r="D576" s="156" t="s">
        <v>73</v>
      </c>
      <c r="E576" s="149">
        <v>7</v>
      </c>
      <c r="F576" s="150">
        <v>0.38</v>
      </c>
      <c r="G576" s="150">
        <v>0.23</v>
      </c>
      <c r="H576" s="150"/>
      <c r="I576" s="151">
        <f t="shared" si="91"/>
        <v>-0.61</v>
      </c>
      <c r="J576" s="180"/>
    </row>
    <row r="577" spans="1:10" s="181" customFormat="1">
      <c r="A577" s="276"/>
      <c r="B577" s="148" t="s">
        <v>1139</v>
      </c>
      <c r="C577" s="149">
        <v>-1</v>
      </c>
      <c r="D577" s="156" t="s">
        <v>73</v>
      </c>
      <c r="E577" s="149">
        <v>2</v>
      </c>
      <c r="F577" s="150">
        <v>0.3</v>
      </c>
      <c r="G577" s="150">
        <v>0.23</v>
      </c>
      <c r="H577" s="150"/>
      <c r="I577" s="151">
        <f t="shared" si="90"/>
        <v>-0.14000000000000001</v>
      </c>
      <c r="J577" s="180"/>
    </row>
    <row r="578" spans="1:10" s="181" customFormat="1">
      <c r="A578" s="276"/>
      <c r="B578" s="148" t="s">
        <v>1300</v>
      </c>
      <c r="C578" s="149">
        <v>1</v>
      </c>
      <c r="D578" s="156" t="s">
        <v>73</v>
      </c>
      <c r="E578" s="149">
        <v>2</v>
      </c>
      <c r="F578" s="150">
        <v>14.24</v>
      </c>
      <c r="G578" s="150"/>
      <c r="H578" s="150">
        <v>0.3</v>
      </c>
      <c r="I578" s="151">
        <f t="shared" si="90"/>
        <v>8.5399999999999991</v>
      </c>
      <c r="J578" s="180"/>
    </row>
    <row r="579" spans="1:10" s="181" customFormat="1">
      <c r="A579" s="276"/>
      <c r="B579" s="148" t="s">
        <v>1300</v>
      </c>
      <c r="C579" s="149">
        <v>1</v>
      </c>
      <c r="D579" s="156" t="s">
        <v>73</v>
      </c>
      <c r="E579" s="149">
        <v>2</v>
      </c>
      <c r="F579" s="150">
        <v>6.81</v>
      </c>
      <c r="G579" s="150"/>
      <c r="H579" s="150">
        <v>0.3</v>
      </c>
      <c r="I579" s="151">
        <f t="shared" si="90"/>
        <v>4.09</v>
      </c>
      <c r="J579" s="180"/>
    </row>
    <row r="580" spans="1:10" s="181" customFormat="1">
      <c r="A580" s="276"/>
      <c r="B580" s="148" t="s">
        <v>1300</v>
      </c>
      <c r="C580" s="149">
        <v>1</v>
      </c>
      <c r="D580" s="156" t="s">
        <v>73</v>
      </c>
      <c r="E580" s="149">
        <v>2</v>
      </c>
      <c r="F580" s="150">
        <v>4.12</v>
      </c>
      <c r="G580" s="150"/>
      <c r="H580" s="150">
        <v>0.3</v>
      </c>
      <c r="I580" s="151">
        <f t="shared" si="90"/>
        <v>2.4700000000000002</v>
      </c>
      <c r="J580" s="180"/>
    </row>
    <row r="581" spans="1:10" s="181" customFormat="1">
      <c r="A581" s="276"/>
      <c r="B581" s="148" t="s">
        <v>1300</v>
      </c>
      <c r="C581" s="149">
        <v>1</v>
      </c>
      <c r="D581" s="156" t="s">
        <v>73</v>
      </c>
      <c r="E581" s="149">
        <v>2</v>
      </c>
      <c r="F581" s="150">
        <v>3.62</v>
      </c>
      <c r="G581" s="150"/>
      <c r="H581" s="150">
        <v>0.3</v>
      </c>
      <c r="I581" s="151">
        <f t="shared" si="90"/>
        <v>2.17</v>
      </c>
      <c r="J581" s="180"/>
    </row>
    <row r="582" spans="1:10" s="181" customFormat="1">
      <c r="A582" s="276"/>
      <c r="B582" s="148" t="s">
        <v>1300</v>
      </c>
      <c r="C582" s="149">
        <v>1</v>
      </c>
      <c r="D582" s="156" t="s">
        <v>73</v>
      </c>
      <c r="E582" s="149">
        <v>2</v>
      </c>
      <c r="F582" s="150">
        <v>3.3</v>
      </c>
      <c r="G582" s="150"/>
      <c r="H582" s="165">
        <v>0.255</v>
      </c>
      <c r="I582" s="151">
        <f t="shared" si="90"/>
        <v>1.68</v>
      </c>
      <c r="J582" s="180"/>
    </row>
    <row r="583" spans="1:10" s="181" customFormat="1">
      <c r="A583" s="276"/>
      <c r="B583" s="148" t="s">
        <v>1300</v>
      </c>
      <c r="C583" s="149">
        <v>2</v>
      </c>
      <c r="D583" s="156" t="s">
        <v>73</v>
      </c>
      <c r="E583" s="149">
        <v>2</v>
      </c>
      <c r="F583" s="150">
        <v>1.85</v>
      </c>
      <c r="G583" s="150"/>
      <c r="H583" s="165">
        <v>0.255</v>
      </c>
      <c r="I583" s="151">
        <f t="shared" si="90"/>
        <v>1.89</v>
      </c>
      <c r="J583" s="180"/>
    </row>
    <row r="584" spans="1:10" s="181" customFormat="1">
      <c r="A584" s="276"/>
      <c r="B584" s="148" t="s">
        <v>1300</v>
      </c>
      <c r="C584" s="149">
        <v>1</v>
      </c>
      <c r="D584" s="156" t="s">
        <v>73</v>
      </c>
      <c r="E584" s="149">
        <v>2</v>
      </c>
      <c r="F584" s="150">
        <v>2.5299999999999998</v>
      </c>
      <c r="G584" s="150"/>
      <c r="H584" s="165">
        <v>0.255</v>
      </c>
      <c r="I584" s="151">
        <f t="shared" si="90"/>
        <v>1.29</v>
      </c>
      <c r="J584" s="180"/>
    </row>
    <row r="585" spans="1:10" s="181" customFormat="1">
      <c r="A585" s="276"/>
      <c r="B585" s="148" t="s">
        <v>1300</v>
      </c>
      <c r="C585" s="149">
        <v>1</v>
      </c>
      <c r="D585" s="156" t="s">
        <v>73</v>
      </c>
      <c r="E585" s="149">
        <v>2</v>
      </c>
      <c r="F585" s="150">
        <v>2.33</v>
      </c>
      <c r="G585" s="150"/>
      <c r="H585" s="165">
        <v>0.47499999999999998</v>
      </c>
      <c r="I585" s="151">
        <f t="shared" ref="I585:I586" si="92">ROUND(PRODUCT(C585:H585),2)</f>
        <v>2.21</v>
      </c>
      <c r="J585" s="180"/>
    </row>
    <row r="586" spans="1:10" s="181" customFormat="1">
      <c r="A586" s="276"/>
      <c r="B586" s="148" t="s">
        <v>1301</v>
      </c>
      <c r="C586" s="149">
        <v>1</v>
      </c>
      <c r="D586" s="156" t="s">
        <v>73</v>
      </c>
      <c r="E586" s="149">
        <v>1</v>
      </c>
      <c r="F586" s="150">
        <v>2.65</v>
      </c>
      <c r="G586" s="150">
        <v>1.2</v>
      </c>
      <c r="H586" s="150"/>
      <c r="I586" s="151">
        <f t="shared" si="92"/>
        <v>3.18</v>
      </c>
      <c r="J586" s="180"/>
    </row>
    <row r="587" spans="1:10" s="181" customFormat="1">
      <c r="A587" s="276"/>
      <c r="B587" s="148" t="s">
        <v>1302</v>
      </c>
      <c r="C587" s="149">
        <v>1</v>
      </c>
      <c r="D587" s="156" t="s">
        <v>73</v>
      </c>
      <c r="E587" s="149">
        <v>1</v>
      </c>
      <c r="F587" s="150">
        <v>2.35</v>
      </c>
      <c r="G587" s="150">
        <v>1.2</v>
      </c>
      <c r="H587" s="150"/>
      <c r="I587" s="151">
        <f t="shared" si="90"/>
        <v>2.82</v>
      </c>
      <c r="J587" s="180"/>
    </row>
    <row r="588" spans="1:10" s="181" customFormat="1">
      <c r="A588" s="276"/>
      <c r="B588" s="148" t="s">
        <v>1303</v>
      </c>
      <c r="C588" s="149">
        <v>1</v>
      </c>
      <c r="D588" s="156" t="s">
        <v>73</v>
      </c>
      <c r="E588" s="149">
        <v>1</v>
      </c>
      <c r="F588" s="150">
        <v>2.5</v>
      </c>
      <c r="G588" s="150">
        <v>1.2</v>
      </c>
      <c r="H588" s="150"/>
      <c r="I588" s="151">
        <f t="shared" si="90"/>
        <v>3</v>
      </c>
      <c r="J588" s="180"/>
    </row>
    <row r="589" spans="1:10" s="181" customFormat="1">
      <c r="A589" s="276"/>
      <c r="B589" s="148" t="s">
        <v>1304</v>
      </c>
      <c r="C589" s="149">
        <v>1</v>
      </c>
      <c r="D589" s="156" t="s">
        <v>73</v>
      </c>
      <c r="E589" s="149">
        <v>1</v>
      </c>
      <c r="F589" s="150">
        <v>1.2</v>
      </c>
      <c r="G589" s="150">
        <v>1.2</v>
      </c>
      <c r="H589" s="150"/>
      <c r="I589" s="151">
        <f t="shared" si="90"/>
        <v>1.44</v>
      </c>
      <c r="J589" s="180"/>
    </row>
    <row r="590" spans="1:10" s="181" customFormat="1">
      <c r="A590" s="276"/>
      <c r="B590" s="148" t="s">
        <v>1305</v>
      </c>
      <c r="C590" s="149">
        <v>1</v>
      </c>
      <c r="D590" s="156" t="s">
        <v>73</v>
      </c>
      <c r="E590" s="149">
        <v>1</v>
      </c>
      <c r="F590" s="150">
        <v>1.43</v>
      </c>
      <c r="G590" s="150">
        <v>1.2</v>
      </c>
      <c r="H590" s="150"/>
      <c r="I590" s="151">
        <f t="shared" si="90"/>
        <v>1.72</v>
      </c>
      <c r="J590" s="180"/>
    </row>
    <row r="591" spans="1:10" s="181" customFormat="1">
      <c r="A591" s="276"/>
      <c r="B591" s="148" t="s">
        <v>1300</v>
      </c>
      <c r="C591" s="149">
        <v>2</v>
      </c>
      <c r="D591" s="156" t="s">
        <v>73</v>
      </c>
      <c r="E591" s="149">
        <v>2</v>
      </c>
      <c r="F591" s="150">
        <v>1.2</v>
      </c>
      <c r="G591" s="150"/>
      <c r="H591" s="165">
        <v>0.255</v>
      </c>
      <c r="I591" s="151">
        <f t="shared" si="90"/>
        <v>1.22</v>
      </c>
      <c r="J591" s="180"/>
    </row>
    <row r="592" spans="1:10" s="181" customFormat="1">
      <c r="A592" s="276"/>
      <c r="B592" s="148" t="s">
        <v>1306</v>
      </c>
      <c r="C592" s="149">
        <v>1</v>
      </c>
      <c r="D592" s="156" t="s">
        <v>73</v>
      </c>
      <c r="E592" s="149">
        <v>7</v>
      </c>
      <c r="F592" s="150">
        <v>1.22</v>
      </c>
      <c r="G592" s="150"/>
      <c r="H592" s="150">
        <v>2.92</v>
      </c>
      <c r="I592" s="151">
        <f t="shared" si="90"/>
        <v>24.94</v>
      </c>
      <c r="J592" s="180"/>
    </row>
    <row r="593" spans="1:10" s="181" customFormat="1">
      <c r="A593" s="276"/>
      <c r="B593" s="148" t="s">
        <v>1306</v>
      </c>
      <c r="C593" s="149">
        <v>1</v>
      </c>
      <c r="D593" s="156" t="s">
        <v>73</v>
      </c>
      <c r="E593" s="149">
        <v>2</v>
      </c>
      <c r="F593" s="150">
        <v>1.06</v>
      </c>
      <c r="G593" s="150"/>
      <c r="H593" s="150">
        <v>2.92</v>
      </c>
      <c r="I593" s="151">
        <f t="shared" ref="I593:I594" si="93">ROUND(PRODUCT(C593:H593),2)</f>
        <v>6.19</v>
      </c>
      <c r="J593" s="180"/>
    </row>
    <row r="594" spans="1:10" s="181" customFormat="1">
      <c r="A594" s="276"/>
      <c r="B594" s="148" t="s">
        <v>1307</v>
      </c>
      <c r="C594" s="149">
        <v>1</v>
      </c>
      <c r="D594" s="156" t="s">
        <v>73</v>
      </c>
      <c r="E594" s="149">
        <v>5</v>
      </c>
      <c r="F594" s="150">
        <v>1.81</v>
      </c>
      <c r="G594" s="150">
        <v>0.6</v>
      </c>
      <c r="H594" s="150"/>
      <c r="I594" s="151">
        <f t="shared" si="93"/>
        <v>5.43</v>
      </c>
      <c r="J594" s="180"/>
    </row>
    <row r="595" spans="1:10" s="181" customFormat="1">
      <c r="A595" s="276"/>
      <c r="B595" s="148" t="s">
        <v>1308</v>
      </c>
      <c r="C595" s="149">
        <v>1</v>
      </c>
      <c r="D595" s="156" t="s">
        <v>73</v>
      </c>
      <c r="E595" s="149">
        <v>1</v>
      </c>
      <c r="F595" s="150">
        <v>1.36</v>
      </c>
      <c r="G595" s="150">
        <v>0.6</v>
      </c>
      <c r="H595" s="150"/>
      <c r="I595" s="151">
        <f t="shared" ref="I595" si="94">ROUND(PRODUCT(C595:H595),2)</f>
        <v>0.82</v>
      </c>
      <c r="J595" s="180"/>
    </row>
    <row r="596" spans="1:10" s="181" customFormat="1">
      <c r="A596" s="276"/>
      <c r="B596" s="155" t="s">
        <v>329</v>
      </c>
      <c r="C596" s="149"/>
      <c r="D596" s="156"/>
      <c r="E596" s="149"/>
      <c r="F596" s="150"/>
      <c r="G596" s="150"/>
      <c r="H596" s="150"/>
      <c r="I596" s="151">
        <f t="shared" si="90"/>
        <v>0</v>
      </c>
      <c r="J596" s="180"/>
    </row>
    <row r="597" spans="1:10" s="181" customFormat="1">
      <c r="A597" s="276"/>
      <c r="B597" s="148" t="s">
        <v>298</v>
      </c>
      <c r="C597" s="149">
        <v>1</v>
      </c>
      <c r="D597" s="156" t="s">
        <v>73</v>
      </c>
      <c r="E597" s="149">
        <v>1</v>
      </c>
      <c r="F597" s="150">
        <v>6.67</v>
      </c>
      <c r="G597" s="150">
        <v>3.5649999999999999</v>
      </c>
      <c r="H597" s="150"/>
      <c r="I597" s="151">
        <f t="shared" si="90"/>
        <v>23.78</v>
      </c>
      <c r="J597" s="180"/>
    </row>
    <row r="598" spans="1:10" s="181" customFormat="1">
      <c r="A598" s="276"/>
      <c r="B598" s="148" t="s">
        <v>1313</v>
      </c>
      <c r="C598" s="149">
        <v>1</v>
      </c>
      <c r="D598" s="156" t="s">
        <v>73</v>
      </c>
      <c r="E598" s="149">
        <v>1</v>
      </c>
      <c r="F598" s="150">
        <v>6.67</v>
      </c>
      <c r="G598" s="150">
        <v>0.6</v>
      </c>
      <c r="H598" s="150"/>
      <c r="I598" s="151">
        <f t="shared" ref="I598" si="95">ROUND(PRODUCT(C598:H598),2)</f>
        <v>4</v>
      </c>
      <c r="J598" s="180"/>
    </row>
    <row r="599" spans="1:10" s="181" customFormat="1">
      <c r="A599" s="276"/>
      <c r="B599" s="182" t="s">
        <v>1314</v>
      </c>
      <c r="C599" s="149">
        <v>1</v>
      </c>
      <c r="D599" s="156" t="s">
        <v>73</v>
      </c>
      <c r="E599" s="149">
        <v>1</v>
      </c>
      <c r="F599" s="150">
        <v>5.15</v>
      </c>
      <c r="G599" s="150">
        <v>4.12</v>
      </c>
      <c r="H599" s="150"/>
      <c r="I599" s="151">
        <f t="shared" si="90"/>
        <v>21.22</v>
      </c>
      <c r="J599" s="180"/>
    </row>
    <row r="600" spans="1:10" s="181" customFormat="1">
      <c r="A600" s="276"/>
      <c r="B600" s="182" t="s">
        <v>1315</v>
      </c>
      <c r="C600" s="149">
        <v>1</v>
      </c>
      <c r="D600" s="156" t="s">
        <v>73</v>
      </c>
      <c r="E600" s="149">
        <v>1</v>
      </c>
      <c r="F600" s="150">
        <v>2.0750000000000002</v>
      </c>
      <c r="G600" s="165">
        <v>2.6850000000000001</v>
      </c>
      <c r="H600" s="150"/>
      <c r="I600" s="151">
        <f t="shared" si="90"/>
        <v>5.57</v>
      </c>
      <c r="J600" s="180"/>
    </row>
    <row r="601" spans="1:10" s="181" customFormat="1">
      <c r="A601" s="276"/>
      <c r="B601" s="182" t="s">
        <v>1316</v>
      </c>
      <c r="C601" s="149">
        <v>1</v>
      </c>
      <c r="D601" s="156" t="s">
        <v>73</v>
      </c>
      <c r="E601" s="149">
        <v>1</v>
      </c>
      <c r="F601" s="150">
        <v>2.0750000000000002</v>
      </c>
      <c r="G601" s="150">
        <v>1.32</v>
      </c>
      <c r="H601" s="150"/>
      <c r="I601" s="151">
        <f t="shared" si="90"/>
        <v>2.74</v>
      </c>
      <c r="J601" s="180"/>
    </row>
    <row r="602" spans="1:10" s="181" customFormat="1">
      <c r="A602" s="276"/>
      <c r="B602" s="148" t="s">
        <v>302</v>
      </c>
      <c r="C602" s="149">
        <v>1</v>
      </c>
      <c r="D602" s="156" t="s">
        <v>73</v>
      </c>
      <c r="E602" s="149">
        <v>1</v>
      </c>
      <c r="F602" s="150">
        <v>2.5299999999999998</v>
      </c>
      <c r="G602" s="150">
        <v>1.68</v>
      </c>
      <c r="H602" s="150"/>
      <c r="I602" s="151">
        <f t="shared" si="90"/>
        <v>4.25</v>
      </c>
      <c r="J602" s="180"/>
    </row>
    <row r="603" spans="1:10" s="181" customFormat="1">
      <c r="A603" s="276"/>
      <c r="B603" s="148" t="s">
        <v>184</v>
      </c>
      <c r="C603" s="149">
        <v>1</v>
      </c>
      <c r="D603" s="156" t="s">
        <v>73</v>
      </c>
      <c r="E603" s="149">
        <v>1</v>
      </c>
      <c r="F603" s="150">
        <v>2.645</v>
      </c>
      <c r="G603" s="150">
        <v>1.91</v>
      </c>
      <c r="H603" s="150"/>
      <c r="I603" s="151">
        <f t="shared" ref="I603" si="96">ROUND(PRODUCT(C603:H603),2)</f>
        <v>5.05</v>
      </c>
      <c r="J603" s="180"/>
    </row>
    <row r="604" spans="1:10" s="181" customFormat="1">
      <c r="A604" s="276"/>
      <c r="B604" s="148" t="s">
        <v>332</v>
      </c>
      <c r="C604" s="149">
        <v>1</v>
      </c>
      <c r="D604" s="156" t="s">
        <v>73</v>
      </c>
      <c r="E604" s="149">
        <v>1</v>
      </c>
      <c r="F604" s="150">
        <v>2.645</v>
      </c>
      <c r="G604" s="150">
        <v>2.1800000000000002</v>
      </c>
      <c r="H604" s="150"/>
      <c r="I604" s="151">
        <f t="shared" si="90"/>
        <v>5.77</v>
      </c>
      <c r="J604" s="180"/>
    </row>
    <row r="605" spans="1:10" s="181" customFormat="1">
      <c r="A605" s="276"/>
      <c r="B605" s="148" t="s">
        <v>191</v>
      </c>
      <c r="C605" s="149">
        <v>1</v>
      </c>
      <c r="D605" s="156" t="s">
        <v>73</v>
      </c>
      <c r="E605" s="149">
        <v>1</v>
      </c>
      <c r="F605" s="150">
        <v>1.72</v>
      </c>
      <c r="G605" s="150">
        <v>3.1850000000000001</v>
      </c>
      <c r="H605" s="150"/>
      <c r="I605" s="151">
        <f t="shared" si="90"/>
        <v>5.48</v>
      </c>
      <c r="J605" s="180"/>
    </row>
    <row r="606" spans="1:10" s="181" customFormat="1">
      <c r="A606" s="276"/>
      <c r="B606" s="148" t="s">
        <v>1221</v>
      </c>
      <c r="C606" s="149">
        <v>1</v>
      </c>
      <c r="D606" s="156" t="s">
        <v>73</v>
      </c>
      <c r="E606" s="149">
        <v>1</v>
      </c>
      <c r="F606" s="150">
        <v>2.66</v>
      </c>
      <c r="G606" s="150">
        <v>3.33</v>
      </c>
      <c r="H606" s="150"/>
      <c r="I606" s="151">
        <f t="shared" ref="I606" si="97">ROUND(PRODUCT(C606:H606),2)</f>
        <v>8.86</v>
      </c>
      <c r="J606" s="180"/>
    </row>
    <row r="607" spans="1:10" s="181" customFormat="1">
      <c r="A607" s="276"/>
      <c r="B607" s="148" t="s">
        <v>310</v>
      </c>
      <c r="C607" s="149">
        <v>1</v>
      </c>
      <c r="D607" s="156" t="s">
        <v>73</v>
      </c>
      <c r="E607" s="149">
        <v>1</v>
      </c>
      <c r="F607" s="150">
        <v>2.5449999999999999</v>
      </c>
      <c r="G607" s="150">
        <v>2</v>
      </c>
      <c r="H607" s="150"/>
      <c r="I607" s="151">
        <f t="shared" si="90"/>
        <v>5.09</v>
      </c>
      <c r="J607" s="180"/>
    </row>
    <row r="608" spans="1:10" s="181" customFormat="1">
      <c r="A608" s="276"/>
      <c r="B608" s="148" t="s">
        <v>1317</v>
      </c>
      <c r="C608" s="149">
        <v>1</v>
      </c>
      <c r="D608" s="156" t="s">
        <v>73</v>
      </c>
      <c r="E608" s="149">
        <v>1</v>
      </c>
      <c r="F608" s="150">
        <v>3.9449999999999998</v>
      </c>
      <c r="G608" s="150">
        <v>0.6</v>
      </c>
      <c r="H608" s="150"/>
      <c r="I608" s="151">
        <f t="shared" si="90"/>
        <v>2.37</v>
      </c>
      <c r="J608" s="180"/>
    </row>
    <row r="609" spans="1:10" s="181" customFormat="1">
      <c r="A609" s="276"/>
      <c r="B609" s="148" t="s">
        <v>303</v>
      </c>
      <c r="C609" s="149">
        <v>1</v>
      </c>
      <c r="D609" s="156" t="s">
        <v>73</v>
      </c>
      <c r="E609" s="149">
        <v>1</v>
      </c>
      <c r="F609" s="150">
        <v>1.85</v>
      </c>
      <c r="G609" s="150">
        <v>4.8600000000000003</v>
      </c>
      <c r="H609" s="150"/>
      <c r="I609" s="151">
        <f t="shared" si="90"/>
        <v>8.99</v>
      </c>
      <c r="J609" s="180"/>
    </row>
    <row r="610" spans="1:10" s="181" customFormat="1">
      <c r="A610" s="276"/>
      <c r="B610" s="148" t="s">
        <v>126</v>
      </c>
      <c r="C610" s="149">
        <v>1</v>
      </c>
      <c r="D610" s="156" t="s">
        <v>73</v>
      </c>
      <c r="E610" s="149">
        <v>1</v>
      </c>
      <c r="F610" s="150">
        <v>1.85</v>
      </c>
      <c r="G610" s="150">
        <v>1.2549999999999999</v>
      </c>
      <c r="H610" s="150"/>
      <c r="I610" s="151">
        <f t="shared" si="90"/>
        <v>2.3199999999999998</v>
      </c>
      <c r="J610" s="180"/>
    </row>
    <row r="611" spans="1:10" s="181" customFormat="1">
      <c r="A611" s="276"/>
      <c r="B611" s="148" t="s">
        <v>1241</v>
      </c>
      <c r="C611" s="149">
        <v>1</v>
      </c>
      <c r="D611" s="156" t="s">
        <v>73</v>
      </c>
      <c r="E611" s="149">
        <v>1</v>
      </c>
      <c r="F611" s="150">
        <v>6.87</v>
      </c>
      <c r="G611" s="150">
        <v>2</v>
      </c>
      <c r="H611" s="150"/>
      <c r="I611" s="151">
        <f t="shared" si="90"/>
        <v>13.74</v>
      </c>
      <c r="J611" s="180"/>
    </row>
    <row r="612" spans="1:10" s="181" customFormat="1">
      <c r="A612" s="276"/>
      <c r="B612" s="148" t="s">
        <v>1241</v>
      </c>
      <c r="C612" s="149">
        <v>1</v>
      </c>
      <c r="D612" s="149" t="s">
        <v>73</v>
      </c>
      <c r="E612" s="149">
        <v>1</v>
      </c>
      <c r="F612" s="150">
        <v>2.06</v>
      </c>
      <c r="G612" s="150">
        <v>0.67</v>
      </c>
      <c r="H612" s="150"/>
      <c r="I612" s="151">
        <f t="shared" si="90"/>
        <v>1.38</v>
      </c>
      <c r="J612" s="180"/>
    </row>
    <row r="613" spans="1:10" s="181" customFormat="1">
      <c r="A613" s="276"/>
      <c r="B613" s="148" t="s">
        <v>1300</v>
      </c>
      <c r="C613" s="149">
        <v>1</v>
      </c>
      <c r="D613" s="156" t="s">
        <v>73</v>
      </c>
      <c r="E613" s="149">
        <v>2</v>
      </c>
      <c r="F613" s="150">
        <v>2</v>
      </c>
      <c r="G613" s="150"/>
      <c r="H613" s="150">
        <v>0.3</v>
      </c>
      <c r="I613" s="151">
        <f t="shared" ref="I613:I619" si="98">ROUND(PRODUCT(C613:H613),2)</f>
        <v>1.2</v>
      </c>
      <c r="J613" s="180"/>
    </row>
    <row r="614" spans="1:10" s="181" customFormat="1">
      <c r="A614" s="276"/>
      <c r="B614" s="148" t="s">
        <v>1300</v>
      </c>
      <c r="C614" s="149">
        <v>1</v>
      </c>
      <c r="D614" s="156" t="s">
        <v>73</v>
      </c>
      <c r="E614" s="149">
        <v>2</v>
      </c>
      <c r="F614" s="150">
        <v>1.85</v>
      </c>
      <c r="G614" s="150"/>
      <c r="H614" s="165">
        <v>0.255</v>
      </c>
      <c r="I614" s="151">
        <f t="shared" si="98"/>
        <v>0.94</v>
      </c>
      <c r="J614" s="180"/>
    </row>
    <row r="615" spans="1:10" s="181" customFormat="1">
      <c r="A615" s="276"/>
      <c r="B615" s="148" t="s">
        <v>1301</v>
      </c>
      <c r="C615" s="149">
        <v>1</v>
      </c>
      <c r="D615" s="156" t="s">
        <v>73</v>
      </c>
      <c r="E615" s="149">
        <v>1</v>
      </c>
      <c r="F615" s="150">
        <v>2.65</v>
      </c>
      <c r="G615" s="150">
        <v>1.2</v>
      </c>
      <c r="H615" s="150"/>
      <c r="I615" s="151">
        <f t="shared" si="98"/>
        <v>3.18</v>
      </c>
      <c r="J615" s="180"/>
    </row>
    <row r="616" spans="1:10" s="181" customFormat="1">
      <c r="A616" s="276"/>
      <c r="B616" s="148" t="s">
        <v>1302</v>
      </c>
      <c r="C616" s="149">
        <v>1</v>
      </c>
      <c r="D616" s="156" t="s">
        <v>73</v>
      </c>
      <c r="E616" s="149">
        <v>1</v>
      </c>
      <c r="F616" s="150">
        <v>2.35</v>
      </c>
      <c r="G616" s="150">
        <v>1.2</v>
      </c>
      <c r="H616" s="150"/>
      <c r="I616" s="151">
        <f t="shared" si="98"/>
        <v>2.82</v>
      </c>
      <c r="J616" s="180"/>
    </row>
    <row r="617" spans="1:10" s="181" customFormat="1">
      <c r="A617" s="276"/>
      <c r="B617" s="148" t="s">
        <v>1303</v>
      </c>
      <c r="C617" s="149">
        <v>1</v>
      </c>
      <c r="D617" s="156" t="s">
        <v>73</v>
      </c>
      <c r="E617" s="149">
        <v>1</v>
      </c>
      <c r="F617" s="150">
        <v>2.5</v>
      </c>
      <c r="G617" s="150">
        <v>1.2</v>
      </c>
      <c r="H617" s="150"/>
      <c r="I617" s="151">
        <f t="shared" si="98"/>
        <v>3</v>
      </c>
      <c r="J617" s="180"/>
    </row>
    <row r="618" spans="1:10" s="181" customFormat="1">
      <c r="A618" s="276"/>
      <c r="B618" s="148" t="s">
        <v>1304</v>
      </c>
      <c r="C618" s="149">
        <v>1</v>
      </c>
      <c r="D618" s="156" t="s">
        <v>73</v>
      </c>
      <c r="E618" s="149">
        <v>1</v>
      </c>
      <c r="F618" s="150">
        <v>1.2</v>
      </c>
      <c r="G618" s="150">
        <v>1.2</v>
      </c>
      <c r="H618" s="150"/>
      <c r="I618" s="151">
        <f t="shared" si="98"/>
        <v>1.44</v>
      </c>
      <c r="J618" s="180"/>
    </row>
    <row r="619" spans="1:10" s="181" customFormat="1">
      <c r="A619" s="276"/>
      <c r="B619" s="148" t="s">
        <v>1305</v>
      </c>
      <c r="C619" s="149">
        <v>1</v>
      </c>
      <c r="D619" s="156" t="s">
        <v>73</v>
      </c>
      <c r="E619" s="149">
        <v>1</v>
      </c>
      <c r="F619" s="150">
        <v>1.43</v>
      </c>
      <c r="G619" s="150">
        <v>1.2</v>
      </c>
      <c r="H619" s="150"/>
      <c r="I619" s="151">
        <f t="shared" si="98"/>
        <v>1.72</v>
      </c>
      <c r="J619" s="180"/>
    </row>
    <row r="620" spans="1:10" s="181" customFormat="1">
      <c r="A620" s="276"/>
      <c r="B620" s="148" t="s">
        <v>320</v>
      </c>
      <c r="C620" s="149">
        <v>1</v>
      </c>
      <c r="D620" s="149" t="s">
        <v>73</v>
      </c>
      <c r="E620" s="149">
        <v>11</v>
      </c>
      <c r="F620" s="150">
        <v>1.81</v>
      </c>
      <c r="G620" s="150">
        <v>0.6</v>
      </c>
      <c r="H620" s="150"/>
      <c r="I620" s="151">
        <f t="shared" si="90"/>
        <v>11.95</v>
      </c>
      <c r="J620" s="180"/>
    </row>
    <row r="621" spans="1:10" s="181" customFormat="1">
      <c r="A621" s="276"/>
      <c r="B621" s="148" t="s">
        <v>319</v>
      </c>
      <c r="C621" s="149">
        <v>1</v>
      </c>
      <c r="D621" s="149" t="s">
        <v>73</v>
      </c>
      <c r="E621" s="149">
        <v>2</v>
      </c>
      <c r="F621" s="150">
        <v>1.36</v>
      </c>
      <c r="G621" s="150">
        <v>0.6</v>
      </c>
      <c r="H621" s="150"/>
      <c r="I621" s="151">
        <f t="shared" si="90"/>
        <v>1.63</v>
      </c>
      <c r="J621" s="180"/>
    </row>
    <row r="622" spans="1:10" s="181" customFormat="1">
      <c r="A622" s="276"/>
      <c r="B622" s="155" t="s">
        <v>330</v>
      </c>
      <c r="C622" s="149"/>
      <c r="D622" s="149"/>
      <c r="E622" s="149"/>
      <c r="F622" s="150"/>
      <c r="G622" s="150"/>
      <c r="H622" s="150"/>
      <c r="I622" s="151">
        <f t="shared" si="90"/>
        <v>0</v>
      </c>
      <c r="J622" s="180"/>
    </row>
    <row r="623" spans="1:10" s="181" customFormat="1">
      <c r="A623" s="276"/>
      <c r="B623" s="148" t="s">
        <v>298</v>
      </c>
      <c r="C623" s="149">
        <v>1</v>
      </c>
      <c r="D623" s="156" t="s">
        <v>73</v>
      </c>
      <c r="E623" s="149">
        <v>1</v>
      </c>
      <c r="F623" s="150">
        <v>6.67</v>
      </c>
      <c r="G623" s="150">
        <v>3.5649999999999999</v>
      </c>
      <c r="H623" s="150"/>
      <c r="I623" s="151">
        <f t="shared" ref="I623:I647" si="99">ROUND(PRODUCT(C623:H623),2)</f>
        <v>23.78</v>
      </c>
      <c r="J623" s="180"/>
    </row>
    <row r="624" spans="1:10" s="181" customFormat="1">
      <c r="A624" s="276"/>
      <c r="B624" s="148" t="s">
        <v>1313</v>
      </c>
      <c r="C624" s="149">
        <v>1</v>
      </c>
      <c r="D624" s="156" t="s">
        <v>73</v>
      </c>
      <c r="E624" s="149">
        <v>1</v>
      </c>
      <c r="F624" s="150">
        <v>6.67</v>
      </c>
      <c r="G624" s="150">
        <v>0.6</v>
      </c>
      <c r="H624" s="150"/>
      <c r="I624" s="151">
        <f t="shared" si="99"/>
        <v>4</v>
      </c>
      <c r="J624" s="180"/>
    </row>
    <row r="625" spans="1:10" s="181" customFormat="1">
      <c r="A625" s="276"/>
      <c r="B625" s="182" t="s">
        <v>1314</v>
      </c>
      <c r="C625" s="149">
        <v>1</v>
      </c>
      <c r="D625" s="156" t="s">
        <v>73</v>
      </c>
      <c r="E625" s="149">
        <v>1</v>
      </c>
      <c r="F625" s="150">
        <v>5.15</v>
      </c>
      <c r="G625" s="150">
        <v>4.12</v>
      </c>
      <c r="H625" s="150"/>
      <c r="I625" s="151">
        <f t="shared" ref="I625" si="100">ROUND(PRODUCT(C625:H625),2)</f>
        <v>21.22</v>
      </c>
      <c r="J625" s="180"/>
    </row>
    <row r="626" spans="1:10" s="181" customFormat="1">
      <c r="A626" s="276"/>
      <c r="B626" s="182" t="s">
        <v>1318</v>
      </c>
      <c r="C626" s="149">
        <v>1</v>
      </c>
      <c r="D626" s="156" t="s">
        <v>73</v>
      </c>
      <c r="E626" s="149">
        <v>2</v>
      </c>
      <c r="F626" s="150">
        <v>5.15</v>
      </c>
      <c r="G626" s="150"/>
      <c r="H626" s="150">
        <v>0.3</v>
      </c>
      <c r="I626" s="151">
        <f t="shared" si="99"/>
        <v>3.09</v>
      </c>
      <c r="J626" s="180"/>
    </row>
    <row r="627" spans="1:10" s="181" customFormat="1">
      <c r="A627" s="276"/>
      <c r="B627" s="182" t="s">
        <v>1315</v>
      </c>
      <c r="C627" s="149">
        <v>1</v>
      </c>
      <c r="D627" s="156" t="s">
        <v>73</v>
      </c>
      <c r="E627" s="149">
        <v>1</v>
      </c>
      <c r="F627" s="150">
        <v>2.0750000000000002</v>
      </c>
      <c r="G627" s="165">
        <v>2.6850000000000001</v>
      </c>
      <c r="H627" s="150"/>
      <c r="I627" s="151">
        <f t="shared" si="99"/>
        <v>5.57</v>
      </c>
      <c r="J627" s="180"/>
    </row>
    <row r="628" spans="1:10" s="181" customFormat="1">
      <c r="A628" s="276"/>
      <c r="B628" s="182" t="s">
        <v>1316</v>
      </c>
      <c r="C628" s="149">
        <v>1</v>
      </c>
      <c r="D628" s="156" t="s">
        <v>73</v>
      </c>
      <c r="E628" s="149">
        <v>1</v>
      </c>
      <c r="F628" s="150">
        <v>2.0750000000000002</v>
      </c>
      <c r="G628" s="150">
        <v>1.32</v>
      </c>
      <c r="H628" s="150"/>
      <c r="I628" s="151">
        <f t="shared" ref="I628" si="101">ROUND(PRODUCT(C628:H628),2)</f>
        <v>2.74</v>
      </c>
      <c r="J628" s="180"/>
    </row>
    <row r="629" spans="1:10" s="181" customFormat="1">
      <c r="A629" s="276"/>
      <c r="B629" s="182" t="s">
        <v>1319</v>
      </c>
      <c r="C629" s="149">
        <v>1</v>
      </c>
      <c r="D629" s="156" t="s">
        <v>73</v>
      </c>
      <c r="E629" s="149">
        <v>2</v>
      </c>
      <c r="F629" s="150">
        <v>2.0750000000000002</v>
      </c>
      <c r="G629" s="150"/>
      <c r="H629" s="150">
        <v>0.3</v>
      </c>
      <c r="I629" s="151">
        <f t="shared" si="99"/>
        <v>1.25</v>
      </c>
      <c r="J629" s="180"/>
    </row>
    <row r="630" spans="1:10" s="181" customFormat="1">
      <c r="A630" s="276"/>
      <c r="B630" s="148" t="s">
        <v>156</v>
      </c>
      <c r="C630" s="149">
        <v>1</v>
      </c>
      <c r="D630" s="156" t="s">
        <v>73</v>
      </c>
      <c r="E630" s="149">
        <v>1</v>
      </c>
      <c r="F630" s="150">
        <v>4.6100000000000003</v>
      </c>
      <c r="G630" s="150">
        <v>6.23</v>
      </c>
      <c r="H630" s="150"/>
      <c r="I630" s="151">
        <f t="shared" si="99"/>
        <v>28.72</v>
      </c>
      <c r="J630" s="180"/>
    </row>
    <row r="631" spans="1:10" s="181" customFormat="1">
      <c r="A631" s="276"/>
      <c r="B631" s="148" t="s">
        <v>1300</v>
      </c>
      <c r="C631" s="149">
        <v>1</v>
      </c>
      <c r="D631" s="156" t="s">
        <v>73</v>
      </c>
      <c r="E631" s="149">
        <v>2</v>
      </c>
      <c r="F631" s="150">
        <v>2.5350000000000001</v>
      </c>
      <c r="G631" s="150"/>
      <c r="H631" s="165">
        <v>0.255</v>
      </c>
      <c r="I631" s="151">
        <f t="shared" ref="I631:I632" si="102">ROUND(PRODUCT(C631:H631),2)</f>
        <v>1.29</v>
      </c>
      <c r="J631" s="180"/>
    </row>
    <row r="632" spans="1:10" s="181" customFormat="1">
      <c r="A632" s="276"/>
      <c r="B632" s="148" t="s">
        <v>1300</v>
      </c>
      <c r="C632" s="149">
        <v>1</v>
      </c>
      <c r="D632" s="156" t="s">
        <v>73</v>
      </c>
      <c r="E632" s="149">
        <v>2</v>
      </c>
      <c r="F632" s="150">
        <v>6.23</v>
      </c>
      <c r="G632" s="150"/>
      <c r="H632" s="165">
        <v>0.255</v>
      </c>
      <c r="I632" s="151">
        <f t="shared" si="102"/>
        <v>3.18</v>
      </c>
      <c r="J632" s="180"/>
    </row>
    <row r="633" spans="1:10" s="181" customFormat="1">
      <c r="A633" s="276"/>
      <c r="B633" s="148" t="s">
        <v>191</v>
      </c>
      <c r="C633" s="149">
        <v>1</v>
      </c>
      <c r="D633" s="156" t="s">
        <v>73</v>
      </c>
      <c r="E633" s="149">
        <v>1</v>
      </c>
      <c r="F633" s="150">
        <v>1.835</v>
      </c>
      <c r="G633" s="150">
        <v>3.1850000000000001</v>
      </c>
      <c r="H633" s="150"/>
      <c r="I633" s="151">
        <f t="shared" si="99"/>
        <v>5.84</v>
      </c>
      <c r="J633" s="180"/>
    </row>
    <row r="634" spans="1:10" s="181" customFormat="1">
      <c r="A634" s="276"/>
      <c r="B634" s="148" t="s">
        <v>1221</v>
      </c>
      <c r="C634" s="149">
        <v>1</v>
      </c>
      <c r="D634" s="156" t="s">
        <v>73</v>
      </c>
      <c r="E634" s="149">
        <v>1</v>
      </c>
      <c r="F634" s="150">
        <v>2.66</v>
      </c>
      <c r="G634" s="150">
        <v>3.33</v>
      </c>
      <c r="H634" s="150"/>
      <c r="I634" s="151">
        <f t="shared" si="99"/>
        <v>8.86</v>
      </c>
      <c r="J634" s="180"/>
    </row>
    <row r="635" spans="1:10" s="181" customFormat="1">
      <c r="A635" s="276"/>
      <c r="B635" s="148" t="s">
        <v>310</v>
      </c>
      <c r="C635" s="149">
        <v>1</v>
      </c>
      <c r="D635" s="156" t="s">
        <v>73</v>
      </c>
      <c r="E635" s="149">
        <v>1</v>
      </c>
      <c r="F635" s="150">
        <v>2.5449999999999999</v>
      </c>
      <c r="G635" s="150">
        <v>2</v>
      </c>
      <c r="H635" s="150"/>
      <c r="I635" s="151">
        <f t="shared" si="99"/>
        <v>5.09</v>
      </c>
      <c r="J635" s="180"/>
    </row>
    <row r="636" spans="1:10" s="181" customFormat="1">
      <c r="A636" s="276"/>
      <c r="B636" s="148" t="s">
        <v>1317</v>
      </c>
      <c r="C636" s="149">
        <v>1</v>
      </c>
      <c r="D636" s="156" t="s">
        <v>73</v>
      </c>
      <c r="E636" s="149">
        <v>1</v>
      </c>
      <c r="F636" s="150">
        <v>3.9449999999999998</v>
      </c>
      <c r="G636" s="150">
        <v>0.6</v>
      </c>
      <c r="H636" s="150"/>
      <c r="I636" s="151">
        <f t="shared" si="99"/>
        <v>2.37</v>
      </c>
      <c r="J636" s="180"/>
    </row>
    <row r="637" spans="1:10" s="181" customFormat="1">
      <c r="A637" s="276"/>
      <c r="B637" s="148" t="s">
        <v>1241</v>
      </c>
      <c r="C637" s="149">
        <v>1</v>
      </c>
      <c r="D637" s="156" t="s">
        <v>73</v>
      </c>
      <c r="E637" s="149">
        <v>1</v>
      </c>
      <c r="F637" s="150">
        <v>6.87</v>
      </c>
      <c r="G637" s="150">
        <v>2</v>
      </c>
      <c r="H637" s="150"/>
      <c r="I637" s="151">
        <f t="shared" si="99"/>
        <v>13.74</v>
      </c>
      <c r="J637" s="180"/>
    </row>
    <row r="638" spans="1:10" s="181" customFormat="1">
      <c r="A638" s="276"/>
      <c r="B638" s="148" t="s">
        <v>1241</v>
      </c>
      <c r="C638" s="149">
        <v>1</v>
      </c>
      <c r="D638" s="149" t="s">
        <v>73</v>
      </c>
      <c r="E638" s="149">
        <v>1</v>
      </c>
      <c r="F638" s="150">
        <v>2.06</v>
      </c>
      <c r="G638" s="150">
        <v>0.67</v>
      </c>
      <c r="H638" s="150"/>
      <c r="I638" s="151">
        <f t="shared" si="99"/>
        <v>1.38</v>
      </c>
      <c r="J638" s="180"/>
    </row>
    <row r="639" spans="1:10" s="181" customFormat="1">
      <c r="A639" s="276"/>
      <c r="B639" s="148" t="s">
        <v>1300</v>
      </c>
      <c r="C639" s="149">
        <v>1</v>
      </c>
      <c r="D639" s="156" t="s">
        <v>73</v>
      </c>
      <c r="E639" s="149">
        <v>2</v>
      </c>
      <c r="F639" s="150">
        <v>2</v>
      </c>
      <c r="G639" s="150"/>
      <c r="H639" s="150">
        <v>0.3</v>
      </c>
      <c r="I639" s="151">
        <f t="shared" si="99"/>
        <v>1.2</v>
      </c>
      <c r="J639" s="180"/>
    </row>
    <row r="640" spans="1:10" s="181" customFormat="1">
      <c r="A640" s="276"/>
      <c r="B640" s="148" t="s">
        <v>1300</v>
      </c>
      <c r="C640" s="149">
        <v>1</v>
      </c>
      <c r="D640" s="156" t="s">
        <v>73</v>
      </c>
      <c r="E640" s="149">
        <v>2</v>
      </c>
      <c r="F640" s="150">
        <v>1.85</v>
      </c>
      <c r="G640" s="150"/>
      <c r="H640" s="165">
        <v>0.255</v>
      </c>
      <c r="I640" s="151">
        <f t="shared" si="99"/>
        <v>0.94</v>
      </c>
      <c r="J640" s="180"/>
    </row>
    <row r="641" spans="1:10" s="181" customFormat="1">
      <c r="A641" s="276"/>
      <c r="B641" s="148" t="s">
        <v>1301</v>
      </c>
      <c r="C641" s="149">
        <v>1</v>
      </c>
      <c r="D641" s="156" t="s">
        <v>73</v>
      </c>
      <c r="E641" s="149">
        <v>1</v>
      </c>
      <c r="F641" s="150">
        <v>2.65</v>
      </c>
      <c r="G641" s="150">
        <v>1.2</v>
      </c>
      <c r="H641" s="150"/>
      <c r="I641" s="151">
        <f t="shared" si="99"/>
        <v>3.18</v>
      </c>
      <c r="J641" s="180"/>
    </row>
    <row r="642" spans="1:10" s="181" customFormat="1">
      <c r="A642" s="276"/>
      <c r="B642" s="148" t="s">
        <v>1302</v>
      </c>
      <c r="C642" s="149">
        <v>1</v>
      </c>
      <c r="D642" s="156" t="s">
        <v>73</v>
      </c>
      <c r="E642" s="149">
        <v>1</v>
      </c>
      <c r="F642" s="150">
        <v>2.35</v>
      </c>
      <c r="G642" s="150">
        <v>1.2</v>
      </c>
      <c r="H642" s="150"/>
      <c r="I642" s="151">
        <f t="shared" si="99"/>
        <v>2.82</v>
      </c>
      <c r="J642" s="180"/>
    </row>
    <row r="643" spans="1:10" s="181" customFormat="1">
      <c r="A643" s="276"/>
      <c r="B643" s="148" t="s">
        <v>1303</v>
      </c>
      <c r="C643" s="149">
        <v>1</v>
      </c>
      <c r="D643" s="156" t="s">
        <v>73</v>
      </c>
      <c r="E643" s="149">
        <v>1</v>
      </c>
      <c r="F643" s="150">
        <v>2.5</v>
      </c>
      <c r="G643" s="150">
        <v>1.2</v>
      </c>
      <c r="H643" s="150"/>
      <c r="I643" s="151">
        <f t="shared" si="99"/>
        <v>3</v>
      </c>
      <c r="J643" s="180"/>
    </row>
    <row r="644" spans="1:10" s="181" customFormat="1">
      <c r="A644" s="276"/>
      <c r="B644" s="148" t="s">
        <v>1304</v>
      </c>
      <c r="C644" s="149">
        <v>1</v>
      </c>
      <c r="D644" s="156" t="s">
        <v>73</v>
      </c>
      <c r="E644" s="149">
        <v>1</v>
      </c>
      <c r="F644" s="150">
        <v>1.2</v>
      </c>
      <c r="G644" s="150">
        <v>1.2</v>
      </c>
      <c r="H644" s="150"/>
      <c r="I644" s="151">
        <f t="shared" si="99"/>
        <v>1.44</v>
      </c>
      <c r="J644" s="180"/>
    </row>
    <row r="645" spans="1:10" s="181" customFormat="1">
      <c r="A645" s="276"/>
      <c r="B645" s="148" t="s">
        <v>1305</v>
      </c>
      <c r="C645" s="149">
        <v>1</v>
      </c>
      <c r="D645" s="156" t="s">
        <v>73</v>
      </c>
      <c r="E645" s="149">
        <v>1</v>
      </c>
      <c r="F645" s="150">
        <v>1.43</v>
      </c>
      <c r="G645" s="150">
        <v>1.2</v>
      </c>
      <c r="H645" s="150"/>
      <c r="I645" s="151">
        <f t="shared" si="99"/>
        <v>1.72</v>
      </c>
      <c r="J645" s="180"/>
    </row>
    <row r="646" spans="1:10" s="181" customFormat="1">
      <c r="A646" s="276"/>
      <c r="B646" s="148" t="s">
        <v>320</v>
      </c>
      <c r="C646" s="149">
        <v>1</v>
      </c>
      <c r="D646" s="149" t="s">
        <v>73</v>
      </c>
      <c r="E646" s="149">
        <v>12</v>
      </c>
      <c r="F646" s="150">
        <v>1.81</v>
      </c>
      <c r="G646" s="150">
        <v>0.6</v>
      </c>
      <c r="H646" s="150"/>
      <c r="I646" s="151">
        <f t="shared" si="99"/>
        <v>13.03</v>
      </c>
      <c r="J646" s="180"/>
    </row>
    <row r="647" spans="1:10" s="181" customFormat="1">
      <c r="A647" s="276"/>
      <c r="B647" s="148" t="s">
        <v>319</v>
      </c>
      <c r="C647" s="149">
        <v>1</v>
      </c>
      <c r="D647" s="149" t="s">
        <v>73</v>
      </c>
      <c r="E647" s="149">
        <v>2</v>
      </c>
      <c r="F647" s="150">
        <v>1.36</v>
      </c>
      <c r="G647" s="150">
        <v>0.6</v>
      </c>
      <c r="H647" s="150"/>
      <c r="I647" s="151">
        <f t="shared" si="99"/>
        <v>1.63</v>
      </c>
      <c r="J647" s="180"/>
    </row>
    <row r="648" spans="1:10" s="181" customFormat="1">
      <c r="A648" s="276"/>
      <c r="B648" s="155" t="s">
        <v>333</v>
      </c>
      <c r="C648" s="149"/>
      <c r="D648" s="156"/>
      <c r="E648" s="149"/>
      <c r="F648" s="150"/>
      <c r="G648" s="150"/>
      <c r="H648" s="150"/>
      <c r="I648" s="151">
        <f t="shared" si="90"/>
        <v>0</v>
      </c>
      <c r="J648" s="180"/>
    </row>
    <row r="649" spans="1:10" s="181" customFormat="1">
      <c r="A649" s="276"/>
      <c r="B649" s="148" t="s">
        <v>312</v>
      </c>
      <c r="C649" s="149">
        <v>1</v>
      </c>
      <c r="D649" s="156" t="s">
        <v>73</v>
      </c>
      <c r="E649" s="149">
        <v>2</v>
      </c>
      <c r="F649" s="150">
        <v>4.6100000000000003</v>
      </c>
      <c r="G649" s="150">
        <v>3.0449999999999999</v>
      </c>
      <c r="H649" s="150"/>
      <c r="I649" s="151">
        <f t="shared" si="90"/>
        <v>28.07</v>
      </c>
      <c r="J649" s="180"/>
    </row>
    <row r="650" spans="1:10" s="181" customFormat="1">
      <c r="A650" s="276"/>
      <c r="B650" s="148" t="s">
        <v>497</v>
      </c>
      <c r="C650" s="149">
        <v>1</v>
      </c>
      <c r="D650" s="156" t="s">
        <v>73</v>
      </c>
      <c r="E650" s="149">
        <v>2</v>
      </c>
      <c r="F650" s="150">
        <v>1.32</v>
      </c>
      <c r="G650" s="165">
        <v>1.4850000000000001</v>
      </c>
      <c r="H650" s="150"/>
      <c r="I650" s="151">
        <f t="shared" si="90"/>
        <v>3.92</v>
      </c>
      <c r="J650" s="180"/>
    </row>
    <row r="651" spans="1:10" s="181" customFormat="1">
      <c r="A651" s="276"/>
      <c r="B651" s="148" t="s">
        <v>160</v>
      </c>
      <c r="C651" s="149">
        <v>1</v>
      </c>
      <c r="D651" s="156" t="s">
        <v>73</v>
      </c>
      <c r="E651" s="149">
        <v>2</v>
      </c>
      <c r="F651" s="150">
        <v>1.21</v>
      </c>
      <c r="G651" s="165">
        <v>1.4850000000000001</v>
      </c>
      <c r="H651" s="150"/>
      <c r="I651" s="151">
        <f t="shared" ref="I651" si="103">ROUND(PRODUCT(C651:H651),2)</f>
        <v>3.59</v>
      </c>
      <c r="J651" s="180"/>
    </row>
    <row r="652" spans="1:10" s="181" customFormat="1">
      <c r="A652" s="276"/>
      <c r="B652" s="148" t="s">
        <v>160</v>
      </c>
      <c r="C652" s="149">
        <v>1</v>
      </c>
      <c r="D652" s="156" t="s">
        <v>73</v>
      </c>
      <c r="E652" s="149">
        <v>2</v>
      </c>
      <c r="F652" s="150">
        <v>1.85</v>
      </c>
      <c r="G652" s="165">
        <v>1.4850000000000001</v>
      </c>
      <c r="H652" s="150"/>
      <c r="I652" s="151">
        <f t="shared" si="90"/>
        <v>5.49</v>
      </c>
      <c r="J652" s="180"/>
    </row>
    <row r="653" spans="1:10" s="181" customFormat="1">
      <c r="A653" s="276"/>
      <c r="B653" s="148" t="s">
        <v>1320</v>
      </c>
      <c r="C653" s="149">
        <v>1</v>
      </c>
      <c r="D653" s="156" t="s">
        <v>73</v>
      </c>
      <c r="E653" s="149">
        <v>2</v>
      </c>
      <c r="F653" s="150">
        <v>4.6100000000000003</v>
      </c>
      <c r="G653" s="150">
        <v>1.47</v>
      </c>
      <c r="H653" s="150"/>
      <c r="I653" s="151">
        <f t="shared" si="90"/>
        <v>13.55</v>
      </c>
      <c r="J653" s="180"/>
    </row>
    <row r="654" spans="1:10" s="181" customFormat="1">
      <c r="A654" s="276"/>
      <c r="B654" s="148" t="s">
        <v>1241</v>
      </c>
      <c r="C654" s="149">
        <v>1</v>
      </c>
      <c r="D654" s="156" t="s">
        <v>73</v>
      </c>
      <c r="E654" s="149">
        <v>1</v>
      </c>
      <c r="F654" s="150">
        <v>4.5599999999999996</v>
      </c>
      <c r="G654" s="150">
        <v>2.67</v>
      </c>
      <c r="H654" s="150"/>
      <c r="I654" s="151">
        <f t="shared" si="90"/>
        <v>12.18</v>
      </c>
      <c r="J654" s="180"/>
    </row>
    <row r="655" spans="1:10" s="181" customFormat="1">
      <c r="A655" s="276"/>
      <c r="B655" s="148" t="s">
        <v>201</v>
      </c>
      <c r="C655" s="149">
        <v>1</v>
      </c>
      <c r="D655" s="156" t="s">
        <v>73</v>
      </c>
      <c r="E655" s="149">
        <v>1</v>
      </c>
      <c r="F655" s="150">
        <v>4.5599999999999996</v>
      </c>
      <c r="G655" s="150">
        <v>3.56</v>
      </c>
      <c r="H655" s="150"/>
      <c r="I655" s="151">
        <f t="shared" ref="I655" si="104">ROUND(PRODUCT(C655:H655),2)</f>
        <v>16.23</v>
      </c>
      <c r="J655" s="180"/>
    </row>
    <row r="656" spans="1:10" s="181" customFormat="1">
      <c r="A656" s="276"/>
      <c r="B656" s="148" t="s">
        <v>1321</v>
      </c>
      <c r="C656" s="149">
        <v>-1</v>
      </c>
      <c r="D656" s="156" t="s">
        <v>73</v>
      </c>
      <c r="E656" s="149">
        <v>1</v>
      </c>
      <c r="F656" s="150">
        <v>2.36</v>
      </c>
      <c r="G656" s="150">
        <v>2.16</v>
      </c>
      <c r="H656" s="150"/>
      <c r="I656" s="151">
        <f t="shared" si="90"/>
        <v>-5.0999999999999996</v>
      </c>
      <c r="J656" s="180"/>
    </row>
    <row r="657" spans="1:10" s="154" customFormat="1">
      <c r="A657" s="276"/>
      <c r="B657" s="148" t="s">
        <v>319</v>
      </c>
      <c r="C657" s="149">
        <v>1</v>
      </c>
      <c r="D657" s="149" t="s">
        <v>73</v>
      </c>
      <c r="E657" s="149">
        <v>4</v>
      </c>
      <c r="F657" s="150">
        <v>1.81</v>
      </c>
      <c r="G657" s="150">
        <v>0.6</v>
      </c>
      <c r="H657" s="150"/>
      <c r="I657" s="151">
        <f>ROUND(PRODUCT(C657:H657),2)</f>
        <v>4.34</v>
      </c>
      <c r="J657" s="180"/>
    </row>
    <row r="658" spans="1:10" s="181" customFormat="1">
      <c r="A658" s="276"/>
      <c r="B658" s="148" t="s">
        <v>321</v>
      </c>
      <c r="C658" s="149">
        <v>1</v>
      </c>
      <c r="D658" s="149" t="s">
        <v>73</v>
      </c>
      <c r="E658" s="149">
        <v>1</v>
      </c>
      <c r="F658" s="150">
        <v>1.46</v>
      </c>
      <c r="G658" s="150">
        <v>0.6</v>
      </c>
      <c r="H658" s="150"/>
      <c r="I658" s="151">
        <f>ROUND(PRODUCT(C658:H658),2)</f>
        <v>0.88</v>
      </c>
      <c r="J658" s="180"/>
    </row>
    <row r="659" spans="1:10" s="181" customFormat="1">
      <c r="A659" s="276"/>
      <c r="B659" s="148" t="s">
        <v>320</v>
      </c>
      <c r="C659" s="149">
        <v>1</v>
      </c>
      <c r="D659" s="156" t="s">
        <v>73</v>
      </c>
      <c r="E659" s="149">
        <v>2</v>
      </c>
      <c r="F659" s="187">
        <v>1.36</v>
      </c>
      <c r="G659" s="150">
        <v>0.6</v>
      </c>
      <c r="H659" s="150"/>
      <c r="I659" s="151">
        <f>ROUND(PRODUCT(C659:H659),2)</f>
        <v>1.63</v>
      </c>
      <c r="J659" s="180"/>
    </row>
    <row r="660" spans="1:10" s="181" customFormat="1">
      <c r="A660" s="276"/>
      <c r="B660" s="148" t="s">
        <v>1300</v>
      </c>
      <c r="C660" s="149">
        <v>4</v>
      </c>
      <c r="D660" s="156" t="s">
        <v>73</v>
      </c>
      <c r="E660" s="149">
        <v>2</v>
      </c>
      <c r="F660" s="150">
        <v>1.2</v>
      </c>
      <c r="G660" s="150"/>
      <c r="H660" s="165">
        <v>0.255</v>
      </c>
      <c r="I660" s="151">
        <f t="shared" ref="I660:I661" si="105">ROUND(PRODUCT(C660:H660),2)</f>
        <v>2.4500000000000002</v>
      </c>
      <c r="J660" s="180"/>
    </row>
    <row r="661" spans="1:10" s="181" customFormat="1">
      <c r="A661" s="276"/>
      <c r="B661" s="148" t="s">
        <v>1300</v>
      </c>
      <c r="C661" s="149">
        <v>2</v>
      </c>
      <c r="D661" s="156" t="s">
        <v>73</v>
      </c>
      <c r="E661" s="149">
        <v>2</v>
      </c>
      <c r="F661" s="150">
        <v>4.6100000000000003</v>
      </c>
      <c r="G661" s="150"/>
      <c r="H661" s="165">
        <v>0.255</v>
      </c>
      <c r="I661" s="151">
        <f t="shared" si="105"/>
        <v>4.7</v>
      </c>
      <c r="J661" s="180"/>
    </row>
    <row r="662" spans="1:10" s="181" customFormat="1">
      <c r="A662" s="276"/>
      <c r="B662" s="148" t="s">
        <v>1322</v>
      </c>
      <c r="C662" s="149">
        <v>1</v>
      </c>
      <c r="D662" s="156" t="s">
        <v>73</v>
      </c>
      <c r="E662" s="149">
        <v>1</v>
      </c>
      <c r="F662" s="150">
        <v>3.1</v>
      </c>
      <c r="G662" s="150">
        <v>1.63</v>
      </c>
      <c r="H662" s="165"/>
      <c r="I662" s="151">
        <f t="shared" ref="I662" si="106">ROUND(PRODUCT(C662:H662),2)</f>
        <v>5.05</v>
      </c>
      <c r="J662" s="180"/>
    </row>
    <row r="663" spans="1:10" s="181" customFormat="1">
      <c r="A663" s="276"/>
      <c r="B663" s="148" t="s">
        <v>1328</v>
      </c>
      <c r="C663" s="149">
        <v>1</v>
      </c>
      <c r="D663" s="156" t="s">
        <v>73</v>
      </c>
      <c r="E663" s="149">
        <v>1</v>
      </c>
      <c r="F663" s="150">
        <v>2.64</v>
      </c>
      <c r="G663" s="150">
        <v>1.1499999999999999</v>
      </c>
      <c r="H663" s="165"/>
      <c r="I663" s="151">
        <f t="shared" ref="I663:I666" si="107">ROUND(PRODUCT(C663:H663),2)</f>
        <v>3.04</v>
      </c>
      <c r="J663" s="180"/>
    </row>
    <row r="664" spans="1:10" s="181" customFormat="1">
      <c r="A664" s="276"/>
      <c r="B664" s="148" t="s">
        <v>1323</v>
      </c>
      <c r="C664" s="149">
        <v>1</v>
      </c>
      <c r="D664" s="156" t="s">
        <v>73</v>
      </c>
      <c r="E664" s="149">
        <v>1</v>
      </c>
      <c r="F664" s="150">
        <v>3.1850000000000001</v>
      </c>
      <c r="G664" s="150">
        <v>0.23</v>
      </c>
      <c r="H664" s="165"/>
      <c r="I664" s="151">
        <f t="shared" ref="I664:I665" si="108">ROUND(PRODUCT(C664:H664),2)</f>
        <v>0.73</v>
      </c>
      <c r="J664" s="180"/>
    </row>
    <row r="665" spans="1:10" s="181" customFormat="1" ht="16.5" customHeight="1">
      <c r="A665" s="276"/>
      <c r="B665" s="148" t="s">
        <v>1323</v>
      </c>
      <c r="C665" s="149">
        <v>1</v>
      </c>
      <c r="D665" s="156" t="s">
        <v>73</v>
      </c>
      <c r="E665" s="149">
        <v>2</v>
      </c>
      <c r="F665" s="150">
        <v>2</v>
      </c>
      <c r="G665" s="150">
        <v>0.23</v>
      </c>
      <c r="H665" s="165"/>
      <c r="I665" s="151">
        <f t="shared" si="108"/>
        <v>0.92</v>
      </c>
      <c r="J665" s="161"/>
    </row>
    <row r="666" spans="1:10" s="181" customFormat="1" ht="16.5" customHeight="1">
      <c r="A666" s="276"/>
      <c r="B666" s="148" t="s">
        <v>1323</v>
      </c>
      <c r="C666" s="149">
        <v>2</v>
      </c>
      <c r="D666" s="156" t="s">
        <v>73</v>
      </c>
      <c r="E666" s="149">
        <v>2</v>
      </c>
      <c r="F666" s="150">
        <v>1.1499999999999999</v>
      </c>
      <c r="G666" s="150">
        <v>0.23</v>
      </c>
      <c r="H666" s="165"/>
      <c r="I666" s="151">
        <f t="shared" si="107"/>
        <v>1.06</v>
      </c>
      <c r="J666" s="180"/>
    </row>
    <row r="667" spans="1:10" s="181" customFormat="1">
      <c r="A667" s="276"/>
      <c r="B667" s="148" t="s">
        <v>1324</v>
      </c>
      <c r="C667" s="149">
        <v>1</v>
      </c>
      <c r="D667" s="156" t="s">
        <v>73</v>
      </c>
      <c r="E667" s="149">
        <v>1</v>
      </c>
      <c r="F667" s="150">
        <v>1.9</v>
      </c>
      <c r="G667" s="150">
        <v>1.7</v>
      </c>
      <c r="H667" s="165"/>
      <c r="I667" s="151">
        <f t="shared" ref="I667" si="109">ROUND(PRODUCT(C667:H667),2)</f>
        <v>3.23</v>
      </c>
      <c r="J667" s="180"/>
    </row>
    <row r="668" spans="1:10" s="181" customFormat="1">
      <c r="A668" s="276"/>
      <c r="B668" s="148"/>
      <c r="C668" s="149"/>
      <c r="D668" s="156"/>
      <c r="E668" s="149"/>
      <c r="F668" s="150"/>
      <c r="G668" s="150"/>
      <c r="H668" s="150"/>
      <c r="I668" s="159">
        <f>SUM(I569:I667)</f>
        <v>617.96999999999991</v>
      </c>
      <c r="J668" s="180"/>
    </row>
    <row r="669" spans="1:10" s="181" customFormat="1">
      <c r="A669" s="276"/>
      <c r="B669" s="248" t="s">
        <v>1406</v>
      </c>
      <c r="C669" s="149"/>
      <c r="D669" s="156"/>
      <c r="E669" s="149"/>
      <c r="F669" s="150"/>
      <c r="G669" s="150"/>
      <c r="H669" s="150"/>
      <c r="I669" s="159">
        <f>-excess!G42</f>
        <v>-390.03</v>
      </c>
      <c r="J669" s="180"/>
    </row>
    <row r="670" spans="1:10" s="181" customFormat="1">
      <c r="A670" s="276"/>
      <c r="B670" s="148"/>
      <c r="C670" s="149"/>
      <c r="D670" s="156"/>
      <c r="E670" s="149"/>
      <c r="F670" s="150"/>
      <c r="G670" s="150"/>
      <c r="H670" s="150"/>
      <c r="I670" s="159">
        <f>SUM(I668:I669)</f>
        <v>227.93999999999994</v>
      </c>
      <c r="J670" s="180"/>
    </row>
    <row r="671" spans="1:10" s="181" customFormat="1">
      <c r="A671" s="276"/>
      <c r="B671" s="148"/>
      <c r="C671" s="149"/>
      <c r="D671" s="149"/>
      <c r="E671" s="149"/>
      <c r="F671" s="150"/>
      <c r="G671" s="150"/>
      <c r="H671" s="158" t="s">
        <v>245</v>
      </c>
      <c r="I671" s="160">
        <f>ROUNDUP(I670,1)</f>
        <v>228</v>
      </c>
      <c r="J671" s="180" t="s">
        <v>75</v>
      </c>
    </row>
    <row r="672" spans="1:10" s="181" customFormat="1">
      <c r="A672" s="276"/>
      <c r="B672" s="148"/>
      <c r="C672" s="149"/>
      <c r="D672" s="149"/>
      <c r="E672" s="149"/>
      <c r="F672" s="150"/>
      <c r="G672" s="150"/>
      <c r="H672" s="158"/>
      <c r="I672" s="160"/>
      <c r="J672" s="180"/>
    </row>
    <row r="673" spans="1:10" s="181" customFormat="1" ht="56.25">
      <c r="A673" s="276">
        <v>93.1</v>
      </c>
      <c r="B673" s="155" t="s">
        <v>334</v>
      </c>
      <c r="C673" s="149"/>
      <c r="D673" s="149"/>
      <c r="E673" s="149"/>
      <c r="F673" s="150"/>
      <c r="G673" s="150"/>
      <c r="H673" s="158"/>
      <c r="I673" s="160"/>
      <c r="J673" s="180"/>
    </row>
    <row r="674" spans="1:10" s="181" customFormat="1">
      <c r="A674" s="276"/>
      <c r="B674" s="148" t="s">
        <v>335</v>
      </c>
      <c r="C674" s="149">
        <v>1</v>
      </c>
      <c r="D674" s="149" t="s">
        <v>73</v>
      </c>
      <c r="E674" s="149">
        <v>2</v>
      </c>
      <c r="F674" s="150">
        <f>2*(1.15+1.26)</f>
        <v>4.82</v>
      </c>
      <c r="G674" s="150"/>
      <c r="H674" s="150">
        <v>1.2</v>
      </c>
      <c r="I674" s="151">
        <f>ROUND(PRODUCT(C674:H674),2)</f>
        <v>11.57</v>
      </c>
      <c r="J674" s="180"/>
    </row>
    <row r="675" spans="1:10" s="181" customFormat="1">
      <c r="A675" s="276"/>
      <c r="B675" s="148" t="s">
        <v>336</v>
      </c>
      <c r="C675" s="149">
        <v>1</v>
      </c>
      <c r="D675" s="149" t="s">
        <v>73</v>
      </c>
      <c r="E675" s="149">
        <v>2</v>
      </c>
      <c r="F675" s="150">
        <v>1.26</v>
      </c>
      <c r="G675" s="150">
        <v>1.1499999999999999</v>
      </c>
      <c r="H675" s="158"/>
      <c r="I675" s="151">
        <f>ROUND(PRODUCT(C675:H675),2)</f>
        <v>2.9</v>
      </c>
      <c r="J675" s="180"/>
    </row>
    <row r="676" spans="1:10" s="181" customFormat="1">
      <c r="A676" s="276"/>
      <c r="B676" s="148"/>
      <c r="C676" s="149"/>
      <c r="D676" s="149"/>
      <c r="E676" s="149"/>
      <c r="F676" s="150"/>
      <c r="G676" s="150"/>
      <c r="H676" s="158"/>
      <c r="I676" s="159">
        <f>SUM(I674:I675)</f>
        <v>14.47</v>
      </c>
      <c r="J676" s="180"/>
    </row>
    <row r="677" spans="1:10" s="181" customFormat="1">
      <c r="A677" s="276"/>
      <c r="B677" s="148"/>
      <c r="C677" s="149"/>
      <c r="D677" s="149"/>
      <c r="E677" s="149"/>
      <c r="F677" s="150"/>
      <c r="G677" s="150"/>
      <c r="H677" s="158" t="s">
        <v>245</v>
      </c>
      <c r="I677" s="160">
        <f>ROUNDUP(I676,1)</f>
        <v>14.5</v>
      </c>
      <c r="J677" s="180" t="s">
        <v>75</v>
      </c>
    </row>
    <row r="678" spans="1:10" s="181" customFormat="1">
      <c r="A678" s="276"/>
      <c r="B678" s="148"/>
      <c r="C678" s="149"/>
      <c r="D678" s="149"/>
      <c r="E678" s="149"/>
      <c r="F678" s="150"/>
      <c r="G678" s="150"/>
      <c r="H678" s="158"/>
      <c r="I678" s="160"/>
      <c r="J678" s="221"/>
    </row>
    <row r="679" spans="1:10" s="181" customFormat="1" ht="75">
      <c r="A679" s="276">
        <v>36</v>
      </c>
      <c r="B679" s="178" t="s">
        <v>337</v>
      </c>
      <c r="C679" s="149"/>
      <c r="D679" s="149"/>
      <c r="E679" s="149"/>
      <c r="F679" s="150"/>
      <c r="G679" s="150"/>
      <c r="H679" s="150"/>
      <c r="I679" s="151"/>
      <c r="J679" s="221"/>
    </row>
    <row r="680" spans="1:10" s="181" customFormat="1">
      <c r="A680" s="276"/>
      <c r="B680" s="155" t="s">
        <v>338</v>
      </c>
      <c r="C680" s="149"/>
      <c r="D680" s="149"/>
      <c r="E680" s="149"/>
      <c r="F680" s="150"/>
      <c r="G680" s="150"/>
      <c r="H680" s="150"/>
      <c r="I680" s="151"/>
      <c r="J680" s="180"/>
    </row>
    <row r="681" spans="1:10" s="181" customFormat="1" ht="22.5" customHeight="1">
      <c r="A681" s="276"/>
      <c r="B681" s="148" t="s">
        <v>1326</v>
      </c>
      <c r="C681" s="149">
        <v>1</v>
      </c>
      <c r="D681" s="149" t="s">
        <v>73</v>
      </c>
      <c r="E681" s="149">
        <v>1</v>
      </c>
      <c r="F681" s="150">
        <f>14.7+3.68+3.68</f>
        <v>22.06</v>
      </c>
      <c r="G681" s="150"/>
      <c r="H681" s="150"/>
      <c r="I681" s="151">
        <f>ROUND(PRODUCT(C681:H681),2)</f>
        <v>22.06</v>
      </c>
      <c r="J681" s="180"/>
    </row>
    <row r="682" spans="1:10" s="181" customFormat="1">
      <c r="A682" s="276"/>
      <c r="B682" s="148" t="s">
        <v>1325</v>
      </c>
      <c r="C682" s="149">
        <v>1</v>
      </c>
      <c r="D682" s="149" t="s">
        <v>73</v>
      </c>
      <c r="E682" s="149">
        <v>1</v>
      </c>
      <c r="F682" s="150">
        <f>2*(7.29+14.7)</f>
        <v>43.98</v>
      </c>
      <c r="G682" s="150"/>
      <c r="H682" s="150"/>
      <c r="I682" s="151">
        <f>ROUND(PRODUCT(C682:H682),2)</f>
        <v>43.98</v>
      </c>
      <c r="J682" s="180"/>
    </row>
    <row r="683" spans="1:10" s="181" customFormat="1" ht="15" customHeight="1">
      <c r="A683" s="276"/>
      <c r="B683" s="148"/>
      <c r="C683" s="149"/>
      <c r="D683" s="149"/>
      <c r="E683" s="149"/>
      <c r="F683" s="150"/>
      <c r="G683" s="150"/>
      <c r="H683" s="150"/>
      <c r="I683" s="159">
        <f>SUM(I681:I682)</f>
        <v>66.039999999999992</v>
      </c>
      <c r="J683" s="180"/>
    </row>
    <row r="684" spans="1:10" s="181" customFormat="1">
      <c r="A684" s="276"/>
      <c r="B684" s="148"/>
      <c r="C684" s="149"/>
      <c r="D684" s="149"/>
      <c r="E684" s="149"/>
      <c r="F684" s="150"/>
      <c r="G684" s="150"/>
      <c r="H684" s="158" t="s">
        <v>245</v>
      </c>
      <c r="I684" s="160">
        <f>ROUNDUP(I683,1)</f>
        <v>66.099999999999994</v>
      </c>
      <c r="J684" s="180" t="s">
        <v>76</v>
      </c>
    </row>
    <row r="685" spans="1:10" s="181" customFormat="1">
      <c r="A685" s="276"/>
      <c r="B685" s="148"/>
      <c r="C685" s="149"/>
      <c r="D685" s="149"/>
      <c r="E685" s="149"/>
      <c r="F685" s="150"/>
      <c r="G685" s="150"/>
      <c r="H685" s="158"/>
      <c r="I685" s="160"/>
      <c r="J685" s="180"/>
    </row>
    <row r="686" spans="1:10" s="181" customFormat="1">
      <c r="A686" s="276"/>
      <c r="B686" s="155" t="s">
        <v>339</v>
      </c>
      <c r="C686" s="149"/>
      <c r="D686" s="149"/>
      <c r="E686" s="149"/>
      <c r="F686" s="150"/>
      <c r="G686" s="150"/>
      <c r="H686" s="150"/>
      <c r="I686" s="151"/>
      <c r="J686" s="180"/>
    </row>
    <row r="687" spans="1:10" s="181" customFormat="1" ht="19.5" customHeight="1">
      <c r="A687" s="221"/>
      <c r="B687" s="148" t="s">
        <v>1325</v>
      </c>
      <c r="C687" s="149">
        <v>1</v>
      </c>
      <c r="D687" s="149" t="s">
        <v>73</v>
      </c>
      <c r="E687" s="149">
        <v>1</v>
      </c>
      <c r="F687" s="150">
        <f>2*(7.29+14.7)</f>
        <v>43.98</v>
      </c>
      <c r="G687" s="150"/>
      <c r="H687" s="150"/>
      <c r="I687" s="151">
        <f>ROUND(PRODUCT(C687:H687),2)</f>
        <v>43.98</v>
      </c>
      <c r="J687" s="180"/>
    </row>
    <row r="688" spans="1:10" s="181" customFormat="1" ht="22.5" customHeight="1">
      <c r="A688" s="276"/>
      <c r="B688" s="148" t="s">
        <v>1326</v>
      </c>
      <c r="C688" s="149">
        <v>1</v>
      </c>
      <c r="D688" s="149" t="s">
        <v>73</v>
      </c>
      <c r="E688" s="149">
        <v>1</v>
      </c>
      <c r="F688" s="150">
        <f>14.7+3.68+3.68</f>
        <v>22.06</v>
      </c>
      <c r="G688" s="150"/>
      <c r="H688" s="150"/>
      <c r="I688" s="151">
        <f>ROUND(PRODUCT(C688:H688),2)</f>
        <v>22.06</v>
      </c>
      <c r="J688" s="180"/>
    </row>
    <row r="689" spans="1:10" s="181" customFormat="1">
      <c r="A689" s="276"/>
      <c r="B689" s="148" t="s">
        <v>1327</v>
      </c>
      <c r="C689" s="149">
        <v>1</v>
      </c>
      <c r="D689" s="149" t="s">
        <v>73</v>
      </c>
      <c r="E689" s="149">
        <v>3</v>
      </c>
      <c r="F689" s="150">
        <f>2*(14.7+10.37)</f>
        <v>50.14</v>
      </c>
      <c r="G689" s="150"/>
      <c r="H689" s="150"/>
      <c r="I689" s="151">
        <f>ROUND(PRODUCT(C689:H689),2)</f>
        <v>150.41999999999999</v>
      </c>
      <c r="J689" s="180"/>
    </row>
    <row r="690" spans="1:10" s="181" customFormat="1" ht="21" customHeight="1">
      <c r="A690" s="276"/>
      <c r="B690" s="148"/>
      <c r="C690" s="149"/>
      <c r="D690" s="149"/>
      <c r="E690" s="149"/>
      <c r="F690" s="150"/>
      <c r="G690" s="150"/>
      <c r="H690" s="150"/>
      <c r="I690" s="159">
        <f>SUM(I687:I689)</f>
        <v>216.45999999999998</v>
      </c>
      <c r="J690" s="180"/>
    </row>
    <row r="691" spans="1:10" s="181" customFormat="1">
      <c r="A691" s="276"/>
      <c r="B691" s="148"/>
      <c r="C691" s="149"/>
      <c r="D691" s="149"/>
      <c r="E691" s="149"/>
      <c r="F691" s="150"/>
      <c r="G691" s="150"/>
      <c r="H691" s="158" t="s">
        <v>245</v>
      </c>
      <c r="I691" s="160">
        <f>ROUNDUP(I690,1)</f>
        <v>216.5</v>
      </c>
      <c r="J691" s="180" t="s">
        <v>76</v>
      </c>
    </row>
    <row r="692" spans="1:10" s="181" customFormat="1">
      <c r="A692" s="276"/>
      <c r="B692" s="148"/>
      <c r="C692" s="149"/>
      <c r="D692" s="149"/>
      <c r="E692" s="149"/>
      <c r="F692" s="150"/>
      <c r="G692" s="150"/>
      <c r="H692" s="158"/>
      <c r="I692" s="160"/>
      <c r="J692" s="180"/>
    </row>
    <row r="693" spans="1:10" s="181" customFormat="1">
      <c r="A693" s="276"/>
      <c r="B693" s="155" t="s">
        <v>340</v>
      </c>
      <c r="C693" s="149"/>
      <c r="D693" s="149"/>
      <c r="E693" s="149"/>
      <c r="F693" s="150"/>
      <c r="G693" s="150"/>
      <c r="H693" s="150"/>
      <c r="I693" s="151"/>
      <c r="J693" s="180"/>
    </row>
    <row r="694" spans="1:10" s="181" customFormat="1">
      <c r="A694" s="276"/>
      <c r="B694" s="148" t="s">
        <v>1495</v>
      </c>
      <c r="C694" s="149">
        <v>1</v>
      </c>
      <c r="D694" s="149" t="s">
        <v>73</v>
      </c>
      <c r="E694" s="149">
        <v>10</v>
      </c>
      <c r="F694" s="150">
        <f>(2*(1.2+0.15+0.6))</f>
        <v>3.8999999999999995</v>
      </c>
      <c r="G694" s="150"/>
      <c r="H694" s="150"/>
      <c r="I694" s="151">
        <f>ROUND(PRODUCT(C694:H694),2)</f>
        <v>39</v>
      </c>
      <c r="J694" s="180"/>
    </row>
    <row r="695" spans="1:10" s="181" customFormat="1">
      <c r="A695" s="276"/>
      <c r="B695" s="148" t="s">
        <v>341</v>
      </c>
      <c r="C695" s="149">
        <v>1</v>
      </c>
      <c r="D695" s="149" t="s">
        <v>73</v>
      </c>
      <c r="E695" s="149">
        <v>2</v>
      </c>
      <c r="F695" s="150">
        <v>2.9</v>
      </c>
      <c r="G695" s="150"/>
      <c r="H695" s="150"/>
      <c r="I695" s="151">
        <f>ROUND(PRODUCT(C695:H695),2)</f>
        <v>5.8</v>
      </c>
      <c r="J695" s="180"/>
    </row>
    <row r="696" spans="1:10" s="181" customFormat="1">
      <c r="A696" s="276"/>
      <c r="B696" s="148" t="s">
        <v>342</v>
      </c>
      <c r="C696" s="149">
        <v>1</v>
      </c>
      <c r="D696" s="149" t="s">
        <v>73</v>
      </c>
      <c r="E696" s="149">
        <v>16</v>
      </c>
      <c r="F696" s="150">
        <v>2.9</v>
      </c>
      <c r="G696" s="150"/>
      <c r="H696" s="150"/>
      <c r="I696" s="151">
        <f>ROUND(PRODUCT(C696:H696),2)</f>
        <v>46.4</v>
      </c>
      <c r="J696" s="180"/>
    </row>
    <row r="697" spans="1:10" s="181" customFormat="1">
      <c r="A697" s="276"/>
      <c r="B697" s="148"/>
      <c r="C697" s="149"/>
      <c r="D697" s="149"/>
      <c r="E697" s="149"/>
      <c r="F697" s="150"/>
      <c r="G697" s="150"/>
      <c r="H697" s="150"/>
      <c r="I697" s="159">
        <f>SUM(I694:I696)</f>
        <v>91.199999999999989</v>
      </c>
      <c r="J697" s="180"/>
    </row>
    <row r="698" spans="1:10" s="181" customFormat="1" ht="16.5" customHeight="1">
      <c r="A698" s="276"/>
      <c r="B698" s="148"/>
      <c r="C698" s="149"/>
      <c r="D698" s="149"/>
      <c r="E698" s="149"/>
      <c r="F698" s="150"/>
      <c r="G698" s="150"/>
      <c r="H698" s="158" t="s">
        <v>245</v>
      </c>
      <c r="I698" s="160">
        <f>ROUNDUP(I697,1)</f>
        <v>91.2</v>
      </c>
      <c r="J698" s="180" t="s">
        <v>76</v>
      </c>
    </row>
    <row r="699" spans="1:10" s="181" customFormat="1" ht="16.5" customHeight="1">
      <c r="A699" s="276"/>
      <c r="B699" s="148"/>
      <c r="C699" s="149"/>
      <c r="D699" s="149"/>
      <c r="E699" s="149"/>
      <c r="F699" s="150"/>
      <c r="G699" s="150"/>
      <c r="H699" s="158"/>
      <c r="I699" s="160"/>
      <c r="J699" s="180"/>
    </row>
    <row r="700" spans="1:10" s="181" customFormat="1" ht="93.75">
      <c r="A700" s="276">
        <v>961.3</v>
      </c>
      <c r="B700" s="188" t="s">
        <v>343</v>
      </c>
      <c r="C700" s="189"/>
      <c r="D700" s="189"/>
      <c r="E700" s="189"/>
      <c r="F700" s="190"/>
      <c r="G700" s="190"/>
      <c r="H700" s="190"/>
      <c r="I700" s="191"/>
      <c r="J700" s="180"/>
    </row>
    <row r="701" spans="1:10" s="181" customFormat="1">
      <c r="A701" s="276"/>
      <c r="B701" s="188" t="s">
        <v>1496</v>
      </c>
      <c r="C701" s="192">
        <v>1</v>
      </c>
      <c r="D701" s="192" t="s">
        <v>73</v>
      </c>
      <c r="E701" s="192">
        <v>2</v>
      </c>
      <c r="F701" s="193">
        <v>0.6</v>
      </c>
      <c r="G701" s="193"/>
      <c r="H701" s="193">
        <v>8.18</v>
      </c>
      <c r="I701" s="151">
        <f t="shared" ref="I701:I705" si="110">ROUND(PRODUCT(C701:H701),2)</f>
        <v>9.82</v>
      </c>
      <c r="J701" s="180"/>
    </row>
    <row r="702" spans="1:10" s="181" customFormat="1" ht="21" customHeight="1">
      <c r="A702" s="276"/>
      <c r="B702" s="188" t="s">
        <v>1497</v>
      </c>
      <c r="C702" s="192">
        <v>1</v>
      </c>
      <c r="D702" s="192" t="s">
        <v>73</v>
      </c>
      <c r="E702" s="192">
        <v>2</v>
      </c>
      <c r="F702" s="193">
        <v>0.6</v>
      </c>
      <c r="G702" s="193"/>
      <c r="H702" s="193">
        <v>2.5499999999999998</v>
      </c>
      <c r="I702" s="151">
        <f t="shared" si="110"/>
        <v>3.06</v>
      </c>
      <c r="J702" s="180"/>
    </row>
    <row r="703" spans="1:10" s="181" customFormat="1">
      <c r="A703" s="276"/>
      <c r="B703" s="188" t="s">
        <v>1498</v>
      </c>
      <c r="C703" s="192">
        <v>1</v>
      </c>
      <c r="D703" s="192" t="s">
        <v>73</v>
      </c>
      <c r="E703" s="192">
        <v>2</v>
      </c>
      <c r="F703" s="193">
        <v>0.6</v>
      </c>
      <c r="G703" s="193"/>
      <c r="H703" s="193">
        <v>14.4</v>
      </c>
      <c r="I703" s="151">
        <f t="shared" si="110"/>
        <v>17.28</v>
      </c>
      <c r="J703" s="180"/>
    </row>
    <row r="704" spans="1:10" s="181" customFormat="1">
      <c r="A704" s="276"/>
      <c r="B704" s="188" t="s">
        <v>1499</v>
      </c>
      <c r="C704" s="383">
        <v>0.5</v>
      </c>
      <c r="D704" s="192" t="s">
        <v>73</v>
      </c>
      <c r="E704" s="192">
        <v>25</v>
      </c>
      <c r="F704" s="193">
        <f>(3.14*1.81)</f>
        <v>5.6834000000000007</v>
      </c>
      <c r="G704" s="193"/>
      <c r="H704" s="193">
        <v>0.45</v>
      </c>
      <c r="I704" s="151">
        <f t="shared" si="110"/>
        <v>31.97</v>
      </c>
      <c r="J704" s="180"/>
    </row>
    <row r="705" spans="1:10" s="181" customFormat="1">
      <c r="A705" s="276"/>
      <c r="B705" s="188" t="s">
        <v>1441</v>
      </c>
      <c r="C705" s="192">
        <v>1</v>
      </c>
      <c r="D705" s="192" t="s">
        <v>73</v>
      </c>
      <c r="E705" s="192">
        <v>4</v>
      </c>
      <c r="F705" s="193">
        <v>0.84</v>
      </c>
      <c r="G705" s="193"/>
      <c r="H705" s="193">
        <v>2.92</v>
      </c>
      <c r="I705" s="151">
        <f t="shared" si="110"/>
        <v>9.81</v>
      </c>
      <c r="J705" s="180"/>
    </row>
    <row r="706" spans="1:10" s="181" customFormat="1">
      <c r="A706" s="276"/>
      <c r="B706" s="188"/>
      <c r="C706" s="192"/>
      <c r="D706" s="192"/>
      <c r="E706" s="192"/>
      <c r="F706" s="193"/>
      <c r="G706" s="193"/>
      <c r="H706" s="193"/>
      <c r="I706" s="194">
        <f>SUM(I701:I705)</f>
        <v>71.94</v>
      </c>
      <c r="J706" s="180"/>
    </row>
    <row r="707" spans="1:10" s="181" customFormat="1" ht="19.5" customHeight="1">
      <c r="A707" s="350"/>
      <c r="B707" s="188"/>
      <c r="C707" s="192"/>
      <c r="D707" s="192"/>
      <c r="E707" s="192"/>
      <c r="F707" s="193"/>
      <c r="G707" s="193"/>
      <c r="H707" s="193"/>
      <c r="I707" s="160">
        <f>ROUNDUP(I706,1)</f>
        <v>72</v>
      </c>
      <c r="J707" s="180" t="s">
        <v>75</v>
      </c>
    </row>
    <row r="708" spans="1:10" s="181" customFormat="1" ht="19.5" customHeight="1">
      <c r="A708" s="350"/>
      <c r="B708" s="188"/>
      <c r="C708" s="192"/>
      <c r="D708" s="192"/>
      <c r="E708" s="192"/>
      <c r="F708" s="193"/>
      <c r="G708" s="193"/>
      <c r="H708" s="193"/>
      <c r="I708" s="160"/>
      <c r="J708" s="180"/>
    </row>
    <row r="709" spans="1:10" s="181" customFormat="1" ht="112.5">
      <c r="A709" s="350">
        <v>961.4</v>
      </c>
      <c r="B709" s="188" t="s">
        <v>344</v>
      </c>
      <c r="C709" s="189"/>
      <c r="D709" s="189"/>
      <c r="E709" s="189"/>
      <c r="F709" s="190"/>
      <c r="G709" s="190"/>
      <c r="H709" s="190"/>
      <c r="I709" s="191"/>
      <c r="J709" s="195"/>
    </row>
    <row r="710" spans="1:10" s="181" customFormat="1">
      <c r="A710" s="350"/>
      <c r="B710" s="188" t="s">
        <v>345</v>
      </c>
      <c r="C710" s="189">
        <v>1</v>
      </c>
      <c r="D710" s="189" t="s">
        <v>73</v>
      </c>
      <c r="E710" s="189">
        <v>20</v>
      </c>
      <c r="F710" s="190"/>
      <c r="G710" s="190"/>
      <c r="H710" s="190"/>
      <c r="I710" s="151">
        <f>ROUND(PRODUCT(C710:H710),2)</f>
        <v>20</v>
      </c>
      <c r="J710" s="195"/>
    </row>
    <row r="711" spans="1:10" s="181" customFormat="1">
      <c r="A711" s="350"/>
      <c r="B711" s="188"/>
      <c r="C711" s="189"/>
      <c r="D711" s="189"/>
      <c r="E711" s="189"/>
      <c r="F711" s="190"/>
      <c r="G711" s="190"/>
      <c r="H711" s="190"/>
      <c r="I711" s="196">
        <f>SUM(I710:I710)</f>
        <v>20</v>
      </c>
      <c r="J711" s="195" t="s">
        <v>77</v>
      </c>
    </row>
    <row r="712" spans="1:10" s="181" customFormat="1">
      <c r="A712" s="350"/>
      <c r="B712" s="188"/>
      <c r="C712" s="189"/>
      <c r="D712" s="189"/>
      <c r="E712" s="189"/>
      <c r="F712" s="190"/>
      <c r="G712" s="190"/>
      <c r="H712" s="190"/>
      <c r="I712" s="196"/>
      <c r="J712" s="195"/>
    </row>
    <row r="713" spans="1:10" s="181" customFormat="1" ht="100.5" customHeight="1">
      <c r="A713" s="350">
        <v>16.399999999999999</v>
      </c>
      <c r="B713" s="188" t="s">
        <v>347</v>
      </c>
      <c r="C713" s="189"/>
      <c r="D713" s="189"/>
      <c r="E713" s="189"/>
      <c r="F713" s="190"/>
      <c r="G713" s="190"/>
      <c r="H713" s="190"/>
      <c r="I713" s="191"/>
      <c r="J713" s="195"/>
    </row>
    <row r="714" spans="1:10" s="181" customFormat="1">
      <c r="A714" s="350"/>
      <c r="B714" s="188" t="s">
        <v>1500</v>
      </c>
      <c r="C714" s="189">
        <v>1</v>
      </c>
      <c r="D714" s="189" t="s">
        <v>73</v>
      </c>
      <c r="E714" s="189">
        <v>10</v>
      </c>
      <c r="F714" s="190">
        <v>1.2</v>
      </c>
      <c r="G714" s="190"/>
      <c r="H714" s="190">
        <v>0.6</v>
      </c>
      <c r="I714" s="151">
        <f>ROUND(PRODUCT(C714:H714),2)</f>
        <v>7.2</v>
      </c>
      <c r="J714" s="195"/>
    </row>
    <row r="715" spans="1:10" s="181" customFormat="1">
      <c r="A715" s="350"/>
      <c r="B715" s="148"/>
      <c r="C715" s="149"/>
      <c r="D715" s="149"/>
      <c r="E715" s="149"/>
      <c r="F715" s="150"/>
      <c r="G715" s="150"/>
      <c r="H715" s="158"/>
      <c r="I715" s="160">
        <f>ROUNDUP(I714,1)</f>
        <v>7.2</v>
      </c>
      <c r="J715" s="195" t="s">
        <v>75</v>
      </c>
    </row>
    <row r="716" spans="1:10" s="181" customFormat="1">
      <c r="A716" s="350"/>
      <c r="B716" s="148"/>
      <c r="C716" s="149"/>
      <c r="D716" s="149"/>
      <c r="E716" s="149"/>
      <c r="F716" s="150"/>
      <c r="G716" s="150"/>
      <c r="H716" s="158"/>
      <c r="I716" s="160"/>
      <c r="J716" s="359"/>
    </row>
    <row r="717" spans="1:10" s="181" customFormat="1" ht="75">
      <c r="A717" s="276">
        <v>37.1</v>
      </c>
      <c r="B717" s="198" t="s">
        <v>348</v>
      </c>
      <c r="C717" s="149"/>
      <c r="D717" s="149"/>
      <c r="E717" s="149"/>
      <c r="F717" s="150"/>
      <c r="G717" s="150"/>
      <c r="H717" s="150"/>
      <c r="I717" s="151"/>
      <c r="J717" s="221"/>
    </row>
    <row r="718" spans="1:10" s="181" customFormat="1" ht="20.25" customHeight="1">
      <c r="A718" s="350"/>
      <c r="B718" s="148" t="s">
        <v>349</v>
      </c>
      <c r="C718" s="149"/>
      <c r="D718" s="149"/>
      <c r="E718" s="149"/>
      <c r="F718" s="150"/>
      <c r="G718" s="150"/>
      <c r="H718" s="150"/>
      <c r="I718" s="160">
        <f>I668</f>
        <v>617.96999999999991</v>
      </c>
      <c r="J718" s="197" t="s">
        <v>75</v>
      </c>
    </row>
    <row r="719" spans="1:10" s="181" customFormat="1">
      <c r="A719" s="350"/>
      <c r="B719" s="155" t="s">
        <v>254</v>
      </c>
      <c r="C719" s="149"/>
      <c r="D719" s="156"/>
      <c r="E719" s="149"/>
      <c r="F719" s="150"/>
      <c r="G719" s="150"/>
      <c r="H719" s="150"/>
      <c r="I719" s="151">
        <f t="shared" ref="I719:I747" si="111">ROUND(PRODUCT(C719:H719),2)</f>
        <v>0</v>
      </c>
      <c r="J719" s="357"/>
    </row>
    <row r="720" spans="1:10" s="181" customFormat="1">
      <c r="A720" s="350"/>
      <c r="B720" s="155" t="s">
        <v>327</v>
      </c>
      <c r="C720" s="149"/>
      <c r="D720" s="149"/>
      <c r="E720" s="149"/>
      <c r="F720" s="150"/>
      <c r="G720" s="150"/>
      <c r="H720" s="150"/>
      <c r="I720" s="151"/>
      <c r="J720" s="197"/>
    </row>
    <row r="721" spans="1:10" s="181" customFormat="1" ht="17.25" customHeight="1">
      <c r="A721" s="350"/>
      <c r="B721" s="148" t="s">
        <v>1300</v>
      </c>
      <c r="C721" s="149">
        <v>-1</v>
      </c>
      <c r="D721" s="156" t="s">
        <v>73</v>
      </c>
      <c r="E721" s="149">
        <v>2</v>
      </c>
      <c r="F721" s="150">
        <v>14.24</v>
      </c>
      <c r="G721" s="150"/>
      <c r="H721" s="150">
        <v>0.3</v>
      </c>
      <c r="I721" s="151">
        <f t="shared" si="111"/>
        <v>-8.5399999999999991</v>
      </c>
      <c r="J721" s="197"/>
    </row>
    <row r="722" spans="1:10" s="181" customFormat="1">
      <c r="A722" s="350"/>
      <c r="B722" s="148" t="s">
        <v>1300</v>
      </c>
      <c r="C722" s="149">
        <v>-1</v>
      </c>
      <c r="D722" s="156" t="s">
        <v>73</v>
      </c>
      <c r="E722" s="149">
        <v>2</v>
      </c>
      <c r="F722" s="150">
        <v>6.81</v>
      </c>
      <c r="G722" s="150"/>
      <c r="H722" s="150">
        <v>0.3</v>
      </c>
      <c r="I722" s="151">
        <f t="shared" si="111"/>
        <v>-4.09</v>
      </c>
      <c r="J722" s="197"/>
    </row>
    <row r="723" spans="1:10" s="181" customFormat="1">
      <c r="A723" s="276"/>
      <c r="B723" s="148" t="s">
        <v>1300</v>
      </c>
      <c r="C723" s="149">
        <v>-1</v>
      </c>
      <c r="D723" s="156" t="s">
        <v>73</v>
      </c>
      <c r="E723" s="149">
        <v>2</v>
      </c>
      <c r="F723" s="150">
        <v>4.12</v>
      </c>
      <c r="G723" s="150"/>
      <c r="H723" s="150">
        <v>0.3</v>
      </c>
      <c r="I723" s="151">
        <f t="shared" si="111"/>
        <v>-2.4700000000000002</v>
      </c>
      <c r="J723" s="197"/>
    </row>
    <row r="724" spans="1:10" s="181" customFormat="1" ht="17.25" customHeight="1">
      <c r="A724" s="221"/>
      <c r="B724" s="148" t="s">
        <v>1300</v>
      </c>
      <c r="C724" s="149">
        <v>-1</v>
      </c>
      <c r="D724" s="156" t="s">
        <v>73</v>
      </c>
      <c r="E724" s="149">
        <v>2</v>
      </c>
      <c r="F724" s="150">
        <v>3.62</v>
      </c>
      <c r="G724" s="150"/>
      <c r="H724" s="150">
        <v>0.3</v>
      </c>
      <c r="I724" s="151">
        <f t="shared" si="111"/>
        <v>-2.17</v>
      </c>
      <c r="J724" s="180"/>
    </row>
    <row r="725" spans="1:10" s="181" customFormat="1">
      <c r="A725" s="276"/>
      <c r="B725" s="148" t="s">
        <v>1300</v>
      </c>
      <c r="C725" s="149">
        <v>-1</v>
      </c>
      <c r="D725" s="156" t="s">
        <v>73</v>
      </c>
      <c r="E725" s="149">
        <v>2</v>
      </c>
      <c r="F725" s="150">
        <v>3.3</v>
      </c>
      <c r="G725" s="150"/>
      <c r="H725" s="165">
        <v>0.255</v>
      </c>
      <c r="I725" s="151">
        <f t="shared" si="111"/>
        <v>-1.68</v>
      </c>
      <c r="J725" s="180"/>
    </row>
    <row r="726" spans="1:10" s="181" customFormat="1">
      <c r="A726" s="276"/>
      <c r="B726" s="148" t="s">
        <v>1300</v>
      </c>
      <c r="C726" s="149">
        <v>-2</v>
      </c>
      <c r="D726" s="156" t="s">
        <v>73</v>
      </c>
      <c r="E726" s="149">
        <v>2</v>
      </c>
      <c r="F726" s="150">
        <v>1.85</v>
      </c>
      <c r="G726" s="150"/>
      <c r="H726" s="165">
        <v>0.255</v>
      </c>
      <c r="I726" s="151">
        <f t="shared" si="111"/>
        <v>-1.89</v>
      </c>
      <c r="J726" s="180"/>
    </row>
    <row r="727" spans="1:10" s="181" customFormat="1">
      <c r="A727" s="276"/>
      <c r="B727" s="148" t="s">
        <v>1300</v>
      </c>
      <c r="C727" s="149">
        <v>-1</v>
      </c>
      <c r="D727" s="156" t="s">
        <v>73</v>
      </c>
      <c r="E727" s="149">
        <v>2</v>
      </c>
      <c r="F727" s="150">
        <v>2.5299999999999998</v>
      </c>
      <c r="G727" s="150"/>
      <c r="H727" s="165">
        <v>0.255</v>
      </c>
      <c r="I727" s="151">
        <f t="shared" si="111"/>
        <v>-1.29</v>
      </c>
      <c r="J727" s="180"/>
    </row>
    <row r="728" spans="1:10" s="181" customFormat="1">
      <c r="A728" s="276"/>
      <c r="B728" s="148" t="s">
        <v>1300</v>
      </c>
      <c r="C728" s="149">
        <v>-1</v>
      </c>
      <c r="D728" s="156" t="s">
        <v>73</v>
      </c>
      <c r="E728" s="149">
        <v>2</v>
      </c>
      <c r="F728" s="150">
        <v>2.33</v>
      </c>
      <c r="G728" s="150"/>
      <c r="H728" s="165">
        <v>0.47499999999999998</v>
      </c>
      <c r="I728" s="151">
        <f t="shared" si="111"/>
        <v>-2.21</v>
      </c>
      <c r="J728" s="180"/>
    </row>
    <row r="729" spans="1:10" s="181" customFormat="1">
      <c r="A729" s="276"/>
      <c r="B729" s="148" t="s">
        <v>1300</v>
      </c>
      <c r="C729" s="149">
        <v>-2</v>
      </c>
      <c r="D729" s="156" t="s">
        <v>73</v>
      </c>
      <c r="E729" s="149">
        <v>2</v>
      </c>
      <c r="F729" s="150">
        <v>1.2</v>
      </c>
      <c r="G729" s="150"/>
      <c r="H729" s="165">
        <v>0.255</v>
      </c>
      <c r="I729" s="151">
        <f t="shared" si="111"/>
        <v>-1.22</v>
      </c>
      <c r="J729" s="180"/>
    </row>
    <row r="730" spans="1:10" s="181" customFormat="1">
      <c r="A730" s="276"/>
      <c r="B730" s="148" t="s">
        <v>1306</v>
      </c>
      <c r="C730" s="149">
        <v>-1</v>
      </c>
      <c r="D730" s="156" t="s">
        <v>73</v>
      </c>
      <c r="E730" s="149">
        <v>7</v>
      </c>
      <c r="F730" s="150">
        <v>1.22</v>
      </c>
      <c r="G730" s="150"/>
      <c r="H730" s="150">
        <v>2.92</v>
      </c>
      <c r="I730" s="151">
        <f t="shared" si="111"/>
        <v>-24.94</v>
      </c>
      <c r="J730" s="180"/>
    </row>
    <row r="731" spans="1:10" s="181" customFormat="1">
      <c r="A731" s="276"/>
      <c r="B731" s="148" t="s">
        <v>1306</v>
      </c>
      <c r="C731" s="149">
        <v>-1</v>
      </c>
      <c r="D731" s="156" t="s">
        <v>73</v>
      </c>
      <c r="E731" s="149">
        <v>2</v>
      </c>
      <c r="F731" s="150">
        <v>1.06</v>
      </c>
      <c r="G731" s="150"/>
      <c r="H731" s="150">
        <v>2.92</v>
      </c>
      <c r="I731" s="151">
        <f t="shared" si="111"/>
        <v>-6.19</v>
      </c>
      <c r="J731" s="180"/>
    </row>
    <row r="732" spans="1:10" s="181" customFormat="1">
      <c r="A732" s="276"/>
      <c r="B732" s="155" t="s">
        <v>329</v>
      </c>
      <c r="C732" s="149"/>
      <c r="D732" s="156"/>
      <c r="E732" s="149"/>
      <c r="F732" s="150"/>
      <c r="G732" s="150"/>
      <c r="H732" s="150"/>
      <c r="I732" s="151">
        <f t="shared" si="111"/>
        <v>0</v>
      </c>
      <c r="J732" s="180"/>
    </row>
    <row r="733" spans="1:10" s="181" customFormat="1">
      <c r="A733" s="276"/>
      <c r="B733" s="148" t="s">
        <v>1300</v>
      </c>
      <c r="C733" s="149">
        <v>-1</v>
      </c>
      <c r="D733" s="156" t="s">
        <v>73</v>
      </c>
      <c r="E733" s="149">
        <v>2</v>
      </c>
      <c r="F733" s="150">
        <v>2</v>
      </c>
      <c r="G733" s="150"/>
      <c r="H733" s="150">
        <v>0.3</v>
      </c>
      <c r="I733" s="151">
        <f t="shared" si="111"/>
        <v>-1.2</v>
      </c>
      <c r="J733" s="180"/>
    </row>
    <row r="734" spans="1:10" s="181" customFormat="1">
      <c r="A734" s="276"/>
      <c r="B734" s="148" t="s">
        <v>1300</v>
      </c>
      <c r="C734" s="149">
        <v>-1</v>
      </c>
      <c r="D734" s="156" t="s">
        <v>73</v>
      </c>
      <c r="E734" s="149">
        <v>2</v>
      </c>
      <c r="F734" s="150">
        <v>1.85</v>
      </c>
      <c r="G734" s="150"/>
      <c r="H734" s="165">
        <v>0.255</v>
      </c>
      <c r="I734" s="151">
        <f t="shared" si="111"/>
        <v>-0.94</v>
      </c>
      <c r="J734" s="180"/>
    </row>
    <row r="735" spans="1:10" s="181" customFormat="1">
      <c r="A735" s="276"/>
      <c r="B735" s="155" t="s">
        <v>330</v>
      </c>
      <c r="C735" s="149"/>
      <c r="D735" s="149"/>
      <c r="E735" s="149"/>
      <c r="F735" s="150"/>
      <c r="G735" s="150"/>
      <c r="H735" s="150"/>
      <c r="I735" s="151"/>
      <c r="J735" s="180"/>
    </row>
    <row r="736" spans="1:10" s="181" customFormat="1">
      <c r="A736" s="276"/>
      <c r="B736" s="182" t="s">
        <v>1319</v>
      </c>
      <c r="C736" s="149">
        <v>-1</v>
      </c>
      <c r="D736" s="156" t="s">
        <v>73</v>
      </c>
      <c r="E736" s="149">
        <v>2</v>
      </c>
      <c r="F736" s="150">
        <v>2.0750000000000002</v>
      </c>
      <c r="G736" s="150"/>
      <c r="H736" s="150">
        <v>0.3</v>
      </c>
      <c r="I736" s="151">
        <f t="shared" si="111"/>
        <v>-1.25</v>
      </c>
      <c r="J736" s="180"/>
    </row>
    <row r="737" spans="1:10" s="181" customFormat="1">
      <c r="A737" s="276"/>
      <c r="B737" s="148" t="s">
        <v>1300</v>
      </c>
      <c r="C737" s="149">
        <v>-1</v>
      </c>
      <c r="D737" s="156" t="s">
        <v>73</v>
      </c>
      <c r="E737" s="149">
        <v>2</v>
      </c>
      <c r="F737" s="150">
        <v>2.5350000000000001</v>
      </c>
      <c r="G737" s="150"/>
      <c r="H737" s="165">
        <v>0.255</v>
      </c>
      <c r="I737" s="151">
        <f t="shared" si="111"/>
        <v>-1.29</v>
      </c>
      <c r="J737" s="180"/>
    </row>
    <row r="738" spans="1:10" s="181" customFormat="1">
      <c r="A738" s="276"/>
      <c r="B738" s="148" t="s">
        <v>1300</v>
      </c>
      <c r="C738" s="149">
        <v>-1</v>
      </c>
      <c r="D738" s="156" t="s">
        <v>73</v>
      </c>
      <c r="E738" s="149">
        <v>2</v>
      </c>
      <c r="F738" s="150">
        <v>6.23</v>
      </c>
      <c r="G738" s="150"/>
      <c r="H738" s="165">
        <v>0.255</v>
      </c>
      <c r="I738" s="151">
        <f t="shared" si="111"/>
        <v>-3.18</v>
      </c>
      <c r="J738" s="180"/>
    </row>
    <row r="739" spans="1:10" s="181" customFormat="1">
      <c r="A739" s="276"/>
      <c r="B739" s="148" t="s">
        <v>1300</v>
      </c>
      <c r="C739" s="149">
        <v>-1</v>
      </c>
      <c r="D739" s="156" t="s">
        <v>73</v>
      </c>
      <c r="E739" s="149">
        <v>2</v>
      </c>
      <c r="F739" s="150">
        <v>2</v>
      </c>
      <c r="G739" s="150"/>
      <c r="H739" s="150">
        <v>0.3</v>
      </c>
      <c r="I739" s="151">
        <f t="shared" si="111"/>
        <v>-1.2</v>
      </c>
      <c r="J739" s="180"/>
    </row>
    <row r="740" spans="1:10" s="181" customFormat="1">
      <c r="A740" s="276"/>
      <c r="B740" s="148" t="s">
        <v>1300</v>
      </c>
      <c r="C740" s="149">
        <v>-1</v>
      </c>
      <c r="D740" s="156" t="s">
        <v>73</v>
      </c>
      <c r="E740" s="149">
        <v>2</v>
      </c>
      <c r="F740" s="150">
        <v>1.85</v>
      </c>
      <c r="G740" s="150"/>
      <c r="H740" s="165">
        <v>0.255</v>
      </c>
      <c r="I740" s="151">
        <f t="shared" si="111"/>
        <v>-0.94</v>
      </c>
      <c r="J740" s="180"/>
    </row>
    <row r="741" spans="1:10" s="181" customFormat="1">
      <c r="A741" s="276"/>
      <c r="B741" s="148" t="s">
        <v>1323</v>
      </c>
      <c r="C741" s="149">
        <v>-1</v>
      </c>
      <c r="D741" s="156" t="s">
        <v>73</v>
      </c>
      <c r="E741" s="149">
        <v>1</v>
      </c>
      <c r="F741" s="150">
        <v>3.1850000000000001</v>
      </c>
      <c r="G741" s="150">
        <v>0.23</v>
      </c>
      <c r="H741" s="165"/>
      <c r="I741" s="151">
        <f t="shared" si="111"/>
        <v>-0.73</v>
      </c>
      <c r="J741" s="180"/>
    </row>
    <row r="742" spans="1:10" s="181" customFormat="1">
      <c r="A742" s="276"/>
      <c r="B742" s="148" t="s">
        <v>1323</v>
      </c>
      <c r="C742" s="149">
        <v>-1</v>
      </c>
      <c r="D742" s="156" t="s">
        <v>73</v>
      </c>
      <c r="E742" s="149">
        <v>2</v>
      </c>
      <c r="F742" s="150">
        <v>2</v>
      </c>
      <c r="G742" s="150">
        <v>0.23</v>
      </c>
      <c r="H742" s="165"/>
      <c r="I742" s="151">
        <f t="shared" si="111"/>
        <v>-0.92</v>
      </c>
      <c r="J742" s="180"/>
    </row>
    <row r="743" spans="1:10" s="181" customFormat="1">
      <c r="A743" s="276"/>
      <c r="B743" s="148" t="s">
        <v>1323</v>
      </c>
      <c r="C743" s="149">
        <v>-2</v>
      </c>
      <c r="D743" s="156" t="s">
        <v>73</v>
      </c>
      <c r="E743" s="149">
        <v>2</v>
      </c>
      <c r="F743" s="150">
        <v>1.1499999999999999</v>
      </c>
      <c r="G743" s="150">
        <v>0.23</v>
      </c>
      <c r="H743" s="165"/>
      <c r="I743" s="151">
        <f t="shared" si="111"/>
        <v>-1.06</v>
      </c>
      <c r="J743" s="180"/>
    </row>
    <row r="744" spans="1:10" s="181" customFormat="1">
      <c r="A744" s="276"/>
      <c r="B744" s="148" t="s">
        <v>1410</v>
      </c>
      <c r="C744" s="149">
        <v>1</v>
      </c>
      <c r="D744" s="156" t="s">
        <v>73</v>
      </c>
      <c r="E744" s="149">
        <v>1</v>
      </c>
      <c r="F744" s="150">
        <f>3.14*3.5</f>
        <v>10.99</v>
      </c>
      <c r="G744" s="150"/>
      <c r="H744" s="165">
        <v>2.1</v>
      </c>
      <c r="I744" s="151">
        <f t="shared" si="111"/>
        <v>23.08</v>
      </c>
      <c r="J744" s="180"/>
    </row>
    <row r="745" spans="1:10" s="181" customFormat="1">
      <c r="A745" s="276"/>
      <c r="B745" s="148" t="s">
        <v>1411</v>
      </c>
      <c r="C745" s="149">
        <v>1</v>
      </c>
      <c r="D745" s="156" t="s">
        <v>73</v>
      </c>
      <c r="E745" s="149">
        <v>1</v>
      </c>
      <c r="F745" s="150">
        <v>3.14</v>
      </c>
      <c r="G745" s="150">
        <v>1.75</v>
      </c>
      <c r="H745" s="165">
        <v>1.75</v>
      </c>
      <c r="I745" s="151">
        <f t="shared" si="111"/>
        <v>9.6199999999999992</v>
      </c>
      <c r="J745" s="180"/>
    </row>
    <row r="746" spans="1:10" s="181" customFormat="1">
      <c r="A746" s="276"/>
      <c r="B746" s="148" t="s">
        <v>1412</v>
      </c>
      <c r="C746" s="149">
        <v>1</v>
      </c>
      <c r="D746" s="156" t="s">
        <v>73</v>
      </c>
      <c r="E746" s="149">
        <v>2</v>
      </c>
      <c r="F746" s="150">
        <f>2*(1.15+1.26)</f>
        <v>4.82</v>
      </c>
      <c r="G746" s="150"/>
      <c r="H746" s="165">
        <v>1.2</v>
      </c>
      <c r="I746" s="151">
        <f t="shared" ref="I746" si="112">ROUND(PRODUCT(C746:H746),2)</f>
        <v>11.57</v>
      </c>
      <c r="J746" s="180"/>
    </row>
    <row r="747" spans="1:10" s="181" customFormat="1">
      <c r="A747" s="276"/>
      <c r="B747" s="148" t="s">
        <v>1413</v>
      </c>
      <c r="C747" s="149">
        <v>1</v>
      </c>
      <c r="D747" s="156" t="s">
        <v>73</v>
      </c>
      <c r="E747" s="149">
        <v>1</v>
      </c>
      <c r="F747" s="150">
        <v>2.64</v>
      </c>
      <c r="G747" s="150">
        <v>1.1499999999999999</v>
      </c>
      <c r="H747" s="165"/>
      <c r="I747" s="151">
        <f t="shared" si="111"/>
        <v>3.04</v>
      </c>
      <c r="J747" s="180"/>
    </row>
    <row r="748" spans="1:10" s="181" customFormat="1">
      <c r="A748" s="276"/>
      <c r="B748" s="148" t="s">
        <v>1414</v>
      </c>
      <c r="C748" s="149">
        <v>-1</v>
      </c>
      <c r="D748" s="156" t="s">
        <v>73</v>
      </c>
      <c r="E748" s="149">
        <v>2</v>
      </c>
      <c r="F748" s="150">
        <v>0.6</v>
      </c>
      <c r="G748" s="150">
        <v>0.6</v>
      </c>
      <c r="H748" s="165"/>
      <c r="I748" s="151">
        <f t="shared" ref="I748" si="113">ROUND(PRODUCT(C748:H748),2)</f>
        <v>-0.72</v>
      </c>
      <c r="J748" s="180"/>
    </row>
    <row r="749" spans="1:10" s="181" customFormat="1">
      <c r="A749" s="276"/>
      <c r="B749" s="148"/>
      <c r="C749" s="149"/>
      <c r="D749" s="156"/>
      <c r="E749" s="149"/>
      <c r="F749" s="150"/>
      <c r="G749" s="150"/>
      <c r="H749" s="165"/>
      <c r="I749" s="151">
        <f>SUM(I718:I748)</f>
        <v>595.15999999999985</v>
      </c>
      <c r="J749" s="180"/>
    </row>
    <row r="750" spans="1:10" s="181" customFormat="1">
      <c r="A750" s="276"/>
      <c r="B750" s="148"/>
      <c r="C750" s="149"/>
      <c r="D750" s="149"/>
      <c r="E750" s="149"/>
      <c r="F750" s="150"/>
      <c r="G750" s="150"/>
      <c r="H750" s="150"/>
      <c r="I750" s="160">
        <f>ROUNDUP(I749,0)</f>
        <v>596</v>
      </c>
      <c r="J750" s="180" t="s">
        <v>75</v>
      </c>
    </row>
    <row r="751" spans="1:10" s="181" customFormat="1">
      <c r="A751" s="276"/>
      <c r="B751" s="148"/>
      <c r="C751" s="149"/>
      <c r="D751" s="149"/>
      <c r="E751" s="149"/>
      <c r="F751" s="150"/>
      <c r="G751" s="150"/>
      <c r="H751" s="150"/>
      <c r="I751" s="160"/>
      <c r="J751" s="180"/>
    </row>
    <row r="752" spans="1:10" s="181" customFormat="1" ht="75">
      <c r="A752" s="276">
        <v>39</v>
      </c>
      <c r="B752" s="178" t="s">
        <v>350</v>
      </c>
      <c r="C752" s="166"/>
      <c r="D752" s="167"/>
      <c r="E752" s="166"/>
      <c r="F752" s="168"/>
      <c r="G752" s="168"/>
      <c r="H752" s="168"/>
      <c r="I752" s="199"/>
      <c r="J752" s="180"/>
    </row>
    <row r="753" spans="1:10" s="181" customFormat="1">
      <c r="A753" s="276"/>
      <c r="B753" s="148" t="s">
        <v>294</v>
      </c>
      <c r="C753" s="149">
        <v>1</v>
      </c>
      <c r="D753" s="149" t="s">
        <v>73</v>
      </c>
      <c r="E753" s="149">
        <v>32</v>
      </c>
      <c r="F753" s="150">
        <v>1.35</v>
      </c>
      <c r="G753" s="150">
        <v>25</v>
      </c>
      <c r="H753" s="150">
        <v>1.35</v>
      </c>
      <c r="I753" s="151">
        <f t="shared" ref="I753:I764" si="114">ROUND(PRODUCT(C753:H753),2)</f>
        <v>1458</v>
      </c>
      <c r="J753" s="180"/>
    </row>
    <row r="754" spans="1:10" s="181" customFormat="1">
      <c r="A754" s="276"/>
      <c r="B754" s="148" t="s">
        <v>255</v>
      </c>
      <c r="C754" s="149">
        <v>1</v>
      </c>
      <c r="D754" s="149" t="s">
        <v>73</v>
      </c>
      <c r="E754" s="149">
        <v>7</v>
      </c>
      <c r="F754" s="150">
        <v>0.9</v>
      </c>
      <c r="G754" s="150">
        <v>25</v>
      </c>
      <c r="H754" s="150">
        <v>0.9</v>
      </c>
      <c r="I754" s="151">
        <f t="shared" si="114"/>
        <v>141.75</v>
      </c>
      <c r="J754" s="180"/>
    </row>
    <row r="755" spans="1:10" s="181" customFormat="1">
      <c r="A755" s="276"/>
      <c r="B755" s="148" t="s">
        <v>307</v>
      </c>
      <c r="C755" s="149">
        <v>1</v>
      </c>
      <c r="D755" s="149" t="s">
        <v>73</v>
      </c>
      <c r="E755" s="149">
        <v>16</v>
      </c>
      <c r="F755" s="150">
        <v>0.75</v>
      </c>
      <c r="G755" s="150">
        <v>25</v>
      </c>
      <c r="H755" s="150">
        <v>0.6</v>
      </c>
      <c r="I755" s="151">
        <f t="shared" si="114"/>
        <v>180</v>
      </c>
      <c r="J755" s="180"/>
    </row>
    <row r="756" spans="1:10" s="181" customFormat="1">
      <c r="A756" s="276"/>
      <c r="B756" s="148" t="s">
        <v>1329</v>
      </c>
      <c r="C756" s="149">
        <v>1</v>
      </c>
      <c r="D756" s="156" t="s">
        <v>73</v>
      </c>
      <c r="E756" s="149">
        <v>1</v>
      </c>
      <c r="F756" s="150">
        <v>1</v>
      </c>
      <c r="G756" s="150">
        <v>25</v>
      </c>
      <c r="H756" s="150">
        <v>2.1</v>
      </c>
      <c r="I756" s="151">
        <f t="shared" si="114"/>
        <v>52.5</v>
      </c>
      <c r="J756" s="180"/>
    </row>
    <row r="757" spans="1:10" s="181" customFormat="1">
      <c r="A757" s="276"/>
      <c r="B757" s="148" t="s">
        <v>1330</v>
      </c>
      <c r="C757" s="149">
        <v>1</v>
      </c>
      <c r="D757" s="156" t="s">
        <v>73</v>
      </c>
      <c r="E757" s="149">
        <v>2</v>
      </c>
      <c r="F757" s="150">
        <v>1</v>
      </c>
      <c r="G757" s="150">
        <v>25</v>
      </c>
      <c r="H757" s="150">
        <v>2.1</v>
      </c>
      <c r="I757" s="151">
        <f t="shared" si="114"/>
        <v>105</v>
      </c>
      <c r="J757" s="197"/>
    </row>
    <row r="758" spans="1:10" s="181" customFormat="1">
      <c r="A758" s="276"/>
      <c r="B758" s="148" t="s">
        <v>1331</v>
      </c>
      <c r="C758" s="149">
        <v>1</v>
      </c>
      <c r="D758" s="156" t="s">
        <v>73</v>
      </c>
      <c r="E758" s="149">
        <v>2</v>
      </c>
      <c r="F758" s="150">
        <v>0.83499999999999996</v>
      </c>
      <c r="G758" s="150">
        <v>25</v>
      </c>
      <c r="H758" s="150">
        <v>1.35</v>
      </c>
      <c r="I758" s="151">
        <f t="shared" si="114"/>
        <v>56.36</v>
      </c>
      <c r="J758" s="197"/>
    </row>
    <row r="759" spans="1:10" s="181" customFormat="1" ht="18.75" customHeight="1">
      <c r="A759" s="221"/>
      <c r="B759" s="148" t="s">
        <v>1332</v>
      </c>
      <c r="C759" s="149">
        <v>1</v>
      </c>
      <c r="D759" s="156" t="s">
        <v>73</v>
      </c>
      <c r="E759" s="149">
        <v>1</v>
      </c>
      <c r="F759" s="150">
        <v>0.9</v>
      </c>
      <c r="G759" s="150">
        <v>25</v>
      </c>
      <c r="H759" s="150">
        <v>0.15</v>
      </c>
      <c r="I759" s="151">
        <f t="shared" si="114"/>
        <v>3.38</v>
      </c>
      <c r="J759" s="180"/>
    </row>
    <row r="760" spans="1:10" s="181" customFormat="1" ht="15.75" customHeight="1">
      <c r="A760" s="200"/>
      <c r="B760" s="148" t="s">
        <v>1333</v>
      </c>
      <c r="C760" s="149">
        <v>1</v>
      </c>
      <c r="D760" s="156" t="s">
        <v>73</v>
      </c>
      <c r="E760" s="149">
        <v>1</v>
      </c>
      <c r="F760" s="150">
        <v>0.6</v>
      </c>
      <c r="G760" s="150">
        <v>40</v>
      </c>
      <c r="H760" s="150">
        <v>4.2</v>
      </c>
      <c r="I760" s="151">
        <f t="shared" si="114"/>
        <v>100.8</v>
      </c>
      <c r="J760" s="180"/>
    </row>
    <row r="761" spans="1:10" s="181" customFormat="1" ht="15.75" customHeight="1">
      <c r="A761" s="200"/>
      <c r="B761" s="148" t="s">
        <v>1334</v>
      </c>
      <c r="C761" s="149">
        <v>1</v>
      </c>
      <c r="D761" s="156" t="s">
        <v>73</v>
      </c>
      <c r="E761" s="149">
        <v>1</v>
      </c>
      <c r="F761" s="150">
        <v>1</v>
      </c>
      <c r="G761" s="150">
        <v>35</v>
      </c>
      <c r="H761" s="150">
        <v>2.1</v>
      </c>
      <c r="I761" s="151">
        <f t="shared" si="114"/>
        <v>73.5</v>
      </c>
      <c r="J761" s="180"/>
    </row>
    <row r="762" spans="1:10" s="181" customFormat="1" ht="15.75" customHeight="1">
      <c r="A762" s="169"/>
      <c r="B762" s="148" t="s">
        <v>1335</v>
      </c>
      <c r="C762" s="149">
        <v>1</v>
      </c>
      <c r="D762" s="156" t="s">
        <v>73</v>
      </c>
      <c r="E762" s="149">
        <v>1</v>
      </c>
      <c r="F762" s="150">
        <v>1.35</v>
      </c>
      <c r="G762" s="150">
        <v>30</v>
      </c>
      <c r="H762" s="150">
        <v>1.35</v>
      </c>
      <c r="I762" s="151">
        <f t="shared" si="114"/>
        <v>54.68</v>
      </c>
      <c r="J762" s="180"/>
    </row>
    <row r="763" spans="1:10" s="181" customFormat="1">
      <c r="A763" s="169"/>
      <c r="B763" s="148" t="s">
        <v>1336</v>
      </c>
      <c r="C763" s="149">
        <v>1</v>
      </c>
      <c r="D763" s="156" t="s">
        <v>73</v>
      </c>
      <c r="E763" s="149">
        <v>2</v>
      </c>
      <c r="F763" s="150">
        <v>4.5</v>
      </c>
      <c r="G763" s="150">
        <v>45</v>
      </c>
      <c r="H763" s="150">
        <v>1.8</v>
      </c>
      <c r="I763" s="151">
        <f t="shared" si="114"/>
        <v>729</v>
      </c>
      <c r="J763" s="180"/>
    </row>
    <row r="764" spans="1:10" s="181" customFormat="1">
      <c r="A764" s="169"/>
      <c r="B764" s="148" t="s">
        <v>1337</v>
      </c>
      <c r="C764" s="149">
        <v>1</v>
      </c>
      <c r="D764" s="156" t="s">
        <v>73</v>
      </c>
      <c r="E764" s="149">
        <v>2</v>
      </c>
      <c r="F764" s="150">
        <v>1.5</v>
      </c>
      <c r="G764" s="150">
        <v>40</v>
      </c>
      <c r="H764" s="150">
        <v>1.8</v>
      </c>
      <c r="I764" s="151">
        <f t="shared" si="114"/>
        <v>216</v>
      </c>
      <c r="J764" s="180"/>
    </row>
    <row r="765" spans="1:10" s="181" customFormat="1">
      <c r="A765" s="169"/>
      <c r="B765" s="148"/>
      <c r="C765" s="149"/>
      <c r="D765" s="149"/>
      <c r="E765" s="149"/>
      <c r="F765" s="150"/>
      <c r="G765" s="150"/>
      <c r="H765" s="150"/>
      <c r="I765" s="159">
        <f>SUM(I753:I760)</f>
        <v>2097.79</v>
      </c>
      <c r="J765" s="180"/>
    </row>
    <row r="766" spans="1:10" s="181" customFormat="1">
      <c r="A766" s="169"/>
      <c r="B766" s="155"/>
      <c r="C766" s="149"/>
      <c r="D766" s="149"/>
      <c r="E766" s="149"/>
      <c r="F766" s="150"/>
      <c r="G766" s="150"/>
      <c r="H766" s="158" t="s">
        <v>245</v>
      </c>
      <c r="I766" s="160">
        <f>ROUNDUP(I765,0)</f>
        <v>2098</v>
      </c>
      <c r="J766" s="180" t="s">
        <v>174</v>
      </c>
    </row>
    <row r="767" spans="1:10" s="181" customFormat="1">
      <c r="A767" s="169"/>
      <c r="B767" s="170"/>
      <c r="C767" s="166"/>
      <c r="D767" s="167"/>
      <c r="E767" s="166"/>
      <c r="F767" s="168"/>
      <c r="G767" s="150"/>
      <c r="I767" s="160"/>
      <c r="J767" s="180"/>
    </row>
    <row r="768" spans="1:10" s="181" customFormat="1" ht="99.75" customHeight="1">
      <c r="A768" s="200">
        <v>40</v>
      </c>
      <c r="B768" s="153" t="s">
        <v>351</v>
      </c>
      <c r="C768" s="149"/>
      <c r="D768" s="149"/>
      <c r="E768" s="149"/>
      <c r="F768" s="150"/>
      <c r="G768" s="150"/>
      <c r="H768" s="150"/>
      <c r="I768" s="151"/>
      <c r="J768" s="180"/>
    </row>
    <row r="769" spans="1:10" s="181" customFormat="1">
      <c r="A769" s="169"/>
      <c r="B769" s="148" t="s">
        <v>352</v>
      </c>
      <c r="C769" s="149">
        <v>1</v>
      </c>
      <c r="D769" s="149" t="s">
        <v>73</v>
      </c>
      <c r="E769" s="149">
        <v>14</v>
      </c>
      <c r="F769" s="150">
        <v>1</v>
      </c>
      <c r="G769" s="150">
        <v>2.6</v>
      </c>
      <c r="H769" s="150">
        <v>2.1</v>
      </c>
      <c r="I769" s="151">
        <f>ROUND(PRODUCT(C769:H769),2)</f>
        <v>76.44</v>
      </c>
      <c r="J769" s="180"/>
    </row>
    <row r="770" spans="1:10" s="181" customFormat="1">
      <c r="A770" s="169"/>
      <c r="B770" s="148" t="s">
        <v>353</v>
      </c>
      <c r="C770" s="149">
        <v>1</v>
      </c>
      <c r="D770" s="149" t="s">
        <v>73</v>
      </c>
      <c r="E770" s="149">
        <v>3</v>
      </c>
      <c r="F770" s="150">
        <v>0.9</v>
      </c>
      <c r="G770" s="150">
        <v>2.6</v>
      </c>
      <c r="H770" s="150">
        <v>2.1</v>
      </c>
      <c r="I770" s="151">
        <f>ROUND(PRODUCT(C770:H770),2)</f>
        <v>14.74</v>
      </c>
      <c r="J770" s="180"/>
    </row>
    <row r="771" spans="1:10" s="181" customFormat="1">
      <c r="A771" s="169"/>
      <c r="B771" s="148"/>
      <c r="C771" s="149"/>
      <c r="D771" s="149"/>
      <c r="E771" s="149"/>
      <c r="F771" s="150"/>
      <c r="G771" s="158" t="s">
        <v>11</v>
      </c>
      <c r="H771" s="150"/>
      <c r="I771" s="151">
        <f>SUM(I769:I770)</f>
        <v>91.179999999999993</v>
      </c>
      <c r="J771" s="180"/>
    </row>
    <row r="772" spans="1:10" s="181" customFormat="1" ht="16.5" customHeight="1">
      <c r="A772" s="169"/>
      <c r="B772" s="148"/>
      <c r="C772" s="149"/>
      <c r="D772" s="149"/>
      <c r="E772" s="149"/>
      <c r="F772" s="150"/>
      <c r="G772" s="150"/>
      <c r="H772" s="158" t="s">
        <v>245</v>
      </c>
      <c r="I772" s="160">
        <f>ROUNDUP(I771,0)</f>
        <v>92</v>
      </c>
      <c r="J772" s="180" t="s">
        <v>75</v>
      </c>
    </row>
    <row r="773" spans="1:10" s="181" customFormat="1" ht="16.5" customHeight="1">
      <c r="A773" s="169"/>
      <c r="B773" s="148"/>
      <c r="C773" s="149"/>
      <c r="D773" s="149"/>
      <c r="E773" s="149"/>
      <c r="F773" s="150"/>
      <c r="G773" s="150"/>
      <c r="H773" s="158"/>
      <c r="I773" s="160"/>
      <c r="J773" s="180"/>
    </row>
    <row r="774" spans="1:10" s="181" customFormat="1" ht="16.5" customHeight="1">
      <c r="A774" s="276">
        <v>41</v>
      </c>
      <c r="B774" s="153" t="s">
        <v>354</v>
      </c>
      <c r="C774" s="149"/>
      <c r="D774" s="149"/>
      <c r="E774" s="149"/>
      <c r="F774" s="150"/>
      <c r="G774" s="150"/>
      <c r="H774" s="150"/>
      <c r="I774" s="151"/>
      <c r="J774" s="180"/>
    </row>
    <row r="775" spans="1:10" s="181" customFormat="1" ht="16.5" customHeight="1">
      <c r="A775" s="169"/>
      <c r="B775" s="148" t="s">
        <v>294</v>
      </c>
      <c r="C775" s="149">
        <v>1</v>
      </c>
      <c r="D775" s="149" t="s">
        <v>73</v>
      </c>
      <c r="E775" s="149">
        <v>32</v>
      </c>
      <c r="F775" s="150">
        <v>1.35</v>
      </c>
      <c r="G775" s="150"/>
      <c r="H775" s="150">
        <v>1.35</v>
      </c>
      <c r="I775" s="151">
        <f t="shared" ref="I775:I787" si="115">ROUND(PRODUCT(C775:H775),2)</f>
        <v>58.32</v>
      </c>
      <c r="J775" s="221"/>
    </row>
    <row r="776" spans="1:10" s="181" customFormat="1" ht="20.25" customHeight="1">
      <c r="A776" s="221"/>
      <c r="B776" s="148" t="s">
        <v>255</v>
      </c>
      <c r="C776" s="149">
        <v>1</v>
      </c>
      <c r="D776" s="149" t="s">
        <v>73</v>
      </c>
      <c r="E776" s="149">
        <v>7</v>
      </c>
      <c r="F776" s="150">
        <v>0.9</v>
      </c>
      <c r="G776" s="150"/>
      <c r="H776" s="150">
        <v>0.9</v>
      </c>
      <c r="I776" s="151">
        <f t="shared" si="115"/>
        <v>5.67</v>
      </c>
      <c r="J776" s="180"/>
    </row>
    <row r="777" spans="1:10" s="181" customFormat="1">
      <c r="A777" s="276"/>
      <c r="B777" s="148" t="s">
        <v>307</v>
      </c>
      <c r="C777" s="149">
        <v>1</v>
      </c>
      <c r="D777" s="149" t="s">
        <v>73</v>
      </c>
      <c r="E777" s="149">
        <v>16</v>
      </c>
      <c r="F777" s="150">
        <v>0.75</v>
      </c>
      <c r="G777" s="150"/>
      <c r="H777" s="150">
        <v>0.6</v>
      </c>
      <c r="I777" s="151">
        <f t="shared" si="115"/>
        <v>7.2</v>
      </c>
      <c r="J777" s="180"/>
    </row>
    <row r="778" spans="1:10" s="181" customFormat="1">
      <c r="A778" s="276"/>
      <c r="B778" s="148" t="s">
        <v>1329</v>
      </c>
      <c r="C778" s="149">
        <v>1</v>
      </c>
      <c r="D778" s="156" t="s">
        <v>73</v>
      </c>
      <c r="E778" s="149">
        <v>1</v>
      </c>
      <c r="F778" s="150">
        <v>1</v>
      </c>
      <c r="G778" s="150"/>
      <c r="H778" s="150">
        <v>2.1</v>
      </c>
      <c r="I778" s="151">
        <f t="shared" si="115"/>
        <v>2.1</v>
      </c>
      <c r="J778" s="180"/>
    </row>
    <row r="779" spans="1:10" s="181" customFormat="1">
      <c r="A779" s="276"/>
      <c r="B779" s="148" t="s">
        <v>1330</v>
      </c>
      <c r="C779" s="149">
        <v>1</v>
      </c>
      <c r="D779" s="156" t="s">
        <v>73</v>
      </c>
      <c r="E779" s="149">
        <v>2</v>
      </c>
      <c r="F779" s="150">
        <v>1</v>
      </c>
      <c r="G779" s="150"/>
      <c r="H779" s="150">
        <v>2.1</v>
      </c>
      <c r="I779" s="151">
        <f t="shared" si="115"/>
        <v>4.2</v>
      </c>
      <c r="J779" s="180"/>
    </row>
    <row r="780" spans="1:10" s="181" customFormat="1">
      <c r="A780" s="276"/>
      <c r="B780" s="148" t="s">
        <v>1331</v>
      </c>
      <c r="C780" s="149">
        <v>1</v>
      </c>
      <c r="D780" s="156" t="s">
        <v>73</v>
      </c>
      <c r="E780" s="149">
        <v>2</v>
      </c>
      <c r="F780" s="150">
        <v>0.83499999999999996</v>
      </c>
      <c r="G780" s="150"/>
      <c r="H780" s="150">
        <v>1.35</v>
      </c>
      <c r="I780" s="151">
        <f t="shared" si="115"/>
        <v>2.25</v>
      </c>
      <c r="J780" s="221"/>
    </row>
    <row r="781" spans="1:10" s="181" customFormat="1" ht="17.25" customHeight="1">
      <c r="A781" s="221"/>
      <c r="B781" s="148" t="s">
        <v>1332</v>
      </c>
      <c r="C781" s="149">
        <v>1</v>
      </c>
      <c r="D781" s="156" t="s">
        <v>73</v>
      </c>
      <c r="E781" s="149">
        <v>1</v>
      </c>
      <c r="F781" s="150">
        <v>0.9</v>
      </c>
      <c r="G781" s="150"/>
      <c r="H781" s="150">
        <v>0.15</v>
      </c>
      <c r="I781" s="151">
        <f t="shared" si="115"/>
        <v>0.14000000000000001</v>
      </c>
      <c r="J781" s="180"/>
    </row>
    <row r="782" spans="1:10" s="181" customFormat="1" ht="15.75" customHeight="1">
      <c r="A782" s="200"/>
      <c r="B782" s="148" t="s">
        <v>1333</v>
      </c>
      <c r="C782" s="149">
        <v>1</v>
      </c>
      <c r="D782" s="156" t="s">
        <v>73</v>
      </c>
      <c r="E782" s="149">
        <v>1</v>
      </c>
      <c r="F782" s="150">
        <v>0.6</v>
      </c>
      <c r="G782" s="150"/>
      <c r="H782" s="150">
        <v>4.2</v>
      </c>
      <c r="I782" s="151">
        <f t="shared" si="115"/>
        <v>2.52</v>
      </c>
      <c r="J782" s="180"/>
    </row>
    <row r="783" spans="1:10" s="181" customFormat="1" ht="15.75" customHeight="1">
      <c r="A783" s="200"/>
      <c r="B783" s="148" t="s">
        <v>1334</v>
      </c>
      <c r="C783" s="149">
        <v>1</v>
      </c>
      <c r="D783" s="156" t="s">
        <v>73</v>
      </c>
      <c r="E783" s="149">
        <v>1</v>
      </c>
      <c r="F783" s="150">
        <v>1</v>
      </c>
      <c r="G783" s="150"/>
      <c r="H783" s="150">
        <v>2.1</v>
      </c>
      <c r="I783" s="151">
        <f t="shared" si="115"/>
        <v>2.1</v>
      </c>
      <c r="J783" s="180"/>
    </row>
    <row r="784" spans="1:10" s="181" customFormat="1" ht="15.75" customHeight="1">
      <c r="A784" s="169"/>
      <c r="B784" s="148" t="s">
        <v>1335</v>
      </c>
      <c r="C784" s="149">
        <v>1</v>
      </c>
      <c r="D784" s="156" t="s">
        <v>73</v>
      </c>
      <c r="E784" s="149">
        <v>1</v>
      </c>
      <c r="F784" s="150">
        <v>1.35</v>
      </c>
      <c r="G784" s="150"/>
      <c r="H784" s="150">
        <v>1.35</v>
      </c>
      <c r="I784" s="151">
        <f t="shared" si="115"/>
        <v>1.82</v>
      </c>
      <c r="J784" s="180"/>
    </row>
    <row r="785" spans="1:10" s="181" customFormat="1">
      <c r="A785" s="169"/>
      <c r="B785" s="148" t="s">
        <v>1336</v>
      </c>
      <c r="C785" s="149">
        <v>2</v>
      </c>
      <c r="D785" s="156" t="s">
        <v>73</v>
      </c>
      <c r="E785" s="149">
        <v>2</v>
      </c>
      <c r="F785" s="150">
        <v>4.5</v>
      </c>
      <c r="G785" s="150"/>
      <c r="H785" s="150">
        <v>1.8</v>
      </c>
      <c r="I785" s="151">
        <f t="shared" si="115"/>
        <v>32.4</v>
      </c>
      <c r="J785" s="180"/>
    </row>
    <row r="786" spans="1:10" s="181" customFormat="1">
      <c r="A786" s="169"/>
      <c r="B786" s="148" t="s">
        <v>1337</v>
      </c>
      <c r="C786" s="149">
        <v>1</v>
      </c>
      <c r="D786" s="156" t="s">
        <v>73</v>
      </c>
      <c r="E786" s="149">
        <v>2</v>
      </c>
      <c r="F786" s="150">
        <v>1.5</v>
      </c>
      <c r="G786" s="150"/>
      <c r="H786" s="150">
        <v>1.8</v>
      </c>
      <c r="I786" s="151">
        <f t="shared" si="115"/>
        <v>5.4</v>
      </c>
      <c r="J786" s="180"/>
    </row>
    <row r="787" spans="1:10" s="181" customFormat="1">
      <c r="A787" s="169"/>
      <c r="B787" s="201" t="s">
        <v>1415</v>
      </c>
      <c r="C787" s="202">
        <v>1</v>
      </c>
      <c r="D787" s="203" t="s">
        <v>73</v>
      </c>
      <c r="E787" s="202">
        <v>1</v>
      </c>
      <c r="F787" s="187">
        <v>62.7</v>
      </c>
      <c r="G787" s="187">
        <v>0.3</v>
      </c>
      <c r="H787" s="150"/>
      <c r="I787" s="151">
        <f t="shared" si="115"/>
        <v>18.809999999999999</v>
      </c>
      <c r="J787" s="180"/>
    </row>
    <row r="788" spans="1:10" s="181" customFormat="1">
      <c r="A788" s="169"/>
      <c r="B788" s="201" t="s">
        <v>355</v>
      </c>
      <c r="C788" s="202">
        <v>1</v>
      </c>
      <c r="D788" s="203" t="s">
        <v>73</v>
      </c>
      <c r="E788" s="202">
        <v>5</v>
      </c>
      <c r="F788" s="187">
        <v>0.35</v>
      </c>
      <c r="G788" s="187">
        <v>15</v>
      </c>
      <c r="H788" s="150"/>
      <c r="I788" s="151">
        <f t="shared" ref="I788:I792" si="116">ROUND(PRODUCT(C788:H788),2)</f>
        <v>26.25</v>
      </c>
      <c r="J788" s="180"/>
    </row>
    <row r="789" spans="1:10" s="181" customFormat="1">
      <c r="A789" s="169"/>
      <c r="B789" s="204" t="s">
        <v>356</v>
      </c>
      <c r="C789" s="202">
        <v>1</v>
      </c>
      <c r="D789" s="203" t="s">
        <v>73</v>
      </c>
      <c r="E789" s="202">
        <v>6</v>
      </c>
      <c r="F789" s="187">
        <f>3.14*0.11</f>
        <v>0.34540000000000004</v>
      </c>
      <c r="G789" s="187">
        <v>15</v>
      </c>
      <c r="H789" s="150"/>
      <c r="I789" s="151">
        <f t="shared" si="116"/>
        <v>31.09</v>
      </c>
      <c r="J789" s="180"/>
    </row>
    <row r="790" spans="1:10" s="181" customFormat="1">
      <c r="A790" s="169"/>
      <c r="B790" s="201" t="s">
        <v>357</v>
      </c>
      <c r="C790" s="202">
        <v>1</v>
      </c>
      <c r="D790" s="203" t="s">
        <v>73</v>
      </c>
      <c r="E790" s="202">
        <v>7</v>
      </c>
      <c r="F790" s="187">
        <f>3.14*0.075</f>
        <v>0.23549999999999999</v>
      </c>
      <c r="G790" s="187">
        <v>15</v>
      </c>
      <c r="H790" s="150"/>
      <c r="I790" s="151">
        <f t="shared" si="116"/>
        <v>24.73</v>
      </c>
      <c r="J790" s="180"/>
    </row>
    <row r="791" spans="1:10" s="181" customFormat="1">
      <c r="A791" s="169"/>
      <c r="B791" s="148" t="s">
        <v>358</v>
      </c>
      <c r="C791" s="149">
        <v>1</v>
      </c>
      <c r="D791" s="156" t="s">
        <v>73</v>
      </c>
      <c r="E791" s="149">
        <v>1</v>
      </c>
      <c r="F791" s="150">
        <f>3.14*0.032</f>
        <v>0.10048</v>
      </c>
      <c r="G791" s="150">
        <v>95</v>
      </c>
      <c r="H791" s="150"/>
      <c r="I791" s="151">
        <f t="shared" si="116"/>
        <v>9.5500000000000007</v>
      </c>
      <c r="J791" s="180"/>
    </row>
    <row r="792" spans="1:10" s="181" customFormat="1">
      <c r="A792" s="169"/>
      <c r="B792" s="148" t="s">
        <v>359</v>
      </c>
      <c r="C792" s="149">
        <v>1</v>
      </c>
      <c r="D792" s="156" t="s">
        <v>73</v>
      </c>
      <c r="E792" s="149">
        <v>1</v>
      </c>
      <c r="F792" s="150">
        <f>3.14*0.025</f>
        <v>7.8500000000000014E-2</v>
      </c>
      <c r="G792" s="150">
        <v>150</v>
      </c>
      <c r="H792" s="150"/>
      <c r="I792" s="151">
        <f t="shared" si="116"/>
        <v>11.78</v>
      </c>
      <c r="J792" s="180"/>
    </row>
    <row r="793" spans="1:10" s="181" customFormat="1">
      <c r="A793" s="169"/>
      <c r="B793" s="148"/>
      <c r="C793" s="149"/>
      <c r="D793" s="149"/>
      <c r="E793" s="149"/>
      <c r="F793" s="150"/>
      <c r="G793" s="150"/>
      <c r="H793" s="150"/>
      <c r="I793" s="159">
        <f>SUM(I775:I792)</f>
        <v>246.32999999999998</v>
      </c>
      <c r="J793" s="180"/>
    </row>
    <row r="794" spans="1:10" s="181" customFormat="1" ht="16.5" customHeight="1">
      <c r="A794" s="276"/>
      <c r="B794" s="148"/>
      <c r="C794" s="149"/>
      <c r="D794" s="149"/>
      <c r="E794" s="149"/>
      <c r="F794" s="150"/>
      <c r="G794" s="150"/>
      <c r="H794" s="158" t="s">
        <v>245</v>
      </c>
      <c r="I794" s="160">
        <f>ROUNDUP(I793,0)</f>
        <v>247</v>
      </c>
      <c r="J794" s="180" t="s">
        <v>75</v>
      </c>
    </row>
    <row r="795" spans="1:10" s="181" customFormat="1" ht="16.5" customHeight="1">
      <c r="A795" s="276"/>
      <c r="B795" s="148"/>
      <c r="C795" s="149"/>
      <c r="D795" s="149"/>
      <c r="E795" s="149"/>
      <c r="F795" s="150"/>
      <c r="G795" s="150"/>
      <c r="H795" s="158"/>
      <c r="I795" s="160"/>
      <c r="J795" s="180"/>
    </row>
    <row r="796" spans="1:10" s="181" customFormat="1" ht="16.5" customHeight="1">
      <c r="A796" s="276">
        <v>46</v>
      </c>
      <c r="B796" s="198" t="s">
        <v>360</v>
      </c>
      <c r="C796" s="149"/>
      <c r="D796" s="149"/>
      <c r="E796" s="149"/>
      <c r="F796" s="150"/>
      <c r="G796" s="150"/>
      <c r="H796" s="150"/>
      <c r="I796" s="205"/>
      <c r="J796" s="180"/>
    </row>
    <row r="797" spans="1:10" s="181" customFormat="1" ht="16.5" customHeight="1">
      <c r="A797" s="276"/>
      <c r="B797" s="148" t="s">
        <v>299</v>
      </c>
      <c r="C797" s="149">
        <v>1</v>
      </c>
      <c r="D797" s="149" t="s">
        <v>73</v>
      </c>
      <c r="E797" s="149">
        <v>2</v>
      </c>
      <c r="F797" s="150">
        <v>1.2</v>
      </c>
      <c r="G797" s="150"/>
      <c r="H797" s="150"/>
      <c r="I797" s="151">
        <f>ROUND(PRODUCT(C797:H797),2)</f>
        <v>2.4</v>
      </c>
      <c r="J797" s="180"/>
    </row>
    <row r="798" spans="1:10" s="181" customFormat="1">
      <c r="A798" s="276"/>
      <c r="B798" s="148"/>
      <c r="C798" s="149"/>
      <c r="D798" s="149"/>
      <c r="E798" s="149"/>
      <c r="F798" s="150"/>
      <c r="G798" s="158" t="s">
        <v>11</v>
      </c>
      <c r="H798" s="150"/>
      <c r="I798" s="160">
        <f>SUM(I797:I797)</f>
        <v>2.4</v>
      </c>
      <c r="J798" s="180" t="s">
        <v>76</v>
      </c>
    </row>
    <row r="799" spans="1:10" s="181" customFormat="1">
      <c r="A799" s="276"/>
      <c r="B799" s="148"/>
      <c r="C799" s="149"/>
      <c r="D799" s="149"/>
      <c r="E799" s="149"/>
      <c r="F799" s="150"/>
      <c r="G799" s="158"/>
      <c r="H799" s="150"/>
      <c r="I799" s="160"/>
      <c r="J799" s="180"/>
    </row>
    <row r="800" spans="1:10" s="181" customFormat="1" ht="93.75">
      <c r="A800" s="276">
        <v>47</v>
      </c>
      <c r="B800" s="178" t="s">
        <v>364</v>
      </c>
      <c r="C800" s="149"/>
      <c r="D800" s="149"/>
      <c r="E800" s="149"/>
      <c r="F800" s="150"/>
      <c r="G800" s="150"/>
      <c r="H800" s="150"/>
      <c r="I800" s="151"/>
      <c r="J800" s="180"/>
    </row>
    <row r="801" spans="1:10" s="181" customFormat="1">
      <c r="A801" s="276"/>
      <c r="B801" s="148" t="s">
        <v>365</v>
      </c>
      <c r="C801" s="149">
        <v>1</v>
      </c>
      <c r="D801" s="149" t="s">
        <v>73</v>
      </c>
      <c r="E801" s="149">
        <v>2</v>
      </c>
      <c r="F801" s="150"/>
      <c r="G801" s="150"/>
      <c r="H801" s="150"/>
      <c r="I801" s="151">
        <f>ROUND(PRODUCT(C801:H801),2)</f>
        <v>2</v>
      </c>
      <c r="J801" s="180"/>
    </row>
    <row r="802" spans="1:10" s="181" customFormat="1">
      <c r="A802" s="276"/>
      <c r="B802" s="148" t="s">
        <v>366</v>
      </c>
      <c r="C802" s="149">
        <v>1</v>
      </c>
      <c r="D802" s="149" t="s">
        <v>73</v>
      </c>
      <c r="E802" s="149">
        <v>2</v>
      </c>
      <c r="F802" s="150"/>
      <c r="G802" s="150"/>
      <c r="H802" s="150"/>
      <c r="I802" s="151">
        <f>ROUND(PRODUCT(C802:H802),2)</f>
        <v>2</v>
      </c>
      <c r="J802" s="180"/>
    </row>
    <row r="803" spans="1:10" s="181" customFormat="1">
      <c r="A803" s="276"/>
      <c r="B803" s="148" t="s">
        <v>367</v>
      </c>
      <c r="C803" s="149">
        <v>1</v>
      </c>
      <c r="D803" s="149" t="s">
        <v>73</v>
      </c>
      <c r="E803" s="149">
        <v>2</v>
      </c>
      <c r="F803" s="150"/>
      <c r="G803" s="150"/>
      <c r="H803" s="150"/>
      <c r="I803" s="151">
        <f>ROUND(PRODUCT(C803:H803),2)</f>
        <v>2</v>
      </c>
      <c r="J803" s="180"/>
    </row>
    <row r="804" spans="1:10" s="181" customFormat="1" ht="22.5" customHeight="1">
      <c r="A804" s="221"/>
      <c r="B804" s="148" t="s">
        <v>368</v>
      </c>
      <c r="C804" s="149">
        <v>1</v>
      </c>
      <c r="D804" s="149" t="s">
        <v>73</v>
      </c>
      <c r="E804" s="149">
        <v>10</v>
      </c>
      <c r="F804" s="150"/>
      <c r="G804" s="150"/>
      <c r="H804" s="150"/>
      <c r="I804" s="151">
        <f>ROUND(PRODUCT(C804:H804),2)</f>
        <v>10</v>
      </c>
      <c r="J804" s="180"/>
    </row>
    <row r="805" spans="1:10" s="181" customFormat="1">
      <c r="A805" s="276"/>
      <c r="B805" s="148"/>
      <c r="C805" s="149"/>
      <c r="D805" s="149"/>
      <c r="E805" s="149"/>
      <c r="F805" s="150"/>
      <c r="G805" s="158" t="s">
        <v>11</v>
      </c>
      <c r="H805" s="150"/>
      <c r="I805" s="160">
        <f>SUM(I801:I804)</f>
        <v>16</v>
      </c>
      <c r="J805" s="180" t="s">
        <v>77</v>
      </c>
    </row>
    <row r="806" spans="1:10" s="181" customFormat="1">
      <c r="A806" s="276"/>
      <c r="B806" s="148"/>
      <c r="C806" s="149"/>
      <c r="D806" s="149"/>
      <c r="E806" s="149"/>
      <c r="F806" s="150"/>
      <c r="G806" s="158"/>
      <c r="H806" s="150"/>
      <c r="I806" s="160"/>
      <c r="J806" s="180"/>
    </row>
    <row r="807" spans="1:10" s="181" customFormat="1" ht="93.75">
      <c r="A807" s="276">
        <v>48</v>
      </c>
      <c r="B807" s="178" t="s">
        <v>369</v>
      </c>
      <c r="C807" s="149"/>
      <c r="D807" s="149"/>
      <c r="E807" s="149"/>
      <c r="F807" s="150"/>
      <c r="G807" s="150"/>
      <c r="H807" s="150"/>
      <c r="I807" s="151"/>
      <c r="J807" s="180"/>
    </row>
    <row r="808" spans="1:10" s="181" customFormat="1" ht="19.5" customHeight="1">
      <c r="A808" s="221"/>
      <c r="B808" s="153" t="s">
        <v>190</v>
      </c>
      <c r="C808" s="149"/>
      <c r="D808" s="149"/>
      <c r="E808" s="149"/>
      <c r="F808" s="150"/>
      <c r="G808" s="150"/>
      <c r="H808" s="150"/>
      <c r="I808" s="151"/>
      <c r="J808" s="180"/>
    </row>
    <row r="809" spans="1:10" s="181" customFormat="1">
      <c r="A809" s="276"/>
      <c r="B809" s="148" t="s">
        <v>370</v>
      </c>
      <c r="C809" s="149">
        <v>3</v>
      </c>
      <c r="D809" s="149" t="s">
        <v>73</v>
      </c>
      <c r="E809" s="149">
        <v>3</v>
      </c>
      <c r="F809" s="150"/>
      <c r="G809" s="150"/>
      <c r="H809" s="150"/>
      <c r="I809" s="151">
        <f t="shared" ref="I809:I817" si="117">ROUND(PRODUCT(C809:H809),2)</f>
        <v>9</v>
      </c>
      <c r="J809" s="180"/>
    </row>
    <row r="810" spans="1:10" s="181" customFormat="1">
      <c r="A810" s="276"/>
      <c r="B810" s="148" t="s">
        <v>271</v>
      </c>
      <c r="C810" s="149">
        <v>1</v>
      </c>
      <c r="D810" s="149" t="s">
        <v>73</v>
      </c>
      <c r="E810" s="149">
        <v>2</v>
      </c>
      <c r="F810" s="150"/>
      <c r="G810" s="150"/>
      <c r="H810" s="150"/>
      <c r="I810" s="151">
        <f t="shared" si="117"/>
        <v>2</v>
      </c>
      <c r="J810" s="180"/>
    </row>
    <row r="811" spans="1:10" s="181" customFormat="1">
      <c r="A811" s="276"/>
      <c r="B811" s="148" t="s">
        <v>331</v>
      </c>
      <c r="C811" s="149">
        <v>1</v>
      </c>
      <c r="D811" s="149" t="s">
        <v>73</v>
      </c>
      <c r="E811" s="149">
        <v>1</v>
      </c>
      <c r="F811" s="150"/>
      <c r="G811" s="150"/>
      <c r="H811" s="150"/>
      <c r="I811" s="151">
        <f t="shared" si="117"/>
        <v>1</v>
      </c>
      <c r="J811" s="180"/>
    </row>
    <row r="812" spans="1:10" s="181" customFormat="1">
      <c r="A812" s="276"/>
      <c r="B812" s="155" t="s">
        <v>189</v>
      </c>
      <c r="C812" s="149"/>
      <c r="D812" s="149"/>
      <c r="E812" s="149"/>
      <c r="F812" s="150"/>
      <c r="G812" s="150"/>
      <c r="H812" s="150"/>
      <c r="I812" s="151">
        <f t="shared" si="117"/>
        <v>0</v>
      </c>
      <c r="J812" s="180"/>
    </row>
    <row r="813" spans="1:10" s="181" customFormat="1">
      <c r="A813" s="276"/>
      <c r="B813" s="148" t="s">
        <v>370</v>
      </c>
      <c r="C813" s="149">
        <v>3</v>
      </c>
      <c r="D813" s="149" t="s">
        <v>73</v>
      </c>
      <c r="E813" s="149">
        <v>3</v>
      </c>
      <c r="F813" s="150"/>
      <c r="G813" s="150"/>
      <c r="H813" s="150"/>
      <c r="I813" s="151">
        <f t="shared" si="117"/>
        <v>9</v>
      </c>
      <c r="J813" s="180"/>
    </row>
    <row r="814" spans="1:10" s="181" customFormat="1" ht="16.5" customHeight="1">
      <c r="A814" s="221"/>
      <c r="B814" s="148" t="s">
        <v>331</v>
      </c>
      <c r="C814" s="149">
        <v>1</v>
      </c>
      <c r="D814" s="149" t="s">
        <v>73</v>
      </c>
      <c r="E814" s="149">
        <v>1</v>
      </c>
      <c r="F814" s="150"/>
      <c r="G814" s="150"/>
      <c r="H814" s="150"/>
      <c r="I814" s="151">
        <f t="shared" si="117"/>
        <v>1</v>
      </c>
      <c r="J814" s="180"/>
    </row>
    <row r="815" spans="1:10" s="181" customFormat="1">
      <c r="A815" s="276"/>
      <c r="B815" s="148" t="s">
        <v>271</v>
      </c>
      <c r="C815" s="149">
        <v>1</v>
      </c>
      <c r="D815" s="149" t="s">
        <v>73</v>
      </c>
      <c r="E815" s="149">
        <v>2</v>
      </c>
      <c r="F815" s="150"/>
      <c r="G815" s="150"/>
      <c r="H815" s="150"/>
      <c r="I815" s="151">
        <f t="shared" si="117"/>
        <v>2</v>
      </c>
      <c r="J815" s="180"/>
    </row>
    <row r="816" spans="1:10" s="181" customFormat="1">
      <c r="A816" s="276"/>
      <c r="B816" s="155" t="s">
        <v>188</v>
      </c>
      <c r="C816" s="149"/>
      <c r="D816" s="149"/>
      <c r="E816" s="149"/>
      <c r="F816" s="150"/>
      <c r="G816" s="150"/>
      <c r="H816" s="150"/>
      <c r="I816" s="151">
        <f t="shared" si="117"/>
        <v>0</v>
      </c>
      <c r="J816" s="180"/>
    </row>
    <row r="817" spans="1:10" s="181" customFormat="1">
      <c r="A817" s="276"/>
      <c r="B817" s="148" t="s">
        <v>371</v>
      </c>
      <c r="C817" s="149">
        <v>2</v>
      </c>
      <c r="D817" s="149" t="s">
        <v>73</v>
      </c>
      <c r="E817" s="149">
        <v>4</v>
      </c>
      <c r="F817" s="150"/>
      <c r="G817" s="150"/>
      <c r="H817" s="150"/>
      <c r="I817" s="151">
        <f t="shared" si="117"/>
        <v>8</v>
      </c>
      <c r="J817" s="180"/>
    </row>
    <row r="818" spans="1:10" s="181" customFormat="1">
      <c r="A818" s="276"/>
      <c r="B818" s="148"/>
      <c r="C818" s="149"/>
      <c r="D818" s="149"/>
      <c r="E818" s="149"/>
      <c r="F818" s="150"/>
      <c r="G818" s="158" t="s">
        <v>11</v>
      </c>
      <c r="H818" s="150"/>
      <c r="I818" s="160">
        <f>SUM(I809:I817)</f>
        <v>32</v>
      </c>
      <c r="J818" s="180" t="s">
        <v>77</v>
      </c>
    </row>
    <row r="819" spans="1:10" s="181" customFormat="1">
      <c r="A819" s="276"/>
      <c r="B819" s="148"/>
      <c r="C819" s="149"/>
      <c r="D819" s="149"/>
      <c r="E819" s="149"/>
      <c r="F819" s="150"/>
      <c r="G819" s="158"/>
      <c r="H819" s="150"/>
      <c r="I819" s="160"/>
      <c r="J819" s="180"/>
    </row>
    <row r="820" spans="1:10" s="181" customFormat="1" ht="75">
      <c r="A820" s="276">
        <v>49</v>
      </c>
      <c r="B820" s="206" t="s">
        <v>372</v>
      </c>
      <c r="C820" s="149"/>
      <c r="D820" s="149"/>
      <c r="E820" s="149"/>
      <c r="F820" s="150"/>
      <c r="G820" s="150"/>
      <c r="H820" s="150"/>
      <c r="I820" s="151"/>
      <c r="J820" s="180"/>
    </row>
    <row r="821" spans="1:10" s="181" customFormat="1">
      <c r="A821" s="276"/>
      <c r="B821" s="148" t="s">
        <v>373</v>
      </c>
      <c r="C821" s="149">
        <v>1</v>
      </c>
      <c r="D821" s="149" t="s">
        <v>73</v>
      </c>
      <c r="E821" s="149">
        <v>17</v>
      </c>
      <c r="F821" s="150">
        <v>2</v>
      </c>
      <c r="G821" s="150"/>
      <c r="H821" s="150"/>
      <c r="I821" s="151">
        <f>ROUND(PRODUCT(C821:H821),2)</f>
        <v>34</v>
      </c>
      <c r="J821" s="180"/>
    </row>
    <row r="822" spans="1:10" s="181" customFormat="1">
      <c r="A822" s="276"/>
      <c r="B822" s="148" t="s">
        <v>375</v>
      </c>
      <c r="C822" s="149">
        <v>1</v>
      </c>
      <c r="D822" s="149" t="s">
        <v>73</v>
      </c>
      <c r="E822" s="149">
        <v>32</v>
      </c>
      <c r="F822" s="150">
        <v>2</v>
      </c>
      <c r="G822" s="150"/>
      <c r="H822" s="150"/>
      <c r="I822" s="151">
        <f>ROUND(PRODUCT(C822:H822),2)</f>
        <v>64</v>
      </c>
      <c r="J822" s="180"/>
    </row>
    <row r="823" spans="1:10" s="181" customFormat="1">
      <c r="A823" s="276"/>
      <c r="B823" s="148" t="s">
        <v>376</v>
      </c>
      <c r="C823" s="149">
        <v>1</v>
      </c>
      <c r="D823" s="149" t="s">
        <v>73</v>
      </c>
      <c r="E823" s="149">
        <v>2</v>
      </c>
      <c r="F823" s="150">
        <v>2</v>
      </c>
      <c r="G823" s="150"/>
      <c r="H823" s="150"/>
      <c r="I823" s="151">
        <f>ROUND(PRODUCT(C823:H823),2)</f>
        <v>4</v>
      </c>
      <c r="J823" s="180"/>
    </row>
    <row r="824" spans="1:10" s="181" customFormat="1">
      <c r="A824" s="276"/>
      <c r="B824" s="148"/>
      <c r="C824" s="149"/>
      <c r="D824" s="149"/>
      <c r="E824" s="149"/>
      <c r="F824" s="150"/>
      <c r="G824" s="150"/>
      <c r="H824" s="150"/>
      <c r="I824" s="160">
        <f>SUM(I821:I823)</f>
        <v>102</v>
      </c>
      <c r="J824" s="180" t="s">
        <v>77</v>
      </c>
    </row>
    <row r="825" spans="1:10" s="181" customFormat="1">
      <c r="A825" s="276"/>
      <c r="B825" s="148"/>
      <c r="C825" s="149"/>
      <c r="D825" s="149"/>
      <c r="E825" s="149"/>
      <c r="F825" s="150"/>
      <c r="G825" s="150"/>
      <c r="H825" s="150"/>
      <c r="I825" s="160"/>
      <c r="J825" s="180"/>
    </row>
    <row r="826" spans="1:10" s="181" customFormat="1" ht="37.5">
      <c r="A826" s="276">
        <v>50.2</v>
      </c>
      <c r="B826" s="387" t="s">
        <v>1599</v>
      </c>
      <c r="C826" s="149"/>
      <c r="D826" s="149"/>
      <c r="E826" s="149"/>
      <c r="F826" s="150"/>
      <c r="G826" s="150"/>
      <c r="H826" s="150"/>
      <c r="I826" s="160"/>
      <c r="J826" s="180"/>
    </row>
    <row r="827" spans="1:10" s="181" customFormat="1">
      <c r="A827" s="276"/>
      <c r="B827" s="148" t="s">
        <v>1600</v>
      </c>
      <c r="C827" s="149">
        <v>1</v>
      </c>
      <c r="D827" s="149" t="s">
        <v>73</v>
      </c>
      <c r="E827" s="149">
        <v>2</v>
      </c>
      <c r="F827" s="150">
        <v>17</v>
      </c>
      <c r="G827" s="150"/>
      <c r="H827" s="150"/>
      <c r="I827" s="151">
        <f t="shared" ref="I827:I829" si="118">ROUND(PRODUCT(C827:H827),2)</f>
        <v>34</v>
      </c>
      <c r="J827" s="180"/>
    </row>
    <row r="828" spans="1:10" s="181" customFormat="1">
      <c r="A828" s="276"/>
      <c r="B828" s="148" t="s">
        <v>1601</v>
      </c>
      <c r="C828" s="149">
        <v>1</v>
      </c>
      <c r="D828" s="149" t="s">
        <v>73</v>
      </c>
      <c r="E828" s="149">
        <v>1</v>
      </c>
      <c r="F828" s="150">
        <v>14.7</v>
      </c>
      <c r="G828" s="150"/>
      <c r="H828" s="150"/>
      <c r="I828" s="151">
        <f t="shared" ref="I828" si="119">ROUND(PRODUCT(C828:H828),2)</f>
        <v>14.7</v>
      </c>
      <c r="J828" s="180"/>
    </row>
    <row r="829" spans="1:10" s="181" customFormat="1">
      <c r="A829" s="276"/>
      <c r="B829" s="148" t="s">
        <v>1602</v>
      </c>
      <c r="C829" s="149">
        <v>2</v>
      </c>
      <c r="D829" s="149" t="s">
        <v>73</v>
      </c>
      <c r="E829" s="149">
        <v>2</v>
      </c>
      <c r="F829" s="150">
        <v>3.5</v>
      </c>
      <c r="G829" s="150"/>
      <c r="H829" s="150"/>
      <c r="I829" s="151">
        <f t="shared" si="118"/>
        <v>14</v>
      </c>
      <c r="J829" s="180"/>
    </row>
    <row r="830" spans="1:10" s="181" customFormat="1">
      <c r="A830" s="276"/>
      <c r="B830" s="148"/>
      <c r="C830" s="149"/>
      <c r="D830" s="149"/>
      <c r="E830" s="149"/>
      <c r="F830" s="150"/>
      <c r="G830" s="150"/>
      <c r="H830" s="150"/>
      <c r="I830" s="160">
        <f>SUM(I827:I829)</f>
        <v>62.7</v>
      </c>
      <c r="J830" s="180" t="s">
        <v>76</v>
      </c>
    </row>
    <row r="831" spans="1:10" s="181" customFormat="1">
      <c r="A831" s="276"/>
      <c r="B831" s="148"/>
      <c r="C831" s="149"/>
      <c r="D831" s="149"/>
      <c r="E831" s="149"/>
      <c r="F831" s="150"/>
      <c r="G831" s="150"/>
      <c r="H831" s="150"/>
      <c r="I831" s="160"/>
      <c r="J831" s="180"/>
    </row>
    <row r="832" spans="1:10" s="181" customFormat="1" ht="98.25" customHeight="1">
      <c r="A832" s="276">
        <v>50.3</v>
      </c>
      <c r="B832" s="206" t="s">
        <v>378</v>
      </c>
      <c r="C832" s="149"/>
      <c r="D832" s="149"/>
      <c r="E832" s="149"/>
      <c r="F832" s="150"/>
      <c r="G832" s="150"/>
      <c r="H832" s="150"/>
      <c r="I832" s="151"/>
      <c r="J832" s="180"/>
    </row>
    <row r="833" spans="1:11" s="181" customFormat="1">
      <c r="A833" s="276"/>
      <c r="B833" s="148" t="s">
        <v>379</v>
      </c>
      <c r="C833" s="149">
        <v>1</v>
      </c>
      <c r="D833" s="149" t="s">
        <v>73</v>
      </c>
      <c r="E833" s="149">
        <v>5</v>
      </c>
      <c r="F833" s="150"/>
      <c r="G833" s="150"/>
      <c r="H833" s="150"/>
      <c r="I833" s="207">
        <f>ROUND(PRODUCT(C833:H833),2)</f>
        <v>5</v>
      </c>
      <c r="J833" s="180" t="s">
        <v>77</v>
      </c>
    </row>
    <row r="834" spans="1:11" s="181" customFormat="1">
      <c r="A834" s="276"/>
      <c r="B834" s="148"/>
      <c r="C834" s="149"/>
      <c r="D834" s="149"/>
      <c r="E834" s="149"/>
      <c r="F834" s="150"/>
      <c r="G834" s="150"/>
      <c r="H834" s="150"/>
      <c r="I834" s="207"/>
      <c r="J834" s="180"/>
    </row>
    <row r="835" spans="1:11" s="181" customFormat="1" ht="96.75" customHeight="1">
      <c r="A835" s="276">
        <v>50.4</v>
      </c>
      <c r="B835" s="206" t="s">
        <v>380</v>
      </c>
      <c r="C835" s="149"/>
      <c r="D835" s="149"/>
      <c r="E835" s="149"/>
      <c r="F835" s="150"/>
      <c r="G835" s="150"/>
      <c r="H835" s="150"/>
      <c r="I835" s="151"/>
      <c r="J835" s="180"/>
    </row>
    <row r="836" spans="1:11" s="181" customFormat="1">
      <c r="A836" s="276"/>
      <c r="B836" s="148" t="s">
        <v>381</v>
      </c>
      <c r="C836" s="149">
        <v>1</v>
      </c>
      <c r="D836" s="149" t="s">
        <v>73</v>
      </c>
      <c r="E836" s="149">
        <v>5</v>
      </c>
      <c r="F836" s="150"/>
      <c r="G836" s="150"/>
      <c r="H836" s="150"/>
      <c r="I836" s="151">
        <f>ROUND(PRODUCT(C836:H836),2)</f>
        <v>5</v>
      </c>
      <c r="J836" s="180"/>
      <c r="K836" s="181" t="s">
        <v>374</v>
      </c>
    </row>
    <row r="837" spans="1:11" s="181" customFormat="1">
      <c r="A837" s="276"/>
      <c r="B837" s="148"/>
      <c r="C837" s="149"/>
      <c r="D837" s="149"/>
      <c r="E837" s="149"/>
      <c r="F837" s="150"/>
      <c r="G837" s="158" t="s">
        <v>11</v>
      </c>
      <c r="H837" s="150"/>
      <c r="I837" s="160">
        <f>I836</f>
        <v>5</v>
      </c>
      <c r="J837" s="180" t="s">
        <v>77</v>
      </c>
    </row>
    <row r="838" spans="1:11" s="181" customFormat="1">
      <c r="A838" s="276"/>
      <c r="B838" s="148"/>
      <c r="C838" s="149"/>
      <c r="D838" s="149"/>
      <c r="E838" s="149"/>
      <c r="F838" s="150"/>
      <c r="G838" s="158"/>
      <c r="H838" s="150"/>
      <c r="I838" s="160"/>
      <c r="J838" s="180"/>
    </row>
    <row r="839" spans="1:11" s="181" customFormat="1" ht="100.5" customHeight="1">
      <c r="A839" s="276">
        <v>52</v>
      </c>
      <c r="B839" s="206" t="s">
        <v>383</v>
      </c>
      <c r="C839" s="149"/>
      <c r="D839" s="149"/>
      <c r="E839" s="149"/>
      <c r="F839" s="150"/>
      <c r="G839" s="150"/>
      <c r="H839" s="150"/>
      <c r="I839" s="151"/>
      <c r="J839" s="180"/>
    </row>
    <row r="840" spans="1:11" s="181" customFormat="1" ht="29.25" customHeight="1">
      <c r="A840" s="221"/>
      <c r="B840" s="155" t="s">
        <v>384</v>
      </c>
      <c r="C840" s="149"/>
      <c r="D840" s="149"/>
      <c r="E840" s="149"/>
      <c r="F840" s="150"/>
      <c r="G840" s="150"/>
      <c r="H840" s="150"/>
      <c r="I840" s="151"/>
      <c r="J840" s="180"/>
    </row>
    <row r="841" spans="1:11" s="181" customFormat="1">
      <c r="A841" s="276"/>
      <c r="B841" s="148" t="s">
        <v>385</v>
      </c>
      <c r="C841" s="149">
        <v>1</v>
      </c>
      <c r="D841" s="149" t="s">
        <v>73</v>
      </c>
      <c r="E841" s="149">
        <v>1</v>
      </c>
      <c r="F841" s="150">
        <v>50</v>
      </c>
      <c r="G841" s="150"/>
      <c r="H841" s="150"/>
      <c r="I841" s="151">
        <f>ROUND(PRODUCT(C841:H841),2)</f>
        <v>50</v>
      </c>
      <c r="J841" s="180"/>
    </row>
    <row r="842" spans="1:11" s="181" customFormat="1">
      <c r="A842" s="276"/>
      <c r="B842" s="148" t="s">
        <v>386</v>
      </c>
      <c r="C842" s="149">
        <v>1</v>
      </c>
      <c r="D842" s="149" t="s">
        <v>73</v>
      </c>
      <c r="E842" s="149">
        <v>4</v>
      </c>
      <c r="F842" s="150">
        <v>5</v>
      </c>
      <c r="G842" s="150"/>
      <c r="H842" s="150"/>
      <c r="I842" s="151">
        <f>ROUND(PRODUCT(C842:H842),2)</f>
        <v>20</v>
      </c>
      <c r="J842" s="180"/>
    </row>
    <row r="843" spans="1:11" s="181" customFormat="1" ht="34.5" customHeight="1">
      <c r="A843" s="221"/>
      <c r="B843" s="148" t="s">
        <v>387</v>
      </c>
      <c r="C843" s="149">
        <v>1</v>
      </c>
      <c r="D843" s="149" t="s">
        <v>73</v>
      </c>
      <c r="E843" s="149">
        <v>5</v>
      </c>
      <c r="F843" s="150">
        <v>5</v>
      </c>
      <c r="G843" s="150"/>
      <c r="H843" s="150"/>
      <c r="I843" s="151">
        <f>ROUND(PRODUCT(C843:H843),2)</f>
        <v>25</v>
      </c>
      <c r="J843" s="180"/>
    </row>
    <row r="844" spans="1:11" s="181" customFormat="1">
      <c r="A844" s="276"/>
      <c r="B844" s="148"/>
      <c r="C844" s="149"/>
      <c r="D844" s="149"/>
      <c r="E844" s="149"/>
      <c r="F844" s="150"/>
      <c r="G844" s="158" t="s">
        <v>11</v>
      </c>
      <c r="H844" s="150"/>
      <c r="I844" s="159">
        <f>SUM(I841:I843)</f>
        <v>95</v>
      </c>
      <c r="J844" s="180"/>
    </row>
    <row r="845" spans="1:11" s="181" customFormat="1">
      <c r="A845" s="276"/>
      <c r="B845" s="148"/>
      <c r="C845" s="149"/>
      <c r="D845" s="149"/>
      <c r="E845" s="149"/>
      <c r="F845" s="150"/>
      <c r="G845" s="150"/>
      <c r="H845" s="158" t="s">
        <v>74</v>
      </c>
      <c r="I845" s="160">
        <f>ROUNDUP(I844,1)</f>
        <v>95</v>
      </c>
      <c r="J845" s="180" t="s">
        <v>76</v>
      </c>
    </row>
    <row r="846" spans="1:11" s="181" customFormat="1">
      <c r="A846" s="360"/>
      <c r="B846" s="148"/>
      <c r="C846" s="149"/>
      <c r="D846" s="149"/>
      <c r="E846" s="149"/>
      <c r="F846" s="150"/>
      <c r="G846" s="150"/>
      <c r="H846" s="158"/>
      <c r="I846" s="160"/>
      <c r="J846" s="180"/>
    </row>
    <row r="847" spans="1:11" s="181" customFormat="1" ht="20.25" customHeight="1">
      <c r="A847" s="221"/>
      <c r="B847" s="155" t="s">
        <v>388</v>
      </c>
      <c r="C847" s="149"/>
      <c r="D847" s="149"/>
      <c r="E847" s="149"/>
      <c r="F847" s="150"/>
      <c r="G847" s="150"/>
      <c r="H847" s="150"/>
      <c r="I847" s="151"/>
      <c r="J847" s="180"/>
    </row>
    <row r="848" spans="1:11" s="181" customFormat="1">
      <c r="A848" s="249"/>
      <c r="B848" s="148" t="s">
        <v>389</v>
      </c>
      <c r="C848" s="149">
        <v>1</v>
      </c>
      <c r="D848" s="149" t="s">
        <v>73</v>
      </c>
      <c r="E848" s="149">
        <v>2</v>
      </c>
      <c r="F848" s="150">
        <v>15</v>
      </c>
      <c r="G848" s="150"/>
      <c r="H848" s="150"/>
      <c r="I848" s="151">
        <f t="shared" ref="I848:I855" si="120">ROUND(PRODUCT(C848:H848),2)</f>
        <v>30</v>
      </c>
      <c r="J848" s="180"/>
    </row>
    <row r="849" spans="1:10" s="181" customFormat="1">
      <c r="A849" s="276"/>
      <c r="B849" s="148" t="s">
        <v>390</v>
      </c>
      <c r="C849" s="149">
        <v>1</v>
      </c>
      <c r="D849" s="149" t="s">
        <v>73</v>
      </c>
      <c r="E849" s="149">
        <v>3</v>
      </c>
      <c r="F849" s="150">
        <v>8</v>
      </c>
      <c r="G849" s="150"/>
      <c r="H849" s="150"/>
      <c r="I849" s="151">
        <f t="shared" si="120"/>
        <v>24</v>
      </c>
      <c r="J849" s="180"/>
    </row>
    <row r="850" spans="1:10" s="181" customFormat="1">
      <c r="A850" s="276"/>
      <c r="B850" s="148" t="s">
        <v>391</v>
      </c>
      <c r="C850" s="149">
        <v>1</v>
      </c>
      <c r="D850" s="156" t="s">
        <v>73</v>
      </c>
      <c r="E850" s="149">
        <v>1</v>
      </c>
      <c r="F850" s="150">
        <v>14</v>
      </c>
      <c r="G850" s="150"/>
      <c r="H850" s="150"/>
      <c r="I850" s="151">
        <f t="shared" si="120"/>
        <v>14</v>
      </c>
      <c r="J850" s="180"/>
    </row>
    <row r="851" spans="1:10" s="181" customFormat="1">
      <c r="A851" s="276"/>
      <c r="B851" s="182" t="s">
        <v>392</v>
      </c>
      <c r="C851" s="149">
        <v>1</v>
      </c>
      <c r="D851" s="156" t="s">
        <v>73</v>
      </c>
      <c r="E851" s="149">
        <v>1</v>
      </c>
      <c r="F851" s="150">
        <v>14</v>
      </c>
      <c r="G851" s="150"/>
      <c r="H851" s="150"/>
      <c r="I851" s="151">
        <f t="shared" si="120"/>
        <v>14</v>
      </c>
      <c r="J851" s="180"/>
    </row>
    <row r="852" spans="1:10" s="181" customFormat="1">
      <c r="A852" s="276"/>
      <c r="B852" s="182" t="s">
        <v>393</v>
      </c>
      <c r="C852" s="149">
        <v>1</v>
      </c>
      <c r="D852" s="156" t="s">
        <v>73</v>
      </c>
      <c r="E852" s="149">
        <v>1</v>
      </c>
      <c r="F852" s="150">
        <v>14</v>
      </c>
      <c r="G852" s="150"/>
      <c r="H852" s="150"/>
      <c r="I852" s="151">
        <f t="shared" si="120"/>
        <v>14</v>
      </c>
      <c r="J852" s="180"/>
    </row>
    <row r="853" spans="1:10" s="181" customFormat="1">
      <c r="A853" s="276"/>
      <c r="B853" s="148" t="s">
        <v>391</v>
      </c>
      <c r="C853" s="149">
        <v>1</v>
      </c>
      <c r="D853" s="156" t="s">
        <v>73</v>
      </c>
      <c r="E853" s="149">
        <v>1</v>
      </c>
      <c r="F853" s="150">
        <v>17</v>
      </c>
      <c r="G853" s="150"/>
      <c r="H853" s="150"/>
      <c r="I853" s="151">
        <f t="shared" si="120"/>
        <v>17</v>
      </c>
      <c r="J853" s="221"/>
    </row>
    <row r="854" spans="1:10" s="181" customFormat="1">
      <c r="A854" s="276"/>
      <c r="B854" s="182" t="s">
        <v>394</v>
      </c>
      <c r="C854" s="149">
        <v>1</v>
      </c>
      <c r="D854" s="156" t="s">
        <v>73</v>
      </c>
      <c r="E854" s="149">
        <v>1</v>
      </c>
      <c r="F854" s="150">
        <v>17</v>
      </c>
      <c r="G854" s="150"/>
      <c r="H854" s="150"/>
      <c r="I854" s="151">
        <f t="shared" si="120"/>
        <v>17</v>
      </c>
      <c r="J854" s="180"/>
    </row>
    <row r="855" spans="1:10" s="181" customFormat="1">
      <c r="A855" s="276"/>
      <c r="B855" s="182" t="s">
        <v>395</v>
      </c>
      <c r="C855" s="149">
        <v>1</v>
      </c>
      <c r="D855" s="156" t="s">
        <v>73</v>
      </c>
      <c r="E855" s="149">
        <v>1</v>
      </c>
      <c r="F855" s="150">
        <v>20</v>
      </c>
      <c r="G855" s="150"/>
      <c r="H855" s="150"/>
      <c r="I855" s="151">
        <f t="shared" si="120"/>
        <v>20</v>
      </c>
      <c r="J855" s="180"/>
    </row>
    <row r="856" spans="1:10" s="181" customFormat="1">
      <c r="A856" s="276"/>
      <c r="B856" s="148"/>
      <c r="C856" s="149"/>
      <c r="D856" s="149"/>
      <c r="E856" s="149"/>
      <c r="F856" s="150"/>
      <c r="G856" s="158" t="s">
        <v>11</v>
      </c>
      <c r="H856" s="150"/>
      <c r="I856" s="159">
        <f>SUM(I848:I855)</f>
        <v>150</v>
      </c>
      <c r="J856" s="180"/>
    </row>
    <row r="857" spans="1:10" s="181" customFormat="1">
      <c r="A857" s="276"/>
      <c r="B857" s="148"/>
      <c r="C857" s="149"/>
      <c r="D857" s="149"/>
      <c r="E857" s="149"/>
      <c r="F857" s="150"/>
      <c r="G857" s="150"/>
      <c r="H857" s="158" t="s">
        <v>74</v>
      </c>
      <c r="I857" s="160">
        <f>ROUNDUP(I856,1)</f>
        <v>150</v>
      </c>
      <c r="J857" s="180" t="s">
        <v>76</v>
      </c>
    </row>
    <row r="858" spans="1:10" s="181" customFormat="1">
      <c r="A858" s="276"/>
      <c r="B858" s="148"/>
      <c r="C858" s="149"/>
      <c r="D858" s="149"/>
      <c r="E858" s="149"/>
      <c r="F858" s="150"/>
      <c r="G858" s="150"/>
      <c r="H858" s="158"/>
      <c r="I858" s="160"/>
      <c r="J858" s="180"/>
    </row>
    <row r="859" spans="1:10" s="181" customFormat="1" ht="16.5" customHeight="1">
      <c r="A859" s="276">
        <v>59.2</v>
      </c>
      <c r="B859" s="155" t="s">
        <v>396</v>
      </c>
      <c r="C859" s="149"/>
      <c r="D859" s="149"/>
      <c r="E859" s="149"/>
      <c r="F859" s="150"/>
      <c r="G859" s="150"/>
      <c r="H859" s="150"/>
      <c r="I859" s="151"/>
      <c r="J859" s="180"/>
    </row>
    <row r="860" spans="1:10" s="181" customFormat="1">
      <c r="A860" s="276"/>
      <c r="B860" s="155" t="s">
        <v>397</v>
      </c>
      <c r="C860" s="149"/>
      <c r="D860" s="149"/>
      <c r="E860" s="149"/>
      <c r="F860" s="150"/>
      <c r="G860" s="150"/>
      <c r="H860" s="150"/>
      <c r="I860" s="151"/>
      <c r="J860" s="180"/>
    </row>
    <row r="861" spans="1:10" s="181" customFormat="1">
      <c r="A861" s="276"/>
      <c r="B861" s="148" t="s">
        <v>398</v>
      </c>
      <c r="C861" s="149">
        <v>1</v>
      </c>
      <c r="D861" s="149" t="s">
        <v>73</v>
      </c>
      <c r="E861" s="149">
        <v>1</v>
      </c>
      <c r="F861" s="150">
        <v>10</v>
      </c>
      <c r="G861" s="150"/>
      <c r="H861" s="150"/>
      <c r="I861" s="151">
        <f t="shared" ref="I861:I864" si="121">ROUND(PRODUCT(C861:H861),2)</f>
        <v>10</v>
      </c>
      <c r="J861" s="180"/>
    </row>
    <row r="862" spans="1:10" s="181" customFormat="1">
      <c r="A862" s="276"/>
      <c r="B862" s="148" t="s">
        <v>164</v>
      </c>
      <c r="C862" s="149">
        <v>1</v>
      </c>
      <c r="D862" s="149" t="s">
        <v>73</v>
      </c>
      <c r="E862" s="149">
        <v>2</v>
      </c>
      <c r="F862" s="150">
        <v>1</v>
      </c>
      <c r="G862" s="150"/>
      <c r="H862" s="150"/>
      <c r="I862" s="151">
        <f t="shared" ref="I862:I863" si="122">ROUND(PRODUCT(C862:H862),2)</f>
        <v>2</v>
      </c>
      <c r="J862" s="180"/>
    </row>
    <row r="863" spans="1:10" s="181" customFormat="1">
      <c r="A863" s="276"/>
      <c r="B863" s="148" t="s">
        <v>1472</v>
      </c>
      <c r="C863" s="149">
        <v>1</v>
      </c>
      <c r="D863" s="149" t="s">
        <v>73</v>
      </c>
      <c r="E863" s="149">
        <v>2</v>
      </c>
      <c r="F863" s="150">
        <v>1</v>
      </c>
      <c r="G863" s="150"/>
      <c r="H863" s="150"/>
      <c r="I863" s="151">
        <f t="shared" si="122"/>
        <v>2</v>
      </c>
      <c r="J863" s="180"/>
    </row>
    <row r="864" spans="1:10" s="181" customFormat="1">
      <c r="A864" s="276"/>
      <c r="B864" s="148" t="s">
        <v>1473</v>
      </c>
      <c r="C864" s="149">
        <v>1</v>
      </c>
      <c r="D864" s="149" t="s">
        <v>73</v>
      </c>
      <c r="E864" s="149">
        <v>3</v>
      </c>
      <c r="F864" s="150">
        <v>1</v>
      </c>
      <c r="G864" s="150"/>
      <c r="H864" s="150"/>
      <c r="I864" s="151">
        <f t="shared" si="121"/>
        <v>3</v>
      </c>
      <c r="J864" s="180"/>
    </row>
    <row r="865" spans="1:10" s="181" customFormat="1" ht="24.75" customHeight="1">
      <c r="A865" s="276"/>
      <c r="B865" s="148"/>
      <c r="C865" s="149"/>
      <c r="D865" s="149"/>
      <c r="E865" s="149"/>
      <c r="F865" s="150"/>
      <c r="G865" s="150"/>
      <c r="H865" s="150"/>
      <c r="I865" s="159">
        <f>SUM(I861:I864)</f>
        <v>17</v>
      </c>
      <c r="J865" s="180" t="s">
        <v>77</v>
      </c>
    </row>
    <row r="866" spans="1:10" s="181" customFormat="1" ht="24.75" customHeight="1">
      <c r="A866" s="276"/>
      <c r="B866" s="148"/>
      <c r="C866" s="149"/>
      <c r="D866" s="149"/>
      <c r="E866" s="149"/>
      <c r="F866" s="150"/>
      <c r="G866" s="150"/>
      <c r="H866" s="150"/>
      <c r="I866" s="159"/>
      <c r="J866" s="180"/>
    </row>
    <row r="867" spans="1:10" s="181" customFormat="1">
      <c r="A867" s="276"/>
      <c r="B867" s="155" t="s">
        <v>399</v>
      </c>
      <c r="C867" s="149"/>
      <c r="D867" s="149"/>
      <c r="E867" s="149"/>
      <c r="F867" s="150"/>
      <c r="G867" s="150"/>
      <c r="H867" s="150"/>
      <c r="I867" s="151"/>
      <c r="J867" s="180"/>
    </row>
    <row r="868" spans="1:10" s="181" customFormat="1">
      <c r="A868" s="276"/>
      <c r="B868" s="148" t="s">
        <v>400</v>
      </c>
      <c r="C868" s="149">
        <v>1</v>
      </c>
      <c r="D868" s="149" t="s">
        <v>73</v>
      </c>
      <c r="E868" s="149">
        <v>1</v>
      </c>
      <c r="F868" s="150">
        <v>13</v>
      </c>
      <c r="G868" s="150"/>
      <c r="H868" s="150"/>
      <c r="I868" s="151">
        <f t="shared" ref="I868" si="123">ROUND(PRODUCT(C868:H868),2)</f>
        <v>13</v>
      </c>
      <c r="J868" s="180" t="s">
        <v>77</v>
      </c>
    </row>
    <row r="869" spans="1:10" s="181" customFormat="1">
      <c r="A869" s="276"/>
      <c r="B869" s="148"/>
      <c r="C869" s="149"/>
      <c r="D869" s="149"/>
      <c r="E869" s="149"/>
      <c r="F869" s="150"/>
      <c r="G869" s="150"/>
      <c r="H869" s="150"/>
      <c r="I869" s="151"/>
      <c r="J869" s="180"/>
    </row>
    <row r="870" spans="1:10" s="181" customFormat="1" ht="56.25">
      <c r="A870" s="276">
        <v>52.9</v>
      </c>
      <c r="B870" s="387" t="s">
        <v>1592</v>
      </c>
      <c r="C870" s="149"/>
      <c r="D870" s="149"/>
      <c r="E870" s="149"/>
      <c r="F870" s="150"/>
      <c r="G870" s="150"/>
      <c r="H870" s="150"/>
      <c r="I870" s="151"/>
      <c r="J870" s="180"/>
    </row>
    <row r="871" spans="1:10" s="181" customFormat="1">
      <c r="A871" s="276"/>
      <c r="B871" s="148" t="s">
        <v>1593</v>
      </c>
      <c r="C871" s="149">
        <v>1</v>
      </c>
      <c r="D871" s="149" t="s">
        <v>73</v>
      </c>
      <c r="E871" s="149">
        <v>1</v>
      </c>
      <c r="F871" s="150">
        <v>1</v>
      </c>
      <c r="G871" s="150"/>
      <c r="H871" s="150"/>
      <c r="I871" s="151">
        <f t="shared" ref="I871" si="124">ROUND(PRODUCT(C871:H871),2)</f>
        <v>1</v>
      </c>
      <c r="J871" s="180" t="s">
        <v>77</v>
      </c>
    </row>
    <row r="872" spans="1:10" s="181" customFormat="1">
      <c r="A872" s="276"/>
      <c r="B872" s="148"/>
      <c r="C872" s="149"/>
      <c r="D872" s="149"/>
      <c r="E872" s="149"/>
      <c r="F872" s="150"/>
      <c r="G872" s="150"/>
      <c r="H872" s="150"/>
      <c r="I872" s="151"/>
      <c r="J872" s="180"/>
    </row>
    <row r="873" spans="1:10" s="154" customFormat="1" ht="56.25">
      <c r="A873" s="276">
        <v>60</v>
      </c>
      <c r="B873" s="155" t="s">
        <v>401</v>
      </c>
      <c r="C873" s="149"/>
      <c r="D873" s="149"/>
      <c r="E873" s="149"/>
      <c r="F873" s="150"/>
      <c r="G873" s="150"/>
      <c r="H873" s="150"/>
      <c r="I873" s="151"/>
      <c r="J873" s="161"/>
    </row>
    <row r="874" spans="1:10" s="154" customFormat="1">
      <c r="A874" s="276"/>
      <c r="B874" s="148" t="s">
        <v>402</v>
      </c>
      <c r="C874" s="149">
        <v>1</v>
      </c>
      <c r="D874" s="149" t="s">
        <v>73</v>
      </c>
      <c r="E874" s="149">
        <v>2</v>
      </c>
      <c r="F874" s="150"/>
      <c r="G874" s="150"/>
      <c r="H874" s="150"/>
      <c r="I874" s="159">
        <v>2</v>
      </c>
      <c r="J874" s="161" t="s">
        <v>128</v>
      </c>
    </row>
    <row r="875" spans="1:10" s="154" customFormat="1">
      <c r="A875" s="276"/>
      <c r="B875" s="148"/>
      <c r="C875" s="149"/>
      <c r="D875" s="149"/>
      <c r="E875" s="149"/>
      <c r="F875" s="150"/>
      <c r="G875" s="150"/>
      <c r="H875" s="150"/>
      <c r="I875" s="159"/>
      <c r="J875" s="349"/>
    </row>
    <row r="876" spans="1:10" s="154" customFormat="1" ht="100.5" customHeight="1">
      <c r="A876" s="276">
        <v>59.2</v>
      </c>
      <c r="B876" s="178" t="s">
        <v>403</v>
      </c>
      <c r="C876" s="149">
        <v>1</v>
      </c>
      <c r="D876" s="149" t="s">
        <v>73</v>
      </c>
      <c r="E876" s="149">
        <v>13</v>
      </c>
      <c r="F876" s="150"/>
      <c r="G876" s="150"/>
      <c r="H876" s="150"/>
      <c r="I876" s="151">
        <f>ROUND(PRODUCT(C876:H876),2)</f>
        <v>13</v>
      </c>
      <c r="J876" s="161" t="s">
        <v>128</v>
      </c>
    </row>
    <row r="877" spans="1:10" s="154" customFormat="1" ht="19.5" customHeight="1">
      <c r="A877" s="276"/>
      <c r="B877" s="178"/>
      <c r="C877" s="149"/>
      <c r="D877" s="149"/>
      <c r="E877" s="149"/>
      <c r="F877" s="150"/>
      <c r="G877" s="150"/>
      <c r="H877" s="150"/>
      <c r="I877" s="207"/>
      <c r="J877" s="349"/>
    </row>
    <row r="878" spans="1:10" s="154" customFormat="1" ht="100.5" customHeight="1">
      <c r="A878" s="276">
        <v>60</v>
      </c>
      <c r="B878" s="178" t="s">
        <v>404</v>
      </c>
      <c r="C878" s="149"/>
      <c r="D878" s="149"/>
      <c r="E878" s="149"/>
      <c r="F878" s="150"/>
      <c r="G878" s="150"/>
      <c r="H878" s="150"/>
      <c r="I878" s="159"/>
      <c r="J878" s="161"/>
    </row>
    <row r="879" spans="1:10" s="154" customFormat="1">
      <c r="A879" s="276"/>
      <c r="B879" s="148" t="s">
        <v>365</v>
      </c>
      <c r="C879" s="149">
        <v>1</v>
      </c>
      <c r="D879" s="149" t="s">
        <v>73</v>
      </c>
      <c r="E879" s="149">
        <v>4</v>
      </c>
      <c r="F879" s="150"/>
      <c r="G879" s="150"/>
      <c r="H879" s="150"/>
      <c r="I879" s="151">
        <f t="shared" ref="I879:I883" si="125">ROUND(PRODUCT(C879:H879),2)</f>
        <v>4</v>
      </c>
      <c r="J879" s="349"/>
    </row>
    <row r="880" spans="1:10" s="154" customFormat="1">
      <c r="A880" s="276"/>
      <c r="B880" s="148" t="s">
        <v>405</v>
      </c>
      <c r="C880" s="149">
        <v>2</v>
      </c>
      <c r="D880" s="149" t="s">
        <v>73</v>
      </c>
      <c r="E880" s="149">
        <v>2</v>
      </c>
      <c r="F880" s="150"/>
      <c r="G880" s="150"/>
      <c r="H880" s="150"/>
      <c r="I880" s="151">
        <f t="shared" si="125"/>
        <v>4</v>
      </c>
      <c r="J880" s="161"/>
    </row>
    <row r="881" spans="1:10" s="154" customFormat="1">
      <c r="A881" s="276"/>
      <c r="B881" s="148" t="s">
        <v>362</v>
      </c>
      <c r="C881" s="149">
        <v>2</v>
      </c>
      <c r="D881" s="149" t="s">
        <v>73</v>
      </c>
      <c r="E881" s="149">
        <v>2</v>
      </c>
      <c r="F881" s="150"/>
      <c r="G881" s="150"/>
      <c r="H881" s="150"/>
      <c r="I881" s="151">
        <f t="shared" si="125"/>
        <v>4</v>
      </c>
      <c r="J881" s="161"/>
    </row>
    <row r="882" spans="1:10" s="154" customFormat="1" ht="59.25" customHeight="1">
      <c r="A882" s="276"/>
      <c r="B882" s="148" t="s">
        <v>363</v>
      </c>
      <c r="C882" s="149">
        <v>2</v>
      </c>
      <c r="D882" s="149" t="s">
        <v>73</v>
      </c>
      <c r="E882" s="149">
        <v>5</v>
      </c>
      <c r="F882" s="150"/>
      <c r="G882" s="150"/>
      <c r="H882" s="150"/>
      <c r="I882" s="151">
        <f t="shared" si="125"/>
        <v>10</v>
      </c>
      <c r="J882" s="161"/>
    </row>
    <row r="883" spans="1:10" s="154" customFormat="1">
      <c r="A883" s="276"/>
      <c r="B883" s="148" t="s">
        <v>406</v>
      </c>
      <c r="C883" s="149">
        <v>2</v>
      </c>
      <c r="D883" s="149" t="s">
        <v>73</v>
      </c>
      <c r="E883" s="149">
        <v>2</v>
      </c>
      <c r="F883" s="150"/>
      <c r="G883" s="150"/>
      <c r="H883" s="150"/>
      <c r="I883" s="151">
        <f t="shared" si="125"/>
        <v>4</v>
      </c>
      <c r="J883" s="161"/>
    </row>
    <row r="884" spans="1:10" s="181" customFormat="1" ht="21" customHeight="1">
      <c r="A884" s="221"/>
      <c r="B884" s="148"/>
      <c r="C884" s="149"/>
      <c r="D884" s="149"/>
      <c r="E884" s="149"/>
      <c r="F884" s="150"/>
      <c r="G884" s="158" t="s">
        <v>11</v>
      </c>
      <c r="H884" s="150"/>
      <c r="I884" s="159">
        <f>SUM(I879:I883)</f>
        <v>26</v>
      </c>
      <c r="J884" s="180" t="s">
        <v>377</v>
      </c>
    </row>
    <row r="885" spans="1:10" s="181" customFormat="1" ht="19.5" customHeight="1">
      <c r="A885" s="221"/>
      <c r="B885" s="155"/>
      <c r="C885" s="149"/>
      <c r="D885" s="149"/>
      <c r="E885" s="149"/>
      <c r="F885" s="150"/>
      <c r="G885" s="150"/>
      <c r="H885" s="150"/>
      <c r="I885" s="151"/>
      <c r="J885" s="180"/>
    </row>
    <row r="886" spans="1:10" s="181" customFormat="1" ht="53.25" customHeight="1">
      <c r="A886" s="276">
        <v>69</v>
      </c>
      <c r="B886" s="178" t="s">
        <v>407</v>
      </c>
      <c r="C886" s="149"/>
      <c r="D886" s="149"/>
      <c r="E886" s="149"/>
      <c r="F886" s="150"/>
      <c r="G886" s="150"/>
      <c r="H886" s="150"/>
      <c r="I886" s="159"/>
      <c r="J886" s="180"/>
    </row>
    <row r="887" spans="1:10" s="181" customFormat="1">
      <c r="A887" s="276"/>
      <c r="B887" s="153" t="s">
        <v>408</v>
      </c>
      <c r="C887" s="149"/>
      <c r="D887" s="149"/>
      <c r="E887" s="149"/>
      <c r="F887" s="150"/>
      <c r="G887" s="150"/>
      <c r="H887" s="150"/>
      <c r="I887" s="159"/>
      <c r="J887" s="180"/>
    </row>
    <row r="888" spans="1:10" s="181" customFormat="1">
      <c r="A888" s="276"/>
      <c r="B888" s="178" t="s">
        <v>409</v>
      </c>
      <c r="C888" s="149">
        <v>1</v>
      </c>
      <c r="D888" s="149" t="s">
        <v>73</v>
      </c>
      <c r="E888" s="149">
        <v>1</v>
      </c>
      <c r="F888" s="150"/>
      <c r="G888" s="150"/>
      <c r="H888" s="150"/>
      <c r="I888" s="151">
        <f>ROUND(PRODUCT(C888:H888),2)</f>
        <v>1</v>
      </c>
      <c r="J888" s="180"/>
    </row>
    <row r="889" spans="1:10" s="181" customFormat="1">
      <c r="A889" s="276"/>
      <c r="B889" s="178" t="s">
        <v>1548</v>
      </c>
      <c r="C889" s="149">
        <v>1</v>
      </c>
      <c r="D889" s="149" t="s">
        <v>73</v>
      </c>
      <c r="E889" s="149">
        <v>2</v>
      </c>
      <c r="F889" s="150"/>
      <c r="G889" s="150"/>
      <c r="H889" s="150"/>
      <c r="I889" s="151">
        <f>ROUND(PRODUCT(C889:H889),2)</f>
        <v>2</v>
      </c>
      <c r="J889" s="180"/>
    </row>
    <row r="890" spans="1:10" s="181" customFormat="1">
      <c r="A890" s="276"/>
      <c r="B890" s="178" t="s">
        <v>1549</v>
      </c>
      <c r="C890" s="149">
        <v>1</v>
      </c>
      <c r="D890" s="149" t="s">
        <v>73</v>
      </c>
      <c r="E890" s="149">
        <v>1</v>
      </c>
      <c r="F890" s="150"/>
      <c r="G890" s="150"/>
      <c r="H890" s="150"/>
      <c r="I890" s="151">
        <f>ROUND(PRODUCT(C890:H890),2)</f>
        <v>1</v>
      </c>
      <c r="J890" s="180"/>
    </row>
    <row r="891" spans="1:10" s="181" customFormat="1">
      <c r="A891" s="276"/>
      <c r="B891" s="153" t="s">
        <v>171</v>
      </c>
      <c r="C891" s="149"/>
      <c r="D891" s="149"/>
      <c r="E891" s="149"/>
      <c r="F891" s="150"/>
      <c r="G891" s="150"/>
      <c r="H891" s="150"/>
      <c r="I891" s="159"/>
      <c r="J891" s="180"/>
    </row>
    <row r="892" spans="1:10" s="181" customFormat="1">
      <c r="A892" s="276"/>
      <c r="B892" s="148" t="s">
        <v>410</v>
      </c>
      <c r="C892" s="149">
        <v>1</v>
      </c>
      <c r="D892" s="149" t="s">
        <v>73</v>
      </c>
      <c r="E892" s="149">
        <v>1</v>
      </c>
      <c r="F892" s="150"/>
      <c r="G892" s="150"/>
      <c r="H892" s="150"/>
      <c r="I892" s="151">
        <f t="shared" ref="I892:I904" si="126">ROUND(PRODUCT(C892:H892),2)</f>
        <v>1</v>
      </c>
      <c r="J892" s="180"/>
    </row>
    <row r="893" spans="1:10" s="181" customFormat="1">
      <c r="A893" s="276"/>
      <c r="B893" s="148" t="s">
        <v>411</v>
      </c>
      <c r="C893" s="149">
        <v>1</v>
      </c>
      <c r="D893" s="149" t="s">
        <v>73</v>
      </c>
      <c r="E893" s="149">
        <v>1</v>
      </c>
      <c r="F893" s="150"/>
      <c r="G893" s="150"/>
      <c r="H893" s="150"/>
      <c r="I893" s="151">
        <f t="shared" si="126"/>
        <v>1</v>
      </c>
      <c r="J893" s="180"/>
    </row>
    <row r="894" spans="1:10" s="154" customFormat="1">
      <c r="A894" s="276"/>
      <c r="B894" s="148" t="s">
        <v>412</v>
      </c>
      <c r="C894" s="149">
        <v>1</v>
      </c>
      <c r="D894" s="149" t="s">
        <v>73</v>
      </c>
      <c r="E894" s="149">
        <v>2</v>
      </c>
      <c r="F894" s="150"/>
      <c r="G894" s="150"/>
      <c r="H894" s="150"/>
      <c r="I894" s="151">
        <f t="shared" si="126"/>
        <v>2</v>
      </c>
      <c r="J894" s="161"/>
    </row>
    <row r="895" spans="1:10" s="181" customFormat="1" ht="18.75" customHeight="1">
      <c r="B895" s="148" t="s">
        <v>413</v>
      </c>
      <c r="C895" s="149">
        <v>1</v>
      </c>
      <c r="D895" s="149" t="s">
        <v>73</v>
      </c>
      <c r="E895" s="149">
        <v>1</v>
      </c>
      <c r="F895" s="150"/>
      <c r="G895" s="150"/>
      <c r="H895" s="150"/>
      <c r="I895" s="151">
        <f t="shared" si="126"/>
        <v>1</v>
      </c>
      <c r="J895" s="180"/>
    </row>
    <row r="896" spans="1:10" s="181" customFormat="1" ht="18" customHeight="1">
      <c r="A896" s="276"/>
      <c r="B896" s="148" t="s">
        <v>414</v>
      </c>
      <c r="C896" s="149">
        <v>1</v>
      </c>
      <c r="D896" s="149" t="s">
        <v>73</v>
      </c>
      <c r="E896" s="149">
        <v>1</v>
      </c>
      <c r="F896" s="150"/>
      <c r="G896" s="150"/>
      <c r="H896" s="150"/>
      <c r="I896" s="151">
        <f t="shared" si="126"/>
        <v>1</v>
      </c>
      <c r="J896" s="180"/>
    </row>
    <row r="897" spans="1:10" s="181" customFormat="1" ht="18" customHeight="1">
      <c r="A897" s="276"/>
      <c r="B897" s="148" t="s">
        <v>1550</v>
      </c>
      <c r="C897" s="149">
        <v>1</v>
      </c>
      <c r="D897" s="149" t="s">
        <v>73</v>
      </c>
      <c r="E897" s="149">
        <v>2</v>
      </c>
      <c r="F897" s="150"/>
      <c r="G897" s="150"/>
      <c r="H897" s="150"/>
      <c r="I897" s="151">
        <f t="shared" si="126"/>
        <v>2</v>
      </c>
      <c r="J897" s="180"/>
    </row>
    <row r="898" spans="1:10" s="181" customFormat="1">
      <c r="A898" s="276"/>
      <c r="B898" s="155" t="s">
        <v>157</v>
      </c>
      <c r="C898" s="149"/>
      <c r="D898" s="149"/>
      <c r="E898" s="149"/>
      <c r="F898" s="150"/>
      <c r="G898" s="150"/>
      <c r="H898" s="150"/>
      <c r="I898" s="151">
        <f t="shared" si="126"/>
        <v>0</v>
      </c>
      <c r="J898" s="180"/>
    </row>
    <row r="899" spans="1:10" s="181" customFormat="1">
      <c r="A899" s="276"/>
      <c r="B899" s="148" t="s">
        <v>416</v>
      </c>
      <c r="C899" s="149">
        <v>1</v>
      </c>
      <c r="D899" s="149" t="s">
        <v>73</v>
      </c>
      <c r="E899" s="149">
        <v>1</v>
      </c>
      <c r="F899" s="150"/>
      <c r="G899" s="150"/>
      <c r="H899" s="150"/>
      <c r="I899" s="151">
        <f t="shared" si="126"/>
        <v>1</v>
      </c>
      <c r="J899" s="180"/>
    </row>
    <row r="900" spans="1:10" s="181" customFormat="1">
      <c r="A900" s="276"/>
      <c r="B900" s="148" t="s">
        <v>411</v>
      </c>
      <c r="C900" s="149">
        <v>1</v>
      </c>
      <c r="D900" s="149" t="s">
        <v>73</v>
      </c>
      <c r="E900" s="149">
        <v>1</v>
      </c>
      <c r="F900" s="150"/>
      <c r="G900" s="150"/>
      <c r="H900" s="150"/>
      <c r="I900" s="151">
        <f t="shared" si="126"/>
        <v>1</v>
      </c>
      <c r="J900" s="180"/>
    </row>
    <row r="901" spans="1:10" s="181" customFormat="1">
      <c r="A901" s="276"/>
      <c r="B901" s="148" t="s">
        <v>412</v>
      </c>
      <c r="C901" s="149">
        <v>1</v>
      </c>
      <c r="D901" s="149" t="s">
        <v>73</v>
      </c>
      <c r="E901" s="149"/>
      <c r="F901" s="150"/>
      <c r="G901" s="150"/>
      <c r="H901" s="150"/>
      <c r="I901" s="151">
        <f t="shared" si="126"/>
        <v>1</v>
      </c>
      <c r="J901" s="180"/>
    </row>
    <row r="902" spans="1:10" s="181" customFormat="1">
      <c r="A902" s="276"/>
      <c r="B902" s="148" t="s">
        <v>413</v>
      </c>
      <c r="C902" s="149">
        <v>1</v>
      </c>
      <c r="D902" s="149" t="s">
        <v>73</v>
      </c>
      <c r="E902" s="149">
        <v>1</v>
      </c>
      <c r="F902" s="150"/>
      <c r="G902" s="150"/>
      <c r="H902" s="150"/>
      <c r="I902" s="151">
        <f t="shared" si="126"/>
        <v>1</v>
      </c>
      <c r="J902" s="180"/>
    </row>
    <row r="903" spans="1:10" s="181" customFormat="1">
      <c r="A903" s="276"/>
      <c r="B903" s="148" t="s">
        <v>414</v>
      </c>
      <c r="C903" s="149">
        <v>1</v>
      </c>
      <c r="D903" s="149" t="s">
        <v>73</v>
      </c>
      <c r="E903" s="149">
        <v>1</v>
      </c>
      <c r="F903" s="150"/>
      <c r="G903" s="150"/>
      <c r="H903" s="150"/>
      <c r="I903" s="151">
        <f t="shared" si="126"/>
        <v>1</v>
      </c>
      <c r="J903" s="180"/>
    </row>
    <row r="904" spans="1:10" s="181" customFormat="1">
      <c r="A904" s="276"/>
      <c r="B904" s="148" t="s">
        <v>1551</v>
      </c>
      <c r="C904" s="149">
        <v>1</v>
      </c>
      <c r="D904" s="149" t="s">
        <v>73</v>
      </c>
      <c r="E904" s="149">
        <v>3</v>
      </c>
      <c r="F904" s="150"/>
      <c r="G904" s="150"/>
      <c r="H904" s="150"/>
      <c r="I904" s="151">
        <f t="shared" si="126"/>
        <v>3</v>
      </c>
      <c r="J904" s="180"/>
    </row>
    <row r="905" spans="1:10" s="181" customFormat="1">
      <c r="A905" s="276"/>
      <c r="B905" s="148"/>
      <c r="C905" s="149"/>
      <c r="D905" s="149"/>
      <c r="E905" s="149"/>
      <c r="F905" s="150"/>
      <c r="G905" s="150"/>
      <c r="H905" s="150"/>
      <c r="I905" s="159">
        <f>SUM(I888:I904)</f>
        <v>20</v>
      </c>
      <c r="J905" s="180" t="s">
        <v>128</v>
      </c>
    </row>
    <row r="906" spans="1:10" s="181" customFormat="1">
      <c r="A906" s="276"/>
      <c r="B906" s="148"/>
      <c r="C906" s="149"/>
      <c r="D906" s="149"/>
      <c r="E906" s="149"/>
      <c r="F906" s="150"/>
      <c r="G906" s="150"/>
      <c r="H906" s="150"/>
      <c r="I906" s="160"/>
      <c r="J906" s="180"/>
    </row>
    <row r="907" spans="1:10" s="181" customFormat="1" ht="99.75" customHeight="1">
      <c r="A907" s="276">
        <v>72</v>
      </c>
      <c r="B907" s="178" t="s">
        <v>417</v>
      </c>
      <c r="C907" s="149"/>
      <c r="D907" s="149"/>
      <c r="E907" s="149"/>
      <c r="F907" s="150"/>
      <c r="G907" s="150"/>
      <c r="H907" s="150"/>
      <c r="I907" s="159"/>
      <c r="J907" s="180"/>
    </row>
    <row r="908" spans="1:10" s="181" customFormat="1">
      <c r="A908" s="276"/>
      <c r="B908" s="155" t="s">
        <v>408</v>
      </c>
      <c r="C908" s="149"/>
      <c r="D908" s="149"/>
      <c r="E908" s="149"/>
      <c r="F908" s="150"/>
      <c r="G908" s="150"/>
      <c r="H908" s="150"/>
      <c r="I908" s="159"/>
      <c r="J908" s="180"/>
    </row>
    <row r="909" spans="1:10" s="181" customFormat="1">
      <c r="A909" s="276"/>
      <c r="B909" s="148" t="s">
        <v>418</v>
      </c>
      <c r="C909" s="149">
        <v>1</v>
      </c>
      <c r="D909" s="149" t="s">
        <v>73</v>
      </c>
      <c r="E909" s="149">
        <v>2</v>
      </c>
      <c r="F909" s="150"/>
      <c r="G909" s="150"/>
      <c r="H909" s="150"/>
      <c r="I909" s="151">
        <f t="shared" ref="I909" si="127">ROUND(PRODUCT(C909:H909),2)</f>
        <v>2</v>
      </c>
      <c r="J909" s="180"/>
    </row>
    <row r="910" spans="1:10" s="181" customFormat="1">
      <c r="A910" s="276"/>
      <c r="B910" s="148" t="s">
        <v>1552</v>
      </c>
      <c r="C910" s="149">
        <v>1</v>
      </c>
      <c r="D910" s="149" t="s">
        <v>73</v>
      </c>
      <c r="E910" s="149">
        <v>4</v>
      </c>
      <c r="F910" s="150"/>
      <c r="G910" s="150"/>
      <c r="H910" s="150"/>
      <c r="I910" s="151">
        <f t="shared" ref="I910:I930" si="128">ROUND(PRODUCT(C910:H910),2)</f>
        <v>4</v>
      </c>
      <c r="J910" s="180"/>
    </row>
    <row r="911" spans="1:10" s="181" customFormat="1">
      <c r="A911" s="276"/>
      <c r="B911" s="155" t="s">
        <v>190</v>
      </c>
      <c r="C911" s="149"/>
      <c r="D911" s="149"/>
      <c r="E911" s="149"/>
      <c r="F911" s="150"/>
      <c r="G911" s="150"/>
      <c r="H911" s="150"/>
      <c r="I911" s="151">
        <f t="shared" si="128"/>
        <v>0</v>
      </c>
      <c r="J911" s="180"/>
    </row>
    <row r="912" spans="1:10" s="181" customFormat="1">
      <c r="A912" s="276"/>
      <c r="B912" s="148" t="s">
        <v>419</v>
      </c>
      <c r="C912" s="149">
        <v>1</v>
      </c>
      <c r="D912" s="149" t="s">
        <v>73</v>
      </c>
      <c r="E912" s="149">
        <v>2</v>
      </c>
      <c r="F912" s="150"/>
      <c r="G912" s="150"/>
      <c r="H912" s="150"/>
      <c r="I912" s="151">
        <f t="shared" si="128"/>
        <v>2</v>
      </c>
      <c r="J912" s="180"/>
    </row>
    <row r="913" spans="1:10" s="181" customFormat="1">
      <c r="A913" s="276"/>
      <c r="B913" s="148" t="s">
        <v>420</v>
      </c>
      <c r="C913" s="149">
        <v>1</v>
      </c>
      <c r="D913" s="149" t="s">
        <v>73</v>
      </c>
      <c r="E913" s="149">
        <v>1</v>
      </c>
      <c r="F913" s="150"/>
      <c r="G913" s="150"/>
      <c r="H913" s="150"/>
      <c r="I913" s="151">
        <f t="shared" si="128"/>
        <v>1</v>
      </c>
      <c r="J913" s="212"/>
    </row>
    <row r="914" spans="1:10" s="181" customFormat="1">
      <c r="A914" s="276"/>
      <c r="B914" s="148" t="s">
        <v>421</v>
      </c>
      <c r="C914" s="149">
        <v>1</v>
      </c>
      <c r="D914" s="149" t="s">
        <v>73</v>
      </c>
      <c r="E914" s="149">
        <v>3</v>
      </c>
      <c r="F914" s="150"/>
      <c r="G914" s="150"/>
      <c r="H914" s="150"/>
      <c r="I914" s="151">
        <f t="shared" si="128"/>
        <v>3</v>
      </c>
      <c r="J914" s="221"/>
    </row>
    <row r="915" spans="1:10" s="181" customFormat="1" ht="17.25" customHeight="1">
      <c r="B915" s="148" t="s">
        <v>184</v>
      </c>
      <c r="C915" s="149">
        <v>1</v>
      </c>
      <c r="D915" s="149" t="s">
        <v>73</v>
      </c>
      <c r="E915" s="149">
        <v>1</v>
      </c>
      <c r="F915" s="150"/>
      <c r="G915" s="150"/>
      <c r="H915" s="150"/>
      <c r="I915" s="151">
        <f t="shared" si="128"/>
        <v>1</v>
      </c>
      <c r="J915" s="212"/>
    </row>
    <row r="916" spans="1:10" s="181" customFormat="1">
      <c r="A916" s="249"/>
      <c r="B916" s="148" t="s">
        <v>191</v>
      </c>
      <c r="C916" s="149">
        <v>1</v>
      </c>
      <c r="D916" s="149" t="s">
        <v>73</v>
      </c>
      <c r="E916" s="149">
        <v>1</v>
      </c>
      <c r="F916" s="150"/>
      <c r="G916" s="150"/>
      <c r="H916" s="150"/>
      <c r="I916" s="151">
        <f t="shared" ref="I916" si="129">ROUND(PRODUCT(C916:H916),2)</f>
        <v>1</v>
      </c>
      <c r="J916" s="180"/>
    </row>
    <row r="917" spans="1:10" s="181" customFormat="1">
      <c r="A917" s="249"/>
      <c r="B917" s="148" t="s">
        <v>1202</v>
      </c>
      <c r="C917" s="149">
        <v>1</v>
      </c>
      <c r="D917" s="149" t="s">
        <v>73</v>
      </c>
      <c r="E917" s="149">
        <v>1</v>
      </c>
      <c r="F917" s="150"/>
      <c r="G917" s="150"/>
      <c r="H917" s="150"/>
      <c r="I917" s="151">
        <f t="shared" si="128"/>
        <v>1</v>
      </c>
      <c r="J917" s="180"/>
    </row>
    <row r="918" spans="1:10" s="181" customFormat="1">
      <c r="A918" s="276"/>
      <c r="B918" s="148" t="s">
        <v>422</v>
      </c>
      <c r="C918" s="149">
        <v>1</v>
      </c>
      <c r="D918" s="149" t="s">
        <v>73</v>
      </c>
      <c r="E918" s="149">
        <v>2</v>
      </c>
      <c r="F918" s="150"/>
      <c r="G918" s="150"/>
      <c r="H918" s="150"/>
      <c r="I918" s="151">
        <f t="shared" si="128"/>
        <v>2</v>
      </c>
      <c r="J918" s="180"/>
    </row>
    <row r="919" spans="1:10" s="181" customFormat="1">
      <c r="A919" s="276"/>
      <c r="B919" s="148" t="s">
        <v>122</v>
      </c>
      <c r="C919" s="149">
        <v>1</v>
      </c>
      <c r="D919" s="149" t="s">
        <v>73</v>
      </c>
      <c r="E919" s="149">
        <v>1</v>
      </c>
      <c r="F919" s="150"/>
      <c r="G919" s="150"/>
      <c r="H919" s="150"/>
      <c r="I919" s="151">
        <f t="shared" si="128"/>
        <v>1</v>
      </c>
      <c r="J919" s="180"/>
    </row>
    <row r="920" spans="1:10" s="181" customFormat="1">
      <c r="A920" s="276"/>
      <c r="B920" s="155" t="s">
        <v>189</v>
      </c>
      <c r="C920" s="149"/>
      <c r="D920" s="149"/>
      <c r="E920" s="149"/>
      <c r="F920" s="150"/>
      <c r="G920" s="150"/>
      <c r="H920" s="150"/>
      <c r="I920" s="151">
        <f t="shared" si="128"/>
        <v>0</v>
      </c>
      <c r="J920" s="180"/>
    </row>
    <row r="921" spans="1:10" s="181" customFormat="1">
      <c r="A921" s="276"/>
      <c r="B921" s="148" t="s">
        <v>419</v>
      </c>
      <c r="C921" s="149">
        <v>1</v>
      </c>
      <c r="D921" s="149" t="s">
        <v>73</v>
      </c>
      <c r="E921" s="149">
        <v>2</v>
      </c>
      <c r="F921" s="150"/>
      <c r="G921" s="150"/>
      <c r="H921" s="150"/>
      <c r="I921" s="151">
        <f t="shared" si="128"/>
        <v>2</v>
      </c>
      <c r="J921" s="180"/>
    </row>
    <row r="922" spans="1:10" s="181" customFormat="1">
      <c r="A922" s="276"/>
      <c r="B922" s="148" t="s">
        <v>183</v>
      </c>
      <c r="C922" s="149">
        <v>1</v>
      </c>
      <c r="D922" s="149" t="s">
        <v>73</v>
      </c>
      <c r="E922" s="149">
        <v>1</v>
      </c>
      <c r="F922" s="150"/>
      <c r="G922" s="150"/>
      <c r="H922" s="150"/>
      <c r="I922" s="151">
        <f t="shared" si="128"/>
        <v>1</v>
      </c>
      <c r="J922" s="180"/>
    </row>
    <row r="923" spans="1:10" s="181" customFormat="1">
      <c r="A923" s="276"/>
      <c r="B923" s="148" t="s">
        <v>421</v>
      </c>
      <c r="C923" s="149">
        <v>1</v>
      </c>
      <c r="D923" s="149" t="s">
        <v>73</v>
      </c>
      <c r="E923" s="149">
        <v>3</v>
      </c>
      <c r="F923" s="150"/>
      <c r="G923" s="150"/>
      <c r="H923" s="150"/>
      <c r="I923" s="151">
        <f t="shared" si="128"/>
        <v>3</v>
      </c>
      <c r="J923" s="180"/>
    </row>
    <row r="924" spans="1:10" s="181" customFormat="1">
      <c r="A924" s="276"/>
      <c r="B924" s="148" t="s">
        <v>192</v>
      </c>
      <c r="C924" s="149">
        <v>1</v>
      </c>
      <c r="D924" s="149" t="s">
        <v>73</v>
      </c>
      <c r="E924" s="149">
        <v>1</v>
      </c>
      <c r="F924" s="150"/>
      <c r="G924" s="150"/>
      <c r="H924" s="150"/>
      <c r="I924" s="151">
        <f t="shared" si="128"/>
        <v>1</v>
      </c>
      <c r="J924" s="180"/>
    </row>
    <row r="925" spans="1:10" s="181" customFormat="1">
      <c r="A925" s="276"/>
      <c r="B925" s="148" t="s">
        <v>184</v>
      </c>
      <c r="C925" s="149">
        <v>1</v>
      </c>
      <c r="D925" s="149" t="s">
        <v>73</v>
      </c>
      <c r="E925" s="149">
        <v>1</v>
      </c>
      <c r="F925" s="150"/>
      <c r="G925" s="150"/>
      <c r="H925" s="150"/>
      <c r="I925" s="151">
        <f t="shared" si="128"/>
        <v>1</v>
      </c>
      <c r="J925" s="180"/>
    </row>
    <row r="926" spans="1:10" s="181" customFormat="1">
      <c r="A926" s="276"/>
      <c r="B926" s="148" t="s">
        <v>422</v>
      </c>
      <c r="C926" s="149">
        <v>1</v>
      </c>
      <c r="D926" s="149" t="s">
        <v>73</v>
      </c>
      <c r="E926" s="149">
        <v>2</v>
      </c>
      <c r="F926" s="150"/>
      <c r="G926" s="150"/>
      <c r="H926" s="150"/>
      <c r="I926" s="151">
        <f t="shared" si="128"/>
        <v>2</v>
      </c>
      <c r="J926" s="180"/>
    </row>
    <row r="927" spans="1:10" s="181" customFormat="1">
      <c r="A927" s="276"/>
      <c r="B927" s="148" t="s">
        <v>191</v>
      </c>
      <c r="C927" s="149">
        <v>1</v>
      </c>
      <c r="D927" s="149" t="s">
        <v>73</v>
      </c>
      <c r="E927" s="149">
        <v>1</v>
      </c>
      <c r="F927" s="150"/>
      <c r="G927" s="150"/>
      <c r="H927" s="150"/>
      <c r="I927" s="151">
        <f t="shared" si="128"/>
        <v>1</v>
      </c>
      <c r="J927" s="180"/>
    </row>
    <row r="928" spans="1:10" s="181" customFormat="1">
      <c r="A928" s="276"/>
      <c r="B928" s="148" t="s">
        <v>156</v>
      </c>
      <c r="C928" s="149">
        <v>1</v>
      </c>
      <c r="D928" s="149" t="s">
        <v>73</v>
      </c>
      <c r="E928" s="149">
        <v>4</v>
      </c>
      <c r="F928" s="150"/>
      <c r="G928" s="150"/>
      <c r="H928" s="150"/>
      <c r="I928" s="151">
        <f t="shared" si="128"/>
        <v>4</v>
      </c>
      <c r="J928" s="180"/>
    </row>
    <row r="929" spans="1:10" s="181" customFormat="1">
      <c r="A929" s="276"/>
      <c r="B929" s="155" t="s">
        <v>173</v>
      </c>
      <c r="C929" s="149"/>
      <c r="D929" s="149"/>
      <c r="E929" s="149"/>
      <c r="F929" s="150"/>
      <c r="G929" s="150"/>
      <c r="H929" s="150"/>
      <c r="I929" s="151">
        <f t="shared" si="128"/>
        <v>0</v>
      </c>
      <c r="J929" s="180"/>
    </row>
    <row r="930" spans="1:10" s="181" customFormat="1">
      <c r="A930" s="276"/>
      <c r="B930" s="148" t="s">
        <v>424</v>
      </c>
      <c r="C930" s="149">
        <v>2</v>
      </c>
      <c r="D930" s="149" t="s">
        <v>73</v>
      </c>
      <c r="E930" s="149">
        <v>2</v>
      </c>
      <c r="F930" s="150"/>
      <c r="G930" s="150"/>
      <c r="H930" s="150"/>
      <c r="I930" s="151">
        <f t="shared" si="128"/>
        <v>4</v>
      </c>
      <c r="J930" s="180"/>
    </row>
    <row r="931" spans="1:10" s="181" customFormat="1">
      <c r="A931" s="276"/>
      <c r="B931" s="157" t="s">
        <v>11</v>
      </c>
      <c r="C931" s="149"/>
      <c r="D931" s="149"/>
      <c r="E931" s="149"/>
      <c r="F931" s="150"/>
      <c r="G931" s="150"/>
      <c r="H931" s="150"/>
      <c r="I931" s="159">
        <f>SUM(I908:I930)</f>
        <v>37</v>
      </c>
      <c r="J931" s="213" t="s">
        <v>377</v>
      </c>
    </row>
    <row r="932" spans="1:10" s="181" customFormat="1">
      <c r="A932" s="276"/>
      <c r="B932" s="157"/>
      <c r="C932" s="149"/>
      <c r="D932" s="149"/>
      <c r="E932" s="149"/>
      <c r="F932" s="150"/>
      <c r="G932" s="150"/>
      <c r="H932" s="150"/>
      <c r="I932" s="160"/>
      <c r="J932" s="213"/>
    </row>
    <row r="933" spans="1:10" s="181" customFormat="1" ht="93.75">
      <c r="A933" s="179">
        <v>74</v>
      </c>
      <c r="B933" s="178" t="s">
        <v>425</v>
      </c>
      <c r="C933" s="149"/>
      <c r="D933" s="149"/>
      <c r="E933" s="149"/>
      <c r="F933" s="150"/>
      <c r="G933" s="150"/>
      <c r="H933" s="150"/>
      <c r="I933" s="151"/>
      <c r="J933" s="180"/>
    </row>
    <row r="934" spans="1:10" s="181" customFormat="1">
      <c r="A934" s="276"/>
      <c r="B934" s="155" t="s">
        <v>408</v>
      </c>
      <c r="C934" s="149"/>
      <c r="D934" s="149"/>
      <c r="E934" s="149"/>
      <c r="F934" s="150"/>
      <c r="G934" s="150"/>
      <c r="H934" s="150"/>
      <c r="I934" s="159"/>
      <c r="J934" s="180"/>
    </row>
    <row r="935" spans="1:10" s="181" customFormat="1">
      <c r="A935" s="276"/>
      <c r="B935" s="148" t="s">
        <v>418</v>
      </c>
      <c r="C935" s="149">
        <v>1</v>
      </c>
      <c r="D935" s="149" t="s">
        <v>73</v>
      </c>
      <c r="E935" s="149">
        <v>2</v>
      </c>
      <c r="F935" s="150"/>
      <c r="G935" s="150"/>
      <c r="H935" s="150"/>
      <c r="I935" s="151">
        <f t="shared" ref="I935:I954" si="130">ROUND(PRODUCT(C935:H935),2)</f>
        <v>2</v>
      </c>
      <c r="J935" s="180"/>
    </row>
    <row r="936" spans="1:10" s="181" customFormat="1">
      <c r="A936" s="276"/>
      <c r="B936" s="155" t="s">
        <v>190</v>
      </c>
      <c r="C936" s="149"/>
      <c r="D936" s="149"/>
      <c r="E936" s="149"/>
      <c r="F936" s="150"/>
      <c r="G936" s="150"/>
      <c r="H936" s="150"/>
      <c r="I936" s="151">
        <f t="shared" si="130"/>
        <v>0</v>
      </c>
      <c r="J936" s="180"/>
    </row>
    <row r="937" spans="1:10" s="181" customFormat="1">
      <c r="A937" s="276"/>
      <c r="B937" s="148" t="s">
        <v>419</v>
      </c>
      <c r="C937" s="149">
        <v>1</v>
      </c>
      <c r="D937" s="149" t="s">
        <v>73</v>
      </c>
      <c r="E937" s="149">
        <v>2</v>
      </c>
      <c r="F937" s="150"/>
      <c r="G937" s="150"/>
      <c r="H937" s="150"/>
      <c r="I937" s="151">
        <f t="shared" si="130"/>
        <v>2</v>
      </c>
      <c r="J937" s="180"/>
    </row>
    <row r="938" spans="1:10" s="181" customFormat="1">
      <c r="A938" s="276"/>
      <c r="B938" s="148" t="s">
        <v>420</v>
      </c>
      <c r="C938" s="149">
        <v>1</v>
      </c>
      <c r="D938" s="149" t="s">
        <v>73</v>
      </c>
      <c r="E938" s="149">
        <v>1</v>
      </c>
      <c r="F938" s="150"/>
      <c r="G938" s="150"/>
      <c r="H938" s="150"/>
      <c r="I938" s="151">
        <f t="shared" si="130"/>
        <v>1</v>
      </c>
      <c r="J938" s="180"/>
    </row>
    <row r="939" spans="1:10" s="181" customFormat="1">
      <c r="A939" s="276"/>
      <c r="B939" s="148" t="s">
        <v>421</v>
      </c>
      <c r="C939" s="149">
        <v>1</v>
      </c>
      <c r="D939" s="149" t="s">
        <v>73</v>
      </c>
      <c r="E939" s="149">
        <v>3</v>
      </c>
      <c r="F939" s="150"/>
      <c r="G939" s="150"/>
      <c r="H939" s="150"/>
      <c r="I939" s="151">
        <f t="shared" si="130"/>
        <v>3</v>
      </c>
      <c r="J939" s="221"/>
    </row>
    <row r="940" spans="1:10" s="181" customFormat="1" ht="17.25" customHeight="1">
      <c r="B940" s="148" t="s">
        <v>184</v>
      </c>
      <c r="C940" s="149">
        <v>1</v>
      </c>
      <c r="D940" s="149" t="s">
        <v>73</v>
      </c>
      <c r="E940" s="149">
        <v>1</v>
      </c>
      <c r="F940" s="150"/>
      <c r="G940" s="150"/>
      <c r="H940" s="150"/>
      <c r="I940" s="151">
        <f t="shared" si="130"/>
        <v>1</v>
      </c>
      <c r="J940" s="180"/>
    </row>
    <row r="941" spans="1:10" s="181" customFormat="1">
      <c r="A941" s="276"/>
      <c r="B941" s="148" t="s">
        <v>191</v>
      </c>
      <c r="C941" s="149">
        <v>1</v>
      </c>
      <c r="D941" s="149" t="s">
        <v>73</v>
      </c>
      <c r="E941" s="149">
        <v>1</v>
      </c>
      <c r="F941" s="150"/>
      <c r="G941" s="150"/>
      <c r="H941" s="150"/>
      <c r="I941" s="151">
        <f t="shared" si="130"/>
        <v>1</v>
      </c>
      <c r="J941" s="180"/>
    </row>
    <row r="942" spans="1:10" s="181" customFormat="1">
      <c r="A942" s="276"/>
      <c r="B942" s="148" t="s">
        <v>422</v>
      </c>
      <c r="C942" s="149">
        <v>1</v>
      </c>
      <c r="D942" s="149" t="s">
        <v>73</v>
      </c>
      <c r="E942" s="149">
        <v>2</v>
      </c>
      <c r="F942" s="150"/>
      <c r="G942" s="150"/>
      <c r="H942" s="150"/>
      <c r="I942" s="151">
        <f t="shared" si="130"/>
        <v>2</v>
      </c>
      <c r="J942" s="180"/>
    </row>
    <row r="943" spans="1:10" s="181" customFormat="1">
      <c r="A943" s="276"/>
      <c r="B943" s="148" t="s">
        <v>423</v>
      </c>
      <c r="C943" s="149">
        <v>1</v>
      </c>
      <c r="D943" s="149" t="s">
        <v>73</v>
      </c>
      <c r="E943" s="149">
        <v>1</v>
      </c>
      <c r="F943" s="150"/>
      <c r="G943" s="150"/>
      <c r="H943" s="150"/>
      <c r="I943" s="151">
        <f t="shared" si="130"/>
        <v>1</v>
      </c>
      <c r="J943" s="180"/>
    </row>
    <row r="944" spans="1:10" s="181" customFormat="1">
      <c r="A944" s="276"/>
      <c r="B944" s="148" t="s">
        <v>122</v>
      </c>
      <c r="C944" s="149">
        <v>1</v>
      </c>
      <c r="D944" s="149" t="s">
        <v>73</v>
      </c>
      <c r="E944" s="149">
        <v>1</v>
      </c>
      <c r="F944" s="150"/>
      <c r="G944" s="150"/>
      <c r="H944" s="150"/>
      <c r="I944" s="151">
        <f t="shared" si="130"/>
        <v>1</v>
      </c>
      <c r="J944" s="180"/>
    </row>
    <row r="945" spans="1:10" s="181" customFormat="1">
      <c r="A945" s="276"/>
      <c r="B945" s="155" t="s">
        <v>189</v>
      </c>
      <c r="C945" s="149"/>
      <c r="D945" s="149"/>
      <c r="E945" s="149"/>
      <c r="F945" s="150"/>
      <c r="G945" s="150"/>
      <c r="H945" s="150"/>
      <c r="I945" s="151">
        <f t="shared" si="130"/>
        <v>0</v>
      </c>
      <c r="J945" s="180"/>
    </row>
    <row r="946" spans="1:10" s="181" customFormat="1">
      <c r="A946" s="276"/>
      <c r="B946" s="148" t="s">
        <v>419</v>
      </c>
      <c r="C946" s="149">
        <v>1</v>
      </c>
      <c r="D946" s="149" t="s">
        <v>73</v>
      </c>
      <c r="E946" s="149">
        <v>2</v>
      </c>
      <c r="F946" s="150"/>
      <c r="G946" s="150"/>
      <c r="H946" s="150"/>
      <c r="I946" s="151">
        <f t="shared" si="130"/>
        <v>2</v>
      </c>
      <c r="J946" s="180"/>
    </row>
    <row r="947" spans="1:10" s="181" customFormat="1">
      <c r="A947" s="276"/>
      <c r="B947" s="148" t="s">
        <v>426</v>
      </c>
      <c r="C947" s="149">
        <v>1</v>
      </c>
      <c r="D947" s="149" t="s">
        <v>73</v>
      </c>
      <c r="E947" s="149">
        <v>1</v>
      </c>
      <c r="F947" s="150"/>
      <c r="G947" s="150"/>
      <c r="H947" s="150"/>
      <c r="I947" s="151">
        <f t="shared" si="130"/>
        <v>1</v>
      </c>
      <c r="J947" s="180"/>
    </row>
    <row r="948" spans="1:10" s="181" customFormat="1">
      <c r="A948" s="276"/>
      <c r="B948" s="148" t="s">
        <v>421</v>
      </c>
      <c r="C948" s="149">
        <v>1</v>
      </c>
      <c r="D948" s="149" t="s">
        <v>73</v>
      </c>
      <c r="E948" s="149">
        <v>3</v>
      </c>
      <c r="F948" s="150"/>
      <c r="G948" s="150"/>
      <c r="H948" s="150"/>
      <c r="I948" s="151">
        <f t="shared" si="130"/>
        <v>3</v>
      </c>
      <c r="J948" s="180"/>
    </row>
    <row r="949" spans="1:10" s="181" customFormat="1">
      <c r="A949" s="276"/>
      <c r="B949" s="148" t="s">
        <v>192</v>
      </c>
      <c r="C949" s="149">
        <v>1</v>
      </c>
      <c r="D949" s="149" t="s">
        <v>73</v>
      </c>
      <c r="E949" s="149">
        <v>1</v>
      </c>
      <c r="F949" s="150"/>
      <c r="G949" s="150"/>
      <c r="H949" s="150"/>
      <c r="I949" s="151">
        <f t="shared" si="130"/>
        <v>1</v>
      </c>
      <c r="J949" s="180"/>
    </row>
    <row r="950" spans="1:10" s="181" customFormat="1">
      <c r="A950" s="276"/>
      <c r="B950" s="148" t="s">
        <v>156</v>
      </c>
      <c r="C950" s="149">
        <v>1</v>
      </c>
      <c r="D950" s="149" t="s">
        <v>73</v>
      </c>
      <c r="E950" s="149">
        <v>3</v>
      </c>
      <c r="F950" s="150"/>
      <c r="G950" s="150"/>
      <c r="H950" s="150"/>
      <c r="I950" s="151">
        <f t="shared" si="130"/>
        <v>3</v>
      </c>
      <c r="J950" s="180"/>
    </row>
    <row r="951" spans="1:10" s="181" customFormat="1">
      <c r="A951" s="276"/>
      <c r="B951" s="148" t="s">
        <v>422</v>
      </c>
      <c r="C951" s="149">
        <v>1</v>
      </c>
      <c r="D951" s="149" t="s">
        <v>73</v>
      </c>
      <c r="E951" s="149">
        <v>1</v>
      </c>
      <c r="F951" s="150"/>
      <c r="G951" s="150"/>
      <c r="H951" s="150"/>
      <c r="I951" s="151">
        <f t="shared" si="130"/>
        <v>1</v>
      </c>
      <c r="J951" s="180"/>
    </row>
    <row r="952" spans="1:10" s="181" customFormat="1">
      <c r="A952" s="276"/>
      <c r="B952" s="148" t="s">
        <v>191</v>
      </c>
      <c r="C952" s="149">
        <v>1</v>
      </c>
      <c r="D952" s="149" t="s">
        <v>73</v>
      </c>
      <c r="E952" s="149">
        <v>1</v>
      </c>
      <c r="F952" s="150"/>
      <c r="G952" s="150"/>
      <c r="H952" s="150"/>
      <c r="I952" s="151">
        <f t="shared" si="130"/>
        <v>1</v>
      </c>
      <c r="J952" s="180"/>
    </row>
    <row r="953" spans="1:10" s="181" customFormat="1">
      <c r="A953" s="276"/>
      <c r="B953" s="155" t="s">
        <v>173</v>
      </c>
      <c r="C953" s="149"/>
      <c r="D953" s="149"/>
      <c r="E953" s="149"/>
      <c r="F953" s="150"/>
      <c r="G953" s="150"/>
      <c r="H953" s="150"/>
      <c r="I953" s="151">
        <f t="shared" si="130"/>
        <v>0</v>
      </c>
      <c r="J953" s="180"/>
    </row>
    <row r="954" spans="1:10" s="181" customFormat="1">
      <c r="A954" s="276"/>
      <c r="B954" s="148" t="s">
        <v>424</v>
      </c>
      <c r="C954" s="149">
        <v>1</v>
      </c>
      <c r="D954" s="149" t="s">
        <v>73</v>
      </c>
      <c r="E954" s="149">
        <v>4</v>
      </c>
      <c r="F954" s="150"/>
      <c r="G954" s="150"/>
      <c r="H954" s="150"/>
      <c r="I954" s="151">
        <f t="shared" si="130"/>
        <v>4</v>
      </c>
      <c r="J954" s="180"/>
    </row>
    <row r="955" spans="1:10" s="181" customFormat="1">
      <c r="A955" s="276"/>
      <c r="B955" s="157" t="s">
        <v>11</v>
      </c>
      <c r="C955" s="149"/>
      <c r="D955" s="149"/>
      <c r="E955" s="149"/>
      <c r="F955" s="150"/>
      <c r="G955" s="150"/>
      <c r="H955" s="150"/>
      <c r="I955" s="159">
        <f>SUM(I934:I954)</f>
        <v>30</v>
      </c>
      <c r="J955" s="180" t="s">
        <v>128</v>
      </c>
    </row>
    <row r="956" spans="1:10" s="181" customFormat="1">
      <c r="A956" s="276"/>
      <c r="B956" s="157"/>
      <c r="C956" s="149"/>
      <c r="D956" s="149"/>
      <c r="E956" s="149"/>
      <c r="F956" s="150"/>
      <c r="G956" s="150"/>
      <c r="H956" s="150"/>
      <c r="I956" s="160"/>
      <c r="J956" s="180"/>
    </row>
    <row r="957" spans="1:10" s="181" customFormat="1" ht="75">
      <c r="A957" s="276">
        <v>76</v>
      </c>
      <c r="B957" s="178" t="s">
        <v>427</v>
      </c>
      <c r="C957" s="149">
        <v>1</v>
      </c>
      <c r="D957" s="149" t="s">
        <v>73</v>
      </c>
      <c r="E957" s="149">
        <v>1</v>
      </c>
      <c r="F957" s="150">
        <v>30</v>
      </c>
      <c r="G957" s="150"/>
      <c r="H957" s="150"/>
      <c r="I957" s="159">
        <f>ROUND(PRODUCT(C957:H957),2)</f>
        <v>30</v>
      </c>
      <c r="J957" s="213" t="s">
        <v>76</v>
      </c>
    </row>
    <row r="958" spans="1:10" s="181" customFormat="1">
      <c r="A958" s="276"/>
      <c r="B958" s="178"/>
      <c r="C958" s="149"/>
      <c r="D958" s="149"/>
      <c r="E958" s="149"/>
      <c r="F958" s="150"/>
      <c r="G958" s="150"/>
      <c r="H958" s="150"/>
      <c r="I958" s="160"/>
      <c r="J958" s="180"/>
    </row>
    <row r="959" spans="1:10" s="181" customFormat="1" ht="93.75">
      <c r="A959" s="276">
        <v>77.3</v>
      </c>
      <c r="B959" s="178" t="s">
        <v>428</v>
      </c>
      <c r="C959" s="162"/>
      <c r="D959" s="148"/>
      <c r="E959" s="162"/>
      <c r="F959" s="150"/>
      <c r="G959" s="150"/>
      <c r="H959" s="150"/>
      <c r="I959" s="205"/>
      <c r="J959" s="180"/>
    </row>
    <row r="960" spans="1:10" s="181" customFormat="1">
      <c r="A960" s="276"/>
      <c r="B960" s="155" t="s">
        <v>190</v>
      </c>
      <c r="C960" s="162"/>
      <c r="D960" s="148"/>
      <c r="E960" s="162"/>
      <c r="F960" s="150"/>
      <c r="G960" s="150"/>
      <c r="H960" s="150"/>
      <c r="I960" s="205"/>
      <c r="J960" s="180"/>
    </row>
    <row r="961" spans="1:10" s="181" customFormat="1">
      <c r="A961" s="276"/>
      <c r="B961" s="148" t="s">
        <v>270</v>
      </c>
      <c r="C961" s="162">
        <v>1</v>
      </c>
      <c r="D961" s="148" t="s">
        <v>73</v>
      </c>
      <c r="E961" s="162">
        <v>2</v>
      </c>
      <c r="F961" s="150"/>
      <c r="G961" s="150"/>
      <c r="H961" s="150"/>
      <c r="I961" s="151">
        <f t="shared" ref="I961:I971" si="131">ROUND(PRODUCT(C961:H961),2)</f>
        <v>2</v>
      </c>
      <c r="J961" s="180"/>
    </row>
    <row r="962" spans="1:10" s="181" customFormat="1">
      <c r="A962" s="276"/>
      <c r="B962" s="148" t="s">
        <v>412</v>
      </c>
      <c r="C962" s="162">
        <v>1</v>
      </c>
      <c r="D962" s="148" t="s">
        <v>73</v>
      </c>
      <c r="E962" s="162">
        <v>1</v>
      </c>
      <c r="F962" s="150"/>
      <c r="G962" s="150"/>
      <c r="H962" s="150"/>
      <c r="I962" s="151">
        <f t="shared" si="131"/>
        <v>1</v>
      </c>
      <c r="J962" s="180"/>
    </row>
    <row r="963" spans="1:10" s="181" customFormat="1">
      <c r="A963" s="276"/>
      <c r="B963" s="148" t="s">
        <v>413</v>
      </c>
      <c r="C963" s="162">
        <v>1</v>
      </c>
      <c r="D963" s="148" t="s">
        <v>73</v>
      </c>
      <c r="E963" s="162">
        <v>1</v>
      </c>
      <c r="F963" s="150"/>
      <c r="G963" s="150"/>
      <c r="H963" s="150"/>
      <c r="I963" s="151">
        <f t="shared" si="131"/>
        <v>1</v>
      </c>
      <c r="J963" s="180"/>
    </row>
    <row r="964" spans="1:10" s="181" customFormat="1">
      <c r="A964" s="276"/>
      <c r="B964" s="148" t="s">
        <v>415</v>
      </c>
      <c r="C964" s="162">
        <v>1</v>
      </c>
      <c r="D964" s="148" t="s">
        <v>73</v>
      </c>
      <c r="E964" s="162">
        <v>0</v>
      </c>
      <c r="F964" s="150"/>
      <c r="G964" s="150"/>
      <c r="H964" s="150"/>
      <c r="I964" s="151">
        <f t="shared" si="131"/>
        <v>0</v>
      </c>
      <c r="J964" s="221"/>
    </row>
    <row r="965" spans="1:10" s="181" customFormat="1">
      <c r="A965" s="276"/>
      <c r="B965" s="148" t="s">
        <v>1553</v>
      </c>
      <c r="C965" s="162">
        <v>1</v>
      </c>
      <c r="D965" s="148" t="s">
        <v>73</v>
      </c>
      <c r="E965" s="162">
        <v>1</v>
      </c>
      <c r="F965" s="150"/>
      <c r="G965" s="150"/>
      <c r="H965" s="150"/>
      <c r="I965" s="151">
        <f t="shared" ref="I965" si="132">ROUND(PRODUCT(C965:H965),2)</f>
        <v>1</v>
      </c>
      <c r="J965" s="180"/>
    </row>
    <row r="966" spans="1:10" s="181" customFormat="1" ht="15" customHeight="1">
      <c r="B966" s="155" t="s">
        <v>189</v>
      </c>
      <c r="C966" s="162"/>
      <c r="D966" s="148"/>
      <c r="E966" s="162"/>
      <c r="F966" s="150"/>
      <c r="G966" s="150"/>
      <c r="H966" s="150"/>
      <c r="I966" s="151">
        <f t="shared" si="131"/>
        <v>0</v>
      </c>
      <c r="J966" s="221"/>
    </row>
    <row r="967" spans="1:10" s="181" customFormat="1" ht="20.25" customHeight="1">
      <c r="B967" s="148" t="s">
        <v>270</v>
      </c>
      <c r="C967" s="162">
        <v>1</v>
      </c>
      <c r="D967" s="148" t="s">
        <v>73</v>
      </c>
      <c r="E967" s="162">
        <v>2</v>
      </c>
      <c r="F967" s="150"/>
      <c r="G967" s="150"/>
      <c r="H967" s="150"/>
      <c r="I967" s="151">
        <f t="shared" si="131"/>
        <v>2</v>
      </c>
      <c r="J967" s="180"/>
    </row>
    <row r="968" spans="1:10" s="181" customFormat="1">
      <c r="A968" s="276"/>
      <c r="B968" s="148" t="s">
        <v>412</v>
      </c>
      <c r="C968" s="162">
        <v>1</v>
      </c>
      <c r="D968" s="148" t="s">
        <v>73</v>
      </c>
      <c r="E968" s="162">
        <v>1</v>
      </c>
      <c r="F968" s="150"/>
      <c r="G968" s="150"/>
      <c r="H968" s="150"/>
      <c r="I968" s="151">
        <f t="shared" si="131"/>
        <v>1</v>
      </c>
      <c r="J968" s="180"/>
    </row>
    <row r="969" spans="1:10" s="181" customFormat="1">
      <c r="A969" s="276"/>
      <c r="B969" s="148" t="s">
        <v>413</v>
      </c>
      <c r="C969" s="162">
        <v>1</v>
      </c>
      <c r="D969" s="148" t="s">
        <v>73</v>
      </c>
      <c r="E969" s="162">
        <v>1</v>
      </c>
      <c r="F969" s="150"/>
      <c r="G969" s="150"/>
      <c r="H969" s="150"/>
      <c r="I969" s="151">
        <f t="shared" si="131"/>
        <v>1</v>
      </c>
      <c r="J969" s="180"/>
    </row>
    <row r="970" spans="1:10" s="181" customFormat="1">
      <c r="A970" s="276"/>
      <c r="B970" s="148" t="s">
        <v>1553</v>
      </c>
      <c r="C970" s="162">
        <v>1</v>
      </c>
      <c r="D970" s="148" t="s">
        <v>73</v>
      </c>
      <c r="E970" s="162">
        <v>1</v>
      </c>
      <c r="F970" s="150"/>
      <c r="G970" s="150"/>
      <c r="H970" s="150"/>
      <c r="I970" s="151">
        <f t="shared" si="131"/>
        <v>1</v>
      </c>
      <c r="J970" s="180"/>
    </row>
    <row r="971" spans="1:10" s="181" customFormat="1">
      <c r="A971" s="276"/>
      <c r="B971" s="148" t="s">
        <v>156</v>
      </c>
      <c r="C971" s="162">
        <v>1</v>
      </c>
      <c r="D971" s="148" t="s">
        <v>73</v>
      </c>
      <c r="E971" s="162">
        <v>1</v>
      </c>
      <c r="F971" s="150"/>
      <c r="G971" s="150"/>
      <c r="H971" s="150"/>
      <c r="I971" s="151">
        <f t="shared" si="131"/>
        <v>1</v>
      </c>
      <c r="J971" s="180"/>
    </row>
    <row r="972" spans="1:10" s="181" customFormat="1">
      <c r="A972" s="276"/>
      <c r="B972" s="148"/>
      <c r="C972" s="162"/>
      <c r="D972" s="148"/>
      <c r="E972" s="162"/>
      <c r="F972" s="150"/>
      <c r="G972" s="150"/>
      <c r="H972" s="150"/>
      <c r="I972" s="242">
        <f>SUM(I961:I971)</f>
        <v>11</v>
      </c>
      <c r="J972" s="180" t="s">
        <v>128</v>
      </c>
    </row>
    <row r="973" spans="1:10" s="181" customFormat="1">
      <c r="A973" s="276"/>
      <c r="B973" s="148"/>
      <c r="C973" s="162"/>
      <c r="D973" s="148"/>
      <c r="E973" s="162"/>
      <c r="F973" s="150"/>
      <c r="G973" s="150"/>
      <c r="H973" s="150"/>
      <c r="I973" s="214"/>
      <c r="J973" s="180"/>
    </row>
    <row r="974" spans="1:10" s="181" customFormat="1" ht="100.5" customHeight="1">
      <c r="A974" s="276">
        <v>77.400000000000006</v>
      </c>
      <c r="B974" s="178" t="s">
        <v>429</v>
      </c>
      <c r="C974" s="162"/>
      <c r="D974" s="148"/>
      <c r="E974" s="162"/>
      <c r="F974" s="150"/>
      <c r="G974" s="150"/>
      <c r="H974" s="150"/>
      <c r="I974" s="205"/>
      <c r="J974" s="180"/>
    </row>
    <row r="975" spans="1:10" s="181" customFormat="1">
      <c r="A975" s="276"/>
      <c r="B975" s="148" t="s">
        <v>430</v>
      </c>
      <c r="C975" s="162">
        <v>1</v>
      </c>
      <c r="D975" s="148" t="s">
        <v>73</v>
      </c>
      <c r="E975" s="162">
        <v>1</v>
      </c>
      <c r="F975" s="150">
        <v>20</v>
      </c>
      <c r="G975" s="150"/>
      <c r="H975" s="150"/>
      <c r="I975" s="151">
        <f>ROUND(PRODUCT(C975:H975),2)</f>
        <v>20</v>
      </c>
      <c r="J975" s="180"/>
    </row>
    <row r="976" spans="1:10" s="181" customFormat="1">
      <c r="A976" s="276"/>
      <c r="B976" s="148" t="s">
        <v>431</v>
      </c>
      <c r="C976" s="162">
        <v>1</v>
      </c>
      <c r="D976" s="148" t="s">
        <v>73</v>
      </c>
      <c r="E976" s="162">
        <v>1</v>
      </c>
      <c r="F976" s="150">
        <v>20</v>
      </c>
      <c r="G976" s="150"/>
      <c r="H976" s="150"/>
      <c r="I976" s="151">
        <f>ROUND(PRODUCT(C976:H976),2)</f>
        <v>20</v>
      </c>
      <c r="J976" s="180"/>
    </row>
    <row r="977" spans="1:10" s="181" customFormat="1">
      <c r="A977" s="276"/>
      <c r="B977" s="148" t="s">
        <v>432</v>
      </c>
      <c r="C977" s="162">
        <v>1</v>
      </c>
      <c r="D977" s="148" t="s">
        <v>73</v>
      </c>
      <c r="E977" s="162">
        <v>1</v>
      </c>
      <c r="F977" s="150">
        <v>20</v>
      </c>
      <c r="G977" s="150"/>
      <c r="H977" s="150"/>
      <c r="I977" s="151">
        <f>ROUND(PRODUCT(C977:H977),2)</f>
        <v>20</v>
      </c>
      <c r="J977" s="180"/>
    </row>
    <row r="978" spans="1:10" s="181" customFormat="1">
      <c r="A978" s="276"/>
      <c r="B978" s="148"/>
      <c r="C978" s="162"/>
      <c r="D978" s="148"/>
      <c r="E978" s="162"/>
      <c r="F978" s="150"/>
      <c r="G978" s="150"/>
      <c r="H978" s="150"/>
      <c r="I978" s="242">
        <f>SUM(I975:I977)</f>
        <v>60</v>
      </c>
      <c r="J978" s="213" t="s">
        <v>377</v>
      </c>
    </row>
    <row r="979" spans="1:10" s="181" customFormat="1">
      <c r="A979" s="276"/>
      <c r="B979" s="148"/>
      <c r="C979" s="162"/>
      <c r="D979" s="148"/>
      <c r="E979" s="162"/>
      <c r="F979" s="150"/>
      <c r="G979" s="150"/>
      <c r="H979" s="150"/>
      <c r="I979" s="214"/>
      <c r="J979" s="180"/>
    </row>
    <row r="980" spans="1:10" s="181" customFormat="1" ht="56.25">
      <c r="A980" s="276">
        <v>78</v>
      </c>
      <c r="B980" s="178" t="s">
        <v>433</v>
      </c>
      <c r="C980" s="149">
        <v>1</v>
      </c>
      <c r="D980" s="149" t="s">
        <v>73</v>
      </c>
      <c r="E980" s="149">
        <v>3</v>
      </c>
      <c r="F980" s="150"/>
      <c r="G980" s="150"/>
      <c r="H980" s="150"/>
      <c r="I980" s="159">
        <f>ROUND(PRODUCT(C980:H980),2)</f>
        <v>3</v>
      </c>
      <c r="J980" s="213" t="s">
        <v>377</v>
      </c>
    </row>
    <row r="981" spans="1:10" s="181" customFormat="1">
      <c r="A981" s="276"/>
      <c r="B981" s="178"/>
      <c r="C981" s="149"/>
      <c r="D981" s="149"/>
      <c r="E981" s="149"/>
      <c r="F981" s="150"/>
      <c r="G981" s="150"/>
      <c r="H981" s="150"/>
      <c r="I981" s="160"/>
      <c r="J981" s="352"/>
    </row>
    <row r="982" spans="1:10" s="181" customFormat="1">
      <c r="A982" s="384">
        <v>238</v>
      </c>
      <c r="B982" s="155" t="s">
        <v>434</v>
      </c>
      <c r="C982" s="149"/>
      <c r="D982" s="149"/>
      <c r="E982" s="149"/>
      <c r="F982" s="150"/>
      <c r="G982" s="150"/>
      <c r="H982" s="158"/>
      <c r="I982" s="160"/>
      <c r="J982" s="180"/>
    </row>
    <row r="983" spans="1:10" s="181" customFormat="1" ht="21.75" customHeight="1">
      <c r="A983" s="276"/>
      <c r="B983" s="148" t="s">
        <v>435</v>
      </c>
      <c r="C983" s="149"/>
      <c r="D983" s="149"/>
      <c r="E983" s="149"/>
      <c r="F983" s="150"/>
      <c r="G983" s="150"/>
      <c r="H983" s="158"/>
      <c r="I983" s="215">
        <v>7.8029999999999999</v>
      </c>
      <c r="J983" s="180" t="s">
        <v>78</v>
      </c>
    </row>
    <row r="984" spans="1:10" s="181" customFormat="1" ht="21.75" customHeight="1">
      <c r="A984" s="276"/>
      <c r="B984" s="148"/>
      <c r="C984" s="149"/>
      <c r="D984" s="149"/>
      <c r="E984" s="149"/>
      <c r="F984" s="150"/>
      <c r="G984" s="150"/>
      <c r="H984" s="158"/>
      <c r="I984" s="215"/>
      <c r="J984" s="180"/>
    </row>
    <row r="985" spans="1:10" s="181" customFormat="1" ht="17.25" customHeight="1">
      <c r="A985" s="276" t="s">
        <v>61</v>
      </c>
      <c r="B985" s="277"/>
      <c r="C985" s="277"/>
      <c r="D985" s="277"/>
      <c r="E985" s="277"/>
      <c r="F985" s="277"/>
      <c r="G985" s="277"/>
      <c r="H985" s="277"/>
      <c r="I985" s="278"/>
      <c r="J985" s="213"/>
    </row>
    <row r="986" spans="1:10" s="154" customFormat="1" ht="37.5">
      <c r="A986" s="276">
        <v>2.15</v>
      </c>
      <c r="B986" s="155" t="s">
        <v>436</v>
      </c>
      <c r="C986" s="149"/>
      <c r="D986" s="149"/>
      <c r="E986" s="149"/>
      <c r="F986" s="150"/>
      <c r="G986" s="150"/>
      <c r="H986" s="150"/>
      <c r="I986" s="216"/>
      <c r="J986" s="213"/>
    </row>
    <row r="987" spans="1:10" s="181" customFormat="1" ht="22.5" customHeight="1">
      <c r="B987" s="347" t="s">
        <v>1446</v>
      </c>
      <c r="C987" s="149"/>
      <c r="D987" s="149"/>
      <c r="E987" s="149"/>
      <c r="F987" s="150"/>
      <c r="G987" s="150"/>
      <c r="H987" s="150"/>
      <c r="I987" s="159">
        <v>180.99</v>
      </c>
      <c r="J987" s="180" t="s">
        <v>12</v>
      </c>
    </row>
    <row r="988" spans="1:10" s="181" customFormat="1">
      <c r="A988" s="276"/>
      <c r="B988" s="148"/>
      <c r="C988" s="149"/>
      <c r="D988" s="149"/>
      <c r="E988" s="149"/>
      <c r="F988" s="150"/>
      <c r="G988" s="150"/>
      <c r="H988" s="150"/>
      <c r="I988" s="151"/>
      <c r="J988" s="180"/>
    </row>
    <row r="989" spans="1:10" s="154" customFormat="1">
      <c r="A989" s="276"/>
      <c r="B989" s="148"/>
      <c r="C989" s="149"/>
      <c r="D989" s="149"/>
      <c r="E989" s="149"/>
      <c r="F989" s="150"/>
      <c r="G989" s="150"/>
      <c r="H989" s="158"/>
      <c r="I989" s="160"/>
      <c r="J989" s="180"/>
    </row>
    <row r="990" spans="1:10" s="154" customFormat="1" ht="56.25">
      <c r="A990" s="339" t="s">
        <v>437</v>
      </c>
      <c r="B990" s="141" t="s">
        <v>438</v>
      </c>
      <c r="C990" s="138"/>
      <c r="D990" s="138"/>
      <c r="E990" s="138"/>
      <c r="F990" s="139"/>
      <c r="G990" s="139"/>
      <c r="H990" s="139"/>
      <c r="I990" s="140"/>
      <c r="J990" s="180"/>
    </row>
    <row r="991" spans="1:10" s="154" customFormat="1">
      <c r="A991" s="372"/>
      <c r="B991" s="155" t="s">
        <v>1598</v>
      </c>
      <c r="C991" s="138"/>
      <c r="D991" s="138"/>
      <c r="E991" s="138"/>
      <c r="F991" s="139"/>
      <c r="G991" s="139"/>
      <c r="H991" s="139"/>
      <c r="I991" s="140"/>
      <c r="J991" s="180"/>
    </row>
    <row r="992" spans="1:10" s="154" customFormat="1">
      <c r="A992" s="372"/>
      <c r="B992" s="347" t="s">
        <v>1446</v>
      </c>
      <c r="C992" s="138"/>
      <c r="D992" s="138"/>
      <c r="E992" s="138"/>
      <c r="F992" s="139"/>
      <c r="G992" s="139"/>
      <c r="H992" s="139"/>
      <c r="I992" s="159">
        <v>131.07</v>
      </c>
      <c r="J992" s="180" t="s">
        <v>12</v>
      </c>
    </row>
    <row r="993" spans="1:10" s="154" customFormat="1">
      <c r="A993" s="372"/>
      <c r="B993" s="141"/>
      <c r="C993" s="138"/>
      <c r="D993" s="138"/>
      <c r="E993" s="138"/>
      <c r="F993" s="139"/>
      <c r="G993" s="139"/>
      <c r="H993" s="139"/>
      <c r="I993" s="140"/>
      <c r="J993" s="180"/>
    </row>
    <row r="994" spans="1:10" s="181" customFormat="1">
      <c r="A994" s="276"/>
      <c r="B994" s="155" t="s">
        <v>439</v>
      </c>
      <c r="C994" s="149"/>
      <c r="D994" s="149"/>
      <c r="E994" s="149"/>
      <c r="F994" s="150"/>
      <c r="G994" s="150"/>
      <c r="H994" s="150"/>
      <c r="I994" s="151"/>
      <c r="J994" s="161"/>
    </row>
    <row r="995" spans="1:10" s="181" customFormat="1">
      <c r="A995" s="276"/>
      <c r="B995" s="170" t="s">
        <v>1338</v>
      </c>
      <c r="C995" s="149">
        <v>1</v>
      </c>
      <c r="D995" s="156" t="s">
        <v>73</v>
      </c>
      <c r="E995" s="217">
        <v>1</v>
      </c>
      <c r="F995" s="168">
        <v>2.2200000000000002</v>
      </c>
      <c r="G995" s="168">
        <v>0.23</v>
      </c>
      <c r="H995" s="168">
        <v>0.05</v>
      </c>
      <c r="I995" s="151">
        <f t="shared" ref="I995:I1002" si="133">ROUND(PRODUCT(C995:H995),2)</f>
        <v>0.03</v>
      </c>
      <c r="J995" s="161"/>
    </row>
    <row r="996" spans="1:10" s="181" customFormat="1">
      <c r="A996" s="276"/>
      <c r="B996" s="170" t="s">
        <v>1338</v>
      </c>
      <c r="C996" s="149">
        <v>1</v>
      </c>
      <c r="D996" s="156" t="s">
        <v>73</v>
      </c>
      <c r="E996" s="217">
        <v>1</v>
      </c>
      <c r="F996" s="150">
        <v>2.0750000000000002</v>
      </c>
      <c r="G996" s="150">
        <v>0.23</v>
      </c>
      <c r="H996" s="150">
        <v>0.05</v>
      </c>
      <c r="I996" s="151">
        <f t="shared" si="133"/>
        <v>0.02</v>
      </c>
      <c r="J996" s="180"/>
    </row>
    <row r="997" spans="1:10" s="181" customFormat="1">
      <c r="A997" s="276"/>
      <c r="B997" s="170" t="s">
        <v>1338</v>
      </c>
      <c r="C997" s="149">
        <v>1</v>
      </c>
      <c r="D997" s="156" t="s">
        <v>73</v>
      </c>
      <c r="E997" s="217">
        <v>1</v>
      </c>
      <c r="F997" s="150">
        <v>4.12</v>
      </c>
      <c r="G997" s="150">
        <v>0.23</v>
      </c>
      <c r="H997" s="150">
        <v>0.05</v>
      </c>
      <c r="I997" s="151">
        <f t="shared" ref="I997" si="134">ROUND(PRODUCT(C997:H997),2)</f>
        <v>0.05</v>
      </c>
      <c r="J997" s="221"/>
    </row>
    <row r="998" spans="1:10" s="154" customFormat="1" ht="20.25" customHeight="1">
      <c r="A998" s="276"/>
      <c r="B998" s="170" t="s">
        <v>1339</v>
      </c>
      <c r="C998" s="149">
        <v>1</v>
      </c>
      <c r="D998" s="156" t="s">
        <v>73</v>
      </c>
      <c r="E998" s="217">
        <v>1</v>
      </c>
      <c r="F998" s="150">
        <v>3.45</v>
      </c>
      <c r="G998" s="150">
        <v>0.23</v>
      </c>
      <c r="H998" s="150">
        <v>0.15</v>
      </c>
      <c r="I998" s="151">
        <f t="shared" si="133"/>
        <v>0.12</v>
      </c>
      <c r="J998" s="161"/>
    </row>
    <row r="999" spans="1:10" s="154" customFormat="1">
      <c r="A999" s="276"/>
      <c r="B999" s="170" t="s">
        <v>1340</v>
      </c>
      <c r="C999" s="149">
        <v>1</v>
      </c>
      <c r="D999" s="156" t="s">
        <v>73</v>
      </c>
      <c r="E999" s="217">
        <v>1</v>
      </c>
      <c r="F999" s="150">
        <v>2.0750000000000002</v>
      </c>
      <c r="G999" s="150">
        <v>0.23</v>
      </c>
      <c r="H999" s="150">
        <v>0.15</v>
      </c>
      <c r="I999" s="151">
        <f t="shared" si="133"/>
        <v>7.0000000000000007E-2</v>
      </c>
      <c r="J999" s="180"/>
    </row>
    <row r="1000" spans="1:10" s="136" customFormat="1" ht="22.5" customHeight="1">
      <c r="B1000" s="170" t="s">
        <v>1340</v>
      </c>
      <c r="C1000" s="149">
        <v>1</v>
      </c>
      <c r="D1000" s="156" t="s">
        <v>73</v>
      </c>
      <c r="E1000" s="217">
        <v>1</v>
      </c>
      <c r="F1000" s="150">
        <v>4.12</v>
      </c>
      <c r="G1000" s="150">
        <v>0.23</v>
      </c>
      <c r="H1000" s="150">
        <v>0.15</v>
      </c>
      <c r="I1000" s="151">
        <f t="shared" ref="I1000" si="135">ROUND(PRODUCT(C1000:H1000),2)</f>
        <v>0.14000000000000001</v>
      </c>
      <c r="J1000" s="147"/>
    </row>
    <row r="1001" spans="1:10" s="154" customFormat="1">
      <c r="A1001" s="276"/>
      <c r="B1001" s="170" t="s">
        <v>1341</v>
      </c>
      <c r="C1001" s="149">
        <v>1</v>
      </c>
      <c r="D1001" s="156" t="s">
        <v>73</v>
      </c>
      <c r="E1001" s="217">
        <v>1</v>
      </c>
      <c r="F1001" s="150">
        <v>2.0750000000000002</v>
      </c>
      <c r="G1001" s="150">
        <v>0.6</v>
      </c>
      <c r="H1001" s="218">
        <v>6.25E-2</v>
      </c>
      <c r="I1001" s="151">
        <f t="shared" ref="I1001" si="136">ROUND(PRODUCT(C1001:H1001),2)</f>
        <v>0.08</v>
      </c>
      <c r="J1001" s="161"/>
    </row>
    <row r="1002" spans="1:10" s="154" customFormat="1" ht="19.5" customHeight="1">
      <c r="A1002" s="276"/>
      <c r="B1002" s="170" t="s">
        <v>1341</v>
      </c>
      <c r="C1002" s="149">
        <v>1</v>
      </c>
      <c r="D1002" s="156" t="s">
        <v>73</v>
      </c>
      <c r="E1002" s="217">
        <v>1</v>
      </c>
      <c r="F1002" s="150">
        <v>4.12</v>
      </c>
      <c r="G1002" s="150">
        <v>0.6</v>
      </c>
      <c r="H1002" s="218">
        <v>6.25E-2</v>
      </c>
      <c r="I1002" s="151">
        <f t="shared" si="133"/>
        <v>0.15</v>
      </c>
      <c r="J1002" s="161"/>
    </row>
    <row r="1003" spans="1:10" s="154" customFormat="1">
      <c r="A1003" s="276"/>
      <c r="B1003" s="170" t="s">
        <v>1435</v>
      </c>
      <c r="C1003" s="149">
        <v>2</v>
      </c>
      <c r="D1003" s="156" t="s">
        <v>73</v>
      </c>
      <c r="E1003" s="217">
        <v>2</v>
      </c>
      <c r="F1003" s="150">
        <v>0.3</v>
      </c>
      <c r="G1003" s="150">
        <v>0.23</v>
      </c>
      <c r="H1003" s="218">
        <v>1.5</v>
      </c>
      <c r="I1003" s="151">
        <f t="shared" ref="I1003" si="137">ROUND(PRODUCT(C1003:H1003),2)</f>
        <v>0.41</v>
      </c>
      <c r="J1003" s="161"/>
    </row>
    <row r="1004" spans="1:10" s="154" customFormat="1">
      <c r="A1004" s="276"/>
      <c r="B1004" s="170" t="s">
        <v>1434</v>
      </c>
      <c r="C1004" s="149">
        <v>1</v>
      </c>
      <c r="D1004" s="156" t="s">
        <v>73</v>
      </c>
      <c r="E1004" s="217">
        <v>1</v>
      </c>
      <c r="F1004" s="150">
        <v>148.4</v>
      </c>
      <c r="G1004" s="165">
        <v>0.115</v>
      </c>
      <c r="H1004" s="150">
        <v>0.15</v>
      </c>
      <c r="I1004" s="151">
        <f>ROUND(PRODUCT(C1004:H1004),2)</f>
        <v>2.56</v>
      </c>
      <c r="J1004" s="161"/>
    </row>
    <row r="1005" spans="1:10" s="154" customFormat="1">
      <c r="A1005" s="276"/>
      <c r="B1005" s="148"/>
      <c r="C1005" s="149"/>
      <c r="D1005" s="149"/>
      <c r="E1005" s="149"/>
      <c r="F1005" s="150"/>
      <c r="G1005" s="158" t="s">
        <v>11</v>
      </c>
      <c r="H1005" s="158"/>
      <c r="I1005" s="159">
        <f>SUM(I995:I1004)</f>
        <v>3.63</v>
      </c>
      <c r="J1005" s="161"/>
    </row>
    <row r="1006" spans="1:10" s="154" customFormat="1">
      <c r="A1006" s="276"/>
      <c r="B1006" s="148"/>
      <c r="C1006" s="149"/>
      <c r="D1006" s="149"/>
      <c r="E1006" s="149"/>
      <c r="F1006" s="150"/>
      <c r="G1006" s="158"/>
      <c r="H1006" s="158" t="s">
        <v>74</v>
      </c>
      <c r="I1006" s="160">
        <f>ROUNDUP(I1005,1)</f>
        <v>3.7</v>
      </c>
      <c r="J1006" s="180" t="s">
        <v>12</v>
      </c>
    </row>
    <row r="1007" spans="1:10" s="154" customFormat="1">
      <c r="A1007" s="276"/>
      <c r="B1007" s="148"/>
      <c r="C1007" s="149"/>
      <c r="D1007" s="149"/>
      <c r="E1007" s="149"/>
      <c r="F1007" s="150"/>
      <c r="G1007" s="150"/>
      <c r="H1007" s="158"/>
      <c r="I1007" s="160"/>
      <c r="J1007" s="161"/>
    </row>
    <row r="1008" spans="1:10" s="154" customFormat="1">
      <c r="A1008" s="276"/>
      <c r="B1008" s="155" t="s">
        <v>445</v>
      </c>
      <c r="C1008" s="149"/>
      <c r="D1008" s="149"/>
      <c r="E1008" s="149"/>
      <c r="F1008" s="150"/>
      <c r="G1008" s="150"/>
      <c r="H1008" s="150"/>
      <c r="I1008" s="151"/>
      <c r="J1008" s="161"/>
    </row>
    <row r="1009" spans="1:10" s="154" customFormat="1">
      <c r="A1009" s="276"/>
      <c r="B1009" s="148" t="s">
        <v>443</v>
      </c>
      <c r="C1009" s="149">
        <v>1</v>
      </c>
      <c r="D1009" s="149" t="s">
        <v>73</v>
      </c>
      <c r="E1009" s="149">
        <v>4</v>
      </c>
      <c r="F1009" s="150">
        <v>1.81</v>
      </c>
      <c r="G1009" s="150">
        <v>0.23</v>
      </c>
      <c r="H1009" s="150">
        <v>0.15</v>
      </c>
      <c r="I1009" s="151">
        <f t="shared" ref="I1009:I1010" si="138">ROUND(PRODUCT(C1009:H1009),2)</f>
        <v>0.25</v>
      </c>
      <c r="J1009" s="161"/>
    </row>
    <row r="1010" spans="1:10" s="154" customFormat="1">
      <c r="A1010" s="276"/>
      <c r="B1010" s="148" t="s">
        <v>440</v>
      </c>
      <c r="C1010" s="149">
        <v>1</v>
      </c>
      <c r="D1010" s="149" t="s">
        <v>73</v>
      </c>
      <c r="E1010" s="149">
        <v>4</v>
      </c>
      <c r="F1010" s="150">
        <v>1.81</v>
      </c>
      <c r="G1010" s="150">
        <v>0.6</v>
      </c>
      <c r="H1010" s="218">
        <v>6.25E-2</v>
      </c>
      <c r="I1010" s="151">
        <f t="shared" si="138"/>
        <v>0.27</v>
      </c>
      <c r="J1010" s="161"/>
    </row>
    <row r="1011" spans="1:10" s="154" customFormat="1">
      <c r="A1011" s="276"/>
      <c r="B1011" s="148" t="s">
        <v>1436</v>
      </c>
      <c r="C1011" s="149">
        <v>1</v>
      </c>
      <c r="D1011" s="149" t="s">
        <v>73</v>
      </c>
      <c r="E1011" s="149">
        <v>2</v>
      </c>
      <c r="F1011" s="150">
        <v>1.36</v>
      </c>
      <c r="G1011" s="150">
        <v>0.23</v>
      </c>
      <c r="H1011" s="150">
        <v>0.15</v>
      </c>
      <c r="I1011" s="151">
        <f t="shared" ref="I1011:I1026" si="139">ROUND(PRODUCT(C1011:H1011),2)</f>
        <v>0.09</v>
      </c>
      <c r="J1011" s="161"/>
    </row>
    <row r="1012" spans="1:10" s="154" customFormat="1">
      <c r="A1012" s="276"/>
      <c r="B1012" s="148" t="s">
        <v>440</v>
      </c>
      <c r="C1012" s="149">
        <v>1</v>
      </c>
      <c r="D1012" s="149" t="s">
        <v>73</v>
      </c>
      <c r="E1012" s="149">
        <v>2</v>
      </c>
      <c r="F1012" s="150">
        <v>1.36</v>
      </c>
      <c r="G1012" s="150">
        <v>0.6</v>
      </c>
      <c r="H1012" s="218">
        <v>6.25E-2</v>
      </c>
      <c r="I1012" s="151">
        <f t="shared" si="139"/>
        <v>0.1</v>
      </c>
      <c r="J1012" s="161"/>
    </row>
    <row r="1013" spans="1:10" s="154" customFormat="1" ht="16.5" customHeight="1">
      <c r="A1013" s="276"/>
      <c r="B1013" s="148" t="s">
        <v>441</v>
      </c>
      <c r="C1013" s="149">
        <v>1</v>
      </c>
      <c r="D1013" s="149" t="s">
        <v>73</v>
      </c>
      <c r="E1013" s="149">
        <v>8</v>
      </c>
      <c r="F1013" s="150">
        <v>1.21</v>
      </c>
      <c r="G1013" s="150">
        <v>0.23</v>
      </c>
      <c r="H1013" s="150">
        <v>0.15</v>
      </c>
      <c r="I1013" s="151">
        <f t="shared" si="139"/>
        <v>0.33</v>
      </c>
      <c r="J1013" s="161"/>
    </row>
    <row r="1014" spans="1:10" s="154" customFormat="1">
      <c r="A1014" s="276"/>
      <c r="B1014" s="148" t="s">
        <v>444</v>
      </c>
      <c r="C1014" s="149">
        <v>1</v>
      </c>
      <c r="D1014" s="149" t="s">
        <v>73</v>
      </c>
      <c r="E1014" s="149">
        <v>2</v>
      </c>
      <c r="F1014" s="150">
        <v>4.6100000000000003</v>
      </c>
      <c r="G1014" s="150">
        <v>0.12</v>
      </c>
      <c r="H1014" s="150">
        <v>0.15</v>
      </c>
      <c r="I1014" s="151">
        <f t="shared" si="139"/>
        <v>0.17</v>
      </c>
      <c r="J1014" s="349"/>
    </row>
    <row r="1015" spans="1:10" s="154" customFormat="1">
      <c r="A1015" s="276"/>
      <c r="B1015" s="148" t="s">
        <v>447</v>
      </c>
      <c r="C1015" s="149">
        <v>1</v>
      </c>
      <c r="D1015" s="149" t="s">
        <v>73</v>
      </c>
      <c r="E1015" s="149">
        <v>3</v>
      </c>
      <c r="F1015" s="150">
        <v>1.46</v>
      </c>
      <c r="G1015" s="150">
        <v>0.23</v>
      </c>
      <c r="H1015" s="150">
        <v>0.15</v>
      </c>
      <c r="I1015" s="151">
        <f t="shared" si="139"/>
        <v>0.15</v>
      </c>
      <c r="J1015" s="161"/>
    </row>
    <row r="1016" spans="1:10" s="154" customFormat="1">
      <c r="A1016" s="276"/>
      <c r="B1016" s="148" t="s">
        <v>440</v>
      </c>
      <c r="C1016" s="149">
        <v>1</v>
      </c>
      <c r="D1016" s="149" t="s">
        <v>73</v>
      </c>
      <c r="E1016" s="149">
        <v>1</v>
      </c>
      <c r="F1016" s="150">
        <v>1.46</v>
      </c>
      <c r="G1016" s="150">
        <v>0.6</v>
      </c>
      <c r="H1016" s="218">
        <v>6.25E-2</v>
      </c>
      <c r="I1016" s="151">
        <f t="shared" si="139"/>
        <v>0.05</v>
      </c>
      <c r="J1016" s="161"/>
    </row>
    <row r="1017" spans="1:10" s="154" customFormat="1">
      <c r="A1017" s="276"/>
      <c r="B1017" s="148" t="s">
        <v>1438</v>
      </c>
      <c r="C1017" s="149">
        <v>1</v>
      </c>
      <c r="D1017" s="149" t="s">
        <v>73</v>
      </c>
      <c r="E1017" s="149">
        <v>2</v>
      </c>
      <c r="F1017" s="150">
        <v>4.6100000000000003</v>
      </c>
      <c r="G1017" s="150">
        <v>0.115</v>
      </c>
      <c r="H1017" s="150">
        <v>0.15</v>
      </c>
      <c r="I1017" s="151">
        <f t="shared" si="139"/>
        <v>0.16</v>
      </c>
      <c r="J1017" s="161"/>
    </row>
    <row r="1018" spans="1:10" s="154" customFormat="1">
      <c r="A1018" s="276"/>
      <c r="B1018" s="148" t="s">
        <v>1437</v>
      </c>
      <c r="C1018" s="149">
        <v>1</v>
      </c>
      <c r="D1018" s="149" t="s">
        <v>73</v>
      </c>
      <c r="E1018" s="149">
        <v>1</v>
      </c>
      <c r="F1018" s="150">
        <v>1.21</v>
      </c>
      <c r="G1018" s="150">
        <v>0.23</v>
      </c>
      <c r="H1018" s="150">
        <v>0.15</v>
      </c>
      <c r="I1018" s="151">
        <f t="shared" si="139"/>
        <v>0.04</v>
      </c>
      <c r="J1018" s="161"/>
    </row>
    <row r="1019" spans="1:10" s="154" customFormat="1">
      <c r="A1019" s="276"/>
      <c r="B1019" s="148" t="s">
        <v>448</v>
      </c>
      <c r="C1019" s="149">
        <v>1</v>
      </c>
      <c r="D1019" s="149" t="s">
        <v>73</v>
      </c>
      <c r="E1019" s="149">
        <v>2</v>
      </c>
      <c r="F1019" s="150">
        <v>5.07</v>
      </c>
      <c r="G1019" s="150">
        <v>0.23</v>
      </c>
      <c r="H1019" s="150">
        <v>0.4</v>
      </c>
      <c r="I1019" s="151">
        <f t="shared" si="139"/>
        <v>0.93</v>
      </c>
      <c r="J1019" s="161"/>
    </row>
    <row r="1020" spans="1:10" s="154" customFormat="1">
      <c r="A1020" s="276"/>
      <c r="B1020" s="148" t="s">
        <v>448</v>
      </c>
      <c r="C1020" s="149">
        <v>1</v>
      </c>
      <c r="D1020" s="149" t="s">
        <v>73</v>
      </c>
      <c r="E1020" s="149">
        <v>2</v>
      </c>
      <c r="F1020" s="150">
        <v>4.09</v>
      </c>
      <c r="G1020" s="150">
        <v>0.23</v>
      </c>
      <c r="H1020" s="150">
        <v>0.4</v>
      </c>
      <c r="I1020" s="151">
        <f t="shared" ref="I1020" si="140">ROUND(PRODUCT(C1020:H1020),2)</f>
        <v>0.75</v>
      </c>
      <c r="J1020" s="161"/>
    </row>
    <row r="1021" spans="1:10" s="154" customFormat="1">
      <c r="A1021" s="276"/>
      <c r="B1021" s="148" t="s">
        <v>448</v>
      </c>
      <c r="C1021" s="149">
        <v>1</v>
      </c>
      <c r="D1021" s="149" t="s">
        <v>73</v>
      </c>
      <c r="E1021" s="149">
        <v>2</v>
      </c>
      <c r="F1021" s="168">
        <v>1.61</v>
      </c>
      <c r="G1021" s="168">
        <v>0.23</v>
      </c>
      <c r="H1021" s="168">
        <v>0.4</v>
      </c>
      <c r="I1021" s="151">
        <f t="shared" si="139"/>
        <v>0.3</v>
      </c>
      <c r="J1021" s="161"/>
    </row>
    <row r="1022" spans="1:10" s="154" customFormat="1">
      <c r="A1022" s="276"/>
      <c r="B1022" s="148" t="s">
        <v>449</v>
      </c>
      <c r="C1022" s="149">
        <v>1</v>
      </c>
      <c r="D1022" s="149" t="s">
        <v>73</v>
      </c>
      <c r="E1022" s="149">
        <v>1</v>
      </c>
      <c r="F1022" s="150">
        <v>2.2999999999999998</v>
      </c>
      <c r="G1022" s="150">
        <v>3</v>
      </c>
      <c r="H1022" s="150">
        <v>0.15</v>
      </c>
      <c r="I1022" s="151">
        <f>ROUND(PRODUCT(C1022:H1022),2)</f>
        <v>1.04</v>
      </c>
      <c r="J1022" s="161"/>
    </row>
    <row r="1023" spans="1:10" s="154" customFormat="1">
      <c r="A1023" s="276"/>
      <c r="B1023" s="148" t="s">
        <v>450</v>
      </c>
      <c r="C1023" s="149">
        <v>1</v>
      </c>
      <c r="D1023" s="149" t="s">
        <v>73</v>
      </c>
      <c r="E1023" s="149">
        <v>1</v>
      </c>
      <c r="F1023" s="150">
        <v>3.5</v>
      </c>
      <c r="G1023" s="150">
        <v>2.78</v>
      </c>
      <c r="H1023" s="150">
        <v>0.15</v>
      </c>
      <c r="I1023" s="151">
        <f t="shared" si="139"/>
        <v>1.46</v>
      </c>
      <c r="J1023" s="161"/>
    </row>
    <row r="1024" spans="1:10" s="154" customFormat="1">
      <c r="A1024" s="276"/>
      <c r="B1024" s="148" t="s">
        <v>451</v>
      </c>
      <c r="C1024" s="149">
        <v>-1</v>
      </c>
      <c r="D1024" s="149" t="s">
        <v>73</v>
      </c>
      <c r="E1024" s="149">
        <v>1</v>
      </c>
      <c r="F1024" s="150">
        <v>0.6</v>
      </c>
      <c r="G1024" s="150">
        <v>0.6</v>
      </c>
      <c r="H1024" s="150">
        <v>0.15</v>
      </c>
      <c r="I1024" s="151">
        <f t="shared" si="139"/>
        <v>-0.05</v>
      </c>
      <c r="J1024" s="161"/>
    </row>
    <row r="1025" spans="1:10" s="154" customFormat="1">
      <c r="A1025" s="276"/>
      <c r="B1025" s="148" t="s">
        <v>446</v>
      </c>
      <c r="C1025" s="149">
        <v>1</v>
      </c>
      <c r="D1025" s="156" t="s">
        <v>73</v>
      </c>
      <c r="E1025" s="149">
        <v>6</v>
      </c>
      <c r="F1025" s="150">
        <v>0.3</v>
      </c>
      <c r="G1025" s="150">
        <v>0.23</v>
      </c>
      <c r="H1025" s="150">
        <v>1.2</v>
      </c>
      <c r="I1025" s="151">
        <f t="shared" si="139"/>
        <v>0.5</v>
      </c>
      <c r="J1025" s="161"/>
    </row>
    <row r="1026" spans="1:10" s="154" customFormat="1">
      <c r="A1026" s="276"/>
      <c r="B1026" s="148" t="s">
        <v>244</v>
      </c>
      <c r="C1026" s="149">
        <v>1</v>
      </c>
      <c r="D1026" s="149" t="s">
        <v>73</v>
      </c>
      <c r="E1026" s="149">
        <v>6</v>
      </c>
      <c r="F1026" s="150">
        <v>0.38</v>
      </c>
      <c r="G1026" s="150">
        <v>0.3</v>
      </c>
      <c r="H1026" s="150">
        <v>1.2</v>
      </c>
      <c r="I1026" s="151">
        <f t="shared" si="139"/>
        <v>0.82</v>
      </c>
      <c r="J1026" s="161"/>
    </row>
    <row r="1027" spans="1:10" s="154" customFormat="1">
      <c r="A1027" s="234"/>
      <c r="B1027" s="148" t="s">
        <v>1439</v>
      </c>
      <c r="C1027" s="149">
        <v>1</v>
      </c>
      <c r="D1027" s="149" t="s">
        <v>73</v>
      </c>
      <c r="E1027" s="149">
        <v>2</v>
      </c>
      <c r="F1027" s="150">
        <v>2.36</v>
      </c>
      <c r="G1027" s="150">
        <v>0.23</v>
      </c>
      <c r="H1027" s="150">
        <v>0.4</v>
      </c>
      <c r="I1027" s="151">
        <f t="shared" ref="I1027" si="141">ROUND(PRODUCT(C1027:H1027),2)</f>
        <v>0.43</v>
      </c>
      <c r="J1027" s="349"/>
    </row>
    <row r="1028" spans="1:10" s="154" customFormat="1" ht="16.5" customHeight="1">
      <c r="A1028" s="276"/>
      <c r="B1028" s="148" t="s">
        <v>1439</v>
      </c>
      <c r="C1028" s="149">
        <v>1</v>
      </c>
      <c r="D1028" s="149" t="s">
        <v>73</v>
      </c>
      <c r="E1028" s="149">
        <v>2</v>
      </c>
      <c r="F1028" s="150">
        <v>1.7</v>
      </c>
      <c r="G1028" s="150">
        <v>0.23</v>
      </c>
      <c r="H1028" s="150">
        <v>0.4</v>
      </c>
      <c r="I1028" s="151">
        <f t="shared" ref="I1028" si="142">ROUND(PRODUCT(C1028:H1028),2)</f>
        <v>0.31</v>
      </c>
      <c r="J1028" s="161"/>
    </row>
    <row r="1029" spans="1:10" s="154" customFormat="1">
      <c r="A1029" s="276"/>
      <c r="B1029" s="148" t="s">
        <v>1440</v>
      </c>
      <c r="C1029" s="149">
        <v>1</v>
      </c>
      <c r="D1029" s="149" t="s">
        <v>73</v>
      </c>
      <c r="E1029" s="149">
        <v>1</v>
      </c>
      <c r="F1029" s="150">
        <v>2.36</v>
      </c>
      <c r="G1029" s="150">
        <v>2.16</v>
      </c>
      <c r="H1029" s="150">
        <v>0.15</v>
      </c>
      <c r="I1029" s="151">
        <f t="shared" ref="I1029:I1030" si="143">ROUND(PRODUCT(C1029:H1029),2)</f>
        <v>0.76</v>
      </c>
      <c r="J1029" s="161"/>
    </row>
    <row r="1030" spans="1:10" s="154" customFormat="1" ht="16.5" customHeight="1">
      <c r="A1030" s="276"/>
      <c r="B1030" s="148" t="s">
        <v>1441</v>
      </c>
      <c r="C1030" s="149">
        <v>1</v>
      </c>
      <c r="D1030" s="156" t="s">
        <v>73</v>
      </c>
      <c r="E1030" s="149">
        <v>4</v>
      </c>
      <c r="F1030" s="150">
        <v>0.23</v>
      </c>
      <c r="G1030" s="150">
        <v>0.23</v>
      </c>
      <c r="H1030" s="150">
        <v>1.2</v>
      </c>
      <c r="I1030" s="151">
        <f t="shared" si="143"/>
        <v>0.25</v>
      </c>
      <c r="J1030" s="161"/>
    </row>
    <row r="1031" spans="1:10" s="154" customFormat="1">
      <c r="A1031" s="276"/>
      <c r="B1031" s="148"/>
      <c r="C1031" s="149"/>
      <c r="D1031" s="149"/>
      <c r="E1031" s="149"/>
      <c r="F1031" s="150"/>
      <c r="G1031" s="158" t="s">
        <v>11</v>
      </c>
      <c r="H1031" s="150"/>
      <c r="I1031" s="159">
        <f>SUM(I1011:I1030)</f>
        <v>8.59</v>
      </c>
      <c r="J1031" s="161"/>
    </row>
    <row r="1032" spans="1:10" s="154" customFormat="1">
      <c r="A1032" s="276"/>
      <c r="B1032" s="148"/>
      <c r="C1032" s="149"/>
      <c r="D1032" s="149"/>
      <c r="E1032" s="149"/>
      <c r="F1032" s="150"/>
      <c r="G1032" s="150"/>
      <c r="H1032" s="158" t="s">
        <v>245</v>
      </c>
      <c r="I1032" s="160">
        <f>ROUNDUP(I1031,1)</f>
        <v>8.6</v>
      </c>
      <c r="J1032" s="164" t="s">
        <v>12</v>
      </c>
    </row>
    <row r="1033" spans="1:10" s="154" customFormat="1">
      <c r="A1033" s="276"/>
      <c r="B1033" s="148"/>
      <c r="C1033" s="149"/>
      <c r="D1033" s="149"/>
      <c r="E1033" s="149"/>
      <c r="F1033" s="150"/>
      <c r="G1033" s="150"/>
      <c r="H1033" s="158"/>
      <c r="I1033" s="160"/>
      <c r="J1033" s="164"/>
    </row>
    <row r="1034" spans="1:10" s="154" customFormat="1" ht="127.5" customHeight="1">
      <c r="A1034" s="276" t="s">
        <v>452</v>
      </c>
      <c r="B1034" s="153" t="s">
        <v>453</v>
      </c>
      <c r="C1034" s="149"/>
      <c r="D1034" s="149"/>
      <c r="E1034" s="149"/>
      <c r="F1034" s="150"/>
      <c r="G1034" s="150"/>
      <c r="H1034" s="150"/>
      <c r="I1034" s="151"/>
      <c r="J1034" s="161"/>
    </row>
    <row r="1035" spans="1:10" s="154" customFormat="1">
      <c r="A1035" s="276"/>
      <c r="B1035" s="155" t="s">
        <v>250</v>
      </c>
      <c r="C1035" s="149"/>
      <c r="D1035" s="149"/>
      <c r="E1035" s="149"/>
      <c r="F1035" s="150"/>
      <c r="G1035" s="150"/>
      <c r="H1035" s="150"/>
      <c r="I1035" s="151"/>
      <c r="J1035" s="161"/>
    </row>
    <row r="1036" spans="1:10" s="154" customFormat="1">
      <c r="A1036" s="276"/>
      <c r="B1036" s="148" t="s">
        <v>1314</v>
      </c>
      <c r="C1036" s="149">
        <v>1</v>
      </c>
      <c r="D1036" s="149" t="s">
        <v>73</v>
      </c>
      <c r="E1036" s="149">
        <v>3</v>
      </c>
      <c r="F1036" s="150">
        <v>1.1499999999999999</v>
      </c>
      <c r="G1036" s="150">
        <v>0.45</v>
      </c>
      <c r="H1036" s="150"/>
      <c r="I1036" s="151">
        <f>ROUND(PRODUCT(C1036:H1036),2)</f>
        <v>1.55</v>
      </c>
      <c r="J1036" s="164"/>
    </row>
    <row r="1037" spans="1:10" s="181" customFormat="1" ht="19.5" customHeight="1">
      <c r="B1037" s="148" t="s">
        <v>1201</v>
      </c>
      <c r="C1037" s="149">
        <v>3</v>
      </c>
      <c r="D1037" s="149" t="s">
        <v>73</v>
      </c>
      <c r="E1037" s="149">
        <v>3</v>
      </c>
      <c r="F1037" s="150">
        <v>1.3</v>
      </c>
      <c r="G1037" s="150">
        <v>0.45</v>
      </c>
      <c r="H1037" s="150"/>
      <c r="I1037" s="151">
        <f>ROUND(PRODUCT(C1037:H1037),2)</f>
        <v>5.27</v>
      </c>
      <c r="J1037" s="180"/>
    </row>
    <row r="1038" spans="1:10" s="181" customFormat="1" ht="19.5">
      <c r="A1038" s="219"/>
      <c r="B1038" s="148" t="s">
        <v>271</v>
      </c>
      <c r="C1038" s="149">
        <v>1</v>
      </c>
      <c r="D1038" s="149" t="s">
        <v>73</v>
      </c>
      <c r="E1038" s="149">
        <v>3</v>
      </c>
      <c r="F1038" s="150">
        <v>1.1499999999999999</v>
      </c>
      <c r="G1038" s="150">
        <v>0.45</v>
      </c>
      <c r="H1038" s="150"/>
      <c r="I1038" s="151">
        <f>ROUND(PRODUCT(C1038:H1038),2)</f>
        <v>1.55</v>
      </c>
      <c r="J1038" s="180"/>
    </row>
    <row r="1039" spans="1:10" s="181" customFormat="1" ht="19.5">
      <c r="A1039" s="219"/>
      <c r="B1039" s="148" t="s">
        <v>1342</v>
      </c>
      <c r="C1039" s="149">
        <v>3</v>
      </c>
      <c r="D1039" s="149" t="s">
        <v>73</v>
      </c>
      <c r="E1039" s="149">
        <v>3</v>
      </c>
      <c r="F1039" s="150">
        <v>1</v>
      </c>
      <c r="G1039" s="150">
        <v>0.45</v>
      </c>
      <c r="H1039" s="150"/>
      <c r="I1039" s="151">
        <f>ROUND(PRODUCT(C1039:H1039),2)</f>
        <v>4.05</v>
      </c>
      <c r="J1039" s="221"/>
    </row>
    <row r="1040" spans="1:10" s="181" customFormat="1" ht="19.5">
      <c r="A1040" s="219"/>
      <c r="B1040" s="148" t="s">
        <v>1342</v>
      </c>
      <c r="C1040" s="149">
        <v>1</v>
      </c>
      <c r="D1040" s="149" t="s">
        <v>73</v>
      </c>
      <c r="E1040" s="149">
        <v>3</v>
      </c>
      <c r="F1040" s="150">
        <v>1</v>
      </c>
      <c r="G1040" s="150">
        <v>0.45</v>
      </c>
      <c r="H1040" s="150"/>
      <c r="I1040" s="151">
        <f>ROUND(PRODUCT(C1040:H1040),2)</f>
        <v>1.35</v>
      </c>
      <c r="J1040" s="180"/>
    </row>
    <row r="1041" spans="1:10" s="181" customFormat="1" ht="19.5">
      <c r="A1041" s="219"/>
      <c r="B1041" s="155"/>
      <c r="C1041" s="149"/>
      <c r="D1041" s="149"/>
      <c r="E1041" s="149"/>
      <c r="F1041" s="150"/>
      <c r="G1041" s="150"/>
      <c r="H1041" s="158"/>
      <c r="I1041" s="159">
        <f>SUM(I1036:I1040)</f>
        <v>13.769999999999998</v>
      </c>
      <c r="J1041" s="180"/>
    </row>
    <row r="1042" spans="1:10" s="181" customFormat="1" ht="19.5">
      <c r="A1042" s="219"/>
      <c r="B1042" s="157" t="s">
        <v>1501</v>
      </c>
      <c r="C1042" s="149"/>
      <c r="D1042" s="149"/>
      <c r="E1042" s="149"/>
      <c r="F1042" s="150"/>
      <c r="G1042" s="150"/>
      <c r="H1042" s="158"/>
      <c r="I1042" s="159">
        <f>-excess!G83</f>
        <v>-12.56</v>
      </c>
      <c r="J1042" s="180"/>
    </row>
    <row r="1043" spans="1:10" s="181" customFormat="1" ht="19.5">
      <c r="A1043" s="219"/>
      <c r="B1043" s="157"/>
      <c r="C1043" s="149"/>
      <c r="D1043" s="149"/>
      <c r="E1043" s="149"/>
      <c r="F1043" s="150"/>
      <c r="G1043" s="150"/>
      <c r="H1043" s="158"/>
      <c r="I1043" s="159">
        <f>SUM(I1041:I1042)</f>
        <v>1.2099999999999973</v>
      </c>
      <c r="J1043" s="180"/>
    </row>
    <row r="1044" spans="1:10" s="181" customFormat="1" ht="15" customHeight="1">
      <c r="A1044" s="152"/>
      <c r="B1044" s="155"/>
      <c r="C1044" s="149"/>
      <c r="D1044" s="149"/>
      <c r="E1044" s="149"/>
      <c r="F1044" s="150"/>
      <c r="G1044" s="150"/>
      <c r="H1044" s="158" t="s">
        <v>74</v>
      </c>
      <c r="I1044" s="159">
        <f>ROUNDUP(I1043,1)</f>
        <v>1.3</v>
      </c>
      <c r="J1044" s="180" t="s">
        <v>75</v>
      </c>
    </row>
    <row r="1045" spans="1:10" s="181" customFormat="1" ht="15" customHeight="1">
      <c r="A1045" s="276"/>
      <c r="B1045" s="155" t="s">
        <v>253</v>
      </c>
      <c r="C1045" s="149"/>
      <c r="D1045" s="149"/>
      <c r="E1045" s="149"/>
      <c r="F1045" s="150"/>
      <c r="G1045" s="150"/>
      <c r="H1045" s="150"/>
      <c r="I1045" s="151"/>
      <c r="J1045" s="180"/>
    </row>
    <row r="1046" spans="1:10" s="181" customFormat="1" ht="15" customHeight="1">
      <c r="A1046" s="276"/>
      <c r="B1046" s="148" t="s">
        <v>1314</v>
      </c>
      <c r="C1046" s="149">
        <v>1</v>
      </c>
      <c r="D1046" s="149" t="s">
        <v>73</v>
      </c>
      <c r="E1046" s="149">
        <v>3</v>
      </c>
      <c r="F1046" s="150">
        <v>1.1499999999999999</v>
      </c>
      <c r="G1046" s="150">
        <v>0.45</v>
      </c>
      <c r="H1046" s="150"/>
      <c r="I1046" s="151">
        <f>ROUND(PRODUCT(C1046:H1046),2)</f>
        <v>1.55</v>
      </c>
      <c r="J1046" s="180"/>
    </row>
    <row r="1047" spans="1:10" s="181" customFormat="1" ht="15" customHeight="1">
      <c r="A1047" s="276"/>
      <c r="B1047" s="148" t="s">
        <v>1201</v>
      </c>
      <c r="C1047" s="149">
        <v>3</v>
      </c>
      <c r="D1047" s="149" t="s">
        <v>73</v>
      </c>
      <c r="E1047" s="149">
        <v>3</v>
      </c>
      <c r="F1047" s="150">
        <v>1.3</v>
      </c>
      <c r="G1047" s="150">
        <v>0.45</v>
      </c>
      <c r="H1047" s="150"/>
      <c r="I1047" s="151">
        <f>ROUND(PRODUCT(C1047:H1047),2)</f>
        <v>5.27</v>
      </c>
      <c r="J1047" s="180"/>
    </row>
    <row r="1048" spans="1:10" s="181" customFormat="1" ht="15" customHeight="1">
      <c r="A1048" s="276"/>
      <c r="B1048" s="148" t="s">
        <v>1342</v>
      </c>
      <c r="C1048" s="149">
        <v>3</v>
      </c>
      <c r="D1048" s="149" t="s">
        <v>73</v>
      </c>
      <c r="E1048" s="149">
        <v>3</v>
      </c>
      <c r="F1048" s="150">
        <v>1</v>
      </c>
      <c r="G1048" s="150">
        <v>0.45</v>
      </c>
      <c r="H1048" s="150"/>
      <c r="I1048" s="151">
        <f>ROUND(PRODUCT(C1048:H1048),2)</f>
        <v>4.05</v>
      </c>
      <c r="J1048" s="180"/>
    </row>
    <row r="1049" spans="1:10" s="181" customFormat="1" ht="15" customHeight="1">
      <c r="A1049" s="276"/>
      <c r="B1049" s="148" t="s">
        <v>1342</v>
      </c>
      <c r="C1049" s="149">
        <v>1</v>
      </c>
      <c r="D1049" s="149" t="s">
        <v>73</v>
      </c>
      <c r="E1049" s="149">
        <v>3</v>
      </c>
      <c r="F1049" s="150">
        <v>1</v>
      </c>
      <c r="G1049" s="150">
        <v>0.45</v>
      </c>
      <c r="H1049" s="150"/>
      <c r="I1049" s="151">
        <f>ROUND(PRODUCT(C1049:H1049),2)</f>
        <v>1.35</v>
      </c>
      <c r="J1049" s="180"/>
    </row>
    <row r="1050" spans="1:10" s="181" customFormat="1" ht="15" customHeight="1">
      <c r="A1050" s="276"/>
      <c r="B1050" s="155"/>
      <c r="C1050" s="149"/>
      <c r="D1050" s="149"/>
      <c r="E1050" s="149"/>
      <c r="F1050" s="150"/>
      <c r="G1050" s="150"/>
      <c r="H1050" s="150"/>
      <c r="I1050" s="159">
        <f>SUM(I1046:I1049)</f>
        <v>12.219999999999999</v>
      </c>
      <c r="J1050" s="180"/>
    </row>
    <row r="1051" spans="1:10" s="181" customFormat="1" ht="15" customHeight="1">
      <c r="A1051" s="276"/>
      <c r="B1051" s="157" t="s">
        <v>1501</v>
      </c>
      <c r="C1051" s="149"/>
      <c r="D1051" s="149"/>
      <c r="E1051" s="149"/>
      <c r="F1051" s="150"/>
      <c r="G1051" s="150"/>
      <c r="H1051" s="150"/>
      <c r="I1051" s="159">
        <f>-excess!G84</f>
        <v>-11.14</v>
      </c>
      <c r="J1051" s="180"/>
    </row>
    <row r="1052" spans="1:10" s="181" customFormat="1" ht="15" customHeight="1">
      <c r="A1052" s="276"/>
      <c r="B1052" s="155"/>
      <c r="C1052" s="149"/>
      <c r="D1052" s="149"/>
      <c r="E1052" s="149"/>
      <c r="F1052" s="150"/>
      <c r="G1052" s="150"/>
      <c r="H1052" s="150"/>
      <c r="I1052" s="159">
        <f>SUM(I1050:I1051)</f>
        <v>1.0799999999999983</v>
      </c>
      <c r="J1052" s="180"/>
    </row>
    <row r="1053" spans="1:10" s="181" customFormat="1" ht="15" customHeight="1">
      <c r="A1053" s="276"/>
      <c r="B1053" s="155"/>
      <c r="C1053" s="149"/>
      <c r="D1053" s="149"/>
      <c r="E1053" s="149"/>
      <c r="F1053" s="150"/>
      <c r="G1053" s="150"/>
      <c r="H1053" s="158" t="s">
        <v>74</v>
      </c>
      <c r="I1053" s="159">
        <f>ROUNDUP(I1052,1)</f>
        <v>1.1000000000000001</v>
      </c>
      <c r="J1053" s="180" t="s">
        <v>75</v>
      </c>
    </row>
    <row r="1054" spans="1:10" s="181" customFormat="1" ht="15" customHeight="1">
      <c r="A1054" s="276"/>
      <c r="B1054" s="155"/>
      <c r="C1054" s="149"/>
      <c r="D1054" s="149"/>
      <c r="E1054" s="149"/>
      <c r="F1054" s="150"/>
      <c r="G1054" s="150"/>
      <c r="H1054" s="158"/>
      <c r="I1054" s="159"/>
      <c r="J1054" s="180"/>
    </row>
    <row r="1055" spans="1:10" s="154" customFormat="1">
      <c r="A1055" s="276"/>
      <c r="B1055" s="155" t="s">
        <v>272</v>
      </c>
      <c r="C1055" s="149"/>
      <c r="D1055" s="149"/>
      <c r="E1055" s="149"/>
      <c r="F1055" s="150"/>
      <c r="G1055" s="150"/>
      <c r="H1055" s="150"/>
      <c r="I1055" s="151"/>
      <c r="J1055" s="180"/>
    </row>
    <row r="1056" spans="1:10" s="181" customFormat="1" ht="15" customHeight="1">
      <c r="A1056" s="276"/>
      <c r="B1056" s="148" t="s">
        <v>273</v>
      </c>
      <c r="C1056" s="149">
        <v>4</v>
      </c>
      <c r="D1056" s="149" t="s">
        <v>73</v>
      </c>
      <c r="E1056" s="149">
        <v>4</v>
      </c>
      <c r="F1056" s="150">
        <v>0.85</v>
      </c>
      <c r="G1056" s="150">
        <v>0.6</v>
      </c>
      <c r="H1056" s="150"/>
      <c r="I1056" s="151">
        <f>ROUND(PRODUCT(C1056:H1056),2)</f>
        <v>8.16</v>
      </c>
      <c r="J1056" s="180"/>
    </row>
    <row r="1057" spans="1:10" s="181" customFormat="1" ht="15" customHeight="1">
      <c r="A1057" s="276"/>
      <c r="B1057" s="382" t="s">
        <v>1501</v>
      </c>
      <c r="C1057" s="149"/>
      <c r="D1057" s="149"/>
      <c r="E1057" s="149"/>
      <c r="F1057" s="150"/>
      <c r="G1057" s="150"/>
      <c r="H1057" s="150"/>
      <c r="I1057" s="159">
        <f>-excess!G85</f>
        <v>-7.2</v>
      </c>
      <c r="J1057" s="180"/>
    </row>
    <row r="1058" spans="1:10" s="181" customFormat="1" ht="15" customHeight="1">
      <c r="A1058" s="276"/>
      <c r="B1058" s="148"/>
      <c r="C1058" s="149"/>
      <c r="D1058" s="149"/>
      <c r="E1058" s="149"/>
      <c r="F1058" s="150"/>
      <c r="G1058" s="150"/>
      <c r="H1058" s="150"/>
      <c r="I1058" s="159">
        <f>SUM(I1056:I1057)</f>
        <v>0.96</v>
      </c>
      <c r="J1058" s="180"/>
    </row>
    <row r="1059" spans="1:10" s="181" customFormat="1" ht="15" customHeight="1">
      <c r="A1059" s="276"/>
      <c r="B1059" s="148"/>
      <c r="C1059" s="149"/>
      <c r="D1059" s="149"/>
      <c r="E1059" s="149"/>
      <c r="F1059" s="150"/>
      <c r="G1059" s="150"/>
      <c r="H1059" s="158" t="s">
        <v>74</v>
      </c>
      <c r="I1059" s="159">
        <f>ROUNDUP(I1058,1)</f>
        <v>1</v>
      </c>
      <c r="J1059" s="180" t="s">
        <v>75</v>
      </c>
    </row>
    <row r="1060" spans="1:10" s="181" customFormat="1" ht="15" customHeight="1">
      <c r="A1060" s="276"/>
      <c r="B1060" s="148"/>
      <c r="C1060" s="149"/>
      <c r="D1060" s="149"/>
      <c r="E1060" s="149"/>
      <c r="F1060" s="150"/>
      <c r="G1060" s="150"/>
      <c r="H1060" s="158"/>
      <c r="I1060" s="159"/>
      <c r="J1060" s="180"/>
    </row>
    <row r="1061" spans="1:10" s="181" customFormat="1" ht="61.5" customHeight="1">
      <c r="A1061" s="276" t="s">
        <v>454</v>
      </c>
      <c r="B1061" s="176" t="s">
        <v>455</v>
      </c>
      <c r="C1061" s="149"/>
      <c r="D1061" s="149"/>
      <c r="E1061" s="149"/>
      <c r="F1061" s="150"/>
      <c r="G1061" s="150"/>
      <c r="H1061" s="150"/>
      <c r="I1061" s="151"/>
      <c r="J1061" s="180"/>
    </row>
    <row r="1062" spans="1:10" s="181" customFormat="1" ht="15" customHeight="1">
      <c r="A1062" s="276"/>
      <c r="B1062" s="155" t="s">
        <v>456</v>
      </c>
      <c r="C1062" s="149"/>
      <c r="D1062" s="149"/>
      <c r="E1062" s="149"/>
      <c r="F1062" s="150"/>
      <c r="G1062" s="150"/>
      <c r="H1062" s="150"/>
      <c r="I1062" s="151"/>
      <c r="J1062" s="180"/>
    </row>
    <row r="1063" spans="1:10" s="181" customFormat="1" ht="15" customHeight="1">
      <c r="A1063" s="276"/>
      <c r="B1063" s="148" t="s">
        <v>273</v>
      </c>
      <c r="C1063" s="149">
        <v>4</v>
      </c>
      <c r="D1063" s="149" t="s">
        <v>73</v>
      </c>
      <c r="E1063" s="149">
        <v>4</v>
      </c>
      <c r="F1063" s="150">
        <v>0.85</v>
      </c>
      <c r="G1063" s="150">
        <v>0.6</v>
      </c>
      <c r="H1063" s="150"/>
      <c r="I1063" s="151">
        <f>ROUND(PRODUCT(C1063:H1063),2)</f>
        <v>8.16</v>
      </c>
      <c r="J1063" s="180"/>
    </row>
    <row r="1064" spans="1:10" s="181" customFormat="1" ht="15" customHeight="1">
      <c r="A1064" s="276"/>
      <c r="B1064" s="148"/>
      <c r="C1064" s="149"/>
      <c r="D1064" s="149"/>
      <c r="E1064" s="149"/>
      <c r="F1064" s="150"/>
      <c r="G1064" s="150"/>
      <c r="H1064" s="158" t="s">
        <v>74</v>
      </c>
      <c r="I1064" s="159">
        <f>ROUNDUP(I1063,1)</f>
        <v>8.1999999999999993</v>
      </c>
      <c r="J1064" s="180" t="s">
        <v>75</v>
      </c>
    </row>
    <row r="1065" spans="1:10" s="181" customFormat="1" ht="15" customHeight="1">
      <c r="A1065" s="276"/>
      <c r="B1065" s="148"/>
      <c r="C1065" s="149"/>
      <c r="D1065" s="149"/>
      <c r="E1065" s="149"/>
      <c r="F1065" s="150"/>
      <c r="G1065" s="150"/>
      <c r="H1065" s="158"/>
      <c r="I1065" s="159"/>
      <c r="J1065" s="180"/>
    </row>
    <row r="1066" spans="1:10" s="154" customFormat="1" ht="56.25">
      <c r="A1066" s="276">
        <v>18.100000000000001</v>
      </c>
      <c r="B1066" s="155" t="s">
        <v>457</v>
      </c>
      <c r="C1066" s="149"/>
      <c r="D1066" s="149"/>
      <c r="E1066" s="149"/>
      <c r="F1066" s="150"/>
      <c r="G1066" s="150"/>
      <c r="H1066" s="150"/>
      <c r="I1066" s="151"/>
      <c r="J1066" s="180"/>
    </row>
    <row r="1067" spans="1:10" s="154" customFormat="1" ht="37.5">
      <c r="A1067" s="276"/>
      <c r="B1067" s="155" t="s">
        <v>458</v>
      </c>
      <c r="C1067" s="149"/>
      <c r="D1067" s="149"/>
      <c r="E1067" s="149"/>
      <c r="F1067" s="150"/>
      <c r="G1067" s="150"/>
      <c r="H1067" s="150"/>
      <c r="I1067" s="151"/>
      <c r="J1067" s="180"/>
    </row>
    <row r="1068" spans="1:10" s="154" customFormat="1">
      <c r="A1068" s="276"/>
      <c r="B1068" s="148" t="str">
        <f>B987</f>
        <v>Qty as per approved Excess Qty (upto F&amp;B)</v>
      </c>
      <c r="C1068" s="149"/>
      <c r="D1068" s="149"/>
      <c r="E1068" s="149"/>
      <c r="F1068" s="150"/>
      <c r="G1068" s="150"/>
      <c r="H1068" s="150"/>
      <c r="I1068" s="159">
        <v>349.29</v>
      </c>
      <c r="J1068" s="180" t="s">
        <v>75</v>
      </c>
    </row>
    <row r="1069" spans="1:10" s="136" customFormat="1">
      <c r="A1069" s="339"/>
      <c r="B1069" s="141"/>
      <c r="C1069" s="138"/>
      <c r="D1069" s="138"/>
      <c r="E1069" s="138"/>
      <c r="F1069" s="139"/>
      <c r="G1069" s="340"/>
      <c r="H1069" s="340"/>
      <c r="I1069" s="145"/>
      <c r="J1069" s="180"/>
    </row>
    <row r="1070" spans="1:10" s="136" customFormat="1" ht="56.25">
      <c r="A1070" s="339"/>
      <c r="B1070" s="155" t="s">
        <v>459</v>
      </c>
      <c r="C1070" s="149"/>
      <c r="D1070" s="149"/>
      <c r="E1070" s="149"/>
      <c r="F1070" s="150"/>
      <c r="G1070" s="150"/>
      <c r="H1070" s="150"/>
      <c r="I1070" s="151"/>
      <c r="J1070" s="147"/>
    </row>
    <row r="1071" spans="1:10" s="136" customFormat="1">
      <c r="A1071" s="367"/>
      <c r="B1071" s="155" t="s">
        <v>1532</v>
      </c>
      <c r="C1071" s="149"/>
      <c r="D1071" s="149"/>
      <c r="E1071" s="149"/>
      <c r="F1071" s="150"/>
      <c r="G1071" s="150"/>
      <c r="H1071" s="150"/>
      <c r="I1071" s="151"/>
      <c r="J1071" s="147"/>
    </row>
    <row r="1072" spans="1:10" s="136" customFormat="1">
      <c r="A1072" s="367"/>
      <c r="B1072" s="148" t="s">
        <v>1533</v>
      </c>
      <c r="C1072" s="202">
        <v>1</v>
      </c>
      <c r="D1072" s="203" t="s">
        <v>73</v>
      </c>
      <c r="E1072" s="202">
        <v>1</v>
      </c>
      <c r="F1072" s="187">
        <v>1</v>
      </c>
      <c r="G1072" s="187">
        <v>0.23</v>
      </c>
      <c r="H1072" s="187"/>
      <c r="I1072" s="151">
        <f t="shared" ref="I1072:I1121" si="144">ROUND(PRODUCT(C1072:H1072),2)</f>
        <v>0.23</v>
      </c>
      <c r="J1072" s="147"/>
    </row>
    <row r="1073" spans="1:10" s="136" customFormat="1">
      <c r="A1073" s="367"/>
      <c r="B1073" s="148" t="s">
        <v>1534</v>
      </c>
      <c r="C1073" s="202">
        <v>1</v>
      </c>
      <c r="D1073" s="203" t="s">
        <v>73</v>
      </c>
      <c r="E1073" s="202">
        <v>4</v>
      </c>
      <c r="F1073" s="187">
        <v>1.35</v>
      </c>
      <c r="G1073" s="187">
        <v>0.23</v>
      </c>
      <c r="H1073" s="187"/>
      <c r="I1073" s="151">
        <f t="shared" si="144"/>
        <v>1.24</v>
      </c>
      <c r="J1073" s="147"/>
    </row>
    <row r="1074" spans="1:10" s="136" customFormat="1">
      <c r="A1074" s="367"/>
      <c r="B1074" s="148" t="s">
        <v>1535</v>
      </c>
      <c r="C1074" s="202">
        <v>2</v>
      </c>
      <c r="D1074" s="203" t="s">
        <v>73</v>
      </c>
      <c r="E1074" s="202">
        <v>1</v>
      </c>
      <c r="F1074" s="187">
        <v>1.81</v>
      </c>
      <c r="G1074" s="187"/>
      <c r="H1074" s="187">
        <v>0.15</v>
      </c>
      <c r="I1074" s="151">
        <f t="shared" si="144"/>
        <v>0.54</v>
      </c>
      <c r="J1074" s="147"/>
    </row>
    <row r="1075" spans="1:10" s="136" customFormat="1">
      <c r="A1075" s="367"/>
      <c r="B1075" s="148" t="s">
        <v>1536</v>
      </c>
      <c r="C1075" s="202">
        <v>2</v>
      </c>
      <c r="D1075" s="203" t="s">
        <v>73</v>
      </c>
      <c r="E1075" s="202">
        <v>2</v>
      </c>
      <c r="F1075" s="187">
        <v>3.45</v>
      </c>
      <c r="G1075" s="187"/>
      <c r="H1075" s="187">
        <v>0.15</v>
      </c>
      <c r="I1075" s="151">
        <f t="shared" si="144"/>
        <v>2.0699999999999998</v>
      </c>
      <c r="J1075" s="147"/>
    </row>
    <row r="1076" spans="1:10" s="136" customFormat="1">
      <c r="A1076" s="367"/>
      <c r="B1076" s="148" t="s">
        <v>1536</v>
      </c>
      <c r="C1076" s="202">
        <v>1</v>
      </c>
      <c r="D1076" s="203" t="s">
        <v>73</v>
      </c>
      <c r="E1076" s="202">
        <v>4</v>
      </c>
      <c r="F1076" s="187">
        <v>0.23</v>
      </c>
      <c r="G1076" s="187"/>
      <c r="H1076" s="187">
        <v>0.15</v>
      </c>
      <c r="I1076" s="151">
        <f t="shared" si="144"/>
        <v>0.14000000000000001</v>
      </c>
      <c r="J1076" s="147"/>
    </row>
    <row r="1077" spans="1:10" s="181" customFormat="1">
      <c r="A1077" s="276"/>
      <c r="B1077" s="155" t="s">
        <v>333</v>
      </c>
      <c r="C1077" s="149"/>
      <c r="D1077" s="149"/>
      <c r="E1077" s="149"/>
      <c r="F1077" s="150"/>
      <c r="G1077" s="150"/>
      <c r="H1077" s="150"/>
      <c r="I1077" s="151">
        <f t="shared" si="144"/>
        <v>0</v>
      </c>
      <c r="J1077" s="180"/>
    </row>
    <row r="1078" spans="1:10" s="181" customFormat="1">
      <c r="A1078" s="276"/>
      <c r="B1078" s="201" t="s">
        <v>1502</v>
      </c>
      <c r="C1078" s="202">
        <v>1</v>
      </c>
      <c r="D1078" s="203" t="s">
        <v>73</v>
      </c>
      <c r="E1078" s="202">
        <v>4</v>
      </c>
      <c r="F1078" s="187">
        <v>1.35</v>
      </c>
      <c r="G1078" s="187">
        <v>0.23</v>
      </c>
      <c r="H1078" s="187"/>
      <c r="I1078" s="151">
        <f t="shared" si="144"/>
        <v>1.24</v>
      </c>
      <c r="J1078" s="180"/>
    </row>
    <row r="1079" spans="1:10" s="181" customFormat="1">
      <c r="A1079" s="276"/>
      <c r="B1079" s="201" t="s">
        <v>1503</v>
      </c>
      <c r="C1079" s="202">
        <v>2</v>
      </c>
      <c r="D1079" s="203" t="s">
        <v>73</v>
      </c>
      <c r="E1079" s="202">
        <v>4</v>
      </c>
      <c r="F1079" s="187">
        <v>1.81</v>
      </c>
      <c r="G1079" s="187"/>
      <c r="H1079" s="187">
        <v>0.15</v>
      </c>
      <c r="I1079" s="151">
        <f t="shared" si="144"/>
        <v>2.17</v>
      </c>
      <c r="J1079" s="180"/>
    </row>
    <row r="1080" spans="1:10" s="181" customFormat="1">
      <c r="A1080" s="276"/>
      <c r="B1080" s="201" t="s">
        <v>1503</v>
      </c>
      <c r="C1080" s="202">
        <v>2</v>
      </c>
      <c r="D1080" s="203" t="s">
        <v>73</v>
      </c>
      <c r="E1080" s="202">
        <v>4</v>
      </c>
      <c r="F1080" s="187">
        <v>0.23</v>
      </c>
      <c r="G1080" s="187"/>
      <c r="H1080" s="187">
        <v>0.15</v>
      </c>
      <c r="I1080" s="151">
        <f t="shared" si="144"/>
        <v>0.28000000000000003</v>
      </c>
      <c r="J1080" s="180"/>
    </row>
    <row r="1081" spans="1:10" s="181" customFormat="1">
      <c r="A1081" s="276"/>
      <c r="B1081" s="201" t="s">
        <v>1537</v>
      </c>
      <c r="C1081" s="202">
        <v>1</v>
      </c>
      <c r="D1081" s="203" t="s">
        <v>73</v>
      </c>
      <c r="E1081" s="202">
        <v>2</v>
      </c>
      <c r="F1081" s="187">
        <v>0.9</v>
      </c>
      <c r="G1081" s="187">
        <v>0.23</v>
      </c>
      <c r="H1081" s="187"/>
      <c r="I1081" s="151">
        <f t="shared" ref="I1081:I1083" si="145">ROUND(PRODUCT(C1081:H1081),2)</f>
        <v>0.41</v>
      </c>
      <c r="J1081" s="180"/>
    </row>
    <row r="1082" spans="1:10" s="181" customFormat="1">
      <c r="A1082" s="276"/>
      <c r="B1082" s="201" t="s">
        <v>1538</v>
      </c>
      <c r="C1082" s="202">
        <v>2</v>
      </c>
      <c r="D1082" s="203" t="s">
        <v>73</v>
      </c>
      <c r="E1082" s="202">
        <v>2</v>
      </c>
      <c r="F1082" s="187">
        <v>1.36</v>
      </c>
      <c r="G1082" s="187"/>
      <c r="H1082" s="187">
        <v>0.15</v>
      </c>
      <c r="I1082" s="151">
        <f t="shared" si="145"/>
        <v>0.82</v>
      </c>
      <c r="J1082" s="180"/>
    </row>
    <row r="1083" spans="1:10" s="181" customFormat="1">
      <c r="A1083" s="276"/>
      <c r="B1083" s="201" t="s">
        <v>1538</v>
      </c>
      <c r="C1083" s="202">
        <v>2</v>
      </c>
      <c r="D1083" s="203" t="s">
        <v>73</v>
      </c>
      <c r="E1083" s="202">
        <v>2</v>
      </c>
      <c r="F1083" s="187">
        <v>0.23</v>
      </c>
      <c r="G1083" s="187"/>
      <c r="H1083" s="187">
        <v>0.15</v>
      </c>
      <c r="I1083" s="151">
        <f t="shared" si="145"/>
        <v>0.14000000000000001</v>
      </c>
      <c r="J1083" s="180"/>
    </row>
    <row r="1084" spans="1:10" s="181" customFormat="1">
      <c r="A1084" s="276"/>
      <c r="B1084" s="201" t="s">
        <v>1504</v>
      </c>
      <c r="C1084" s="202">
        <v>1</v>
      </c>
      <c r="D1084" s="203" t="s">
        <v>73</v>
      </c>
      <c r="E1084" s="202">
        <v>3</v>
      </c>
      <c r="F1084" s="187">
        <v>1</v>
      </c>
      <c r="G1084" s="187">
        <v>0.23</v>
      </c>
      <c r="H1084" s="187"/>
      <c r="I1084" s="151">
        <f t="shared" si="144"/>
        <v>0.69</v>
      </c>
      <c r="J1084" s="180"/>
    </row>
    <row r="1085" spans="1:10" s="181" customFormat="1">
      <c r="A1085" s="276"/>
      <c r="B1085" s="201" t="s">
        <v>1505</v>
      </c>
      <c r="C1085" s="202">
        <v>2</v>
      </c>
      <c r="D1085" s="203" t="s">
        <v>73</v>
      </c>
      <c r="E1085" s="202">
        <v>3</v>
      </c>
      <c r="F1085" s="187">
        <v>1.46</v>
      </c>
      <c r="G1085" s="187"/>
      <c r="H1085" s="187">
        <v>0.15</v>
      </c>
      <c r="I1085" s="151">
        <f t="shared" si="144"/>
        <v>1.31</v>
      </c>
      <c r="J1085" s="180"/>
    </row>
    <row r="1086" spans="1:10" s="181" customFormat="1">
      <c r="A1086" s="276"/>
      <c r="B1086" s="201" t="s">
        <v>1505</v>
      </c>
      <c r="C1086" s="202">
        <v>2</v>
      </c>
      <c r="D1086" s="203" t="s">
        <v>73</v>
      </c>
      <c r="E1086" s="202">
        <v>3</v>
      </c>
      <c r="F1086" s="187">
        <v>0.23</v>
      </c>
      <c r="G1086" s="187"/>
      <c r="H1086" s="187">
        <v>0.15</v>
      </c>
      <c r="I1086" s="151">
        <f t="shared" si="144"/>
        <v>0.21</v>
      </c>
      <c r="J1086" s="180"/>
    </row>
    <row r="1087" spans="1:10" s="181" customFormat="1">
      <c r="A1087" s="276"/>
      <c r="B1087" s="201" t="s">
        <v>1507</v>
      </c>
      <c r="C1087" s="202">
        <v>1</v>
      </c>
      <c r="D1087" s="203" t="s">
        <v>73</v>
      </c>
      <c r="E1087" s="202">
        <v>2</v>
      </c>
      <c r="F1087" s="187">
        <v>0.9</v>
      </c>
      <c r="G1087" s="187">
        <v>0.23</v>
      </c>
      <c r="H1087" s="187"/>
      <c r="I1087" s="151">
        <f t="shared" si="144"/>
        <v>0.41</v>
      </c>
      <c r="J1087" s="180"/>
    </row>
    <row r="1088" spans="1:10" s="181" customFormat="1">
      <c r="A1088" s="276"/>
      <c r="B1088" s="201" t="s">
        <v>1508</v>
      </c>
      <c r="C1088" s="202">
        <v>2</v>
      </c>
      <c r="D1088" s="203" t="s">
        <v>73</v>
      </c>
      <c r="E1088" s="202">
        <v>2</v>
      </c>
      <c r="F1088" s="187">
        <v>4.6100000000000003</v>
      </c>
      <c r="G1088" s="187"/>
      <c r="H1088" s="187">
        <v>0.15</v>
      </c>
      <c r="I1088" s="151">
        <f t="shared" si="144"/>
        <v>2.77</v>
      </c>
      <c r="J1088" s="180"/>
    </row>
    <row r="1089" spans="1:10" s="181" customFormat="1">
      <c r="A1089" s="276"/>
      <c r="B1089" s="201" t="s">
        <v>1506</v>
      </c>
      <c r="C1089" s="202">
        <v>2</v>
      </c>
      <c r="D1089" s="203" t="s">
        <v>73</v>
      </c>
      <c r="E1089" s="202">
        <v>3</v>
      </c>
      <c r="F1089" s="187">
        <v>0.75</v>
      </c>
      <c r="G1089" s="385">
        <v>0.115</v>
      </c>
      <c r="H1089" s="187"/>
      <c r="I1089" s="151">
        <f t="shared" si="144"/>
        <v>0.52</v>
      </c>
      <c r="J1089" s="180"/>
    </row>
    <row r="1090" spans="1:10" s="181" customFormat="1">
      <c r="A1090" s="276"/>
      <c r="B1090" s="201" t="s">
        <v>1509</v>
      </c>
      <c r="C1090" s="202">
        <v>1</v>
      </c>
      <c r="D1090" s="203" t="s">
        <v>73</v>
      </c>
      <c r="E1090" s="202">
        <v>2</v>
      </c>
      <c r="F1090" s="187">
        <v>2.8050000000000002</v>
      </c>
      <c r="G1090" s="187"/>
      <c r="H1090" s="187">
        <v>0.15</v>
      </c>
      <c r="I1090" s="151">
        <f t="shared" si="144"/>
        <v>0.84</v>
      </c>
      <c r="J1090" s="180"/>
    </row>
    <row r="1091" spans="1:10" s="181" customFormat="1">
      <c r="A1091" s="276"/>
      <c r="B1091" s="201" t="s">
        <v>1510</v>
      </c>
      <c r="C1091" s="149">
        <v>1</v>
      </c>
      <c r="D1091" s="156" t="s">
        <v>73</v>
      </c>
      <c r="E1091" s="149">
        <v>2</v>
      </c>
      <c r="F1091" s="150">
        <v>4.18</v>
      </c>
      <c r="G1091" s="150"/>
      <c r="H1091" s="150">
        <v>0.15</v>
      </c>
      <c r="I1091" s="151">
        <f t="shared" si="144"/>
        <v>1.25</v>
      </c>
      <c r="J1091" s="180"/>
    </row>
    <row r="1092" spans="1:10" s="181" customFormat="1">
      <c r="A1092" s="276"/>
      <c r="B1092" s="201" t="s">
        <v>1510</v>
      </c>
      <c r="C1092" s="149">
        <v>1</v>
      </c>
      <c r="D1092" s="156" t="s">
        <v>73</v>
      </c>
      <c r="E1092" s="149">
        <v>2</v>
      </c>
      <c r="F1092" s="150">
        <v>3.335</v>
      </c>
      <c r="G1092" s="150"/>
      <c r="H1092" s="150">
        <v>0.15</v>
      </c>
      <c r="I1092" s="151">
        <f t="shared" si="144"/>
        <v>1</v>
      </c>
      <c r="J1092" s="180"/>
    </row>
    <row r="1093" spans="1:10" s="181" customFormat="1">
      <c r="A1093" s="276"/>
      <c r="B1093" s="201" t="s">
        <v>1511</v>
      </c>
      <c r="C1093" s="149">
        <v>1</v>
      </c>
      <c r="D1093" s="156" t="s">
        <v>73</v>
      </c>
      <c r="E1093" s="149">
        <v>2</v>
      </c>
      <c r="F1093" s="150">
        <v>4.6100000000000003</v>
      </c>
      <c r="G1093" s="150"/>
      <c r="H1093" s="150">
        <v>0.15</v>
      </c>
      <c r="I1093" s="151">
        <f t="shared" si="144"/>
        <v>1.38</v>
      </c>
      <c r="J1093" s="180"/>
    </row>
    <row r="1094" spans="1:10" s="181" customFormat="1">
      <c r="A1094" s="276"/>
      <c r="B1094" s="201" t="s">
        <v>1512</v>
      </c>
      <c r="C1094" s="202">
        <v>1</v>
      </c>
      <c r="D1094" s="202" t="s">
        <v>73</v>
      </c>
      <c r="E1094" s="202">
        <v>4</v>
      </c>
      <c r="F1094" s="187">
        <v>0.75</v>
      </c>
      <c r="G1094" s="187">
        <v>0.23</v>
      </c>
      <c r="H1094" s="187"/>
      <c r="I1094" s="151">
        <f t="shared" si="144"/>
        <v>0.69</v>
      </c>
      <c r="J1094" s="180"/>
    </row>
    <row r="1095" spans="1:10" s="181" customFormat="1">
      <c r="A1095" s="276"/>
      <c r="B1095" s="201" t="s">
        <v>1513</v>
      </c>
      <c r="C1095" s="202">
        <v>2</v>
      </c>
      <c r="D1095" s="203" t="s">
        <v>73</v>
      </c>
      <c r="E1095" s="202">
        <v>4</v>
      </c>
      <c r="F1095" s="187">
        <v>1.21</v>
      </c>
      <c r="G1095" s="187"/>
      <c r="H1095" s="187">
        <v>0.15</v>
      </c>
      <c r="I1095" s="151">
        <f t="shared" si="144"/>
        <v>1.45</v>
      </c>
      <c r="J1095" s="180"/>
    </row>
    <row r="1096" spans="1:10" s="181" customFormat="1">
      <c r="A1096" s="276"/>
      <c r="B1096" s="201" t="s">
        <v>1514</v>
      </c>
      <c r="C1096" s="202">
        <v>1</v>
      </c>
      <c r="D1096" s="202" t="s">
        <v>73</v>
      </c>
      <c r="E1096" s="202">
        <v>2</v>
      </c>
      <c r="F1096" s="187">
        <v>4.6100000000000003</v>
      </c>
      <c r="G1096" s="187">
        <v>0.6</v>
      </c>
      <c r="H1096" s="187"/>
      <c r="I1096" s="151">
        <f t="shared" si="144"/>
        <v>5.53</v>
      </c>
      <c r="J1096" s="180"/>
    </row>
    <row r="1097" spans="1:10" s="181" customFormat="1">
      <c r="A1097" s="276"/>
      <c r="B1097" s="201" t="s">
        <v>1515</v>
      </c>
      <c r="C1097" s="202">
        <v>2</v>
      </c>
      <c r="D1097" s="202" t="s">
        <v>73</v>
      </c>
      <c r="E1097" s="202">
        <v>2</v>
      </c>
      <c r="F1097" s="187">
        <v>0.6</v>
      </c>
      <c r="G1097" s="187"/>
      <c r="H1097" s="187">
        <v>0.05</v>
      </c>
      <c r="I1097" s="151">
        <f t="shared" si="144"/>
        <v>0.12</v>
      </c>
      <c r="J1097" s="180"/>
    </row>
    <row r="1098" spans="1:10" s="181" customFormat="1">
      <c r="A1098" s="276"/>
      <c r="B1098" s="201" t="s">
        <v>1516</v>
      </c>
      <c r="C1098" s="202">
        <v>1</v>
      </c>
      <c r="D1098" s="202" t="s">
        <v>73</v>
      </c>
      <c r="E1098" s="202">
        <v>1</v>
      </c>
      <c r="F1098" s="187">
        <v>0.75</v>
      </c>
      <c r="G1098" s="187">
        <v>0.23</v>
      </c>
      <c r="H1098" s="187"/>
      <c r="I1098" s="151">
        <f t="shared" si="144"/>
        <v>0.17</v>
      </c>
      <c r="J1098" s="180"/>
    </row>
    <row r="1099" spans="1:10" s="181" customFormat="1">
      <c r="A1099" s="276"/>
      <c r="B1099" s="201" t="s">
        <v>1517</v>
      </c>
      <c r="C1099" s="202">
        <v>1</v>
      </c>
      <c r="D1099" s="202" t="s">
        <v>73</v>
      </c>
      <c r="E1099" s="202">
        <v>2</v>
      </c>
      <c r="F1099" s="187">
        <v>1.21</v>
      </c>
      <c r="G1099" s="187"/>
      <c r="H1099" s="187">
        <v>0.15</v>
      </c>
      <c r="I1099" s="151">
        <f t="shared" si="144"/>
        <v>0.36</v>
      </c>
      <c r="J1099" s="180"/>
    </row>
    <row r="1100" spans="1:10" s="181" customFormat="1">
      <c r="A1100" s="276"/>
      <c r="B1100" s="201" t="s">
        <v>1518</v>
      </c>
      <c r="C1100" s="202">
        <v>1</v>
      </c>
      <c r="D1100" s="203" t="s">
        <v>73</v>
      </c>
      <c r="E1100" s="202">
        <v>2</v>
      </c>
      <c r="F1100" s="187">
        <v>1.2</v>
      </c>
      <c r="G1100" s="187"/>
      <c r="H1100" s="187">
        <v>1.2</v>
      </c>
      <c r="I1100" s="151">
        <f t="shared" si="144"/>
        <v>2.88</v>
      </c>
      <c r="J1100" s="180"/>
    </row>
    <row r="1101" spans="1:10" s="181" customFormat="1">
      <c r="A1101" s="276"/>
      <c r="B1101" s="201" t="s">
        <v>1519</v>
      </c>
      <c r="C1101" s="202">
        <v>1</v>
      </c>
      <c r="D1101" s="202" t="s">
        <v>73</v>
      </c>
      <c r="E1101" s="202">
        <v>6</v>
      </c>
      <c r="F1101" s="187">
        <v>1.2</v>
      </c>
      <c r="G1101" s="187">
        <v>0.23</v>
      </c>
      <c r="H1101" s="187"/>
      <c r="I1101" s="151">
        <f t="shared" si="144"/>
        <v>1.66</v>
      </c>
      <c r="J1101" s="180"/>
    </row>
    <row r="1102" spans="1:10" s="181" customFormat="1">
      <c r="A1102" s="276"/>
      <c r="B1102" s="201" t="s">
        <v>1520</v>
      </c>
      <c r="C1102" s="202">
        <v>2</v>
      </c>
      <c r="D1102" s="202" t="s">
        <v>73</v>
      </c>
      <c r="E1102" s="202">
        <v>6</v>
      </c>
      <c r="F1102" s="187">
        <v>1.66</v>
      </c>
      <c r="G1102" s="187"/>
      <c r="H1102" s="187">
        <v>0.1</v>
      </c>
      <c r="I1102" s="151">
        <f t="shared" si="144"/>
        <v>1.99</v>
      </c>
      <c r="J1102" s="180"/>
    </row>
    <row r="1103" spans="1:10" s="181" customFormat="1">
      <c r="A1103" s="276"/>
      <c r="B1103" s="222" t="s">
        <v>461</v>
      </c>
      <c r="C1103" s="202"/>
      <c r="D1103" s="202"/>
      <c r="E1103" s="202"/>
      <c r="F1103" s="187"/>
      <c r="G1103" s="187"/>
      <c r="H1103" s="187"/>
      <c r="I1103" s="151">
        <f t="shared" si="144"/>
        <v>0</v>
      </c>
      <c r="J1103" s="180"/>
    </row>
    <row r="1104" spans="1:10" s="181" customFormat="1">
      <c r="A1104" s="276"/>
      <c r="B1104" s="148" t="s">
        <v>1521</v>
      </c>
      <c r="C1104" s="149">
        <v>1</v>
      </c>
      <c r="D1104" s="156" t="s">
        <v>73</v>
      </c>
      <c r="E1104" s="149">
        <v>1</v>
      </c>
      <c r="F1104" s="150">
        <v>3.1850000000000001</v>
      </c>
      <c r="G1104" s="150">
        <v>0.23</v>
      </c>
      <c r="H1104" s="150"/>
      <c r="I1104" s="151">
        <f t="shared" si="144"/>
        <v>0.73</v>
      </c>
      <c r="J1104" s="180"/>
    </row>
    <row r="1105" spans="1:10" s="181" customFormat="1">
      <c r="A1105" s="276"/>
      <c r="B1105" s="148" t="s">
        <v>1521</v>
      </c>
      <c r="C1105" s="149">
        <v>1</v>
      </c>
      <c r="D1105" s="156" t="s">
        <v>73</v>
      </c>
      <c r="E1105" s="149">
        <v>1</v>
      </c>
      <c r="F1105" s="150">
        <v>1.93</v>
      </c>
      <c r="G1105" s="150">
        <v>0.23</v>
      </c>
      <c r="H1105" s="150"/>
      <c r="I1105" s="151">
        <f t="shared" si="144"/>
        <v>0.44</v>
      </c>
      <c r="J1105" s="180"/>
    </row>
    <row r="1106" spans="1:10" s="181" customFormat="1">
      <c r="A1106" s="276"/>
      <c r="B1106" s="148" t="s">
        <v>1521</v>
      </c>
      <c r="C1106" s="149">
        <v>1</v>
      </c>
      <c r="D1106" s="156" t="s">
        <v>73</v>
      </c>
      <c r="E1106" s="149">
        <v>2</v>
      </c>
      <c r="F1106" s="150">
        <v>4.6100000000000003</v>
      </c>
      <c r="G1106" s="150">
        <v>0.23</v>
      </c>
      <c r="H1106" s="150"/>
      <c r="I1106" s="151">
        <f t="shared" si="144"/>
        <v>2.12</v>
      </c>
      <c r="J1106" s="180"/>
    </row>
    <row r="1107" spans="1:10" s="181" customFormat="1">
      <c r="A1107" s="276"/>
      <c r="B1107" s="148" t="s">
        <v>1521</v>
      </c>
      <c r="C1107" s="149">
        <v>1</v>
      </c>
      <c r="D1107" s="156" t="s">
        <v>73</v>
      </c>
      <c r="E1107" s="149">
        <v>2</v>
      </c>
      <c r="F1107" s="150">
        <v>1.2</v>
      </c>
      <c r="G1107" s="150">
        <v>0.23</v>
      </c>
      <c r="H1107" s="150"/>
      <c r="I1107" s="151">
        <f t="shared" si="144"/>
        <v>0.55000000000000004</v>
      </c>
      <c r="J1107" s="180"/>
    </row>
    <row r="1108" spans="1:10" s="181" customFormat="1">
      <c r="A1108" s="276"/>
      <c r="B1108" s="148" t="s">
        <v>1522</v>
      </c>
      <c r="C1108" s="149">
        <v>1</v>
      </c>
      <c r="D1108" s="156" t="s">
        <v>73</v>
      </c>
      <c r="E1108" s="149">
        <v>1</v>
      </c>
      <c r="F1108" s="150">
        <v>6.6</v>
      </c>
      <c r="G1108" s="150"/>
      <c r="H1108" s="150">
        <v>0.23</v>
      </c>
      <c r="I1108" s="151">
        <f t="shared" si="144"/>
        <v>1.52</v>
      </c>
      <c r="J1108" s="180"/>
    </row>
    <row r="1109" spans="1:10" s="181" customFormat="1">
      <c r="A1109" s="276"/>
      <c r="B1109" s="148" t="s">
        <v>1523</v>
      </c>
      <c r="C1109" s="149">
        <v>1</v>
      </c>
      <c r="D1109" s="156" t="s">
        <v>73</v>
      </c>
      <c r="E1109" s="149">
        <v>1</v>
      </c>
      <c r="F1109" s="150">
        <v>18.03</v>
      </c>
      <c r="G1109" s="150"/>
      <c r="H1109" s="150">
        <v>0.38</v>
      </c>
      <c r="I1109" s="151">
        <f t="shared" si="144"/>
        <v>6.85</v>
      </c>
      <c r="J1109" s="180"/>
    </row>
    <row r="1110" spans="1:10" s="181" customFormat="1">
      <c r="A1110" s="276"/>
      <c r="B1110" s="148" t="s">
        <v>1524</v>
      </c>
      <c r="C1110" s="149">
        <v>1</v>
      </c>
      <c r="D1110" s="156" t="s">
        <v>73</v>
      </c>
      <c r="E1110" s="149">
        <v>2</v>
      </c>
      <c r="F1110" s="150">
        <v>4.7</v>
      </c>
      <c r="G1110" s="150"/>
      <c r="H1110" s="150">
        <v>0.38</v>
      </c>
      <c r="I1110" s="151">
        <f t="shared" si="144"/>
        <v>3.57</v>
      </c>
      <c r="J1110" s="180"/>
    </row>
    <row r="1111" spans="1:10" s="181" customFormat="1">
      <c r="A1111" s="276"/>
      <c r="B1111" s="148" t="s">
        <v>1525</v>
      </c>
      <c r="C1111" s="149">
        <v>1</v>
      </c>
      <c r="D1111" s="156" t="s">
        <v>73</v>
      </c>
      <c r="E1111" s="149">
        <v>2</v>
      </c>
      <c r="F1111" s="150">
        <v>0.75</v>
      </c>
      <c r="G1111" s="150"/>
      <c r="H1111" s="150">
        <v>0.38</v>
      </c>
      <c r="I1111" s="151">
        <f t="shared" si="144"/>
        <v>0.56999999999999995</v>
      </c>
      <c r="J1111" s="180"/>
    </row>
    <row r="1112" spans="1:10" s="181" customFormat="1">
      <c r="A1112" s="276"/>
      <c r="B1112" s="148" t="s">
        <v>1526</v>
      </c>
      <c r="C1112" s="149">
        <v>1</v>
      </c>
      <c r="D1112" s="156" t="s">
        <v>73</v>
      </c>
      <c r="E1112" s="149">
        <v>1</v>
      </c>
      <c r="F1112" s="150">
        <v>2.1</v>
      </c>
      <c r="G1112" s="150">
        <v>1.2</v>
      </c>
      <c r="H1112" s="150"/>
      <c r="I1112" s="151">
        <f t="shared" si="144"/>
        <v>2.52</v>
      </c>
      <c r="J1112" s="180"/>
    </row>
    <row r="1113" spans="1:10" s="181" customFormat="1">
      <c r="A1113" s="276"/>
      <c r="B1113" s="148" t="s">
        <v>1527</v>
      </c>
      <c r="C1113" s="149">
        <v>1</v>
      </c>
      <c r="D1113" s="156" t="s">
        <v>73</v>
      </c>
      <c r="E1113" s="149">
        <v>1</v>
      </c>
      <c r="F1113" s="150">
        <v>2.1</v>
      </c>
      <c r="G1113" s="150">
        <v>1.2</v>
      </c>
      <c r="H1113" s="150"/>
      <c r="I1113" s="151">
        <f t="shared" si="144"/>
        <v>2.52</v>
      </c>
      <c r="J1113" s="180"/>
    </row>
    <row r="1114" spans="1:10" s="181" customFormat="1">
      <c r="A1114" s="276"/>
      <c r="B1114" s="148" t="s">
        <v>1529</v>
      </c>
      <c r="C1114" s="149">
        <v>-1</v>
      </c>
      <c r="D1114" s="156" t="s">
        <v>73</v>
      </c>
      <c r="E1114" s="149">
        <v>1</v>
      </c>
      <c r="F1114" s="150">
        <v>0.6</v>
      </c>
      <c r="G1114" s="150">
        <v>0.6</v>
      </c>
      <c r="H1114" s="150"/>
      <c r="I1114" s="151">
        <f t="shared" si="144"/>
        <v>-0.36</v>
      </c>
      <c r="J1114" s="180"/>
    </row>
    <row r="1115" spans="1:10" s="181" customFormat="1">
      <c r="A1115" s="276"/>
      <c r="B1115" s="148" t="s">
        <v>1528</v>
      </c>
      <c r="C1115" s="149">
        <v>1</v>
      </c>
      <c r="D1115" s="156" t="s">
        <v>73</v>
      </c>
      <c r="E1115" s="149">
        <v>1</v>
      </c>
      <c r="F1115" s="150">
        <v>8.44</v>
      </c>
      <c r="G1115" s="150"/>
      <c r="H1115" s="165">
        <v>0.125</v>
      </c>
      <c r="I1115" s="151">
        <f t="shared" si="144"/>
        <v>1.06</v>
      </c>
      <c r="J1115" s="180"/>
    </row>
    <row r="1116" spans="1:10" s="181" customFormat="1">
      <c r="A1116" s="276"/>
      <c r="B1116" s="155" t="s">
        <v>1530</v>
      </c>
      <c r="C1116" s="149"/>
      <c r="D1116" s="156"/>
      <c r="E1116" s="149"/>
      <c r="F1116" s="150"/>
      <c r="G1116" s="150"/>
      <c r="H1116" s="150"/>
      <c r="I1116" s="151">
        <f t="shared" si="144"/>
        <v>0</v>
      </c>
      <c r="J1116" s="180"/>
    </row>
    <row r="1117" spans="1:10" s="181" customFormat="1">
      <c r="A1117" s="276"/>
      <c r="B1117" s="148" t="s">
        <v>1521</v>
      </c>
      <c r="C1117" s="149">
        <v>1</v>
      </c>
      <c r="D1117" s="156" t="s">
        <v>73</v>
      </c>
      <c r="E1117" s="149">
        <v>2</v>
      </c>
      <c r="F1117" s="150">
        <v>1.7</v>
      </c>
      <c r="G1117" s="150">
        <v>0.23</v>
      </c>
      <c r="H1117" s="150"/>
      <c r="I1117" s="151">
        <f t="shared" si="144"/>
        <v>0.78</v>
      </c>
      <c r="J1117" s="180"/>
    </row>
    <row r="1118" spans="1:10" s="181" customFormat="1">
      <c r="A1118" s="276"/>
      <c r="B1118" s="148" t="s">
        <v>1521</v>
      </c>
      <c r="C1118" s="149">
        <v>1</v>
      </c>
      <c r="D1118" s="156" t="s">
        <v>73</v>
      </c>
      <c r="E1118" s="149">
        <v>2</v>
      </c>
      <c r="F1118" s="150">
        <v>1.9</v>
      </c>
      <c r="G1118" s="150">
        <v>0.23</v>
      </c>
      <c r="H1118" s="150"/>
      <c r="I1118" s="151">
        <f t="shared" si="144"/>
        <v>0.87</v>
      </c>
      <c r="J1118" s="180"/>
    </row>
    <row r="1119" spans="1:10" s="181" customFormat="1">
      <c r="A1119" s="276"/>
      <c r="B1119" s="148" t="s">
        <v>462</v>
      </c>
      <c r="C1119" s="149">
        <v>1</v>
      </c>
      <c r="D1119" s="156" t="s">
        <v>73</v>
      </c>
      <c r="E1119" s="149">
        <v>1</v>
      </c>
      <c r="F1119" s="150">
        <v>7.2</v>
      </c>
      <c r="G1119" s="150"/>
      <c r="H1119" s="150">
        <v>0.23</v>
      </c>
      <c r="I1119" s="151">
        <f t="shared" si="144"/>
        <v>1.66</v>
      </c>
      <c r="J1119" s="180"/>
    </row>
    <row r="1120" spans="1:10" s="181" customFormat="1">
      <c r="A1120" s="276"/>
      <c r="B1120" s="148" t="s">
        <v>463</v>
      </c>
      <c r="C1120" s="149">
        <v>1</v>
      </c>
      <c r="D1120" s="156" t="s">
        <v>73</v>
      </c>
      <c r="E1120" s="149">
        <v>1</v>
      </c>
      <c r="F1120" s="150">
        <v>9.0399999999999991</v>
      </c>
      <c r="G1120" s="150"/>
      <c r="H1120" s="150">
        <v>0.38</v>
      </c>
      <c r="I1120" s="151">
        <f t="shared" si="144"/>
        <v>3.44</v>
      </c>
      <c r="J1120" s="180"/>
    </row>
    <row r="1121" spans="1:10" s="181" customFormat="1">
      <c r="A1121" s="276"/>
      <c r="B1121" s="148" t="s">
        <v>1531</v>
      </c>
      <c r="C1121" s="149">
        <v>1</v>
      </c>
      <c r="D1121" s="156" t="s">
        <v>73</v>
      </c>
      <c r="E1121" s="149">
        <v>1</v>
      </c>
      <c r="F1121" s="150">
        <v>1.7</v>
      </c>
      <c r="G1121" s="150">
        <v>1.9</v>
      </c>
      <c r="H1121" s="150"/>
      <c r="I1121" s="151">
        <f t="shared" si="144"/>
        <v>3.23</v>
      </c>
      <c r="J1121" s="180"/>
    </row>
    <row r="1122" spans="1:10" s="181" customFormat="1">
      <c r="A1122" s="276"/>
      <c r="B1122" s="148"/>
      <c r="C1122" s="149"/>
      <c r="D1122" s="149"/>
      <c r="E1122" s="149"/>
      <c r="F1122" s="150"/>
      <c r="G1122" s="158" t="s">
        <v>11</v>
      </c>
      <c r="H1122" s="150"/>
      <c r="I1122" s="159">
        <f>SUM(I1072:I1121)</f>
        <v>66.58</v>
      </c>
      <c r="J1122" s="180"/>
    </row>
    <row r="1123" spans="1:10" s="181" customFormat="1">
      <c r="A1123" s="276"/>
      <c r="B1123" s="148"/>
      <c r="C1123" s="149"/>
      <c r="D1123" s="149"/>
      <c r="E1123" s="149"/>
      <c r="F1123" s="150"/>
      <c r="G1123" s="150"/>
      <c r="H1123" s="158" t="s">
        <v>245</v>
      </c>
      <c r="I1123" s="159">
        <f>ROUNDUP(I1122,1)</f>
        <v>66.599999999999994</v>
      </c>
      <c r="J1123" s="180" t="s">
        <v>75</v>
      </c>
    </row>
    <row r="1124" spans="1:10" s="181" customFormat="1">
      <c r="A1124" s="276"/>
      <c r="B1124" s="148"/>
      <c r="C1124" s="149"/>
      <c r="D1124" s="149"/>
      <c r="E1124" s="149"/>
      <c r="F1124" s="150"/>
      <c r="G1124" s="150"/>
      <c r="H1124" s="158"/>
      <c r="I1124" s="159"/>
      <c r="J1124" s="180"/>
    </row>
    <row r="1125" spans="1:10" s="181" customFormat="1" ht="37.5">
      <c r="A1125" s="276"/>
      <c r="B1125" s="155" t="s">
        <v>464</v>
      </c>
      <c r="C1125" s="149"/>
      <c r="D1125" s="149"/>
      <c r="E1125" s="149"/>
      <c r="F1125" s="150"/>
      <c r="G1125" s="150"/>
      <c r="H1125" s="150"/>
      <c r="I1125" s="151"/>
      <c r="J1125" s="180"/>
    </row>
    <row r="1126" spans="1:10" s="181" customFormat="1" ht="18.75" customHeight="1">
      <c r="A1126" s="276"/>
      <c r="B1126" s="353" t="s">
        <v>1539</v>
      </c>
      <c r="C1126" s="149">
        <v>1</v>
      </c>
      <c r="D1126" s="149" t="s">
        <v>73</v>
      </c>
      <c r="E1126" s="149">
        <v>56</v>
      </c>
      <c r="F1126" s="150">
        <v>0.92</v>
      </c>
      <c r="G1126" s="150"/>
      <c r="H1126" s="170">
        <v>0.9</v>
      </c>
      <c r="I1126" s="151">
        <f>ROUND(PRODUCT(C1126:H1126),2)</f>
        <v>46.37</v>
      </c>
      <c r="J1126" s="180"/>
    </row>
    <row r="1127" spans="1:10" s="181" customFormat="1">
      <c r="A1127" s="276"/>
      <c r="B1127" s="353" t="s">
        <v>1540</v>
      </c>
      <c r="C1127" s="149">
        <v>1</v>
      </c>
      <c r="D1127" s="149" t="s">
        <v>73</v>
      </c>
      <c r="E1127" s="149">
        <v>23</v>
      </c>
      <c r="F1127" s="150">
        <v>0.92</v>
      </c>
      <c r="G1127" s="150"/>
      <c r="H1127" s="170">
        <v>0.9</v>
      </c>
      <c r="I1127" s="151">
        <f>ROUND(PRODUCT(C1127:H1127),2)</f>
        <v>19.04</v>
      </c>
      <c r="J1127" s="180"/>
    </row>
    <row r="1128" spans="1:10" s="181" customFormat="1" ht="22.5" customHeight="1">
      <c r="A1128" s="276"/>
      <c r="B1128" s="353" t="s">
        <v>1541</v>
      </c>
      <c r="C1128" s="138">
        <v>1</v>
      </c>
      <c r="D1128" s="138" t="s">
        <v>73</v>
      </c>
      <c r="E1128" s="138">
        <v>33</v>
      </c>
      <c r="F1128" s="139">
        <v>0.92</v>
      </c>
      <c r="G1128" s="139"/>
      <c r="H1128" s="146">
        <v>1.5</v>
      </c>
      <c r="I1128" s="140">
        <f t="shared" ref="I1128:I1132" si="146">ROUND(PRODUCT(C1128:H1128),2)</f>
        <v>45.54</v>
      </c>
      <c r="J1128" s="180"/>
    </row>
    <row r="1129" spans="1:10" s="181" customFormat="1">
      <c r="A1129" s="276"/>
      <c r="B1129" s="142" t="s">
        <v>1435</v>
      </c>
      <c r="C1129" s="138">
        <v>1</v>
      </c>
      <c r="D1129" s="138" t="s">
        <v>73</v>
      </c>
      <c r="E1129" s="138">
        <v>4</v>
      </c>
      <c r="F1129" s="139">
        <f>(0.23+0.38)*2</f>
        <v>1.22</v>
      </c>
      <c r="G1129" s="139"/>
      <c r="H1129" s="146">
        <v>2.4</v>
      </c>
      <c r="I1129" s="140">
        <f t="shared" si="146"/>
        <v>11.71</v>
      </c>
      <c r="J1129" s="221"/>
    </row>
    <row r="1130" spans="1:10" s="181" customFormat="1">
      <c r="A1130" s="276"/>
      <c r="B1130" s="142" t="s">
        <v>1435</v>
      </c>
      <c r="C1130" s="138">
        <v>1</v>
      </c>
      <c r="D1130" s="138" t="s">
        <v>73</v>
      </c>
      <c r="E1130" s="138">
        <v>2</v>
      </c>
      <c r="F1130" s="139">
        <v>1.2</v>
      </c>
      <c r="G1130" s="139"/>
      <c r="H1130" s="146">
        <v>2.4</v>
      </c>
      <c r="I1130" s="140">
        <f t="shared" si="146"/>
        <v>5.76</v>
      </c>
      <c r="J1130" s="180"/>
    </row>
    <row r="1131" spans="1:10" s="181" customFormat="1">
      <c r="A1131" s="276"/>
      <c r="B1131" s="142" t="s">
        <v>1542</v>
      </c>
      <c r="C1131" s="138">
        <v>1</v>
      </c>
      <c r="D1131" s="138" t="s">
        <v>73</v>
      </c>
      <c r="E1131" s="138">
        <v>1</v>
      </c>
      <c r="F1131" s="139">
        <v>3.45</v>
      </c>
      <c r="G1131" s="139">
        <v>0.6</v>
      </c>
      <c r="H1131" s="146"/>
      <c r="I1131" s="140">
        <f t="shared" si="146"/>
        <v>2.0699999999999998</v>
      </c>
      <c r="J1131" s="180"/>
    </row>
    <row r="1132" spans="1:10" s="181" customFormat="1">
      <c r="A1132" s="276"/>
      <c r="B1132" s="148" t="s">
        <v>1543</v>
      </c>
      <c r="C1132" s="138">
        <v>1</v>
      </c>
      <c r="D1132" s="138" t="s">
        <v>73</v>
      </c>
      <c r="E1132" s="138">
        <v>4</v>
      </c>
      <c r="F1132" s="139">
        <v>0.6</v>
      </c>
      <c r="G1132" s="139"/>
      <c r="H1132" s="386">
        <v>6.25E-2</v>
      </c>
      <c r="I1132" s="140">
        <f t="shared" si="146"/>
        <v>0.15</v>
      </c>
      <c r="J1132" s="180"/>
    </row>
    <row r="1133" spans="1:10" s="181" customFormat="1">
      <c r="A1133" s="276"/>
      <c r="B1133" s="148" t="s">
        <v>1544</v>
      </c>
      <c r="C1133" s="138">
        <v>1</v>
      </c>
      <c r="D1133" s="138" t="s">
        <v>73</v>
      </c>
      <c r="E1133" s="138">
        <v>4</v>
      </c>
      <c r="F1133" s="139">
        <v>1.81</v>
      </c>
      <c r="G1133" s="139">
        <v>0.6</v>
      </c>
      <c r="H1133" s="386"/>
      <c r="I1133" s="140">
        <f t="shared" ref="I1133:I1134" si="147">ROUND(PRODUCT(C1133:H1133),2)</f>
        <v>4.34</v>
      </c>
      <c r="J1133" s="180"/>
    </row>
    <row r="1134" spans="1:10" s="181" customFormat="1">
      <c r="A1134" s="276"/>
      <c r="B1134" s="148" t="s">
        <v>1543</v>
      </c>
      <c r="C1134" s="138">
        <v>2</v>
      </c>
      <c r="D1134" s="138" t="s">
        <v>73</v>
      </c>
      <c r="E1134" s="138">
        <v>4</v>
      </c>
      <c r="F1134" s="139">
        <v>0.6</v>
      </c>
      <c r="G1134" s="139"/>
      <c r="H1134" s="386">
        <v>6.25E-2</v>
      </c>
      <c r="I1134" s="140">
        <f t="shared" si="147"/>
        <v>0.3</v>
      </c>
      <c r="J1134" s="180"/>
    </row>
    <row r="1135" spans="1:10" s="181" customFormat="1">
      <c r="A1135" s="276"/>
      <c r="B1135" s="148" t="s">
        <v>1545</v>
      </c>
      <c r="C1135" s="138">
        <v>1</v>
      </c>
      <c r="D1135" s="138" t="s">
        <v>73</v>
      </c>
      <c r="E1135" s="138">
        <v>1</v>
      </c>
      <c r="F1135" s="139">
        <v>1.46</v>
      </c>
      <c r="G1135" s="139">
        <v>0.6</v>
      </c>
      <c r="H1135" s="386"/>
      <c r="I1135" s="140">
        <f t="shared" ref="I1135:I1136" si="148">ROUND(PRODUCT(C1135:H1135),2)</f>
        <v>0.88</v>
      </c>
      <c r="J1135" s="180"/>
    </row>
    <row r="1136" spans="1:10" s="181" customFormat="1">
      <c r="A1136" s="276"/>
      <c r="B1136" s="148" t="s">
        <v>1543</v>
      </c>
      <c r="C1136" s="138">
        <v>2</v>
      </c>
      <c r="D1136" s="138" t="s">
        <v>73</v>
      </c>
      <c r="E1136" s="138">
        <v>1</v>
      </c>
      <c r="F1136" s="139">
        <v>0.6</v>
      </c>
      <c r="G1136" s="139"/>
      <c r="H1136" s="386">
        <v>6.25E-2</v>
      </c>
      <c r="I1136" s="140">
        <f t="shared" si="148"/>
        <v>0.08</v>
      </c>
      <c r="J1136" s="180"/>
    </row>
    <row r="1137" spans="1:10" s="181" customFormat="1">
      <c r="A1137" s="276"/>
      <c r="B1137" s="148" t="s">
        <v>1546</v>
      </c>
      <c r="C1137" s="138">
        <v>1</v>
      </c>
      <c r="D1137" s="138" t="s">
        <v>73</v>
      </c>
      <c r="E1137" s="138">
        <v>2</v>
      </c>
      <c r="F1137" s="139">
        <v>1.36</v>
      </c>
      <c r="G1137" s="139">
        <v>0.6</v>
      </c>
      <c r="H1137" s="386"/>
      <c r="I1137" s="140">
        <f t="shared" ref="I1137:I1138" si="149">ROUND(PRODUCT(C1137:H1137),2)</f>
        <v>1.63</v>
      </c>
      <c r="J1137" s="180"/>
    </row>
    <row r="1138" spans="1:10" s="181" customFormat="1">
      <c r="A1138" s="276"/>
      <c r="B1138" s="148" t="s">
        <v>1543</v>
      </c>
      <c r="C1138" s="138">
        <v>2</v>
      </c>
      <c r="D1138" s="138" t="s">
        <v>73</v>
      </c>
      <c r="E1138" s="138">
        <v>2</v>
      </c>
      <c r="F1138" s="139">
        <v>0.6</v>
      </c>
      <c r="G1138" s="139"/>
      <c r="H1138" s="386">
        <v>6.25E-2</v>
      </c>
      <c r="I1138" s="140">
        <f t="shared" si="149"/>
        <v>0.15</v>
      </c>
      <c r="J1138" s="180"/>
    </row>
    <row r="1139" spans="1:10" s="181" customFormat="1" ht="15.75" customHeight="1">
      <c r="A1139" s="276"/>
      <c r="B1139" s="148"/>
      <c r="C1139" s="149"/>
      <c r="D1139" s="149"/>
      <c r="E1139" s="149"/>
      <c r="F1139" s="150"/>
      <c r="G1139" s="150"/>
      <c r="H1139" s="158" t="s">
        <v>74</v>
      </c>
      <c r="I1139" s="159">
        <f>SUM(I1126:I1138)</f>
        <v>138.02000000000001</v>
      </c>
      <c r="J1139" s="180" t="s">
        <v>75</v>
      </c>
    </row>
    <row r="1140" spans="1:10" s="181" customFormat="1" ht="15.75" customHeight="1">
      <c r="A1140" s="276"/>
      <c r="B1140" s="148"/>
      <c r="C1140" s="149"/>
      <c r="D1140" s="149"/>
      <c r="E1140" s="149"/>
      <c r="F1140" s="150"/>
      <c r="G1140" s="150"/>
      <c r="H1140" s="158"/>
      <c r="I1140" s="159"/>
    </row>
    <row r="1141" spans="1:10" s="181" customFormat="1" ht="15.75" customHeight="1">
      <c r="A1141" s="276"/>
      <c r="B1141" s="148"/>
      <c r="C1141" s="149"/>
      <c r="D1141" s="149"/>
      <c r="E1141" s="149"/>
      <c r="F1141" s="150"/>
      <c r="G1141" s="150"/>
      <c r="H1141" s="158"/>
      <c r="I1141" s="159"/>
      <c r="J1141" s="180"/>
    </row>
    <row r="1142" spans="1:10" s="181" customFormat="1" ht="16.5" customHeight="1">
      <c r="A1142" s="276"/>
      <c r="B1142" s="155" t="s">
        <v>465</v>
      </c>
      <c r="C1142" s="149"/>
      <c r="D1142" s="149"/>
      <c r="E1142" s="149"/>
      <c r="F1142" s="150"/>
      <c r="G1142" s="150"/>
      <c r="H1142" s="158"/>
      <c r="I1142" s="159"/>
      <c r="J1142" s="180"/>
    </row>
    <row r="1143" spans="1:10" s="181" customFormat="1" ht="16.5" customHeight="1">
      <c r="A1143" s="276"/>
      <c r="B1143" s="148" t="s">
        <v>1547</v>
      </c>
      <c r="C1143" s="149">
        <v>1</v>
      </c>
      <c r="D1143" s="149" t="s">
        <v>73</v>
      </c>
      <c r="E1143" s="149">
        <v>2</v>
      </c>
      <c r="F1143" s="150">
        <v>91.4</v>
      </c>
      <c r="G1143" s="150"/>
      <c r="H1143" s="150">
        <v>1.2</v>
      </c>
      <c r="I1143" s="151">
        <f>ROUND(PRODUCT(C1143:H1143),2)</f>
        <v>219.36</v>
      </c>
      <c r="J1143" s="180"/>
    </row>
    <row r="1144" spans="1:10" s="181" customFormat="1">
      <c r="A1144" s="276"/>
      <c r="B1144" s="148" t="s">
        <v>466</v>
      </c>
      <c r="C1144" s="149">
        <v>1</v>
      </c>
      <c r="D1144" s="149" t="s">
        <v>73</v>
      </c>
      <c r="E1144" s="149">
        <v>1</v>
      </c>
      <c r="F1144" s="150">
        <v>6.6</v>
      </c>
      <c r="G1144" s="150"/>
      <c r="H1144" s="165">
        <v>1.075</v>
      </c>
      <c r="I1144" s="151">
        <f>ROUND(PRODUCT(C1144:H1144),2)</f>
        <v>7.1</v>
      </c>
      <c r="J1144" s="180"/>
    </row>
    <row r="1145" spans="1:10" s="181" customFormat="1">
      <c r="A1145" s="276"/>
      <c r="B1145" s="148" t="s">
        <v>467</v>
      </c>
      <c r="C1145" s="149">
        <v>1</v>
      </c>
      <c r="D1145" s="149" t="s">
        <v>73</v>
      </c>
      <c r="E1145" s="149">
        <v>1</v>
      </c>
      <c r="F1145" s="150">
        <v>8.44</v>
      </c>
      <c r="G1145" s="150"/>
      <c r="H1145" s="150">
        <v>1.2</v>
      </c>
      <c r="I1145" s="151">
        <f>ROUND(PRODUCT(C1145:H1145),2)</f>
        <v>10.130000000000001</v>
      </c>
      <c r="J1145" s="180"/>
    </row>
    <row r="1146" spans="1:10" s="181" customFormat="1">
      <c r="A1146" s="276"/>
      <c r="B1146" s="148"/>
      <c r="C1146" s="149"/>
      <c r="D1146" s="149"/>
      <c r="E1146" s="149"/>
      <c r="F1146" s="150"/>
      <c r="G1146" s="150"/>
      <c r="H1146" s="158"/>
      <c r="I1146" s="151">
        <f>SUM(I1143:I1145)</f>
        <v>236.59</v>
      </c>
      <c r="J1146" s="180"/>
    </row>
    <row r="1147" spans="1:10" s="181" customFormat="1">
      <c r="A1147" s="276"/>
      <c r="B1147" s="148"/>
      <c r="C1147" s="149"/>
      <c r="D1147" s="149"/>
      <c r="E1147" s="149"/>
      <c r="F1147" s="150"/>
      <c r="G1147" s="158" t="s">
        <v>246</v>
      </c>
      <c r="H1147" s="158"/>
      <c r="I1147" s="159">
        <f>ROUNDUP(I1146,1)</f>
        <v>236.6</v>
      </c>
      <c r="J1147" s="180" t="s">
        <v>75</v>
      </c>
    </row>
    <row r="1148" spans="1:10" s="181" customFormat="1">
      <c r="A1148" s="276"/>
      <c r="B1148" s="148"/>
      <c r="C1148" s="149"/>
      <c r="D1148" s="149"/>
      <c r="E1148" s="149"/>
      <c r="F1148" s="150"/>
      <c r="G1148" s="158"/>
      <c r="H1148" s="158"/>
      <c r="I1148" s="159"/>
      <c r="J1148" s="221"/>
    </row>
    <row r="1149" spans="1:10" s="181" customFormat="1" ht="93.75">
      <c r="A1149" s="276" t="s">
        <v>468</v>
      </c>
      <c r="B1149" s="155" t="s">
        <v>469</v>
      </c>
      <c r="C1149" s="149"/>
      <c r="D1149" s="149"/>
      <c r="E1149" s="149"/>
      <c r="F1149" s="150"/>
      <c r="G1149" s="158"/>
      <c r="H1149" s="150"/>
      <c r="I1149" s="151"/>
      <c r="J1149" s="221"/>
    </row>
    <row r="1150" spans="1:10" s="181" customFormat="1">
      <c r="A1150" s="276"/>
      <c r="B1150" s="148" t="s">
        <v>470</v>
      </c>
      <c r="C1150" s="149">
        <v>1</v>
      </c>
      <c r="D1150" s="149" t="s">
        <v>73</v>
      </c>
      <c r="E1150" s="149">
        <v>1</v>
      </c>
      <c r="F1150" s="150">
        <v>0.75</v>
      </c>
      <c r="G1150" s="150"/>
      <c r="H1150" s="150">
        <v>2.1</v>
      </c>
      <c r="I1150" s="151">
        <f>ROUND(PRODUCT(C1150:H1150),2)</f>
        <v>1.58</v>
      </c>
      <c r="J1150" s="180"/>
    </row>
    <row r="1151" spans="1:10" s="154" customFormat="1">
      <c r="A1151" s="276"/>
      <c r="B1151" s="148" t="s">
        <v>471</v>
      </c>
      <c r="C1151" s="149">
        <v>1</v>
      </c>
      <c r="D1151" s="149" t="s">
        <v>73</v>
      </c>
      <c r="E1151" s="149">
        <v>10</v>
      </c>
      <c r="F1151" s="150">
        <v>0.75</v>
      </c>
      <c r="G1151" s="150"/>
      <c r="H1151" s="150">
        <v>2.1</v>
      </c>
      <c r="I1151" s="151">
        <f>ROUND(PRODUCT(C1151:H1151),2)</f>
        <v>15.75</v>
      </c>
      <c r="J1151" s="161"/>
    </row>
    <row r="1152" spans="1:10" s="181" customFormat="1">
      <c r="A1152" s="276"/>
      <c r="B1152" s="148" t="s">
        <v>311</v>
      </c>
      <c r="C1152" s="149">
        <v>1</v>
      </c>
      <c r="D1152" s="149" t="s">
        <v>73</v>
      </c>
      <c r="E1152" s="149">
        <v>2</v>
      </c>
      <c r="F1152" s="150">
        <v>0.75</v>
      </c>
      <c r="G1152" s="150"/>
      <c r="H1152" s="150">
        <v>1.35</v>
      </c>
      <c r="I1152" s="151">
        <f>ROUND(PRODUCT(C1152:H1152),2)</f>
        <v>2.0299999999999998</v>
      </c>
      <c r="J1152" s="180"/>
    </row>
    <row r="1153" spans="1:10" s="181" customFormat="1">
      <c r="A1153" s="276"/>
      <c r="B1153" s="148"/>
      <c r="C1153" s="149"/>
      <c r="D1153" s="149"/>
      <c r="E1153" s="149"/>
      <c r="F1153" s="150"/>
      <c r="G1153" s="158" t="s">
        <v>11</v>
      </c>
      <c r="H1153" s="150"/>
      <c r="I1153" s="159">
        <f>SUM(I1150:I1152)</f>
        <v>19.36</v>
      </c>
      <c r="J1153" s="180"/>
    </row>
    <row r="1154" spans="1:10" s="181" customFormat="1">
      <c r="A1154" s="276"/>
      <c r="B1154" s="148"/>
      <c r="C1154" s="149"/>
      <c r="D1154" s="149"/>
      <c r="E1154" s="149"/>
      <c r="F1154" s="150"/>
      <c r="G1154" s="150"/>
      <c r="H1154" s="158" t="s">
        <v>245</v>
      </c>
      <c r="I1154" s="159">
        <f>ROUNDUP(I1153,1)</f>
        <v>19.400000000000002</v>
      </c>
      <c r="J1154" s="180" t="s">
        <v>176</v>
      </c>
    </row>
    <row r="1155" spans="1:10" s="181" customFormat="1">
      <c r="A1155" s="276"/>
      <c r="B1155" s="148"/>
      <c r="C1155" s="149"/>
      <c r="D1155" s="149"/>
      <c r="E1155" s="149"/>
      <c r="F1155" s="150"/>
      <c r="G1155" s="150"/>
      <c r="H1155" s="158"/>
      <c r="I1155" s="159"/>
      <c r="J1155" s="180"/>
    </row>
    <row r="1156" spans="1:10" s="181" customFormat="1">
      <c r="A1156" s="276"/>
      <c r="B1156" s="148"/>
      <c r="C1156" s="149"/>
      <c r="D1156" s="149"/>
      <c r="E1156" s="149"/>
      <c r="F1156" s="150"/>
      <c r="G1156" s="150"/>
      <c r="H1156" s="158"/>
      <c r="I1156" s="159"/>
      <c r="J1156" s="180"/>
    </row>
    <row r="1157" spans="1:10" s="181" customFormat="1" ht="75">
      <c r="A1157" s="276" t="s">
        <v>472</v>
      </c>
      <c r="B1157" s="155" t="s">
        <v>473</v>
      </c>
      <c r="C1157" s="149"/>
      <c r="D1157" s="149"/>
      <c r="E1157" s="149"/>
      <c r="F1157" s="150"/>
      <c r="G1157" s="158"/>
      <c r="H1157" s="150"/>
      <c r="I1157" s="159"/>
      <c r="J1157" s="180"/>
    </row>
    <row r="1158" spans="1:10" s="181" customFormat="1" ht="21" customHeight="1">
      <c r="B1158" s="155" t="s">
        <v>474</v>
      </c>
      <c r="C1158" s="149"/>
      <c r="D1158" s="149"/>
      <c r="E1158" s="149"/>
      <c r="F1158" s="150"/>
      <c r="G1158" s="158"/>
      <c r="H1158" s="150"/>
      <c r="I1158" s="159"/>
      <c r="J1158" s="180"/>
    </row>
    <row r="1159" spans="1:10" s="181" customFormat="1" ht="22.5" customHeight="1">
      <c r="A1159" s="249"/>
      <c r="B1159" s="148" t="s">
        <v>475</v>
      </c>
      <c r="C1159" s="149">
        <v>1</v>
      </c>
      <c r="D1159" s="149" t="s">
        <v>73</v>
      </c>
      <c r="E1159" s="149">
        <v>1</v>
      </c>
      <c r="F1159" s="150"/>
      <c r="G1159" s="158"/>
      <c r="H1159" s="150"/>
      <c r="I1159" s="151">
        <f>ROUND(PRODUCT(C1159:H1159),2)</f>
        <v>1</v>
      </c>
      <c r="J1159" s="180"/>
    </row>
    <row r="1160" spans="1:10" s="181" customFormat="1" ht="16.5" customHeight="1">
      <c r="A1160" s="276"/>
      <c r="B1160" s="148" t="s">
        <v>333</v>
      </c>
      <c r="C1160" s="149">
        <v>1</v>
      </c>
      <c r="D1160" s="149" t="s">
        <v>73</v>
      </c>
      <c r="E1160" s="149">
        <v>2</v>
      </c>
      <c r="F1160" s="150"/>
      <c r="G1160" s="158"/>
      <c r="H1160" s="150"/>
      <c r="I1160" s="151">
        <f>ROUND(PRODUCT(C1160:H1160),2)</f>
        <v>2</v>
      </c>
      <c r="J1160" s="180"/>
    </row>
    <row r="1161" spans="1:10" s="181" customFormat="1">
      <c r="A1161" s="276"/>
      <c r="B1161" s="155"/>
      <c r="C1161" s="149"/>
      <c r="D1161" s="149"/>
      <c r="E1161" s="149"/>
      <c r="F1161" s="150"/>
      <c r="G1161" s="158" t="s">
        <v>11</v>
      </c>
      <c r="H1161" s="150"/>
      <c r="I1161" s="159">
        <f>SUM(I1159:I1160)</f>
        <v>3</v>
      </c>
      <c r="J1161" s="180" t="s">
        <v>128</v>
      </c>
    </row>
    <row r="1162" spans="1:10" s="181" customFormat="1">
      <c r="A1162" s="276"/>
      <c r="B1162" s="155"/>
      <c r="C1162" s="149"/>
      <c r="D1162" s="149"/>
      <c r="E1162" s="149"/>
      <c r="F1162" s="150"/>
      <c r="G1162" s="158"/>
      <c r="H1162" s="150"/>
      <c r="I1162" s="159"/>
      <c r="J1162" s="180"/>
    </row>
    <row r="1163" spans="1:10" s="181" customFormat="1">
      <c r="A1163" s="276"/>
      <c r="B1163" s="155" t="s">
        <v>476</v>
      </c>
      <c r="C1163" s="149"/>
      <c r="D1163" s="149"/>
      <c r="E1163" s="149"/>
      <c r="F1163" s="150"/>
      <c r="G1163" s="158"/>
      <c r="H1163" s="150"/>
      <c r="I1163" s="159"/>
      <c r="J1163" s="180"/>
    </row>
    <row r="1164" spans="1:10" s="181" customFormat="1">
      <c r="A1164" s="276"/>
      <c r="B1164" s="148" t="s">
        <v>477</v>
      </c>
      <c r="C1164" s="149">
        <v>1</v>
      </c>
      <c r="D1164" s="149" t="s">
        <v>73</v>
      </c>
      <c r="E1164" s="149">
        <v>1</v>
      </c>
      <c r="F1164" s="150"/>
      <c r="G1164" s="158"/>
      <c r="H1164" s="150"/>
      <c r="I1164" s="151">
        <f>ROUND(PRODUCT(C1164:H1164),2)</f>
        <v>1</v>
      </c>
      <c r="J1164" s="180"/>
    </row>
    <row r="1165" spans="1:10" s="181" customFormat="1" ht="21.75" customHeight="1">
      <c r="B1165" s="148" t="s">
        <v>475</v>
      </c>
      <c r="C1165" s="149">
        <v>1</v>
      </c>
      <c r="D1165" s="149" t="s">
        <v>73</v>
      </c>
      <c r="E1165" s="149">
        <v>6</v>
      </c>
      <c r="F1165" s="150"/>
      <c r="G1165" s="158"/>
      <c r="H1165" s="150"/>
      <c r="I1165" s="151">
        <f>ROUND(PRODUCT(C1165:H1165),2)</f>
        <v>6</v>
      </c>
      <c r="J1165" s="180"/>
    </row>
    <row r="1166" spans="1:10" s="181" customFormat="1">
      <c r="A1166" s="276"/>
      <c r="B1166" s="148" t="s">
        <v>478</v>
      </c>
      <c r="C1166" s="149">
        <v>1</v>
      </c>
      <c r="D1166" s="149" t="s">
        <v>73</v>
      </c>
      <c r="E1166" s="149">
        <v>5</v>
      </c>
      <c r="F1166" s="150"/>
      <c r="G1166" s="158"/>
      <c r="H1166" s="150"/>
      <c r="I1166" s="151">
        <f>ROUND(PRODUCT(C1166:H1166),2)</f>
        <v>5</v>
      </c>
      <c r="J1166" s="180"/>
    </row>
    <row r="1167" spans="1:10" s="181" customFormat="1">
      <c r="A1167" s="276"/>
      <c r="B1167" s="148" t="s">
        <v>124</v>
      </c>
      <c r="C1167" s="149">
        <v>1</v>
      </c>
      <c r="D1167" s="149" t="s">
        <v>73</v>
      </c>
      <c r="E1167" s="149">
        <v>2</v>
      </c>
      <c r="F1167" s="150"/>
      <c r="G1167" s="158"/>
      <c r="H1167" s="150"/>
      <c r="I1167" s="151">
        <f>ROUND(PRODUCT(C1167:H1167),2)</f>
        <v>2</v>
      </c>
      <c r="J1167" s="180"/>
    </row>
    <row r="1168" spans="1:10" s="181" customFormat="1">
      <c r="A1168" s="276"/>
      <c r="B1168" s="182"/>
      <c r="C1168" s="149"/>
      <c r="D1168" s="149"/>
      <c r="E1168" s="149"/>
      <c r="F1168" s="150"/>
      <c r="G1168" s="158" t="s">
        <v>11</v>
      </c>
      <c r="H1168" s="150"/>
      <c r="I1168" s="159">
        <f>SUM(I1164:I1167)</f>
        <v>14</v>
      </c>
      <c r="J1168" s="180" t="s">
        <v>128</v>
      </c>
    </row>
    <row r="1169" spans="1:10" s="181" customFormat="1">
      <c r="A1169" s="276"/>
      <c r="B1169" s="182"/>
      <c r="C1169" s="149"/>
      <c r="D1169" s="149"/>
      <c r="E1169" s="149"/>
      <c r="F1169" s="150"/>
      <c r="G1169" s="158"/>
      <c r="H1169" s="150"/>
      <c r="I1169" s="159"/>
      <c r="J1169" s="180"/>
    </row>
    <row r="1170" spans="1:10" s="181" customFormat="1" ht="56.25">
      <c r="A1170" s="276" t="s">
        <v>94</v>
      </c>
      <c r="B1170" s="222" t="s">
        <v>479</v>
      </c>
      <c r="C1170" s="149"/>
      <c r="D1170" s="149"/>
      <c r="E1170" s="149"/>
      <c r="F1170" s="150"/>
      <c r="G1170" s="150"/>
      <c r="H1170" s="150"/>
      <c r="I1170" s="151"/>
      <c r="J1170" s="180"/>
    </row>
    <row r="1171" spans="1:10" s="181" customFormat="1">
      <c r="A1171" s="276"/>
      <c r="B1171" s="155" t="s">
        <v>250</v>
      </c>
      <c r="C1171" s="149"/>
      <c r="D1171" s="149"/>
      <c r="E1171" s="149"/>
      <c r="F1171" s="150"/>
      <c r="G1171" s="150"/>
      <c r="H1171" s="150"/>
      <c r="I1171" s="151">
        <f>ROUND(PRODUCT(C1171:H1171),2)</f>
        <v>0</v>
      </c>
      <c r="J1171" s="180"/>
    </row>
    <row r="1172" spans="1:10" s="181" customFormat="1">
      <c r="A1172" s="276"/>
      <c r="B1172" s="148" t="s">
        <v>1314</v>
      </c>
      <c r="C1172" s="149">
        <v>1</v>
      </c>
      <c r="D1172" s="149" t="s">
        <v>73</v>
      </c>
      <c r="E1172" s="149">
        <v>1</v>
      </c>
      <c r="F1172" s="150">
        <v>1.2</v>
      </c>
      <c r="G1172" s="150"/>
      <c r="H1172" s="150">
        <v>2.1</v>
      </c>
      <c r="I1172" s="151">
        <f>ROUND(PRODUCT(C1172:H1172),2)</f>
        <v>2.52</v>
      </c>
      <c r="J1172" s="180"/>
    </row>
    <row r="1173" spans="1:10" s="181" customFormat="1">
      <c r="A1173" s="276"/>
      <c r="B1173" s="148" t="s">
        <v>1343</v>
      </c>
      <c r="C1173" s="149">
        <v>1</v>
      </c>
      <c r="D1173" s="149" t="s">
        <v>73</v>
      </c>
      <c r="E1173" s="149">
        <v>3</v>
      </c>
      <c r="F1173" s="150">
        <v>1.35</v>
      </c>
      <c r="G1173" s="150"/>
      <c r="H1173" s="150">
        <v>2.1</v>
      </c>
      <c r="I1173" s="151">
        <f>ROUND(PRODUCT(C1173:H1173),2)</f>
        <v>8.51</v>
      </c>
      <c r="J1173" s="180"/>
    </row>
    <row r="1174" spans="1:10" s="181" customFormat="1">
      <c r="A1174" s="276"/>
      <c r="B1174" s="155" t="s">
        <v>253</v>
      </c>
      <c r="C1174" s="149"/>
      <c r="D1174" s="149"/>
      <c r="E1174" s="149"/>
      <c r="F1174" s="150"/>
      <c r="G1174" s="150"/>
      <c r="H1174" s="150"/>
      <c r="I1174" s="151"/>
      <c r="J1174" s="180"/>
    </row>
    <row r="1175" spans="1:10" s="181" customFormat="1">
      <c r="A1175" s="276"/>
      <c r="B1175" s="148" t="s">
        <v>1314</v>
      </c>
      <c r="C1175" s="149">
        <v>1</v>
      </c>
      <c r="D1175" s="149" t="s">
        <v>73</v>
      </c>
      <c r="E1175" s="149">
        <v>1</v>
      </c>
      <c r="F1175" s="150">
        <v>1.2</v>
      </c>
      <c r="G1175" s="150"/>
      <c r="H1175" s="150">
        <v>2.1</v>
      </c>
      <c r="I1175" s="151">
        <f>ROUND(PRODUCT(C1175:H1175),2)</f>
        <v>2.52</v>
      </c>
      <c r="J1175" s="180"/>
    </row>
    <row r="1176" spans="1:10" s="181" customFormat="1">
      <c r="A1176" s="276"/>
      <c r="B1176" s="148" t="s">
        <v>1343</v>
      </c>
      <c r="C1176" s="149">
        <v>1</v>
      </c>
      <c r="D1176" s="149" t="s">
        <v>73</v>
      </c>
      <c r="E1176" s="149">
        <v>3</v>
      </c>
      <c r="F1176" s="150">
        <v>1.35</v>
      </c>
      <c r="G1176" s="150"/>
      <c r="H1176" s="150">
        <v>2.1</v>
      </c>
      <c r="I1176" s="151">
        <f>ROUND(PRODUCT(C1176:H1176),2)</f>
        <v>8.51</v>
      </c>
      <c r="J1176" s="180"/>
    </row>
    <row r="1177" spans="1:10" s="181" customFormat="1">
      <c r="B1177" s="155"/>
      <c r="C1177" s="149"/>
      <c r="D1177" s="149"/>
      <c r="E1177" s="149"/>
      <c r="F1177" s="150"/>
      <c r="G1177" s="150"/>
      <c r="H1177" s="150"/>
      <c r="I1177" s="159">
        <f>SUM(I1172:I1176)</f>
        <v>22.06</v>
      </c>
      <c r="J1177" s="180"/>
    </row>
    <row r="1178" spans="1:10" s="181" customFormat="1" ht="15" customHeight="1">
      <c r="A1178" s="152"/>
      <c r="B1178" s="155"/>
      <c r="C1178" s="149"/>
      <c r="D1178" s="149"/>
      <c r="E1178" s="149"/>
      <c r="F1178" s="150"/>
      <c r="G1178" s="150"/>
      <c r="H1178" s="158" t="s">
        <v>74</v>
      </c>
      <c r="I1178" s="159">
        <f>ROUNDUP(I1177,0)</f>
        <v>23</v>
      </c>
      <c r="J1178" s="180" t="s">
        <v>75</v>
      </c>
    </row>
    <row r="1179" spans="1:10" s="181" customFormat="1" ht="15" customHeight="1">
      <c r="A1179" s="152"/>
      <c r="B1179" s="155"/>
      <c r="C1179" s="149"/>
      <c r="D1179" s="149"/>
      <c r="E1179" s="149"/>
      <c r="F1179" s="150"/>
      <c r="G1179" s="150"/>
      <c r="H1179" s="158"/>
      <c r="I1179" s="159"/>
      <c r="J1179" s="180"/>
    </row>
    <row r="1180" spans="1:10" s="181" customFormat="1" ht="54.75" customHeight="1">
      <c r="A1180" s="276" t="s">
        <v>1453</v>
      </c>
      <c r="B1180" s="223" t="s">
        <v>480</v>
      </c>
      <c r="C1180" s="149"/>
      <c r="D1180" s="149"/>
      <c r="E1180" s="149"/>
      <c r="F1180" s="150"/>
      <c r="G1180" s="150"/>
      <c r="H1180" s="158"/>
      <c r="I1180" s="159"/>
      <c r="J1180" s="180"/>
    </row>
    <row r="1181" spans="1:10" s="181" customFormat="1" ht="15" customHeight="1">
      <c r="A1181" s="276"/>
      <c r="B1181" s="155" t="s">
        <v>272</v>
      </c>
      <c r="C1181" s="149"/>
      <c r="D1181" s="149"/>
      <c r="E1181" s="149"/>
      <c r="F1181" s="150"/>
      <c r="G1181" s="150"/>
      <c r="H1181" s="150"/>
      <c r="I1181" s="151"/>
      <c r="J1181" s="180"/>
    </row>
    <row r="1182" spans="1:10" s="154" customFormat="1">
      <c r="A1182" s="276"/>
      <c r="B1182" s="148" t="s">
        <v>273</v>
      </c>
      <c r="C1182" s="149">
        <v>1</v>
      </c>
      <c r="D1182" s="149" t="s">
        <v>73</v>
      </c>
      <c r="E1182" s="149">
        <v>2</v>
      </c>
      <c r="F1182" s="150">
        <v>3.1</v>
      </c>
      <c r="G1182" s="150"/>
      <c r="H1182" s="150">
        <v>2.1</v>
      </c>
      <c r="I1182" s="151">
        <f>ROUND(PRODUCT(C1182:H1182),2)</f>
        <v>13.02</v>
      </c>
      <c r="J1182" s="180"/>
    </row>
    <row r="1183" spans="1:10" s="154" customFormat="1">
      <c r="A1183" s="276"/>
      <c r="B1183" s="148"/>
      <c r="C1183" s="149"/>
      <c r="D1183" s="149"/>
      <c r="E1183" s="149"/>
      <c r="F1183" s="150"/>
      <c r="G1183" s="158" t="s">
        <v>246</v>
      </c>
      <c r="H1183" s="158"/>
      <c r="I1183" s="159">
        <f>ROUNDUP(I1182,1)</f>
        <v>13.1</v>
      </c>
      <c r="J1183" s="180" t="s">
        <v>75</v>
      </c>
    </row>
    <row r="1184" spans="1:10" s="154" customFormat="1">
      <c r="A1184" s="276"/>
      <c r="B1184" s="148"/>
      <c r="C1184" s="149"/>
      <c r="D1184" s="149"/>
      <c r="E1184" s="149"/>
      <c r="F1184" s="150"/>
      <c r="G1184" s="158"/>
      <c r="H1184" s="158"/>
      <c r="I1184" s="159"/>
      <c r="J1184" s="180"/>
    </row>
    <row r="1185" spans="1:10" s="181" customFormat="1" ht="35.25" customHeight="1">
      <c r="A1185" s="276" t="s">
        <v>95</v>
      </c>
      <c r="B1185" s="155" t="s">
        <v>481</v>
      </c>
      <c r="C1185" s="149"/>
      <c r="D1185" s="149"/>
      <c r="E1185" s="149"/>
      <c r="F1185" s="150"/>
      <c r="G1185" s="150"/>
      <c r="H1185" s="150"/>
      <c r="I1185" s="151"/>
      <c r="J1185" s="180"/>
    </row>
    <row r="1186" spans="1:10" s="181" customFormat="1">
      <c r="A1186" s="276"/>
      <c r="B1186" s="155" t="s">
        <v>482</v>
      </c>
      <c r="C1186" s="149"/>
      <c r="D1186" s="149"/>
      <c r="E1186" s="149"/>
      <c r="F1186" s="150"/>
      <c r="G1186" s="150"/>
      <c r="H1186" s="150"/>
      <c r="I1186" s="151"/>
      <c r="J1186" s="180"/>
    </row>
    <row r="1187" spans="1:10" s="181" customFormat="1">
      <c r="A1187" s="276"/>
      <c r="B1187" s="148" t="s">
        <v>483</v>
      </c>
      <c r="C1187" s="149">
        <v>1</v>
      </c>
      <c r="D1187" s="149" t="s">
        <v>73</v>
      </c>
      <c r="E1187" s="149">
        <v>1</v>
      </c>
      <c r="F1187" s="150">
        <v>0.8</v>
      </c>
      <c r="G1187" s="150"/>
      <c r="H1187" s="150">
        <v>2.0499999999999998</v>
      </c>
      <c r="I1187" s="151">
        <f>ROUND(PRODUCT(C1187:H1187),2)</f>
        <v>1.64</v>
      </c>
      <c r="J1187" s="221"/>
    </row>
    <row r="1188" spans="1:10" s="181" customFormat="1" ht="21" customHeight="1">
      <c r="A1188" s="276"/>
      <c r="B1188" s="148" t="s">
        <v>333</v>
      </c>
      <c r="C1188" s="149">
        <v>1</v>
      </c>
      <c r="D1188" s="149" t="s">
        <v>73</v>
      </c>
      <c r="E1188" s="149">
        <v>2</v>
      </c>
      <c r="F1188" s="150">
        <v>0.8</v>
      </c>
      <c r="G1188" s="150"/>
      <c r="H1188" s="150">
        <v>2.0499999999999998</v>
      </c>
      <c r="I1188" s="151">
        <f>ROUND(PRODUCT(C1188:H1188),2)</f>
        <v>3.28</v>
      </c>
      <c r="J1188" s="180"/>
    </row>
    <row r="1189" spans="1:10" s="181" customFormat="1">
      <c r="A1189" s="276"/>
      <c r="B1189" s="148"/>
      <c r="C1189" s="149"/>
      <c r="D1189" s="149"/>
      <c r="E1189" s="149"/>
      <c r="F1189" s="150"/>
      <c r="G1189" s="150"/>
      <c r="H1189" s="150"/>
      <c r="I1189" s="159">
        <f>SUM(I1187:I1188)</f>
        <v>4.92</v>
      </c>
      <c r="J1189" s="161"/>
    </row>
    <row r="1190" spans="1:10" s="181" customFormat="1" ht="16.5" customHeight="1">
      <c r="A1190" s="276"/>
      <c r="B1190" s="148"/>
      <c r="C1190" s="149"/>
      <c r="D1190" s="149"/>
      <c r="E1190" s="149"/>
      <c r="F1190" s="150"/>
      <c r="G1190" s="150"/>
      <c r="H1190" s="158" t="s">
        <v>74</v>
      </c>
      <c r="I1190" s="159">
        <f>ROUNDUP(I1189,1)</f>
        <v>5</v>
      </c>
      <c r="J1190" s="180" t="s">
        <v>75</v>
      </c>
    </row>
    <row r="1191" spans="1:10" s="181" customFormat="1" ht="16.5" customHeight="1">
      <c r="A1191" s="276"/>
      <c r="B1191" s="148"/>
      <c r="C1191" s="149"/>
      <c r="D1191" s="149"/>
      <c r="E1191" s="149"/>
      <c r="F1191" s="150"/>
      <c r="G1191" s="150"/>
      <c r="H1191" s="158"/>
      <c r="I1191" s="159"/>
      <c r="J1191" s="180"/>
    </row>
    <row r="1192" spans="1:10" s="181" customFormat="1" ht="16.5" customHeight="1">
      <c r="A1192" s="276"/>
      <c r="B1192" s="222" t="s">
        <v>1454</v>
      </c>
      <c r="C1192" s="149"/>
      <c r="D1192" s="149"/>
      <c r="E1192" s="149"/>
      <c r="F1192" s="150"/>
      <c r="G1192" s="150"/>
      <c r="H1192" s="150"/>
      <c r="I1192" s="151"/>
      <c r="J1192" s="180"/>
    </row>
    <row r="1193" spans="1:10" s="181" customFormat="1" ht="32.25" customHeight="1">
      <c r="A1193" s="276"/>
      <c r="B1193" s="148" t="s">
        <v>477</v>
      </c>
      <c r="C1193" s="149">
        <v>1</v>
      </c>
      <c r="D1193" s="149" t="s">
        <v>73</v>
      </c>
      <c r="E1193" s="149">
        <v>1</v>
      </c>
      <c r="F1193" s="150">
        <v>0.9</v>
      </c>
      <c r="G1193" s="150"/>
      <c r="H1193" s="150">
        <v>2.0499999999999998</v>
      </c>
      <c r="I1193" s="151">
        <f>ROUND(PRODUCT(C1193:H1193),2)</f>
        <v>1.85</v>
      </c>
      <c r="J1193" s="180"/>
    </row>
    <row r="1194" spans="1:10" s="181" customFormat="1">
      <c r="A1194" s="276"/>
      <c r="B1194" s="148" t="s">
        <v>475</v>
      </c>
      <c r="C1194" s="149">
        <v>1</v>
      </c>
      <c r="D1194" s="149" t="s">
        <v>73</v>
      </c>
      <c r="E1194" s="149">
        <v>6</v>
      </c>
      <c r="F1194" s="150">
        <v>0.9</v>
      </c>
      <c r="G1194" s="150"/>
      <c r="H1194" s="150">
        <v>2.0499999999999998</v>
      </c>
      <c r="I1194" s="151">
        <f>ROUND(PRODUCT(C1194:H1194),2)</f>
        <v>11.07</v>
      </c>
      <c r="J1194" s="180"/>
    </row>
    <row r="1195" spans="1:10" s="181" customFormat="1">
      <c r="A1195" s="276"/>
      <c r="B1195" s="148" t="s">
        <v>478</v>
      </c>
      <c r="C1195" s="149">
        <v>1</v>
      </c>
      <c r="D1195" s="149" t="s">
        <v>73</v>
      </c>
      <c r="E1195" s="149">
        <v>5</v>
      </c>
      <c r="F1195" s="150">
        <v>0.9</v>
      </c>
      <c r="G1195" s="150"/>
      <c r="H1195" s="150">
        <v>2.0499999999999998</v>
      </c>
      <c r="I1195" s="151">
        <f>ROUND(PRODUCT(C1195:H1195),2)</f>
        <v>9.23</v>
      </c>
      <c r="J1195" s="180"/>
    </row>
    <row r="1196" spans="1:10" s="181" customFormat="1">
      <c r="A1196" s="276"/>
      <c r="B1196" s="148" t="s">
        <v>484</v>
      </c>
      <c r="C1196" s="149">
        <v>1</v>
      </c>
      <c r="D1196" s="149" t="s">
        <v>73</v>
      </c>
      <c r="E1196" s="149">
        <v>2</v>
      </c>
      <c r="F1196" s="150">
        <v>0.9</v>
      </c>
      <c r="G1196" s="150"/>
      <c r="H1196" s="150">
        <v>2.0499999999999998</v>
      </c>
      <c r="I1196" s="151">
        <f>ROUND(PRODUCT(C1196:H1196),2)</f>
        <v>3.69</v>
      </c>
      <c r="J1196" s="180"/>
    </row>
    <row r="1197" spans="1:10" s="181" customFormat="1">
      <c r="A1197" s="276"/>
      <c r="B1197" s="148"/>
      <c r="C1197" s="149"/>
      <c r="D1197" s="149"/>
      <c r="E1197" s="149"/>
      <c r="F1197" s="150"/>
      <c r="G1197" s="150"/>
      <c r="H1197" s="150"/>
      <c r="I1197" s="159">
        <f>SUM(I1193:I1196)</f>
        <v>25.84</v>
      </c>
      <c r="J1197" s="180"/>
    </row>
    <row r="1198" spans="1:10" s="181" customFormat="1">
      <c r="A1198" s="276"/>
      <c r="B1198" s="148"/>
      <c r="C1198" s="149"/>
      <c r="D1198" s="149"/>
      <c r="E1198" s="149"/>
      <c r="F1198" s="150"/>
      <c r="G1198" s="158"/>
      <c r="H1198" s="158" t="s">
        <v>74</v>
      </c>
      <c r="I1198" s="159">
        <f>ROUNDUP(I1197,1)</f>
        <v>25.900000000000002</v>
      </c>
      <c r="J1198" s="180" t="s">
        <v>75</v>
      </c>
    </row>
    <row r="1199" spans="1:10" s="181" customFormat="1">
      <c r="A1199" s="276"/>
      <c r="B1199" s="148"/>
      <c r="C1199" s="149"/>
      <c r="D1199" s="149"/>
      <c r="E1199" s="149"/>
      <c r="F1199" s="150"/>
      <c r="G1199" s="158"/>
      <c r="H1199" s="158"/>
      <c r="I1199" s="159"/>
      <c r="J1199" s="180"/>
    </row>
    <row r="1200" spans="1:10" s="181" customFormat="1" ht="56.25">
      <c r="A1200" s="276">
        <v>23.5</v>
      </c>
      <c r="B1200" s="155" t="s">
        <v>485</v>
      </c>
      <c r="C1200" s="149"/>
      <c r="D1200" s="149"/>
      <c r="E1200" s="149"/>
      <c r="F1200" s="150"/>
      <c r="G1200" s="150"/>
      <c r="H1200" s="150"/>
      <c r="I1200" s="151"/>
      <c r="J1200" s="180"/>
    </row>
    <row r="1201" spans="1:10" s="181" customFormat="1">
      <c r="A1201" s="276"/>
      <c r="B1201" s="155" t="s">
        <v>486</v>
      </c>
      <c r="C1201" s="149"/>
      <c r="D1201" s="149"/>
      <c r="E1201" s="149"/>
      <c r="F1201" s="150"/>
      <c r="G1201" s="150"/>
      <c r="H1201" s="150"/>
      <c r="I1201" s="151"/>
      <c r="J1201" s="180"/>
    </row>
    <row r="1202" spans="1:10" s="181" customFormat="1">
      <c r="A1202" s="276"/>
      <c r="B1202" s="148" t="s">
        <v>487</v>
      </c>
      <c r="C1202" s="149">
        <v>1</v>
      </c>
      <c r="D1202" s="149" t="s">
        <v>73</v>
      </c>
      <c r="E1202" s="149">
        <v>2</v>
      </c>
      <c r="F1202" s="150"/>
      <c r="G1202" s="150"/>
      <c r="H1202" s="150"/>
      <c r="I1202" s="159">
        <f>ROUND(PRODUCT(C1202:H1202),2)</f>
        <v>2</v>
      </c>
      <c r="J1202" s="180" t="s">
        <v>128</v>
      </c>
    </row>
    <row r="1203" spans="1:10" s="181" customFormat="1">
      <c r="A1203" s="276"/>
      <c r="B1203" s="148"/>
      <c r="C1203" s="149"/>
      <c r="D1203" s="149"/>
      <c r="E1203" s="149"/>
      <c r="F1203" s="150"/>
      <c r="G1203" s="150"/>
      <c r="H1203" s="150"/>
      <c r="I1203" s="159"/>
      <c r="J1203" s="180"/>
    </row>
    <row r="1204" spans="1:10" s="181" customFormat="1" ht="56.25">
      <c r="A1204" s="276">
        <v>24.1</v>
      </c>
      <c r="B1204" s="155" t="s">
        <v>488</v>
      </c>
      <c r="C1204" s="149"/>
      <c r="D1204" s="149"/>
      <c r="E1204" s="149"/>
      <c r="F1204" s="150"/>
      <c r="G1204" s="150"/>
      <c r="H1204" s="150"/>
      <c r="I1204" s="151"/>
      <c r="J1204" s="180"/>
    </row>
    <row r="1205" spans="1:10" s="181" customFormat="1">
      <c r="A1205" s="276"/>
      <c r="B1205" s="155" t="s">
        <v>489</v>
      </c>
      <c r="C1205" s="149"/>
      <c r="D1205" s="149"/>
      <c r="E1205" s="149"/>
      <c r="F1205" s="150"/>
      <c r="G1205" s="150"/>
      <c r="H1205" s="150"/>
      <c r="I1205" s="151"/>
      <c r="J1205" s="180"/>
    </row>
    <row r="1206" spans="1:10" s="181" customFormat="1" ht="18" customHeight="1">
      <c r="A1206" s="276"/>
      <c r="B1206" s="155" t="s">
        <v>189</v>
      </c>
      <c r="C1206" s="149"/>
      <c r="D1206" s="149"/>
      <c r="E1206" s="149"/>
      <c r="F1206" s="150"/>
      <c r="G1206" s="150"/>
      <c r="H1206" s="150"/>
      <c r="I1206" s="151"/>
      <c r="J1206" s="180"/>
    </row>
    <row r="1207" spans="1:10" s="181" customFormat="1">
      <c r="A1207" s="276"/>
      <c r="B1207" s="148" t="s">
        <v>490</v>
      </c>
      <c r="C1207" s="149">
        <v>1</v>
      </c>
      <c r="D1207" s="149" t="s">
        <v>73</v>
      </c>
      <c r="E1207" s="149">
        <v>2</v>
      </c>
      <c r="F1207" s="150">
        <v>0.9</v>
      </c>
      <c r="G1207" s="150"/>
      <c r="H1207" s="150">
        <v>0.45</v>
      </c>
      <c r="I1207" s="151">
        <f>ROUND(PRODUCT(C1207:H1207),2)</f>
        <v>0.81</v>
      </c>
      <c r="J1207" s="221"/>
    </row>
    <row r="1208" spans="1:10" s="181" customFormat="1" ht="18.75" customHeight="1">
      <c r="B1208" s="148"/>
      <c r="C1208" s="149"/>
      <c r="D1208" s="149"/>
      <c r="E1208" s="149"/>
      <c r="F1208" s="150"/>
      <c r="G1208" s="150"/>
      <c r="H1208" s="224" t="s">
        <v>11</v>
      </c>
      <c r="I1208" s="159">
        <f>ROUNDUP(I1207,1)</f>
        <v>0.9</v>
      </c>
      <c r="J1208" s="180" t="s">
        <v>75</v>
      </c>
    </row>
    <row r="1209" spans="1:10" s="181" customFormat="1" ht="18.75" customHeight="1">
      <c r="B1209" s="148"/>
      <c r="C1209" s="149"/>
      <c r="D1209" s="149"/>
      <c r="E1209" s="149"/>
      <c r="F1209" s="150"/>
      <c r="G1209" s="150"/>
      <c r="H1209" s="224"/>
      <c r="I1209" s="159"/>
      <c r="J1209" s="180"/>
    </row>
    <row r="1210" spans="1:10" s="181" customFormat="1" ht="104.25" customHeight="1">
      <c r="A1210" s="276">
        <v>29.8</v>
      </c>
      <c r="B1210" s="178" t="s">
        <v>491</v>
      </c>
      <c r="C1210" s="149"/>
      <c r="D1210" s="149"/>
      <c r="E1210" s="149"/>
      <c r="F1210" s="150"/>
      <c r="G1210" s="158"/>
      <c r="H1210" s="150"/>
      <c r="I1210" s="159"/>
      <c r="J1210" s="180"/>
    </row>
    <row r="1211" spans="1:10" s="181" customFormat="1">
      <c r="A1211" s="276"/>
      <c r="B1211" s="155" t="s">
        <v>492</v>
      </c>
      <c r="C1211" s="149"/>
      <c r="D1211" s="149"/>
      <c r="E1211" s="149"/>
      <c r="F1211" s="150"/>
      <c r="G1211" s="158"/>
      <c r="H1211" s="150"/>
      <c r="I1211" s="159"/>
      <c r="J1211" s="180"/>
    </row>
    <row r="1212" spans="1:10" s="181" customFormat="1">
      <c r="B1212" s="148" t="s">
        <v>493</v>
      </c>
      <c r="C1212" s="149">
        <v>1</v>
      </c>
      <c r="D1212" s="156" t="s">
        <v>73</v>
      </c>
      <c r="E1212" s="149">
        <v>2</v>
      </c>
      <c r="F1212" s="150">
        <f>2*(1.5+2.7)</f>
        <v>8.4</v>
      </c>
      <c r="G1212" s="150"/>
      <c r="H1212" s="150">
        <v>1.5</v>
      </c>
      <c r="I1212" s="151">
        <f>ROUND(PRODUCT(C1212:H1212),2)</f>
        <v>25.2</v>
      </c>
      <c r="J1212" s="180"/>
    </row>
    <row r="1213" spans="1:10" s="181" customFormat="1" ht="16.5" customHeight="1">
      <c r="A1213" s="276"/>
      <c r="B1213" s="148" t="s">
        <v>1345</v>
      </c>
      <c r="C1213" s="149">
        <v>1</v>
      </c>
      <c r="D1213" s="156" t="s">
        <v>73</v>
      </c>
      <c r="E1213" s="149">
        <v>1</v>
      </c>
      <c r="F1213" s="150">
        <v>0.75</v>
      </c>
      <c r="G1213" s="150"/>
      <c r="H1213" s="165">
        <v>1.425</v>
      </c>
      <c r="I1213" s="151">
        <f>-ROUND(PRODUCT(C1213:H1213),2)</f>
        <v>-1.07</v>
      </c>
      <c r="J1213" s="180"/>
    </row>
    <row r="1214" spans="1:10" s="181" customFormat="1" ht="16.5" customHeight="1">
      <c r="A1214" s="276"/>
      <c r="B1214" s="148" t="s">
        <v>1344</v>
      </c>
      <c r="C1214" s="149">
        <v>1</v>
      </c>
      <c r="D1214" s="156" t="s">
        <v>73</v>
      </c>
      <c r="E1214" s="149">
        <v>1</v>
      </c>
      <c r="F1214" s="150">
        <v>1</v>
      </c>
      <c r="G1214" s="150"/>
      <c r="H1214" s="165">
        <v>1.425</v>
      </c>
      <c r="I1214" s="151">
        <f>-ROUND(PRODUCT(C1214:H1214),2)</f>
        <v>-1.43</v>
      </c>
      <c r="J1214" s="180"/>
    </row>
    <row r="1215" spans="1:10" s="181" customFormat="1">
      <c r="A1215" s="276"/>
      <c r="B1215" s="148" t="s">
        <v>495</v>
      </c>
      <c r="C1215" s="149">
        <v>2</v>
      </c>
      <c r="D1215" s="156" t="s">
        <v>73</v>
      </c>
      <c r="E1215" s="149">
        <v>2</v>
      </c>
      <c r="F1215" s="165">
        <v>0.23</v>
      </c>
      <c r="G1215" s="150"/>
      <c r="H1215" s="150">
        <v>1.5</v>
      </c>
      <c r="I1215" s="151">
        <f>ROUND(PRODUCT(C1215:H1215),2)</f>
        <v>1.38</v>
      </c>
      <c r="J1215" s="180"/>
    </row>
    <row r="1216" spans="1:10" s="181" customFormat="1" ht="16.5" customHeight="1">
      <c r="A1216" s="276"/>
      <c r="B1216" s="155" t="s">
        <v>171</v>
      </c>
      <c r="C1216" s="149"/>
      <c r="D1216" s="149"/>
      <c r="E1216" s="149"/>
      <c r="F1216" s="150"/>
      <c r="G1216" s="158"/>
      <c r="H1216" s="150"/>
      <c r="I1216" s="151">
        <f>ROUND(PRODUCT(C1216:H1216),2)</f>
        <v>0</v>
      </c>
      <c r="J1216" s="180"/>
    </row>
    <row r="1217" spans="1:10" s="181" customFormat="1" ht="19.5" customHeight="1">
      <c r="B1217" s="148" t="s">
        <v>177</v>
      </c>
      <c r="C1217" s="149">
        <v>1</v>
      </c>
      <c r="D1217" s="156" t="s">
        <v>73</v>
      </c>
      <c r="E1217" s="149">
        <v>1</v>
      </c>
      <c r="F1217" s="150">
        <f>2*(2.075+1.32)</f>
        <v>6.7900000000000009</v>
      </c>
      <c r="G1217" s="150"/>
      <c r="H1217" s="150">
        <v>2.1</v>
      </c>
      <c r="I1217" s="151">
        <f>ROUND(PRODUCT(C1217:H1217),2)</f>
        <v>14.26</v>
      </c>
      <c r="J1217" s="180"/>
    </row>
    <row r="1218" spans="1:10" s="181" customFormat="1">
      <c r="A1218" s="276"/>
      <c r="B1218" s="148" t="s">
        <v>494</v>
      </c>
      <c r="C1218" s="149">
        <v>1</v>
      </c>
      <c r="D1218" s="156" t="s">
        <v>73</v>
      </c>
      <c r="E1218" s="149">
        <v>1</v>
      </c>
      <c r="F1218" s="150">
        <v>0.75</v>
      </c>
      <c r="G1218" s="150"/>
      <c r="H1218" s="165">
        <v>2.0249999999999999</v>
      </c>
      <c r="I1218" s="151">
        <f>-ROUND(PRODUCT(C1218:H1218),2)</f>
        <v>-1.52</v>
      </c>
      <c r="J1218" s="180"/>
    </row>
    <row r="1219" spans="1:10" s="181" customFormat="1">
      <c r="A1219" s="276"/>
      <c r="B1219" s="148" t="s">
        <v>495</v>
      </c>
      <c r="C1219" s="149">
        <v>1</v>
      </c>
      <c r="D1219" s="156" t="s">
        <v>73</v>
      </c>
      <c r="E1219" s="149">
        <v>2</v>
      </c>
      <c r="F1219" s="165">
        <v>0.115</v>
      </c>
      <c r="G1219" s="150"/>
      <c r="H1219" s="150">
        <v>2.1</v>
      </c>
      <c r="I1219" s="151">
        <f>ROUND(PRODUCT(C1219:H1219),2)</f>
        <v>0.48</v>
      </c>
      <c r="J1219" s="180"/>
    </row>
    <row r="1220" spans="1:10" s="181" customFormat="1">
      <c r="A1220" s="276"/>
      <c r="B1220" s="148" t="s">
        <v>496</v>
      </c>
      <c r="C1220" s="149">
        <v>1</v>
      </c>
      <c r="D1220" s="156" t="s">
        <v>73</v>
      </c>
      <c r="E1220" s="149">
        <v>1</v>
      </c>
      <c r="F1220" s="150">
        <f>2*(1.85+1.255)</f>
        <v>6.21</v>
      </c>
      <c r="G1220" s="150"/>
      <c r="H1220" s="150">
        <v>1.5</v>
      </c>
      <c r="I1220" s="151">
        <f>ROUND(PRODUCT(C1220:H1220),2)</f>
        <v>9.32</v>
      </c>
      <c r="J1220" s="180"/>
    </row>
    <row r="1221" spans="1:10" s="181" customFormat="1">
      <c r="A1221" s="276"/>
      <c r="B1221" s="148" t="s">
        <v>494</v>
      </c>
      <c r="C1221" s="149">
        <v>1</v>
      </c>
      <c r="D1221" s="156" t="s">
        <v>73</v>
      </c>
      <c r="E1221" s="149">
        <v>1</v>
      </c>
      <c r="F1221" s="150">
        <v>0.75</v>
      </c>
      <c r="G1221" s="150"/>
      <c r="H1221" s="165">
        <v>1.425</v>
      </c>
      <c r="I1221" s="151">
        <f>-ROUND(PRODUCT(C1221:H1221),2)</f>
        <v>-1.07</v>
      </c>
      <c r="J1221" s="180"/>
    </row>
    <row r="1222" spans="1:10" s="181" customFormat="1">
      <c r="A1222" s="276"/>
      <c r="B1222" s="148" t="s">
        <v>495</v>
      </c>
      <c r="C1222" s="149">
        <v>1</v>
      </c>
      <c r="D1222" s="156" t="s">
        <v>73</v>
      </c>
      <c r="E1222" s="149">
        <v>2</v>
      </c>
      <c r="F1222" s="165">
        <v>0.115</v>
      </c>
      <c r="G1222" s="150"/>
      <c r="H1222" s="150">
        <v>1.5</v>
      </c>
      <c r="I1222" s="151">
        <f>ROUND(PRODUCT(C1222:H1222),2)</f>
        <v>0.35</v>
      </c>
      <c r="J1222" s="180"/>
    </row>
    <row r="1223" spans="1:10" s="181" customFormat="1">
      <c r="A1223" s="276"/>
      <c r="B1223" s="155" t="s">
        <v>157</v>
      </c>
      <c r="C1223" s="149"/>
      <c r="D1223" s="149"/>
      <c r="E1223" s="149"/>
      <c r="F1223" s="150"/>
      <c r="G1223" s="150"/>
      <c r="H1223" s="150"/>
      <c r="I1223" s="151">
        <f>ROUND(PRODUCT(C1223:H1223),2)</f>
        <v>0</v>
      </c>
      <c r="J1223" s="180"/>
    </row>
    <row r="1224" spans="1:10" s="181" customFormat="1">
      <c r="A1224" s="276"/>
      <c r="B1224" s="148" t="s">
        <v>177</v>
      </c>
      <c r="C1224" s="149">
        <v>1</v>
      </c>
      <c r="D1224" s="156" t="s">
        <v>73</v>
      </c>
      <c r="E1224" s="149">
        <v>1</v>
      </c>
      <c r="F1224" s="150">
        <f>2*(2.075+1.32)</f>
        <v>6.7900000000000009</v>
      </c>
      <c r="G1224" s="150"/>
      <c r="H1224" s="150">
        <v>2.1</v>
      </c>
      <c r="I1224" s="151">
        <f>ROUND(PRODUCT(C1224:H1224),2)</f>
        <v>14.26</v>
      </c>
      <c r="J1224" s="180"/>
    </row>
    <row r="1225" spans="1:10" s="181" customFormat="1">
      <c r="A1225" s="276"/>
      <c r="B1225" s="148" t="s">
        <v>494</v>
      </c>
      <c r="C1225" s="149">
        <v>1</v>
      </c>
      <c r="D1225" s="156" t="s">
        <v>73</v>
      </c>
      <c r="E1225" s="149">
        <v>1</v>
      </c>
      <c r="F1225" s="150">
        <v>0.75</v>
      </c>
      <c r="G1225" s="150"/>
      <c r="H1225" s="165">
        <v>2.0249999999999999</v>
      </c>
      <c r="I1225" s="151">
        <f>-ROUND(PRODUCT(C1225:H1225),2)</f>
        <v>-1.52</v>
      </c>
      <c r="J1225" s="180"/>
    </row>
    <row r="1226" spans="1:10" s="181" customFormat="1">
      <c r="A1226" s="276"/>
      <c r="B1226" s="148" t="s">
        <v>495</v>
      </c>
      <c r="C1226" s="149">
        <v>1</v>
      </c>
      <c r="D1226" s="156" t="s">
        <v>73</v>
      </c>
      <c r="E1226" s="149">
        <v>2</v>
      </c>
      <c r="F1226" s="165">
        <v>0.115</v>
      </c>
      <c r="G1226" s="150"/>
      <c r="H1226" s="150">
        <v>2.1</v>
      </c>
      <c r="I1226" s="151">
        <f>ROUND(PRODUCT(C1226:H1226),2)</f>
        <v>0.48</v>
      </c>
      <c r="J1226" s="180"/>
    </row>
    <row r="1227" spans="1:10" s="181" customFormat="1">
      <c r="A1227" s="276"/>
      <c r="B1227" s="148" t="s">
        <v>496</v>
      </c>
      <c r="C1227" s="149">
        <v>1</v>
      </c>
      <c r="D1227" s="156" t="s">
        <v>73</v>
      </c>
      <c r="E1227" s="149">
        <v>1</v>
      </c>
      <c r="F1227" s="150">
        <f>2*(1.85+1.255)</f>
        <v>6.21</v>
      </c>
      <c r="G1227" s="150"/>
      <c r="H1227" s="150">
        <v>1.5</v>
      </c>
      <c r="I1227" s="151">
        <f>ROUND(PRODUCT(C1227:H1227),2)</f>
        <v>9.32</v>
      </c>
      <c r="J1227" s="180"/>
    </row>
    <row r="1228" spans="1:10" s="181" customFormat="1">
      <c r="A1228" s="276"/>
      <c r="B1228" s="148" t="s">
        <v>494</v>
      </c>
      <c r="C1228" s="149">
        <v>1</v>
      </c>
      <c r="D1228" s="156" t="s">
        <v>73</v>
      </c>
      <c r="E1228" s="149">
        <v>1</v>
      </c>
      <c r="F1228" s="150">
        <v>0.75</v>
      </c>
      <c r="G1228" s="150"/>
      <c r="H1228" s="165">
        <v>1.425</v>
      </c>
      <c r="I1228" s="151">
        <f>-ROUND(PRODUCT(C1228:H1228),2)</f>
        <v>-1.07</v>
      </c>
      <c r="J1228" s="180"/>
    </row>
    <row r="1229" spans="1:10" s="181" customFormat="1">
      <c r="A1229" s="276"/>
      <c r="B1229" s="148" t="s">
        <v>495</v>
      </c>
      <c r="C1229" s="149">
        <v>1</v>
      </c>
      <c r="D1229" s="156" t="s">
        <v>73</v>
      </c>
      <c r="E1229" s="149">
        <v>2</v>
      </c>
      <c r="F1229" s="165">
        <v>0.115</v>
      </c>
      <c r="G1229" s="150"/>
      <c r="H1229" s="150">
        <v>1.5</v>
      </c>
      <c r="I1229" s="151">
        <f>ROUND(PRODUCT(C1229:H1229),2)</f>
        <v>0.35</v>
      </c>
      <c r="J1229" s="180"/>
    </row>
    <row r="1230" spans="1:10" s="181" customFormat="1">
      <c r="A1230" s="276"/>
      <c r="B1230" s="155" t="s">
        <v>188</v>
      </c>
      <c r="C1230" s="220"/>
      <c r="D1230" s="225"/>
      <c r="E1230" s="220"/>
      <c r="F1230" s="158"/>
      <c r="G1230" s="158"/>
      <c r="H1230" s="158"/>
      <c r="I1230" s="159"/>
      <c r="J1230" s="180"/>
    </row>
    <row r="1231" spans="1:10" s="181" customFormat="1">
      <c r="A1231" s="276"/>
      <c r="B1231" s="148" t="s">
        <v>497</v>
      </c>
      <c r="C1231" s="149">
        <v>1</v>
      </c>
      <c r="D1231" s="156" t="s">
        <v>73</v>
      </c>
      <c r="E1231" s="149">
        <v>2</v>
      </c>
      <c r="F1231" s="150">
        <f>2*(1.32+1.485)</f>
        <v>5.61</v>
      </c>
      <c r="G1231" s="150"/>
      <c r="H1231" s="150">
        <v>1.5</v>
      </c>
      <c r="I1231" s="151">
        <f>ROUND(PRODUCT(C1231:H1231),2)</f>
        <v>16.829999999999998</v>
      </c>
      <c r="J1231" s="180"/>
    </row>
    <row r="1232" spans="1:10" s="181" customFormat="1">
      <c r="A1232" s="276"/>
      <c r="B1232" s="148" t="s">
        <v>1345</v>
      </c>
      <c r="C1232" s="149">
        <v>1</v>
      </c>
      <c r="D1232" s="156" t="s">
        <v>73</v>
      </c>
      <c r="E1232" s="149">
        <v>2</v>
      </c>
      <c r="F1232" s="150">
        <v>0.75</v>
      </c>
      <c r="G1232" s="150"/>
      <c r="H1232" s="165">
        <v>1.425</v>
      </c>
      <c r="I1232" s="151">
        <f>-ROUND(PRODUCT(C1232:H1232),2)</f>
        <v>-2.14</v>
      </c>
      <c r="J1232" s="180"/>
    </row>
    <row r="1233" spans="1:10" s="181" customFormat="1">
      <c r="A1233" s="276"/>
      <c r="B1233" s="148" t="s">
        <v>495</v>
      </c>
      <c r="C1233" s="149">
        <v>1</v>
      </c>
      <c r="D1233" s="156" t="s">
        <v>73</v>
      </c>
      <c r="E1233" s="149">
        <v>2</v>
      </c>
      <c r="F1233" s="165">
        <v>0.115</v>
      </c>
      <c r="G1233" s="150"/>
      <c r="H1233" s="150">
        <v>1.5</v>
      </c>
      <c r="I1233" s="151">
        <f>ROUND(PRODUCT(C1233:H1233),2)</f>
        <v>0.35</v>
      </c>
      <c r="J1233" s="180"/>
    </row>
    <row r="1234" spans="1:10" s="181" customFormat="1">
      <c r="A1234" s="276"/>
      <c r="B1234" s="148" t="s">
        <v>160</v>
      </c>
      <c r="C1234" s="149">
        <v>1</v>
      </c>
      <c r="D1234" s="156" t="s">
        <v>73</v>
      </c>
      <c r="E1234" s="149">
        <v>2</v>
      </c>
      <c r="F1234" s="150">
        <f>2*(1.21+1.485)</f>
        <v>5.3900000000000006</v>
      </c>
      <c r="G1234" s="150"/>
      <c r="H1234" s="150">
        <v>1.5</v>
      </c>
      <c r="I1234" s="151">
        <f>ROUND(PRODUCT(C1234:H1234),2)</f>
        <v>16.170000000000002</v>
      </c>
      <c r="J1234" s="180"/>
    </row>
    <row r="1235" spans="1:10" s="181" customFormat="1">
      <c r="A1235" s="276"/>
      <c r="B1235" s="148" t="s">
        <v>1345</v>
      </c>
      <c r="C1235" s="149">
        <v>1</v>
      </c>
      <c r="D1235" s="156" t="s">
        <v>73</v>
      </c>
      <c r="E1235" s="149">
        <v>2</v>
      </c>
      <c r="F1235" s="150">
        <v>0.75</v>
      </c>
      <c r="G1235" s="150"/>
      <c r="H1235" s="165">
        <v>1.425</v>
      </c>
      <c r="I1235" s="151">
        <f>-ROUND(PRODUCT(C1235:H1235),2)</f>
        <v>-2.14</v>
      </c>
      <c r="J1235" s="180"/>
    </row>
    <row r="1236" spans="1:10" s="181" customFormat="1">
      <c r="A1236" s="276"/>
      <c r="B1236" s="148" t="s">
        <v>495</v>
      </c>
      <c r="C1236" s="149">
        <v>1</v>
      </c>
      <c r="D1236" s="156" t="s">
        <v>73</v>
      </c>
      <c r="E1236" s="149">
        <v>2</v>
      </c>
      <c r="F1236" s="165">
        <v>0.115</v>
      </c>
      <c r="G1236" s="150"/>
      <c r="H1236" s="150">
        <v>1.5</v>
      </c>
      <c r="I1236" s="151">
        <f>ROUND(PRODUCT(C1236:H1236),2)</f>
        <v>0.35</v>
      </c>
      <c r="J1236" s="180"/>
    </row>
    <row r="1237" spans="1:10" s="221" customFormat="1">
      <c r="A1237" s="276"/>
      <c r="B1237" s="148" t="s">
        <v>160</v>
      </c>
      <c r="C1237" s="149">
        <v>1</v>
      </c>
      <c r="D1237" s="156" t="s">
        <v>73</v>
      </c>
      <c r="E1237" s="149">
        <v>2</v>
      </c>
      <c r="F1237" s="150">
        <f>2*(1.85+1.485)</f>
        <v>6.67</v>
      </c>
      <c r="G1237" s="150"/>
      <c r="H1237" s="150">
        <v>1.5</v>
      </c>
      <c r="I1237" s="151">
        <f>ROUND(PRODUCT(C1237:H1237),2)</f>
        <v>20.010000000000002</v>
      </c>
      <c r="J1237" s="180"/>
    </row>
    <row r="1238" spans="1:10" s="181" customFormat="1">
      <c r="A1238" s="276"/>
      <c r="B1238" s="148" t="s">
        <v>1345</v>
      </c>
      <c r="C1238" s="149">
        <v>1</v>
      </c>
      <c r="D1238" s="156" t="s">
        <v>73</v>
      </c>
      <c r="E1238" s="149">
        <v>2</v>
      </c>
      <c r="F1238" s="150">
        <v>0.75</v>
      </c>
      <c r="G1238" s="150"/>
      <c r="H1238" s="165">
        <v>1.425</v>
      </c>
      <c r="I1238" s="151">
        <f>-ROUND(PRODUCT(C1238:H1238),2)</f>
        <v>-2.14</v>
      </c>
      <c r="J1238" s="180"/>
    </row>
    <row r="1239" spans="1:10" s="181" customFormat="1">
      <c r="A1239" s="276"/>
      <c r="B1239" s="148" t="s">
        <v>495</v>
      </c>
      <c r="C1239" s="149">
        <v>1</v>
      </c>
      <c r="D1239" s="156" t="s">
        <v>73</v>
      </c>
      <c r="E1239" s="149">
        <v>2</v>
      </c>
      <c r="F1239" s="165">
        <v>0.115</v>
      </c>
      <c r="G1239" s="150"/>
      <c r="H1239" s="150">
        <v>1.5</v>
      </c>
      <c r="I1239" s="151">
        <f>ROUND(PRODUCT(C1239:H1239),2)</f>
        <v>0.35</v>
      </c>
      <c r="J1239" s="180"/>
    </row>
    <row r="1240" spans="1:10" s="181" customFormat="1">
      <c r="A1240" s="276"/>
      <c r="B1240" s="148"/>
      <c r="C1240" s="149"/>
      <c r="D1240" s="149"/>
      <c r="E1240" s="149"/>
      <c r="F1240" s="150"/>
      <c r="G1240" s="150"/>
      <c r="H1240" s="158"/>
      <c r="I1240" s="159">
        <f>SUM(I1212:I1239)</f>
        <v>115.35999999999997</v>
      </c>
      <c r="J1240" s="180"/>
    </row>
    <row r="1241" spans="1:10" s="181" customFormat="1">
      <c r="A1241" s="276"/>
      <c r="B1241" s="148"/>
      <c r="C1241" s="149"/>
      <c r="D1241" s="149"/>
      <c r="E1241" s="149"/>
      <c r="F1241" s="150"/>
      <c r="G1241" s="150"/>
      <c r="H1241" s="158" t="s">
        <v>74</v>
      </c>
      <c r="I1241" s="159">
        <f>ROUNDUP(I1240,1)</f>
        <v>115.39999999999999</v>
      </c>
      <c r="J1241" s="180" t="s">
        <v>75</v>
      </c>
    </row>
    <row r="1242" spans="1:10" s="181" customFormat="1">
      <c r="A1242" s="276"/>
      <c r="B1242" s="148"/>
      <c r="C1242" s="149"/>
      <c r="D1242" s="149"/>
      <c r="E1242" s="149"/>
      <c r="F1242" s="150"/>
      <c r="G1242" s="150"/>
      <c r="H1242" s="158"/>
      <c r="I1242" s="159"/>
      <c r="J1242" s="180"/>
    </row>
    <row r="1243" spans="1:10" s="181" customFormat="1" ht="104.25" customHeight="1">
      <c r="A1243" s="276">
        <v>29.9</v>
      </c>
      <c r="B1243" s="206" t="s">
        <v>498</v>
      </c>
      <c r="C1243" s="149"/>
      <c r="D1243" s="149"/>
      <c r="E1243" s="149"/>
      <c r="F1243" s="150"/>
      <c r="G1243" s="158"/>
      <c r="H1243" s="158"/>
      <c r="I1243" s="159"/>
      <c r="J1243" s="180"/>
    </row>
    <row r="1244" spans="1:10" s="181" customFormat="1">
      <c r="A1244" s="276"/>
      <c r="B1244" s="155" t="s">
        <v>287</v>
      </c>
      <c r="C1244" s="149"/>
      <c r="D1244" s="149"/>
      <c r="E1244" s="149"/>
      <c r="F1244" s="150"/>
      <c r="G1244" s="158"/>
      <c r="H1244" s="158"/>
      <c r="I1244" s="159"/>
      <c r="J1244" s="180"/>
    </row>
    <row r="1245" spans="1:10" s="181" customFormat="1">
      <c r="A1245" s="276"/>
      <c r="B1245" s="148" t="s">
        <v>499</v>
      </c>
      <c r="C1245" s="149">
        <v>1</v>
      </c>
      <c r="D1245" s="156" t="s">
        <v>73</v>
      </c>
      <c r="E1245" s="149">
        <v>2</v>
      </c>
      <c r="F1245" s="150">
        <v>2.7</v>
      </c>
      <c r="G1245" s="150">
        <v>1.5</v>
      </c>
      <c r="H1245" s="150"/>
      <c r="I1245" s="151">
        <f t="shared" ref="I1245:I1264" si="150">ROUND(PRODUCT(C1245:H1245),2)</f>
        <v>8.1</v>
      </c>
      <c r="J1245" s="180"/>
    </row>
    <row r="1246" spans="1:10" s="181" customFormat="1">
      <c r="A1246" s="276"/>
      <c r="B1246" s="148" t="s">
        <v>501</v>
      </c>
      <c r="C1246" s="149">
        <v>1</v>
      </c>
      <c r="D1246" s="149" t="s">
        <v>73</v>
      </c>
      <c r="E1246" s="149">
        <v>1</v>
      </c>
      <c r="F1246" s="150">
        <v>0.55000000000000004</v>
      </c>
      <c r="G1246" s="150">
        <v>0.45</v>
      </c>
      <c r="H1246" s="150"/>
      <c r="I1246" s="151">
        <f>-ROUND(PRODUCT(C1246:H1246),2)</f>
        <v>-0.25</v>
      </c>
      <c r="J1246" s="180"/>
    </row>
    <row r="1247" spans="1:10" s="181" customFormat="1">
      <c r="A1247" s="276"/>
      <c r="B1247" s="148" t="s">
        <v>500</v>
      </c>
      <c r="C1247" s="149">
        <v>1</v>
      </c>
      <c r="D1247" s="156" t="s">
        <v>73</v>
      </c>
      <c r="E1247" s="149">
        <v>2</v>
      </c>
      <c r="F1247" s="150">
        <v>0.75</v>
      </c>
      <c r="G1247" s="150">
        <v>0.23</v>
      </c>
      <c r="H1247" s="150"/>
      <c r="I1247" s="151">
        <f t="shared" si="150"/>
        <v>0.35</v>
      </c>
      <c r="J1247" s="180"/>
    </row>
    <row r="1248" spans="1:10" s="181" customFormat="1">
      <c r="A1248" s="276"/>
      <c r="B1248" s="155" t="s">
        <v>171</v>
      </c>
      <c r="C1248" s="149"/>
      <c r="D1248" s="149"/>
      <c r="E1248" s="149"/>
      <c r="F1248" s="150"/>
      <c r="G1248" s="158"/>
      <c r="H1248" s="150"/>
      <c r="I1248" s="151">
        <f t="shared" si="150"/>
        <v>0</v>
      </c>
      <c r="J1248" s="180"/>
    </row>
    <row r="1249" spans="1:10" s="181" customFormat="1">
      <c r="A1249" s="276"/>
      <c r="B1249" s="148" t="s">
        <v>175</v>
      </c>
      <c r="C1249" s="149">
        <v>1</v>
      </c>
      <c r="D1249" s="149" t="s">
        <v>73</v>
      </c>
      <c r="E1249" s="149">
        <v>1</v>
      </c>
      <c r="F1249" s="150">
        <v>1.32</v>
      </c>
      <c r="G1249" s="165">
        <v>2.0750000000000002</v>
      </c>
      <c r="H1249" s="150"/>
      <c r="I1249" s="151">
        <f t="shared" si="150"/>
        <v>2.74</v>
      </c>
      <c r="J1249" s="221"/>
    </row>
    <row r="1250" spans="1:10" s="181" customFormat="1" ht="19.5" customHeight="1">
      <c r="B1250" s="148" t="s">
        <v>500</v>
      </c>
      <c r="C1250" s="149">
        <v>1</v>
      </c>
      <c r="D1250" s="149" t="s">
        <v>73</v>
      </c>
      <c r="E1250" s="149">
        <v>1</v>
      </c>
      <c r="F1250" s="150">
        <v>0.75</v>
      </c>
      <c r="G1250" s="165">
        <v>0.115</v>
      </c>
      <c r="H1250" s="150"/>
      <c r="I1250" s="151">
        <f t="shared" si="150"/>
        <v>0.09</v>
      </c>
      <c r="J1250" s="180"/>
    </row>
    <row r="1251" spans="1:10" s="181" customFormat="1">
      <c r="A1251" s="249"/>
      <c r="B1251" s="148" t="s">
        <v>126</v>
      </c>
      <c r="C1251" s="149">
        <v>1</v>
      </c>
      <c r="D1251" s="149" t="s">
        <v>73</v>
      </c>
      <c r="E1251" s="149">
        <v>1</v>
      </c>
      <c r="F1251" s="150">
        <v>1.85</v>
      </c>
      <c r="G1251" s="150">
        <v>1.2549999999999999</v>
      </c>
      <c r="H1251" s="150"/>
      <c r="I1251" s="151">
        <f t="shared" si="150"/>
        <v>2.3199999999999998</v>
      </c>
      <c r="J1251" s="180"/>
    </row>
    <row r="1252" spans="1:10" s="181" customFormat="1">
      <c r="A1252" s="276"/>
      <c r="B1252" s="148" t="s">
        <v>500</v>
      </c>
      <c r="C1252" s="149">
        <v>1</v>
      </c>
      <c r="D1252" s="149" t="s">
        <v>73</v>
      </c>
      <c r="E1252" s="149">
        <v>1</v>
      </c>
      <c r="F1252" s="150">
        <v>0.75</v>
      </c>
      <c r="G1252" s="165">
        <v>0.115</v>
      </c>
      <c r="H1252" s="150"/>
      <c r="I1252" s="151">
        <f t="shared" si="150"/>
        <v>0.09</v>
      </c>
      <c r="J1252" s="180"/>
    </row>
    <row r="1253" spans="1:10" s="181" customFormat="1">
      <c r="A1253" s="276"/>
      <c r="B1253" s="155" t="s">
        <v>157</v>
      </c>
      <c r="C1253" s="149"/>
      <c r="D1253" s="149"/>
      <c r="E1253" s="149"/>
      <c r="F1253" s="150"/>
      <c r="G1253" s="150"/>
      <c r="H1253" s="150"/>
      <c r="I1253" s="151">
        <f t="shared" si="150"/>
        <v>0</v>
      </c>
      <c r="J1253" s="180"/>
    </row>
    <row r="1254" spans="1:10" s="181" customFormat="1">
      <c r="A1254" s="276"/>
      <c r="B1254" s="148" t="s">
        <v>175</v>
      </c>
      <c r="C1254" s="149">
        <v>1</v>
      </c>
      <c r="D1254" s="149" t="s">
        <v>73</v>
      </c>
      <c r="E1254" s="149">
        <v>1</v>
      </c>
      <c r="F1254" s="150">
        <v>1.32</v>
      </c>
      <c r="G1254" s="165">
        <v>2.0750000000000002</v>
      </c>
      <c r="H1254" s="150"/>
      <c r="I1254" s="151">
        <f t="shared" ref="I1254:I1257" si="151">ROUND(PRODUCT(C1254:H1254),2)</f>
        <v>2.74</v>
      </c>
      <c r="J1254" s="180"/>
    </row>
    <row r="1255" spans="1:10" s="181" customFormat="1">
      <c r="A1255" s="276"/>
      <c r="B1255" s="148" t="s">
        <v>500</v>
      </c>
      <c r="C1255" s="149">
        <v>1</v>
      </c>
      <c r="D1255" s="149" t="s">
        <v>73</v>
      </c>
      <c r="E1255" s="149">
        <v>1</v>
      </c>
      <c r="F1255" s="150">
        <v>0.75</v>
      </c>
      <c r="G1255" s="165">
        <v>0.115</v>
      </c>
      <c r="H1255" s="150"/>
      <c r="I1255" s="151">
        <f t="shared" si="151"/>
        <v>0.09</v>
      </c>
      <c r="J1255" s="180"/>
    </row>
    <row r="1256" spans="1:10" s="181" customFormat="1">
      <c r="A1256" s="276"/>
      <c r="B1256" s="148" t="s">
        <v>126</v>
      </c>
      <c r="C1256" s="149">
        <v>1</v>
      </c>
      <c r="D1256" s="149" t="s">
        <v>73</v>
      </c>
      <c r="E1256" s="149">
        <v>1</v>
      </c>
      <c r="F1256" s="150">
        <v>1.85</v>
      </c>
      <c r="G1256" s="150">
        <v>1.2549999999999999</v>
      </c>
      <c r="H1256" s="150"/>
      <c r="I1256" s="151">
        <f t="shared" si="151"/>
        <v>2.3199999999999998</v>
      </c>
      <c r="J1256" s="180"/>
    </row>
    <row r="1257" spans="1:10" s="181" customFormat="1">
      <c r="A1257" s="276"/>
      <c r="B1257" s="148" t="s">
        <v>500</v>
      </c>
      <c r="C1257" s="149">
        <v>1</v>
      </c>
      <c r="D1257" s="149" t="s">
        <v>73</v>
      </c>
      <c r="E1257" s="149">
        <v>1</v>
      </c>
      <c r="F1257" s="150">
        <v>0.75</v>
      </c>
      <c r="G1257" s="165">
        <v>0.115</v>
      </c>
      <c r="H1257" s="150"/>
      <c r="I1257" s="151">
        <f t="shared" si="151"/>
        <v>0.09</v>
      </c>
      <c r="J1257" s="180"/>
    </row>
    <row r="1258" spans="1:10" s="181" customFormat="1">
      <c r="A1258" s="276"/>
      <c r="B1258" s="155" t="s">
        <v>123</v>
      </c>
      <c r="C1258" s="149"/>
      <c r="D1258" s="149"/>
      <c r="E1258" s="149"/>
      <c r="F1258" s="150"/>
      <c r="G1258" s="150"/>
      <c r="H1258" s="150"/>
      <c r="I1258" s="151">
        <f t="shared" si="150"/>
        <v>0</v>
      </c>
      <c r="J1258" s="180"/>
    </row>
    <row r="1259" spans="1:10" s="181" customFormat="1">
      <c r="A1259" s="276"/>
      <c r="B1259" s="148" t="s">
        <v>502</v>
      </c>
      <c r="C1259" s="149">
        <v>1</v>
      </c>
      <c r="D1259" s="149" t="s">
        <v>73</v>
      </c>
      <c r="E1259" s="149">
        <v>2</v>
      </c>
      <c r="F1259" s="150">
        <v>1.85</v>
      </c>
      <c r="G1259" s="165">
        <v>1.4850000000000001</v>
      </c>
      <c r="H1259" s="150"/>
      <c r="I1259" s="151">
        <f t="shared" si="150"/>
        <v>5.49</v>
      </c>
      <c r="J1259" s="180"/>
    </row>
    <row r="1260" spans="1:10" s="181" customFormat="1">
      <c r="A1260" s="276"/>
      <c r="B1260" s="148" t="s">
        <v>500</v>
      </c>
      <c r="C1260" s="149">
        <v>1</v>
      </c>
      <c r="D1260" s="149" t="s">
        <v>73</v>
      </c>
      <c r="E1260" s="149">
        <v>2</v>
      </c>
      <c r="F1260" s="150">
        <v>0.75</v>
      </c>
      <c r="G1260" s="165">
        <v>0.115</v>
      </c>
      <c r="H1260" s="150"/>
      <c r="I1260" s="151">
        <f t="shared" si="150"/>
        <v>0.17</v>
      </c>
      <c r="J1260" s="180"/>
    </row>
    <row r="1261" spans="1:10" s="181" customFormat="1">
      <c r="A1261" s="276"/>
      <c r="B1261" s="148" t="s">
        <v>497</v>
      </c>
      <c r="C1261" s="149">
        <v>1</v>
      </c>
      <c r="D1261" s="149" t="s">
        <v>73</v>
      </c>
      <c r="E1261" s="149">
        <v>2</v>
      </c>
      <c r="F1261" s="150">
        <v>1.32</v>
      </c>
      <c r="G1261" s="165">
        <v>1.4850000000000001</v>
      </c>
      <c r="H1261" s="150"/>
      <c r="I1261" s="151">
        <f t="shared" si="150"/>
        <v>3.92</v>
      </c>
      <c r="J1261" s="180"/>
    </row>
    <row r="1262" spans="1:10" s="181" customFormat="1">
      <c r="A1262" s="276"/>
      <c r="B1262" s="148" t="s">
        <v>500</v>
      </c>
      <c r="C1262" s="149">
        <v>1</v>
      </c>
      <c r="D1262" s="149" t="s">
        <v>73</v>
      </c>
      <c r="E1262" s="149">
        <v>2</v>
      </c>
      <c r="F1262" s="150">
        <v>0.75</v>
      </c>
      <c r="G1262" s="165">
        <v>0.115</v>
      </c>
      <c r="H1262" s="150"/>
      <c r="I1262" s="151">
        <f t="shared" si="150"/>
        <v>0.17</v>
      </c>
      <c r="J1262" s="180"/>
    </row>
    <row r="1263" spans="1:10" s="181" customFormat="1">
      <c r="A1263" s="276"/>
      <c r="B1263" s="148" t="s">
        <v>160</v>
      </c>
      <c r="C1263" s="149">
        <v>1</v>
      </c>
      <c r="D1263" s="149" t="s">
        <v>73</v>
      </c>
      <c r="E1263" s="149">
        <v>1</v>
      </c>
      <c r="F1263" s="150">
        <v>1.21</v>
      </c>
      <c r="G1263" s="165">
        <v>1.4850000000000001</v>
      </c>
      <c r="H1263" s="150"/>
      <c r="I1263" s="151">
        <f t="shared" si="150"/>
        <v>1.8</v>
      </c>
      <c r="J1263" s="180"/>
    </row>
    <row r="1264" spans="1:10" s="181" customFormat="1">
      <c r="A1264" s="276"/>
      <c r="B1264" s="148" t="s">
        <v>500</v>
      </c>
      <c r="C1264" s="149">
        <v>1</v>
      </c>
      <c r="D1264" s="149" t="s">
        <v>73</v>
      </c>
      <c r="E1264" s="149">
        <v>1</v>
      </c>
      <c r="F1264" s="150">
        <v>0.75</v>
      </c>
      <c r="G1264" s="165">
        <v>0.115</v>
      </c>
      <c r="H1264" s="150"/>
      <c r="I1264" s="151">
        <f t="shared" si="150"/>
        <v>0.09</v>
      </c>
      <c r="J1264" s="180"/>
    </row>
    <row r="1265" spans="1:10" s="181" customFormat="1">
      <c r="A1265" s="276"/>
      <c r="B1265" s="148"/>
      <c r="C1265" s="149"/>
      <c r="D1265" s="149"/>
      <c r="E1265" s="149"/>
      <c r="F1265" s="150"/>
      <c r="G1265" s="150"/>
      <c r="H1265" s="158"/>
      <c r="I1265" s="159">
        <f>SUM(I1245:I1264)</f>
        <v>30.320000000000007</v>
      </c>
      <c r="J1265" s="180"/>
    </row>
    <row r="1266" spans="1:10" s="181" customFormat="1">
      <c r="A1266" s="276"/>
      <c r="B1266" s="148"/>
      <c r="C1266" s="149"/>
      <c r="D1266" s="149"/>
      <c r="E1266" s="149"/>
      <c r="F1266" s="150"/>
      <c r="G1266" s="150"/>
      <c r="H1266" s="158" t="s">
        <v>74</v>
      </c>
      <c r="I1266" s="159">
        <f>ROUNDUP(I1265,1)</f>
        <v>30.400000000000002</v>
      </c>
      <c r="J1266" s="180" t="s">
        <v>75</v>
      </c>
    </row>
    <row r="1267" spans="1:10" s="181" customFormat="1">
      <c r="A1267" s="276"/>
      <c r="B1267" s="148"/>
      <c r="C1267" s="149"/>
      <c r="D1267" s="149"/>
      <c r="E1267" s="149"/>
      <c r="F1267" s="150"/>
      <c r="G1267" s="150"/>
      <c r="H1267" s="158"/>
      <c r="I1267" s="159"/>
      <c r="J1267" s="180"/>
    </row>
    <row r="1268" spans="1:10" s="181" customFormat="1" ht="56.25">
      <c r="A1268" s="276">
        <v>31.4</v>
      </c>
      <c r="B1268" s="155" t="s">
        <v>503</v>
      </c>
      <c r="C1268" s="149"/>
      <c r="D1268" s="149"/>
      <c r="E1268" s="149"/>
      <c r="F1268" s="150"/>
      <c r="G1268" s="150"/>
      <c r="H1268" s="150"/>
      <c r="I1268" s="151"/>
      <c r="J1268" s="180"/>
    </row>
    <row r="1269" spans="1:10" s="181" customFormat="1">
      <c r="A1269" s="276"/>
      <c r="B1269" s="148" t="s">
        <v>504</v>
      </c>
      <c r="C1269" s="149">
        <v>1</v>
      </c>
      <c r="D1269" s="156" t="s">
        <v>73</v>
      </c>
      <c r="E1269" s="149">
        <v>1</v>
      </c>
      <c r="F1269" s="150">
        <v>14.24</v>
      </c>
      <c r="G1269" s="150">
        <v>3.45</v>
      </c>
      <c r="H1269" s="150"/>
      <c r="I1269" s="151">
        <f>ROUND(PRODUCT(C1269:H1269),2)</f>
        <v>49.13</v>
      </c>
      <c r="J1269" s="180"/>
    </row>
    <row r="1270" spans="1:10" s="181" customFormat="1">
      <c r="A1270" s="276"/>
      <c r="B1270" s="148" t="s">
        <v>505</v>
      </c>
      <c r="C1270" s="149">
        <v>1</v>
      </c>
      <c r="D1270" s="156" t="s">
        <v>73</v>
      </c>
      <c r="E1270" s="149">
        <v>1</v>
      </c>
      <c r="F1270" s="150">
        <f>2*(14.24+3.45)</f>
        <v>35.380000000000003</v>
      </c>
      <c r="G1270" s="150"/>
      <c r="H1270" s="150">
        <v>0.1</v>
      </c>
      <c r="I1270" s="151">
        <f t="shared" ref="I1270:I1277" si="152">ROUND(PRODUCT(C1270:H1270),2)</f>
        <v>3.54</v>
      </c>
      <c r="J1270" s="180"/>
    </row>
    <row r="1271" spans="1:10" s="181" customFormat="1">
      <c r="A1271" s="276"/>
      <c r="B1271" s="148" t="s">
        <v>505</v>
      </c>
      <c r="C1271" s="149">
        <v>2</v>
      </c>
      <c r="D1271" s="156" t="s">
        <v>73</v>
      </c>
      <c r="E1271" s="149">
        <v>4</v>
      </c>
      <c r="F1271" s="150">
        <v>0.15</v>
      </c>
      <c r="G1271" s="150"/>
      <c r="H1271" s="150">
        <v>0.1</v>
      </c>
      <c r="I1271" s="151">
        <f>ROUND(PRODUCT(C1271:H1271),2)</f>
        <v>0.12</v>
      </c>
      <c r="J1271" s="180"/>
    </row>
    <row r="1272" spans="1:10" s="181" customFormat="1" ht="15.75" customHeight="1">
      <c r="A1272" s="276"/>
      <c r="B1272" s="148" t="s">
        <v>507</v>
      </c>
      <c r="C1272" s="149">
        <v>1</v>
      </c>
      <c r="D1272" s="156" t="s">
        <v>73</v>
      </c>
      <c r="E1272" s="149">
        <v>1</v>
      </c>
      <c r="F1272" s="150">
        <v>14.24</v>
      </c>
      <c r="G1272" s="150">
        <v>6.83</v>
      </c>
      <c r="H1272" s="150"/>
      <c r="I1272" s="151">
        <f>ROUND(PRODUCT(C1272:H1272),2)</f>
        <v>97.26</v>
      </c>
      <c r="J1272" s="180"/>
    </row>
    <row r="1273" spans="1:10" s="181" customFormat="1">
      <c r="A1273" s="276"/>
      <c r="B1273" s="148" t="s">
        <v>1346</v>
      </c>
      <c r="C1273" s="149">
        <v>1</v>
      </c>
      <c r="D1273" s="149" t="s">
        <v>73</v>
      </c>
      <c r="E1273" s="149">
        <v>1</v>
      </c>
      <c r="F1273" s="150">
        <v>2.36</v>
      </c>
      <c r="G1273" s="150">
        <v>2.16</v>
      </c>
      <c r="H1273" s="150"/>
      <c r="I1273" s="151">
        <f>-ROUND(PRODUCT(C1273:H1273),2)</f>
        <v>-5.0999999999999996</v>
      </c>
      <c r="J1273" s="180"/>
    </row>
    <row r="1274" spans="1:10" s="181" customFormat="1" ht="26.25" customHeight="1">
      <c r="A1274" s="276"/>
      <c r="B1274" s="148" t="s">
        <v>506</v>
      </c>
      <c r="C1274" s="149">
        <v>1</v>
      </c>
      <c r="D1274" s="156" t="s">
        <v>73</v>
      </c>
      <c r="E1274" s="149">
        <v>1</v>
      </c>
      <c r="F1274" s="150">
        <f>2*(14.24+6.83)</f>
        <v>42.14</v>
      </c>
      <c r="G1274" s="150"/>
      <c r="H1274" s="150">
        <v>0.1</v>
      </c>
      <c r="I1274" s="151">
        <f t="shared" ref="I1274" si="153">ROUND(PRODUCT(C1274:H1274),2)</f>
        <v>4.21</v>
      </c>
      <c r="J1274" s="221"/>
    </row>
    <row r="1275" spans="1:10" s="181" customFormat="1" ht="22.5" customHeight="1">
      <c r="B1275" s="148" t="s">
        <v>506</v>
      </c>
      <c r="C1275" s="149">
        <v>1</v>
      </c>
      <c r="D1275" s="156" t="s">
        <v>73</v>
      </c>
      <c r="E1275" s="149">
        <v>1</v>
      </c>
      <c r="F1275" s="150">
        <f>2*(14.24+6.83)</f>
        <v>42.14</v>
      </c>
      <c r="G1275" s="150"/>
      <c r="H1275" s="150">
        <v>0.1</v>
      </c>
      <c r="I1275" s="151">
        <f t="shared" ref="I1275:I1276" si="154">ROUND(PRODUCT(C1275:H1275),2)</f>
        <v>4.21</v>
      </c>
      <c r="J1275" s="180"/>
    </row>
    <row r="1276" spans="1:10" s="181" customFormat="1">
      <c r="A1276" s="276"/>
      <c r="B1276" s="148" t="s">
        <v>1347</v>
      </c>
      <c r="C1276" s="149">
        <v>1</v>
      </c>
      <c r="D1276" s="156" t="s">
        <v>73</v>
      </c>
      <c r="E1276" s="149">
        <v>4</v>
      </c>
      <c r="F1276" s="150">
        <v>1.06</v>
      </c>
      <c r="G1276" s="150"/>
      <c r="H1276" s="150">
        <v>0.1</v>
      </c>
      <c r="I1276" s="151">
        <f t="shared" si="154"/>
        <v>0.42</v>
      </c>
      <c r="J1276" s="180"/>
    </row>
    <row r="1277" spans="1:10" s="181" customFormat="1" ht="15.75" customHeight="1">
      <c r="A1277" s="276"/>
      <c r="B1277" s="148" t="s">
        <v>1348</v>
      </c>
      <c r="C1277" s="149">
        <v>1</v>
      </c>
      <c r="D1277" s="156" t="s">
        <v>73</v>
      </c>
      <c r="E1277" s="149">
        <v>1</v>
      </c>
      <c r="F1277" s="150">
        <v>2.1</v>
      </c>
      <c r="G1277" s="150"/>
      <c r="H1277" s="150">
        <v>0.1</v>
      </c>
      <c r="I1277" s="151">
        <f t="shared" si="152"/>
        <v>0.21</v>
      </c>
      <c r="J1277" s="180"/>
    </row>
    <row r="1278" spans="1:10" s="181" customFormat="1" ht="15.75" customHeight="1">
      <c r="A1278" s="276"/>
      <c r="B1278" s="148"/>
      <c r="C1278" s="149"/>
      <c r="D1278" s="149"/>
      <c r="E1278" s="149"/>
      <c r="F1278" s="150"/>
      <c r="G1278" s="158" t="s">
        <v>11</v>
      </c>
      <c r="H1278" s="150"/>
      <c r="I1278" s="159">
        <f>SUM(I1269:I1277)</f>
        <v>154.00000000000003</v>
      </c>
      <c r="J1278" s="180"/>
    </row>
    <row r="1279" spans="1:10" s="181" customFormat="1">
      <c r="A1279" s="276"/>
      <c r="B1279" s="148"/>
      <c r="C1279" s="149"/>
      <c r="D1279" s="149"/>
      <c r="E1279" s="149"/>
      <c r="F1279" s="150"/>
      <c r="G1279" s="150"/>
      <c r="H1279" s="158" t="s">
        <v>245</v>
      </c>
      <c r="I1279" s="159">
        <f>ROUNDUP(I1278,1)</f>
        <v>154</v>
      </c>
      <c r="J1279" s="180" t="s">
        <v>75</v>
      </c>
    </row>
    <row r="1280" spans="1:10" s="181" customFormat="1">
      <c r="A1280" s="276"/>
      <c r="B1280" s="148"/>
      <c r="C1280" s="149"/>
      <c r="D1280" s="149"/>
      <c r="E1280" s="149"/>
      <c r="F1280" s="150"/>
      <c r="G1280" s="150"/>
      <c r="H1280" s="150"/>
      <c r="I1280" s="151"/>
      <c r="J1280" s="180"/>
    </row>
    <row r="1281" spans="1:10" s="181" customFormat="1" ht="37.5">
      <c r="A1281" s="276">
        <v>38.6</v>
      </c>
      <c r="B1281" s="155" t="s">
        <v>508</v>
      </c>
      <c r="C1281" s="149"/>
      <c r="D1281" s="149"/>
      <c r="E1281" s="149"/>
      <c r="F1281" s="150"/>
      <c r="G1281" s="150"/>
      <c r="H1281" s="150"/>
      <c r="I1281" s="151"/>
      <c r="J1281" s="180"/>
    </row>
    <row r="1282" spans="1:10" s="181" customFormat="1">
      <c r="A1282" s="276"/>
      <c r="B1282" s="157" t="s">
        <v>313</v>
      </c>
      <c r="C1282" s="149"/>
      <c r="D1282" s="149"/>
      <c r="E1282" s="149"/>
      <c r="F1282" s="150"/>
      <c r="G1282" s="150"/>
      <c r="H1282" s="150"/>
      <c r="I1282" s="151">
        <f>I479</f>
        <v>1719.4599999999989</v>
      </c>
      <c r="J1282" s="180"/>
    </row>
    <row r="1283" spans="1:10" s="181" customFormat="1">
      <c r="A1283" s="276"/>
      <c r="B1283" s="148" t="s">
        <v>1300</v>
      </c>
      <c r="C1283" s="149">
        <v>2</v>
      </c>
      <c r="D1283" s="156" t="s">
        <v>73</v>
      </c>
      <c r="E1283" s="149">
        <v>2</v>
      </c>
      <c r="F1283" s="150">
        <v>14.24</v>
      </c>
      <c r="G1283" s="150"/>
      <c r="H1283" s="150">
        <v>0.3</v>
      </c>
      <c r="I1283" s="151">
        <f t="shared" ref="I1283:I1298" si="155">ROUND(PRODUCT(C1283:H1283),2)</f>
        <v>17.09</v>
      </c>
      <c r="J1283" s="180"/>
    </row>
    <row r="1284" spans="1:10" s="181" customFormat="1">
      <c r="A1284" s="276"/>
      <c r="B1284" s="148" t="s">
        <v>1300</v>
      </c>
      <c r="C1284" s="149">
        <v>1</v>
      </c>
      <c r="D1284" s="156" t="s">
        <v>73</v>
      </c>
      <c r="E1284" s="149">
        <v>2</v>
      </c>
      <c r="F1284" s="150">
        <v>6.81</v>
      </c>
      <c r="G1284" s="150"/>
      <c r="H1284" s="150">
        <v>0.3</v>
      </c>
      <c r="I1284" s="151">
        <f t="shared" si="155"/>
        <v>4.09</v>
      </c>
      <c r="J1284" s="180"/>
    </row>
    <row r="1285" spans="1:10" s="181" customFormat="1">
      <c r="A1285" s="276"/>
      <c r="B1285" s="148" t="s">
        <v>1300</v>
      </c>
      <c r="C1285" s="149">
        <v>2</v>
      </c>
      <c r="D1285" s="156" t="s">
        <v>73</v>
      </c>
      <c r="E1285" s="149">
        <v>2</v>
      </c>
      <c r="F1285" s="150">
        <v>4.12</v>
      </c>
      <c r="G1285" s="150"/>
      <c r="H1285" s="150">
        <v>0.3</v>
      </c>
      <c r="I1285" s="151">
        <f t="shared" si="155"/>
        <v>4.9400000000000004</v>
      </c>
      <c r="J1285" s="180"/>
    </row>
    <row r="1286" spans="1:10" s="181" customFormat="1">
      <c r="A1286" s="276"/>
      <c r="B1286" s="148" t="s">
        <v>1300</v>
      </c>
      <c r="C1286" s="149">
        <v>1</v>
      </c>
      <c r="D1286" s="156" t="s">
        <v>73</v>
      </c>
      <c r="E1286" s="149">
        <v>2</v>
      </c>
      <c r="F1286" s="150">
        <v>3.62</v>
      </c>
      <c r="G1286" s="150"/>
      <c r="H1286" s="150">
        <v>0.3</v>
      </c>
      <c r="I1286" s="151">
        <f t="shared" si="155"/>
        <v>2.17</v>
      </c>
      <c r="J1286" s="221"/>
    </row>
    <row r="1287" spans="1:10" s="181" customFormat="1">
      <c r="A1287" s="276"/>
      <c r="B1287" s="148" t="s">
        <v>1300</v>
      </c>
      <c r="C1287" s="149">
        <v>2</v>
      </c>
      <c r="D1287" s="156" t="s">
        <v>73</v>
      </c>
      <c r="E1287" s="149">
        <v>2</v>
      </c>
      <c r="F1287" s="150">
        <v>3.3</v>
      </c>
      <c r="G1287" s="150"/>
      <c r="H1287" s="165">
        <v>0.255</v>
      </c>
      <c r="I1287" s="151">
        <f t="shared" si="155"/>
        <v>3.37</v>
      </c>
      <c r="J1287" s="180"/>
    </row>
    <row r="1288" spans="1:10" s="181" customFormat="1" ht="21" customHeight="1">
      <c r="B1288" s="148" t="s">
        <v>1300</v>
      </c>
      <c r="C1288" s="149">
        <v>2</v>
      </c>
      <c r="D1288" s="156" t="s">
        <v>73</v>
      </c>
      <c r="E1288" s="149">
        <v>2</v>
      </c>
      <c r="F1288" s="150">
        <v>1.85</v>
      </c>
      <c r="G1288" s="150"/>
      <c r="H1288" s="165">
        <v>0.255</v>
      </c>
      <c r="I1288" s="151">
        <f t="shared" si="155"/>
        <v>1.89</v>
      </c>
      <c r="J1288" s="180"/>
    </row>
    <row r="1289" spans="1:10" s="181" customFormat="1">
      <c r="A1289" s="276"/>
      <c r="B1289" s="148" t="s">
        <v>1300</v>
      </c>
      <c r="C1289" s="149">
        <v>1</v>
      </c>
      <c r="D1289" s="156" t="s">
        <v>73</v>
      </c>
      <c r="E1289" s="149">
        <v>2</v>
      </c>
      <c r="F1289" s="150">
        <v>2.5299999999999998</v>
      </c>
      <c r="G1289" s="150"/>
      <c r="H1289" s="165">
        <v>0.255</v>
      </c>
      <c r="I1289" s="151">
        <f t="shared" si="155"/>
        <v>1.29</v>
      </c>
      <c r="J1289" s="180"/>
    </row>
    <row r="1290" spans="1:10" s="181" customFormat="1">
      <c r="A1290" s="276"/>
      <c r="B1290" s="148" t="s">
        <v>1300</v>
      </c>
      <c r="C1290" s="149">
        <v>2</v>
      </c>
      <c r="D1290" s="156" t="s">
        <v>73</v>
      </c>
      <c r="E1290" s="149">
        <v>2</v>
      </c>
      <c r="F1290" s="150">
        <v>2.33</v>
      </c>
      <c r="G1290" s="150"/>
      <c r="H1290" s="165">
        <v>0.47499999999999998</v>
      </c>
      <c r="I1290" s="151">
        <f t="shared" si="155"/>
        <v>4.43</v>
      </c>
      <c r="J1290" s="180"/>
    </row>
    <row r="1291" spans="1:10" s="181" customFormat="1">
      <c r="A1291" s="276"/>
      <c r="B1291" s="148" t="s">
        <v>1300</v>
      </c>
      <c r="C1291" s="149">
        <v>2</v>
      </c>
      <c r="D1291" s="156" t="s">
        <v>73</v>
      </c>
      <c r="E1291" s="149">
        <v>2</v>
      </c>
      <c r="F1291" s="150">
        <v>1.2</v>
      </c>
      <c r="G1291" s="150"/>
      <c r="H1291" s="165">
        <v>0.255</v>
      </c>
      <c r="I1291" s="151">
        <f t="shared" si="155"/>
        <v>1.22</v>
      </c>
      <c r="J1291" s="180"/>
    </row>
    <row r="1292" spans="1:10" s="181" customFormat="1">
      <c r="A1292" s="276"/>
      <c r="B1292" s="148" t="s">
        <v>1306</v>
      </c>
      <c r="C1292" s="149">
        <v>1</v>
      </c>
      <c r="D1292" s="156" t="s">
        <v>73</v>
      </c>
      <c r="E1292" s="149">
        <v>7</v>
      </c>
      <c r="F1292" s="150">
        <v>1.22</v>
      </c>
      <c r="G1292" s="150"/>
      <c r="H1292" s="150">
        <v>2.92</v>
      </c>
      <c r="I1292" s="151">
        <f t="shared" si="155"/>
        <v>24.94</v>
      </c>
      <c r="J1292" s="180"/>
    </row>
    <row r="1293" spans="1:10" s="181" customFormat="1">
      <c r="A1293" s="276"/>
      <c r="B1293" s="148" t="s">
        <v>1306</v>
      </c>
      <c r="C1293" s="149">
        <v>1</v>
      </c>
      <c r="D1293" s="156" t="s">
        <v>73</v>
      </c>
      <c r="E1293" s="149">
        <v>2</v>
      </c>
      <c r="F1293" s="150">
        <v>1.06</v>
      </c>
      <c r="G1293" s="150"/>
      <c r="H1293" s="150">
        <v>2.92</v>
      </c>
      <c r="I1293" s="151">
        <f t="shared" si="155"/>
        <v>6.19</v>
      </c>
      <c r="J1293" s="180"/>
    </row>
    <row r="1294" spans="1:10" s="181" customFormat="1">
      <c r="A1294" s="276"/>
      <c r="B1294" s="155" t="s">
        <v>329</v>
      </c>
      <c r="C1294" s="149"/>
      <c r="D1294" s="156"/>
      <c r="E1294" s="149"/>
      <c r="F1294" s="150"/>
      <c r="G1294" s="150"/>
      <c r="H1294" s="150"/>
      <c r="I1294" s="151">
        <f t="shared" si="155"/>
        <v>0</v>
      </c>
      <c r="J1294" s="180"/>
    </row>
    <row r="1295" spans="1:10" s="181" customFormat="1">
      <c r="A1295" s="276"/>
      <c r="B1295" s="148" t="s">
        <v>1300</v>
      </c>
      <c r="C1295" s="149">
        <v>1</v>
      </c>
      <c r="D1295" s="156" t="s">
        <v>73</v>
      </c>
      <c r="E1295" s="149">
        <v>2</v>
      </c>
      <c r="F1295" s="150">
        <v>6.81</v>
      </c>
      <c r="G1295" s="150"/>
      <c r="H1295" s="150">
        <v>0.3</v>
      </c>
      <c r="I1295" s="151">
        <f t="shared" ref="I1295" si="156">ROUND(PRODUCT(C1295:H1295),2)</f>
        <v>4.09</v>
      </c>
      <c r="J1295" s="180"/>
    </row>
    <row r="1296" spans="1:10" s="181" customFormat="1">
      <c r="A1296" s="276"/>
      <c r="B1296" s="148" t="s">
        <v>1300</v>
      </c>
      <c r="C1296" s="149">
        <v>1</v>
      </c>
      <c r="D1296" s="156" t="s">
        <v>73</v>
      </c>
      <c r="E1296" s="149">
        <v>2</v>
      </c>
      <c r="F1296" s="150">
        <v>2</v>
      </c>
      <c r="G1296" s="150"/>
      <c r="H1296" s="150">
        <v>0.3</v>
      </c>
      <c r="I1296" s="151">
        <f t="shared" si="155"/>
        <v>1.2</v>
      </c>
      <c r="J1296" s="180"/>
    </row>
    <row r="1297" spans="1:10" s="181" customFormat="1">
      <c r="A1297" s="276"/>
      <c r="B1297" s="148" t="s">
        <v>1300</v>
      </c>
      <c r="C1297" s="149">
        <v>1</v>
      </c>
      <c r="D1297" s="156" t="s">
        <v>73</v>
      </c>
      <c r="E1297" s="149">
        <v>2</v>
      </c>
      <c r="F1297" s="150">
        <v>1.85</v>
      </c>
      <c r="G1297" s="150"/>
      <c r="H1297" s="165">
        <v>0.255</v>
      </c>
      <c r="I1297" s="151">
        <f t="shared" si="155"/>
        <v>0.94</v>
      </c>
      <c r="J1297" s="180"/>
    </row>
    <row r="1298" spans="1:10" s="181" customFormat="1">
      <c r="A1298" s="276"/>
      <c r="B1298" s="155" t="s">
        <v>330</v>
      </c>
      <c r="C1298" s="149"/>
      <c r="D1298" s="149"/>
      <c r="E1298" s="149"/>
      <c r="F1298" s="150"/>
      <c r="G1298" s="150"/>
      <c r="H1298" s="150"/>
      <c r="I1298" s="151">
        <f t="shared" si="155"/>
        <v>0</v>
      </c>
      <c r="J1298" s="180"/>
    </row>
    <row r="1299" spans="1:10" s="181" customFormat="1">
      <c r="A1299" s="276"/>
      <c r="B1299" s="148" t="s">
        <v>1300</v>
      </c>
      <c r="C1299" s="149">
        <v>2</v>
      </c>
      <c r="D1299" s="156" t="s">
        <v>73</v>
      </c>
      <c r="E1299" s="149">
        <v>2</v>
      </c>
      <c r="F1299" s="150">
        <v>6.81</v>
      </c>
      <c r="G1299" s="150"/>
      <c r="H1299" s="150">
        <v>0.3</v>
      </c>
      <c r="I1299" s="151">
        <f t="shared" ref="I1299" si="157">ROUND(PRODUCT(C1299:H1299),2)</f>
        <v>8.17</v>
      </c>
      <c r="J1299" s="180"/>
    </row>
    <row r="1300" spans="1:10" s="181" customFormat="1">
      <c r="A1300" s="276"/>
      <c r="B1300" s="182" t="s">
        <v>1319</v>
      </c>
      <c r="C1300" s="149">
        <v>1</v>
      </c>
      <c r="D1300" s="156" t="s">
        <v>73</v>
      </c>
      <c r="E1300" s="149">
        <v>2</v>
      </c>
      <c r="F1300" s="150">
        <v>2.0750000000000002</v>
      </c>
      <c r="G1300" s="150"/>
      <c r="H1300" s="150">
        <v>0.3</v>
      </c>
      <c r="I1300" s="151">
        <f t="shared" ref="I1300:I1308" si="158">ROUND(PRODUCT(C1300:H1300),2)</f>
        <v>1.25</v>
      </c>
      <c r="J1300" s="180"/>
    </row>
    <row r="1301" spans="1:10" s="181" customFormat="1">
      <c r="A1301" s="276"/>
      <c r="B1301" s="148" t="s">
        <v>1300</v>
      </c>
      <c r="C1301" s="149">
        <v>2</v>
      </c>
      <c r="D1301" s="156" t="s">
        <v>73</v>
      </c>
      <c r="E1301" s="149">
        <v>2</v>
      </c>
      <c r="F1301" s="150">
        <v>2.5350000000000001</v>
      </c>
      <c r="G1301" s="150"/>
      <c r="H1301" s="165">
        <v>0.255</v>
      </c>
      <c r="I1301" s="151">
        <f t="shared" si="158"/>
        <v>2.59</v>
      </c>
      <c r="J1301" s="180"/>
    </row>
    <row r="1302" spans="1:10" s="181" customFormat="1">
      <c r="A1302" s="276"/>
      <c r="B1302" s="148" t="s">
        <v>1300</v>
      </c>
      <c r="C1302" s="149">
        <v>1</v>
      </c>
      <c r="D1302" s="156" t="s">
        <v>73</v>
      </c>
      <c r="E1302" s="149">
        <v>2</v>
      </c>
      <c r="F1302" s="150">
        <v>6.23</v>
      </c>
      <c r="G1302" s="150"/>
      <c r="H1302" s="165">
        <v>0.255</v>
      </c>
      <c r="I1302" s="151">
        <f t="shared" si="158"/>
        <v>3.18</v>
      </c>
      <c r="J1302" s="180"/>
    </row>
    <row r="1303" spans="1:10" s="181" customFormat="1">
      <c r="A1303" s="276"/>
      <c r="B1303" s="148" t="s">
        <v>1300</v>
      </c>
      <c r="C1303" s="149">
        <v>1</v>
      </c>
      <c r="D1303" s="156" t="s">
        <v>73</v>
      </c>
      <c r="E1303" s="149">
        <v>2</v>
      </c>
      <c r="F1303" s="150">
        <v>2</v>
      </c>
      <c r="G1303" s="150"/>
      <c r="H1303" s="150">
        <v>0.3</v>
      </c>
      <c r="I1303" s="151">
        <f t="shared" si="158"/>
        <v>1.2</v>
      </c>
      <c r="J1303" s="180"/>
    </row>
    <row r="1304" spans="1:10" s="181" customFormat="1">
      <c r="A1304" s="276"/>
      <c r="B1304" s="148" t="s">
        <v>1300</v>
      </c>
      <c r="C1304" s="149">
        <v>2</v>
      </c>
      <c r="D1304" s="156" t="s">
        <v>73</v>
      </c>
      <c r="E1304" s="149">
        <v>2</v>
      </c>
      <c r="F1304" s="150">
        <v>1.85</v>
      </c>
      <c r="G1304" s="150"/>
      <c r="H1304" s="165">
        <v>0.255</v>
      </c>
      <c r="I1304" s="151">
        <f t="shared" si="158"/>
        <v>1.89</v>
      </c>
      <c r="J1304" s="180"/>
    </row>
    <row r="1305" spans="1:10" s="181" customFormat="1">
      <c r="A1305" s="276"/>
      <c r="B1305" s="148" t="s">
        <v>1423</v>
      </c>
      <c r="C1305" s="149">
        <v>2</v>
      </c>
      <c r="D1305" s="149" t="s">
        <v>73</v>
      </c>
      <c r="E1305" s="149">
        <v>4</v>
      </c>
      <c r="F1305" s="150">
        <v>1.05</v>
      </c>
      <c r="G1305" s="150"/>
      <c r="H1305" s="150">
        <v>0.45</v>
      </c>
      <c r="I1305" s="151">
        <f t="shared" si="158"/>
        <v>3.78</v>
      </c>
      <c r="J1305" s="180"/>
    </row>
    <row r="1306" spans="1:10" s="181" customFormat="1">
      <c r="A1306" s="276"/>
      <c r="B1306" s="148" t="s">
        <v>1416</v>
      </c>
      <c r="C1306" s="149">
        <v>2</v>
      </c>
      <c r="D1306" s="149" t="s">
        <v>73</v>
      </c>
      <c r="E1306" s="149">
        <v>16</v>
      </c>
      <c r="F1306" s="150">
        <v>0.9</v>
      </c>
      <c r="G1306" s="150"/>
      <c r="H1306" s="150">
        <v>0.45</v>
      </c>
      <c r="I1306" s="151">
        <f t="shared" si="158"/>
        <v>12.96</v>
      </c>
      <c r="J1306" s="180"/>
    </row>
    <row r="1307" spans="1:10" s="181" customFormat="1">
      <c r="A1307" s="276"/>
      <c r="B1307" s="148" t="s">
        <v>1417</v>
      </c>
      <c r="C1307" s="149">
        <v>2</v>
      </c>
      <c r="D1307" s="149" t="s">
        <v>73</v>
      </c>
      <c r="E1307" s="149">
        <v>12</v>
      </c>
      <c r="F1307" s="150">
        <v>1.2</v>
      </c>
      <c r="G1307" s="150"/>
      <c r="H1307" s="150">
        <v>0.45</v>
      </c>
      <c r="I1307" s="151">
        <f t="shared" ref="I1307" si="159">ROUND(PRODUCT(C1307:H1307),2)</f>
        <v>12.96</v>
      </c>
      <c r="J1307" s="180"/>
    </row>
    <row r="1308" spans="1:10" s="181" customFormat="1">
      <c r="A1308" s="276"/>
      <c r="B1308" s="148" t="s">
        <v>1418</v>
      </c>
      <c r="C1308" s="149">
        <v>2</v>
      </c>
      <c r="D1308" s="149" t="s">
        <v>73</v>
      </c>
      <c r="E1308" s="149">
        <v>8</v>
      </c>
      <c r="F1308" s="150">
        <v>1.05</v>
      </c>
      <c r="G1308" s="150"/>
      <c r="H1308" s="150">
        <v>0.45</v>
      </c>
      <c r="I1308" s="151">
        <f t="shared" si="158"/>
        <v>7.56</v>
      </c>
      <c r="J1308" s="180"/>
    </row>
    <row r="1309" spans="1:10" s="181" customFormat="1">
      <c r="A1309" s="276"/>
      <c r="B1309" s="148" t="s">
        <v>1419</v>
      </c>
      <c r="C1309" s="149">
        <v>2</v>
      </c>
      <c r="D1309" s="149" t="s">
        <v>73</v>
      </c>
      <c r="E1309" s="149">
        <v>16</v>
      </c>
      <c r="F1309" s="150">
        <v>0.9</v>
      </c>
      <c r="G1309" s="150"/>
      <c r="H1309" s="150">
        <v>0.45</v>
      </c>
      <c r="I1309" s="151">
        <f t="shared" ref="I1309:I1311" si="160">ROUND(PRODUCT(C1309:H1309),2)</f>
        <v>12.96</v>
      </c>
      <c r="J1309" s="180"/>
    </row>
    <row r="1310" spans="1:10" s="181" customFormat="1">
      <c r="A1310" s="276"/>
      <c r="B1310" s="148" t="s">
        <v>1420</v>
      </c>
      <c r="C1310" s="149">
        <v>2</v>
      </c>
      <c r="D1310" s="149" t="s">
        <v>73</v>
      </c>
      <c r="E1310" s="149">
        <v>12</v>
      </c>
      <c r="F1310" s="150">
        <v>1.2</v>
      </c>
      <c r="G1310" s="150"/>
      <c r="H1310" s="150">
        <v>0.45</v>
      </c>
      <c r="I1310" s="151">
        <f t="shared" si="160"/>
        <v>12.96</v>
      </c>
      <c r="J1310" s="180"/>
    </row>
    <row r="1311" spans="1:10" s="181" customFormat="1">
      <c r="A1311" s="276"/>
      <c r="B1311" s="148" t="s">
        <v>1421</v>
      </c>
      <c r="C1311" s="149">
        <v>2</v>
      </c>
      <c r="D1311" s="149" t="s">
        <v>73</v>
      </c>
      <c r="E1311" s="149">
        <v>8</v>
      </c>
      <c r="F1311" s="150">
        <v>1.05</v>
      </c>
      <c r="G1311" s="150"/>
      <c r="H1311" s="150">
        <v>0.45</v>
      </c>
      <c r="I1311" s="151">
        <f t="shared" si="160"/>
        <v>7.56</v>
      </c>
      <c r="J1311" s="180"/>
    </row>
    <row r="1312" spans="1:10" s="181" customFormat="1">
      <c r="A1312" s="276"/>
      <c r="B1312" s="148" t="s">
        <v>1422</v>
      </c>
      <c r="C1312" s="149">
        <v>2</v>
      </c>
      <c r="D1312" s="149" t="s">
        <v>73</v>
      </c>
      <c r="E1312" s="149">
        <v>24</v>
      </c>
      <c r="F1312" s="150">
        <v>0.75</v>
      </c>
      <c r="G1312" s="150"/>
      <c r="H1312" s="150">
        <v>0.6</v>
      </c>
      <c r="I1312" s="151">
        <f t="shared" ref="I1312" si="161">ROUND(PRODUCT(C1312:H1312),2)</f>
        <v>21.6</v>
      </c>
      <c r="J1312" s="180"/>
    </row>
    <row r="1313" spans="1:10" s="181" customFormat="1">
      <c r="A1313" s="276"/>
      <c r="B1313" s="148"/>
      <c r="C1313" s="149"/>
      <c r="D1313" s="149"/>
      <c r="E1313" s="149"/>
      <c r="F1313" s="150"/>
      <c r="G1313" s="150"/>
      <c r="H1313" s="150"/>
      <c r="I1313" s="151">
        <f>SUM(I1282:I1312)</f>
        <v>1907.9299999999992</v>
      </c>
      <c r="J1313" s="180"/>
    </row>
    <row r="1314" spans="1:10" s="181" customFormat="1">
      <c r="A1314" s="276"/>
      <c r="B1314" s="148" t="s">
        <v>1349</v>
      </c>
      <c r="C1314" s="149"/>
      <c r="D1314" s="149"/>
      <c r="E1314" s="149"/>
      <c r="F1314" s="150"/>
      <c r="G1314" s="150"/>
      <c r="H1314" s="150"/>
      <c r="I1314" s="151">
        <f>-I1240</f>
        <v>-115.35999999999997</v>
      </c>
      <c r="J1314" s="180"/>
    </row>
    <row r="1315" spans="1:10" s="181" customFormat="1">
      <c r="A1315" s="276"/>
      <c r="B1315" s="148"/>
      <c r="C1315" s="149"/>
      <c r="D1315" s="149"/>
      <c r="E1315" s="149"/>
      <c r="F1315" s="150"/>
      <c r="G1315" s="150"/>
      <c r="H1315" s="150"/>
      <c r="I1315" s="151">
        <f>SUM(I1313:I1314)</f>
        <v>1792.5699999999993</v>
      </c>
      <c r="J1315" s="180"/>
    </row>
    <row r="1316" spans="1:10" s="181" customFormat="1">
      <c r="A1316" s="276"/>
      <c r="B1316" s="148"/>
      <c r="C1316" s="149"/>
      <c r="D1316" s="149"/>
      <c r="E1316" s="149"/>
      <c r="F1316" s="150"/>
      <c r="G1316" s="150"/>
      <c r="H1316" s="150" t="s">
        <v>246</v>
      </c>
      <c r="I1316" s="159">
        <f>ROUNDUP(I1315,0)</f>
        <v>1793</v>
      </c>
      <c r="J1316" s="180" t="s">
        <v>75</v>
      </c>
    </row>
    <row r="1317" spans="1:10" s="181" customFormat="1">
      <c r="A1317" s="276"/>
      <c r="B1317" s="148"/>
      <c r="C1317" s="149"/>
      <c r="D1317" s="149"/>
      <c r="E1317" s="149"/>
      <c r="F1317" s="150"/>
      <c r="G1317" s="150"/>
      <c r="H1317" s="150"/>
      <c r="I1317" s="159"/>
      <c r="J1317" s="180"/>
    </row>
    <row r="1318" spans="1:10" s="181" customFormat="1" ht="37.5">
      <c r="A1318" s="276">
        <v>38.799999999999997</v>
      </c>
      <c r="B1318" s="155" t="s">
        <v>509</v>
      </c>
      <c r="C1318" s="149"/>
      <c r="D1318" s="149"/>
      <c r="E1318" s="149"/>
      <c r="F1318" s="150"/>
      <c r="G1318" s="150"/>
      <c r="H1318" s="150"/>
      <c r="I1318" s="151"/>
      <c r="J1318" s="180"/>
    </row>
    <row r="1319" spans="1:10" s="181" customFormat="1" ht="37.5">
      <c r="A1319" s="276"/>
      <c r="B1319" s="148" t="s">
        <v>508</v>
      </c>
      <c r="C1319" s="149"/>
      <c r="D1319" s="149"/>
      <c r="E1319" s="149"/>
      <c r="F1319" s="150"/>
      <c r="G1319" s="150"/>
      <c r="H1319" s="150"/>
      <c r="I1319" s="226">
        <v>1793</v>
      </c>
      <c r="J1319" s="180" t="s">
        <v>75</v>
      </c>
    </row>
    <row r="1320" spans="1:10" s="181" customFormat="1">
      <c r="A1320" s="276"/>
      <c r="B1320" s="148"/>
      <c r="C1320" s="149"/>
      <c r="D1320" s="149"/>
      <c r="E1320" s="149"/>
      <c r="F1320" s="150"/>
      <c r="G1320" s="150"/>
      <c r="H1320" s="150"/>
      <c r="I1320" s="159"/>
      <c r="J1320" s="180"/>
    </row>
    <row r="1321" spans="1:10" s="181" customFormat="1" ht="56.25">
      <c r="A1321" s="276">
        <v>43.1</v>
      </c>
      <c r="B1321" s="155" t="s">
        <v>510</v>
      </c>
      <c r="C1321" s="220"/>
      <c r="D1321" s="220"/>
      <c r="E1321" s="220"/>
      <c r="F1321" s="158"/>
      <c r="G1321" s="158"/>
      <c r="H1321" s="158"/>
      <c r="I1321" s="159"/>
      <c r="J1321" s="180"/>
    </row>
    <row r="1322" spans="1:10" s="181" customFormat="1">
      <c r="A1322" s="276"/>
      <c r="B1322" s="148" t="s">
        <v>511</v>
      </c>
      <c r="C1322" s="227"/>
      <c r="D1322" s="149"/>
      <c r="E1322" s="149"/>
      <c r="F1322" s="150"/>
      <c r="G1322" s="150"/>
      <c r="H1322" s="228"/>
      <c r="I1322" s="151">
        <f>[2]steel!$N$933</f>
        <v>27018.442313333337</v>
      </c>
      <c r="J1322" s="180"/>
    </row>
    <row r="1323" spans="1:10" s="181" customFormat="1" ht="22.5" customHeight="1">
      <c r="A1323" s="276"/>
      <c r="B1323" s="148"/>
      <c r="C1323" s="158"/>
      <c r="D1323" s="220"/>
      <c r="E1323" s="162"/>
      <c r="F1323" s="150"/>
      <c r="G1323" s="158"/>
      <c r="H1323" s="158"/>
      <c r="I1323" s="159">
        <f>SUM(I1322:I1322)</f>
        <v>27018.442313333337</v>
      </c>
      <c r="J1323" s="180"/>
    </row>
    <row r="1324" spans="1:10" s="181" customFormat="1">
      <c r="A1324" s="276"/>
      <c r="B1324" s="148"/>
      <c r="C1324" s="158"/>
      <c r="D1324" s="220"/>
      <c r="E1324" s="162"/>
      <c r="F1324" s="150"/>
      <c r="G1324" s="158"/>
      <c r="H1324" s="158" t="s">
        <v>74</v>
      </c>
      <c r="I1324" s="229">
        <f>I1323/1000</f>
        <v>27.018442313333338</v>
      </c>
      <c r="J1324" s="180" t="s">
        <v>78</v>
      </c>
    </row>
    <row r="1325" spans="1:10" s="181" customFormat="1">
      <c r="A1325" s="276"/>
      <c r="B1325" s="148" t="s">
        <v>512</v>
      </c>
      <c r="C1325" s="149"/>
      <c r="D1325" s="149"/>
      <c r="E1325" s="149"/>
      <c r="F1325" s="150"/>
      <c r="G1325" s="150"/>
      <c r="H1325" s="150"/>
      <c r="I1325" s="151"/>
      <c r="J1325" s="180"/>
    </row>
    <row r="1326" spans="1:10" s="181" customFormat="1" ht="101.25" customHeight="1">
      <c r="A1326" s="276" t="s">
        <v>1455</v>
      </c>
      <c r="B1326" s="230" t="s">
        <v>513</v>
      </c>
      <c r="C1326" s="149"/>
      <c r="D1326" s="149"/>
      <c r="E1326" s="149"/>
      <c r="F1326" s="150"/>
      <c r="G1326" s="158"/>
      <c r="H1326" s="150"/>
      <c r="I1326" s="159"/>
      <c r="J1326" s="180"/>
    </row>
    <row r="1327" spans="1:10" s="181" customFormat="1">
      <c r="A1327" s="276"/>
      <c r="B1327" s="155" t="s">
        <v>514</v>
      </c>
      <c r="C1327" s="149">
        <v>1</v>
      </c>
      <c r="D1327" s="149" t="s">
        <v>73</v>
      </c>
      <c r="E1327" s="149">
        <v>6</v>
      </c>
      <c r="F1327" s="150"/>
      <c r="G1327" s="150"/>
      <c r="H1327" s="150"/>
      <c r="I1327" s="151">
        <f>ROUND(PRODUCT(C1327:H1327),2)</f>
        <v>6</v>
      </c>
      <c r="J1327" s="180"/>
    </row>
    <row r="1328" spans="1:10" s="181" customFormat="1">
      <c r="A1328" s="354"/>
      <c r="B1328" s="148"/>
      <c r="C1328" s="149"/>
      <c r="D1328" s="149"/>
      <c r="E1328" s="149"/>
      <c r="F1328" s="150"/>
      <c r="G1328" s="158" t="s">
        <v>11</v>
      </c>
      <c r="H1328" s="150"/>
      <c r="I1328" s="159">
        <f>ROUNDUP(I1327,1)</f>
        <v>6</v>
      </c>
      <c r="J1328" s="180" t="s">
        <v>77</v>
      </c>
    </row>
    <row r="1329" spans="1:10" s="181" customFormat="1">
      <c r="A1329" s="354"/>
      <c r="B1329" s="148"/>
      <c r="C1329" s="149"/>
      <c r="D1329" s="149"/>
      <c r="E1329" s="149"/>
      <c r="F1329" s="150"/>
      <c r="G1329" s="158"/>
      <c r="H1329" s="150"/>
      <c r="I1329" s="159"/>
      <c r="J1329" s="180"/>
    </row>
    <row r="1330" spans="1:10" s="181" customFormat="1" ht="21.75" customHeight="1">
      <c r="A1330" s="276"/>
      <c r="B1330" s="155" t="s">
        <v>515</v>
      </c>
      <c r="C1330" s="149"/>
      <c r="D1330" s="149"/>
      <c r="E1330" s="149"/>
      <c r="F1330" s="150"/>
      <c r="G1330" s="150"/>
      <c r="H1330" s="150"/>
      <c r="I1330" s="151"/>
      <c r="J1330" s="180"/>
    </row>
    <row r="1331" spans="1:10" s="181" customFormat="1">
      <c r="A1331" s="276"/>
      <c r="B1331" s="148" t="s">
        <v>516</v>
      </c>
      <c r="C1331" s="149">
        <v>1</v>
      </c>
      <c r="D1331" s="149" t="s">
        <v>73</v>
      </c>
      <c r="E1331" s="149">
        <v>6</v>
      </c>
      <c r="F1331" s="150">
        <v>3</v>
      </c>
      <c r="G1331" s="150"/>
      <c r="H1331" s="150"/>
      <c r="I1331" s="151">
        <f>ROUND(PRODUCT(C1331:H1331),2)</f>
        <v>18</v>
      </c>
      <c r="J1331" s="180"/>
    </row>
    <row r="1332" spans="1:10" s="181" customFormat="1">
      <c r="A1332" s="276"/>
      <c r="B1332" s="148"/>
      <c r="C1332" s="149"/>
      <c r="D1332" s="149"/>
      <c r="E1332" s="149"/>
      <c r="F1332" s="150"/>
      <c r="G1332" s="158" t="s">
        <v>11</v>
      </c>
      <c r="H1332" s="150"/>
      <c r="I1332" s="159">
        <f>ROUNDUP(I1331,1)</f>
        <v>18</v>
      </c>
      <c r="J1332" s="180" t="s">
        <v>76</v>
      </c>
    </row>
    <row r="1333" spans="1:10" s="181" customFormat="1">
      <c r="A1333" s="276"/>
      <c r="B1333" s="148"/>
      <c r="C1333" s="149"/>
      <c r="D1333" s="149"/>
      <c r="E1333" s="149"/>
      <c r="F1333" s="150"/>
      <c r="G1333" s="158"/>
      <c r="H1333" s="150"/>
      <c r="I1333" s="159"/>
      <c r="J1333" s="180"/>
    </row>
    <row r="1334" spans="1:10" s="181" customFormat="1" ht="37.5">
      <c r="A1334" s="276">
        <v>44.6</v>
      </c>
      <c r="B1334" s="155" t="s">
        <v>517</v>
      </c>
      <c r="C1334" s="149"/>
      <c r="D1334" s="149"/>
      <c r="E1334" s="149"/>
      <c r="F1334" s="150"/>
      <c r="G1334" s="150"/>
      <c r="H1334" s="150"/>
      <c r="I1334" s="159"/>
      <c r="J1334" s="180"/>
    </row>
    <row r="1335" spans="1:10" s="181" customFormat="1" ht="22.5" customHeight="1">
      <c r="A1335" s="276"/>
      <c r="B1335" s="148" t="s">
        <v>1350</v>
      </c>
      <c r="C1335" s="149">
        <v>1</v>
      </c>
      <c r="D1335" s="149" t="s">
        <v>73</v>
      </c>
      <c r="E1335" s="149">
        <v>3</v>
      </c>
      <c r="F1335" s="150">
        <v>11.5</v>
      </c>
      <c r="G1335" s="150"/>
      <c r="H1335" s="150"/>
      <c r="I1335" s="151">
        <f t="shared" ref="I1335:I1339" si="162">ROUND(PRODUCT(C1335:H1335),2)</f>
        <v>34.5</v>
      </c>
      <c r="J1335" s="180"/>
    </row>
    <row r="1336" spans="1:10" s="181" customFormat="1">
      <c r="A1336" s="276"/>
      <c r="B1336" s="148" t="s">
        <v>518</v>
      </c>
      <c r="C1336" s="149">
        <v>1</v>
      </c>
      <c r="D1336" s="149" t="s">
        <v>73</v>
      </c>
      <c r="E1336" s="149">
        <v>6</v>
      </c>
      <c r="F1336" s="150">
        <v>2.5</v>
      </c>
      <c r="G1336" s="150"/>
      <c r="H1336" s="150"/>
      <c r="I1336" s="151">
        <f t="shared" si="162"/>
        <v>15</v>
      </c>
      <c r="J1336" s="180"/>
    </row>
    <row r="1337" spans="1:10" s="181" customFormat="1">
      <c r="A1337" s="276"/>
      <c r="B1337" s="148" t="s">
        <v>519</v>
      </c>
      <c r="C1337" s="149">
        <v>1</v>
      </c>
      <c r="D1337" s="149" t="s">
        <v>73</v>
      </c>
      <c r="E1337" s="149">
        <v>2</v>
      </c>
      <c r="F1337" s="150">
        <v>15</v>
      </c>
      <c r="G1337" s="150"/>
      <c r="H1337" s="150"/>
      <c r="I1337" s="151">
        <f t="shared" si="162"/>
        <v>30</v>
      </c>
      <c r="J1337" s="180"/>
    </row>
    <row r="1338" spans="1:10" s="181" customFormat="1">
      <c r="A1338" s="276"/>
      <c r="B1338" s="148" t="s">
        <v>1351</v>
      </c>
      <c r="C1338" s="149">
        <v>1</v>
      </c>
      <c r="D1338" s="149" t="s">
        <v>73</v>
      </c>
      <c r="E1338" s="149">
        <v>2</v>
      </c>
      <c r="F1338" s="150">
        <v>6</v>
      </c>
      <c r="G1338" s="150"/>
      <c r="H1338" s="150"/>
      <c r="I1338" s="151">
        <f t="shared" si="162"/>
        <v>12</v>
      </c>
      <c r="J1338" s="180"/>
    </row>
    <row r="1339" spans="1:10" s="181" customFormat="1">
      <c r="A1339" s="276"/>
      <c r="B1339" s="148" t="s">
        <v>1352</v>
      </c>
      <c r="C1339" s="149">
        <v>1</v>
      </c>
      <c r="D1339" s="149" t="s">
        <v>73</v>
      </c>
      <c r="E1339" s="149">
        <v>2</v>
      </c>
      <c r="F1339" s="150">
        <v>6</v>
      </c>
      <c r="G1339" s="150"/>
      <c r="H1339" s="150"/>
      <c r="I1339" s="151">
        <f t="shared" si="162"/>
        <v>12</v>
      </c>
      <c r="J1339" s="180"/>
    </row>
    <row r="1340" spans="1:10" s="181" customFormat="1">
      <c r="A1340" s="276"/>
      <c r="B1340" s="148"/>
      <c r="C1340" s="149"/>
      <c r="D1340" s="149"/>
      <c r="E1340" s="149"/>
      <c r="F1340" s="150"/>
      <c r="G1340" s="158" t="s">
        <v>11</v>
      </c>
      <c r="H1340" s="150"/>
      <c r="I1340" s="159">
        <f>SUM(I1335:I1339)</f>
        <v>103.5</v>
      </c>
      <c r="J1340" s="221"/>
    </row>
    <row r="1341" spans="1:10" s="181" customFormat="1" ht="16.5" customHeight="1">
      <c r="A1341" s="276"/>
      <c r="B1341" s="148"/>
      <c r="C1341" s="149"/>
      <c r="D1341" s="149"/>
      <c r="E1341" s="149"/>
      <c r="F1341" s="150"/>
      <c r="G1341" s="158"/>
      <c r="H1341" s="158" t="s">
        <v>74</v>
      </c>
      <c r="I1341" s="159">
        <f>ROUNDUP(I1340,0)</f>
        <v>104</v>
      </c>
      <c r="J1341" s="180" t="s">
        <v>76</v>
      </c>
    </row>
    <row r="1342" spans="1:10" s="181" customFormat="1" ht="16.5" customHeight="1">
      <c r="A1342" s="276"/>
      <c r="B1342" s="148"/>
      <c r="C1342" s="149"/>
      <c r="D1342" s="149"/>
      <c r="E1342" s="149"/>
      <c r="F1342" s="150"/>
      <c r="G1342" s="158"/>
      <c r="H1342" s="158"/>
      <c r="I1342" s="159"/>
      <c r="J1342" s="180"/>
    </row>
    <row r="1343" spans="1:10" s="181" customFormat="1" ht="100.5" customHeight="1">
      <c r="A1343" s="276" t="s">
        <v>1456</v>
      </c>
      <c r="B1343" s="231" t="s">
        <v>520</v>
      </c>
      <c r="C1343" s="149"/>
      <c r="D1343" s="149"/>
      <c r="E1343" s="149"/>
      <c r="F1343" s="150"/>
      <c r="G1343" s="150"/>
      <c r="H1343" s="150"/>
      <c r="I1343" s="151"/>
      <c r="J1343" s="180"/>
    </row>
    <row r="1344" spans="1:10" s="181" customFormat="1">
      <c r="A1344" s="276"/>
      <c r="B1344" s="232" t="s">
        <v>521</v>
      </c>
      <c r="C1344" s="149">
        <v>1</v>
      </c>
      <c r="D1344" s="149" t="s">
        <v>73</v>
      </c>
      <c r="E1344" s="149">
        <v>6</v>
      </c>
      <c r="F1344" s="150"/>
      <c r="G1344" s="150"/>
      <c r="H1344" s="150"/>
      <c r="I1344" s="151">
        <f t="shared" ref="I1344:I1347" si="163">ROUND(PRODUCT(C1344:H1344),2)</f>
        <v>6</v>
      </c>
      <c r="J1344" s="180"/>
    </row>
    <row r="1345" spans="1:10" s="181" customFormat="1">
      <c r="A1345" s="276"/>
      <c r="B1345" s="232"/>
      <c r="C1345" s="149"/>
      <c r="D1345" s="149"/>
      <c r="E1345" s="149"/>
      <c r="F1345" s="150"/>
      <c r="G1345" s="150"/>
      <c r="H1345" s="150"/>
      <c r="I1345" s="151"/>
      <c r="J1345" s="180"/>
    </row>
    <row r="1346" spans="1:10" s="181" customFormat="1" ht="37.5">
      <c r="A1346" s="276">
        <v>52.1</v>
      </c>
      <c r="B1346" s="155" t="s">
        <v>60</v>
      </c>
      <c r="C1346" s="149"/>
      <c r="D1346" s="149"/>
      <c r="E1346" s="149"/>
      <c r="F1346" s="150"/>
      <c r="G1346" s="150"/>
      <c r="H1346" s="158"/>
      <c r="I1346" s="151"/>
      <c r="J1346" s="180"/>
    </row>
    <row r="1347" spans="1:10" s="181" customFormat="1">
      <c r="A1347" s="276"/>
      <c r="B1347" s="148" t="s">
        <v>522</v>
      </c>
      <c r="C1347" s="149">
        <v>1</v>
      </c>
      <c r="D1347" s="149" t="s">
        <v>73</v>
      </c>
      <c r="E1347" s="149">
        <v>2</v>
      </c>
      <c r="F1347" s="150">
        <v>3</v>
      </c>
      <c r="G1347" s="150"/>
      <c r="H1347" s="158"/>
      <c r="I1347" s="151">
        <f t="shared" si="163"/>
        <v>6</v>
      </c>
      <c r="J1347" s="180"/>
    </row>
    <row r="1348" spans="1:10" s="181" customFormat="1">
      <c r="A1348" s="276"/>
      <c r="B1348" s="233"/>
      <c r="C1348" s="149"/>
      <c r="D1348" s="149"/>
      <c r="E1348" s="149"/>
      <c r="F1348" s="150"/>
      <c r="G1348" s="150"/>
      <c r="H1348" s="158" t="s">
        <v>523</v>
      </c>
      <c r="I1348" s="159">
        <f>SUM(I1347:I1347)</f>
        <v>6</v>
      </c>
      <c r="J1348" s="180" t="s">
        <v>76</v>
      </c>
    </row>
    <row r="1349" spans="1:10" s="181" customFormat="1">
      <c r="A1349" s="276"/>
      <c r="B1349" s="233"/>
      <c r="C1349" s="149"/>
      <c r="D1349" s="149"/>
      <c r="E1349" s="149"/>
      <c r="F1349" s="150"/>
      <c r="G1349" s="150"/>
      <c r="H1349" s="158"/>
      <c r="I1349" s="159"/>
      <c r="J1349" s="180"/>
    </row>
    <row r="1350" spans="1:10" s="181" customFormat="1" ht="21.75">
      <c r="A1350" s="276">
        <v>53.3</v>
      </c>
      <c r="B1350" s="289" t="s">
        <v>1431</v>
      </c>
      <c r="C1350" s="149"/>
      <c r="D1350" s="149"/>
      <c r="E1350" s="149"/>
      <c r="F1350" s="150"/>
      <c r="G1350" s="150"/>
      <c r="H1350" s="158"/>
      <c r="I1350" s="159"/>
      <c r="J1350" s="221"/>
    </row>
    <row r="1351" spans="1:10" s="181" customFormat="1" ht="21.75" customHeight="1">
      <c r="A1351" s="276"/>
      <c r="B1351" s="233" t="s">
        <v>164</v>
      </c>
      <c r="C1351" s="149">
        <v>1</v>
      </c>
      <c r="D1351" s="149" t="s">
        <v>73</v>
      </c>
      <c r="E1351" s="149">
        <v>2</v>
      </c>
      <c r="F1351" s="150">
        <v>4</v>
      </c>
      <c r="G1351" s="150"/>
      <c r="H1351" s="158"/>
      <c r="I1351" s="151">
        <f t="shared" ref="I1351" si="164">ROUND(PRODUCT(C1351:H1351),2)</f>
        <v>8</v>
      </c>
      <c r="J1351" s="180"/>
    </row>
    <row r="1352" spans="1:10" s="181" customFormat="1">
      <c r="A1352" s="276"/>
      <c r="B1352" s="233"/>
      <c r="C1352" s="149"/>
      <c r="D1352" s="149"/>
      <c r="E1352" s="149"/>
      <c r="F1352" s="150"/>
      <c r="G1352" s="150"/>
      <c r="H1352" s="158" t="s">
        <v>523</v>
      </c>
      <c r="I1352" s="159">
        <f>SUM(I1351:I1351)</f>
        <v>8</v>
      </c>
      <c r="J1352" s="180" t="s">
        <v>346</v>
      </c>
    </row>
    <row r="1353" spans="1:10" s="181" customFormat="1">
      <c r="A1353" s="276"/>
      <c r="B1353" s="361"/>
      <c r="C1353" s="149"/>
      <c r="D1353" s="149"/>
      <c r="E1353" s="149"/>
      <c r="F1353" s="150"/>
      <c r="G1353" s="150"/>
      <c r="H1353" s="158"/>
      <c r="I1353" s="159"/>
      <c r="J1353" s="180"/>
    </row>
    <row r="1354" spans="1:10" s="154" customFormat="1" ht="37.5" customHeight="1">
      <c r="A1354" s="276">
        <v>61.2</v>
      </c>
      <c r="B1354" s="289" t="s">
        <v>1432</v>
      </c>
      <c r="C1354" s="149"/>
      <c r="D1354" s="149"/>
      <c r="E1354" s="149"/>
      <c r="F1354" s="150"/>
      <c r="G1354" s="150"/>
      <c r="H1354" s="158"/>
      <c r="I1354" s="151"/>
      <c r="J1354" s="180"/>
    </row>
    <row r="1355" spans="1:10" s="154" customFormat="1">
      <c r="A1355" s="276"/>
      <c r="B1355" s="233" t="s">
        <v>1433</v>
      </c>
      <c r="C1355" s="149">
        <v>1</v>
      </c>
      <c r="D1355" s="149" t="s">
        <v>73</v>
      </c>
      <c r="E1355" s="149">
        <v>1</v>
      </c>
      <c r="F1355" s="150">
        <v>10</v>
      </c>
      <c r="G1355" s="150"/>
      <c r="H1355" s="158"/>
      <c r="I1355" s="151">
        <f t="shared" ref="I1355" si="165">ROUND(PRODUCT(C1355:H1355),2)</f>
        <v>10</v>
      </c>
      <c r="J1355" s="180"/>
    </row>
    <row r="1356" spans="1:10" s="181" customFormat="1">
      <c r="A1356" s="276"/>
      <c r="B1356" s="233"/>
      <c r="C1356" s="149"/>
      <c r="D1356" s="149"/>
      <c r="E1356" s="149"/>
      <c r="F1356" s="150"/>
      <c r="G1356" s="150"/>
      <c r="H1356" s="158" t="s">
        <v>523</v>
      </c>
      <c r="I1356" s="159">
        <f>SUM(I1355:I1355)</f>
        <v>10</v>
      </c>
      <c r="J1356" s="180" t="s">
        <v>76</v>
      </c>
    </row>
    <row r="1357" spans="1:10" s="181" customFormat="1">
      <c r="A1357" s="276"/>
      <c r="B1357" s="233"/>
      <c r="C1357" s="149"/>
      <c r="D1357" s="149"/>
      <c r="E1357" s="149"/>
      <c r="F1357" s="150"/>
      <c r="G1357" s="150"/>
      <c r="H1357" s="158"/>
      <c r="I1357" s="159"/>
      <c r="J1357" s="180"/>
    </row>
    <row r="1358" spans="1:10" s="181" customFormat="1">
      <c r="A1358" s="276">
        <v>50.6</v>
      </c>
      <c r="B1358" s="387" t="s">
        <v>1594</v>
      </c>
      <c r="C1358" s="149"/>
      <c r="D1358" s="149"/>
      <c r="E1358" s="149"/>
      <c r="F1358" s="150"/>
      <c r="G1358" s="150"/>
      <c r="H1358" s="158"/>
      <c r="I1358" s="159"/>
      <c r="J1358" s="180"/>
    </row>
    <row r="1359" spans="1:10" s="181" customFormat="1">
      <c r="A1359" s="276"/>
      <c r="B1359" s="233" t="s">
        <v>1595</v>
      </c>
      <c r="C1359" s="149">
        <v>1</v>
      </c>
      <c r="D1359" s="149" t="s">
        <v>73</v>
      </c>
      <c r="E1359" s="149">
        <v>1</v>
      </c>
      <c r="F1359" s="150">
        <v>14.47</v>
      </c>
      <c r="G1359" s="165">
        <v>0.94499999999999995</v>
      </c>
      <c r="H1359" s="150"/>
      <c r="I1359" s="151">
        <f>ROUND(PRODUCT(C1359:H1359),2)</f>
        <v>13.67</v>
      </c>
      <c r="J1359" s="180"/>
    </row>
    <row r="1360" spans="1:10" s="181" customFormat="1">
      <c r="A1360" s="276"/>
      <c r="B1360" s="233" t="s">
        <v>1596</v>
      </c>
      <c r="C1360" s="149">
        <v>-1</v>
      </c>
      <c r="D1360" s="149" t="s">
        <v>73</v>
      </c>
      <c r="E1360" s="149">
        <v>3</v>
      </c>
      <c r="F1360" s="150">
        <v>1.06</v>
      </c>
      <c r="G1360" s="165">
        <v>0.94499999999999995</v>
      </c>
      <c r="H1360" s="150"/>
      <c r="I1360" s="151">
        <f>ROUND(PRODUCT(C1360:H1360),2)</f>
        <v>-3.01</v>
      </c>
      <c r="J1360" s="180"/>
    </row>
    <row r="1361" spans="1:10" s="181" customFormat="1">
      <c r="A1361" s="276"/>
      <c r="B1361" s="233" t="s">
        <v>1597</v>
      </c>
      <c r="C1361" s="149">
        <v>-1</v>
      </c>
      <c r="D1361" s="149" t="s">
        <v>73</v>
      </c>
      <c r="E1361" s="149">
        <v>2</v>
      </c>
      <c r="F1361" s="150">
        <v>0.53</v>
      </c>
      <c r="G1361" s="165">
        <v>0.53</v>
      </c>
      <c r="H1361" s="150"/>
      <c r="I1361" s="151">
        <f>ROUND(PRODUCT(C1361:H1361),2)</f>
        <v>-0.56000000000000005</v>
      </c>
      <c r="J1361" s="180"/>
    </row>
    <row r="1362" spans="1:10" s="181" customFormat="1">
      <c r="A1362" s="276"/>
      <c r="B1362" s="233"/>
      <c r="C1362" s="149"/>
      <c r="D1362" s="149"/>
      <c r="E1362" s="149"/>
      <c r="F1362" s="150"/>
      <c r="G1362" s="165"/>
      <c r="H1362" s="150"/>
      <c r="I1362" s="159">
        <f>SUM(I1359:I1361)</f>
        <v>10.1</v>
      </c>
      <c r="J1362" s="180" t="s">
        <v>75</v>
      </c>
    </row>
    <row r="1363" spans="1:10" s="181" customFormat="1">
      <c r="A1363" s="276"/>
      <c r="B1363" s="233"/>
      <c r="C1363" s="149"/>
      <c r="D1363" s="149"/>
      <c r="E1363" s="149"/>
      <c r="F1363" s="150"/>
      <c r="G1363" s="165"/>
      <c r="H1363" s="150"/>
      <c r="I1363" s="151"/>
      <c r="J1363" s="180"/>
    </row>
    <row r="1364" spans="1:10" s="181" customFormat="1">
      <c r="A1364" s="276"/>
      <c r="B1364" s="233"/>
      <c r="C1364" s="149"/>
      <c r="D1364" s="149"/>
      <c r="E1364" s="149"/>
      <c r="F1364" s="150"/>
      <c r="G1364" s="150"/>
      <c r="H1364" s="158"/>
      <c r="I1364" s="151"/>
      <c r="J1364" s="180"/>
    </row>
    <row r="1365" spans="1:10" s="181" customFormat="1" ht="102" customHeight="1">
      <c r="A1365" s="276">
        <v>52.4</v>
      </c>
      <c r="B1365" s="178" t="s">
        <v>524</v>
      </c>
      <c r="C1365" s="149"/>
      <c r="D1365" s="149"/>
      <c r="E1365" s="149"/>
      <c r="F1365" s="150"/>
      <c r="G1365" s="150"/>
      <c r="H1365" s="150"/>
      <c r="I1365" s="151"/>
      <c r="J1365" s="180"/>
    </row>
    <row r="1366" spans="1:10" s="181" customFormat="1" ht="37.5">
      <c r="A1366" s="276"/>
      <c r="B1366" s="178" t="s">
        <v>525</v>
      </c>
      <c r="C1366" s="149"/>
      <c r="D1366" s="149"/>
      <c r="E1366" s="149"/>
      <c r="F1366" s="150"/>
      <c r="G1366" s="150"/>
      <c r="H1366" s="150"/>
      <c r="I1366" s="151"/>
      <c r="J1366" s="180"/>
    </row>
    <row r="1367" spans="1:10" s="181" customFormat="1">
      <c r="A1367" s="276"/>
      <c r="B1367" s="148" t="s">
        <v>526</v>
      </c>
      <c r="C1367" s="149">
        <v>1</v>
      </c>
      <c r="D1367" s="149" t="s">
        <v>73</v>
      </c>
      <c r="E1367" s="149">
        <v>2</v>
      </c>
      <c r="F1367" s="150">
        <v>5.75</v>
      </c>
      <c r="G1367" s="150"/>
      <c r="H1367" s="150"/>
      <c r="I1367" s="151">
        <f>ROUND(PRODUCT(C1367:H1367),2)</f>
        <v>11.5</v>
      </c>
      <c r="J1367" s="180"/>
    </row>
    <row r="1368" spans="1:10" s="181" customFormat="1">
      <c r="A1368" s="276"/>
      <c r="B1368" s="148" t="s">
        <v>1354</v>
      </c>
      <c r="C1368" s="149">
        <v>1</v>
      </c>
      <c r="D1368" s="149" t="s">
        <v>73</v>
      </c>
      <c r="E1368" s="149">
        <v>2</v>
      </c>
      <c r="F1368" s="150">
        <v>7.5</v>
      </c>
      <c r="G1368" s="150"/>
      <c r="H1368" s="150"/>
      <c r="I1368" s="151">
        <f t="shared" ref="I1368:I1370" si="166">ROUND(PRODUCT(C1368:H1368),2)</f>
        <v>15</v>
      </c>
      <c r="J1368" s="180"/>
    </row>
    <row r="1369" spans="1:10" s="181" customFormat="1">
      <c r="A1369" s="276"/>
      <c r="B1369" s="148" t="s">
        <v>1355</v>
      </c>
      <c r="C1369" s="149">
        <v>1</v>
      </c>
      <c r="D1369" s="149" t="s">
        <v>73</v>
      </c>
      <c r="E1369" s="149">
        <v>2</v>
      </c>
      <c r="F1369" s="150">
        <v>5</v>
      </c>
      <c r="G1369" s="150"/>
      <c r="H1369" s="150"/>
      <c r="I1369" s="151">
        <f t="shared" si="166"/>
        <v>10</v>
      </c>
      <c r="J1369" s="180"/>
    </row>
    <row r="1370" spans="1:10" s="181" customFormat="1">
      <c r="A1370" s="276"/>
      <c r="B1370" s="148" t="s">
        <v>1353</v>
      </c>
      <c r="C1370" s="149">
        <v>1</v>
      </c>
      <c r="D1370" s="149" t="s">
        <v>73</v>
      </c>
      <c r="E1370" s="149">
        <v>2</v>
      </c>
      <c r="F1370" s="150">
        <v>2.2999999999999998</v>
      </c>
      <c r="G1370" s="150"/>
      <c r="H1370" s="150"/>
      <c r="I1370" s="151">
        <f t="shared" si="166"/>
        <v>4.5999999999999996</v>
      </c>
      <c r="J1370" s="180"/>
    </row>
    <row r="1371" spans="1:10" s="181" customFormat="1">
      <c r="A1371" s="276"/>
      <c r="B1371" s="148" t="s">
        <v>527</v>
      </c>
      <c r="C1371" s="149">
        <v>1</v>
      </c>
      <c r="D1371" s="149" t="s">
        <v>73</v>
      </c>
      <c r="E1371" s="149">
        <v>4</v>
      </c>
      <c r="F1371" s="150">
        <v>4.5</v>
      </c>
      <c r="G1371" s="150"/>
      <c r="H1371" s="150"/>
      <c r="I1371" s="151">
        <f t="shared" ref="I1371" si="167">ROUND(PRODUCT(C1371:H1371),2)</f>
        <v>18</v>
      </c>
      <c r="J1371" s="180"/>
    </row>
    <row r="1372" spans="1:10" s="181" customFormat="1" ht="15" customHeight="1">
      <c r="A1372" s="276"/>
      <c r="B1372" s="148" t="s">
        <v>1356</v>
      </c>
      <c r="C1372" s="149">
        <v>1</v>
      </c>
      <c r="D1372" s="149" t="s">
        <v>73</v>
      </c>
      <c r="E1372" s="149">
        <v>2</v>
      </c>
      <c r="F1372" s="150">
        <v>4</v>
      </c>
      <c r="G1372" s="150"/>
      <c r="H1372" s="150"/>
      <c r="I1372" s="151">
        <f t="shared" ref="I1372" si="168">ROUND(PRODUCT(C1372:H1372),2)</f>
        <v>8</v>
      </c>
      <c r="J1372" s="180"/>
    </row>
    <row r="1373" spans="1:10" s="181" customFormat="1" ht="14.25" customHeight="1">
      <c r="A1373" s="249"/>
      <c r="B1373" s="148" t="s">
        <v>1357</v>
      </c>
      <c r="C1373" s="149">
        <v>1</v>
      </c>
      <c r="D1373" s="149" t="s">
        <v>73</v>
      </c>
      <c r="E1373" s="149">
        <v>2</v>
      </c>
      <c r="F1373" s="150">
        <v>8</v>
      </c>
      <c r="G1373" s="150"/>
      <c r="H1373" s="150"/>
      <c r="I1373" s="151">
        <f>ROUND(PRODUCT(C1373:H1373),2)</f>
        <v>16</v>
      </c>
      <c r="J1373" s="180"/>
    </row>
    <row r="1374" spans="1:10" s="181" customFormat="1">
      <c r="A1374" s="276"/>
      <c r="B1374" s="154" t="s">
        <v>1358</v>
      </c>
      <c r="C1374" s="149">
        <v>1</v>
      </c>
      <c r="D1374" s="235" t="s">
        <v>73</v>
      </c>
      <c r="E1374" s="238">
        <v>14</v>
      </c>
      <c r="F1374" s="236">
        <v>0.6</v>
      </c>
      <c r="G1374" s="236"/>
      <c r="H1374" s="236"/>
      <c r="I1374" s="237">
        <f>ROUND(PRODUCT(C1374:H1374),2)</f>
        <v>8.4</v>
      </c>
      <c r="J1374" s="180"/>
    </row>
    <row r="1375" spans="1:10" s="181" customFormat="1">
      <c r="A1375" s="276"/>
      <c r="B1375" s="154"/>
      <c r="C1375" s="149"/>
      <c r="D1375" s="235"/>
      <c r="E1375" s="238"/>
      <c r="F1375" s="236"/>
      <c r="G1375" s="236"/>
      <c r="H1375" s="236"/>
      <c r="I1375" s="237">
        <f>SUM(I1367:I1374)</f>
        <v>91.5</v>
      </c>
      <c r="J1375" s="180"/>
    </row>
    <row r="1376" spans="1:10" s="181" customFormat="1">
      <c r="A1376" s="276"/>
      <c r="B1376" s="148"/>
      <c r="C1376" s="149"/>
      <c r="D1376" s="149"/>
      <c r="E1376" s="149"/>
      <c r="F1376" s="150"/>
      <c r="G1376" s="158" t="s">
        <v>11</v>
      </c>
      <c r="H1376" s="150"/>
      <c r="I1376" s="159">
        <f>ROUND(I1375,0)</f>
        <v>92</v>
      </c>
      <c r="J1376" s="180" t="s">
        <v>76</v>
      </c>
    </row>
    <row r="1377" spans="1:10" s="181" customFormat="1">
      <c r="A1377" s="276"/>
      <c r="B1377" s="148"/>
      <c r="C1377" s="149"/>
      <c r="D1377" s="149"/>
      <c r="E1377" s="149"/>
      <c r="F1377" s="150"/>
      <c r="G1377" s="158"/>
      <c r="H1377" s="150"/>
      <c r="I1377" s="159"/>
      <c r="J1377" s="180"/>
    </row>
    <row r="1378" spans="1:10" s="181" customFormat="1" ht="100.5" customHeight="1">
      <c r="A1378" s="276">
        <v>53.5</v>
      </c>
      <c r="B1378" s="178" t="s">
        <v>528</v>
      </c>
      <c r="C1378" s="149"/>
      <c r="D1378" s="149"/>
      <c r="E1378" s="149"/>
      <c r="F1378" s="150"/>
      <c r="G1378" s="150"/>
      <c r="H1378" s="158"/>
      <c r="I1378" s="151"/>
      <c r="J1378" s="180"/>
    </row>
    <row r="1379" spans="1:10" s="181" customFormat="1">
      <c r="A1379" s="276"/>
      <c r="B1379" s="178" t="s">
        <v>529</v>
      </c>
      <c r="C1379" s="149">
        <v>1</v>
      </c>
      <c r="D1379" s="149" t="s">
        <v>73</v>
      </c>
      <c r="E1379" s="149">
        <v>2</v>
      </c>
      <c r="F1379" s="150"/>
      <c r="G1379" s="150"/>
      <c r="H1379" s="158"/>
      <c r="I1379" s="151">
        <f>ROUND(PRODUCT(C1379:H1379),2)</f>
        <v>2</v>
      </c>
      <c r="J1379" s="180"/>
    </row>
    <row r="1380" spans="1:10" s="181" customFormat="1">
      <c r="A1380" s="276"/>
      <c r="B1380" s="148" t="s">
        <v>361</v>
      </c>
      <c r="C1380" s="149">
        <v>1</v>
      </c>
      <c r="D1380" s="149" t="s">
        <v>73</v>
      </c>
      <c r="E1380" s="149">
        <v>2</v>
      </c>
      <c r="F1380" s="150"/>
      <c r="G1380" s="150"/>
      <c r="H1380" s="150"/>
      <c r="I1380" s="151">
        <f>ROUND(PRODUCT(C1380:H1380),2)</f>
        <v>2</v>
      </c>
      <c r="J1380" s="180"/>
    </row>
    <row r="1381" spans="1:10" s="181" customFormat="1">
      <c r="A1381" s="276"/>
      <c r="B1381" s="148" t="s">
        <v>362</v>
      </c>
      <c r="C1381" s="149">
        <v>1</v>
      </c>
      <c r="D1381" s="149" t="s">
        <v>73</v>
      </c>
      <c r="E1381" s="149">
        <v>2</v>
      </c>
      <c r="F1381" s="150"/>
      <c r="G1381" s="150"/>
      <c r="H1381" s="150"/>
      <c r="I1381" s="151">
        <f>ROUND(PRODUCT(C1381:H1381),2)</f>
        <v>2</v>
      </c>
      <c r="J1381" s="180"/>
    </row>
    <row r="1382" spans="1:10" s="154" customFormat="1">
      <c r="A1382" s="234"/>
      <c r="B1382" s="148" t="s">
        <v>530</v>
      </c>
      <c r="C1382" s="149">
        <v>1</v>
      </c>
      <c r="D1382" s="149" t="s">
        <v>73</v>
      </c>
      <c r="E1382" s="149">
        <v>4</v>
      </c>
      <c r="F1382" s="150"/>
      <c r="G1382" s="150"/>
      <c r="H1382" s="150"/>
      <c r="I1382" s="151">
        <f>ROUND(PRODUCT(C1382:H1382),2)</f>
        <v>4</v>
      </c>
      <c r="J1382" s="349"/>
    </row>
    <row r="1383" spans="1:10" s="154" customFormat="1">
      <c r="A1383" s="234"/>
      <c r="B1383" s="148"/>
      <c r="C1383" s="149"/>
      <c r="D1383" s="149"/>
      <c r="E1383" s="149"/>
      <c r="F1383" s="150"/>
      <c r="G1383" s="158" t="s">
        <v>11</v>
      </c>
      <c r="H1383" s="150"/>
      <c r="I1383" s="159">
        <f>SUM(I1379:I1382)</f>
        <v>10</v>
      </c>
      <c r="J1383" s="349" t="s">
        <v>128</v>
      </c>
    </row>
    <row r="1384" spans="1:10" s="154" customFormat="1">
      <c r="A1384" s="234"/>
      <c r="B1384" s="148"/>
      <c r="C1384" s="149"/>
      <c r="D1384" s="149"/>
      <c r="E1384" s="149"/>
      <c r="F1384" s="150"/>
      <c r="G1384" s="158"/>
      <c r="H1384" s="150"/>
      <c r="I1384" s="159"/>
      <c r="J1384" s="349"/>
    </row>
    <row r="1385" spans="1:10" s="181" customFormat="1" ht="37.5">
      <c r="A1385" s="276" t="s">
        <v>105</v>
      </c>
      <c r="B1385" s="155" t="s">
        <v>531</v>
      </c>
      <c r="C1385" s="149"/>
      <c r="D1385" s="149"/>
      <c r="E1385" s="149"/>
      <c r="F1385" s="150"/>
      <c r="G1385" s="150"/>
      <c r="H1385" s="150"/>
      <c r="I1385" s="159"/>
      <c r="J1385" s="180"/>
    </row>
    <row r="1386" spans="1:10" s="181" customFormat="1" ht="18" customHeight="1">
      <c r="B1386" s="148" t="s">
        <v>532</v>
      </c>
      <c r="C1386" s="149">
        <v>1</v>
      </c>
      <c r="D1386" s="156" t="s">
        <v>73</v>
      </c>
      <c r="E1386" s="149">
        <v>2</v>
      </c>
      <c r="F1386" s="150"/>
      <c r="G1386" s="150"/>
      <c r="H1386" s="150"/>
      <c r="I1386" s="151">
        <f>ROUND(PRODUCT(C1386:H1386),2)</f>
        <v>2</v>
      </c>
      <c r="J1386" s="180"/>
    </row>
    <row r="1387" spans="1:10" s="181" customFormat="1">
      <c r="A1387" s="276"/>
      <c r="B1387" s="148" t="s">
        <v>361</v>
      </c>
      <c r="C1387" s="149">
        <v>1</v>
      </c>
      <c r="D1387" s="156" t="s">
        <v>73</v>
      </c>
      <c r="E1387" s="149">
        <v>3</v>
      </c>
      <c r="F1387" s="150"/>
      <c r="G1387" s="150"/>
      <c r="H1387" s="150"/>
      <c r="I1387" s="151">
        <f>ROUND(PRODUCT(C1387:H1387),2)</f>
        <v>3</v>
      </c>
      <c r="J1387" s="180"/>
    </row>
    <row r="1388" spans="1:10" s="181" customFormat="1" ht="16.5" customHeight="1">
      <c r="A1388" s="276"/>
      <c r="B1388" s="148" t="s">
        <v>362</v>
      </c>
      <c r="C1388" s="149">
        <v>1</v>
      </c>
      <c r="D1388" s="156" t="s">
        <v>73</v>
      </c>
      <c r="E1388" s="149">
        <v>3</v>
      </c>
      <c r="F1388" s="150"/>
      <c r="G1388" s="150"/>
      <c r="H1388" s="150"/>
      <c r="I1388" s="151">
        <f>ROUND(PRODUCT(C1388:H1388),2)</f>
        <v>3</v>
      </c>
      <c r="J1388" s="180"/>
    </row>
    <row r="1389" spans="1:10" s="181" customFormat="1">
      <c r="A1389" s="276"/>
      <c r="B1389" s="148" t="s">
        <v>530</v>
      </c>
      <c r="C1389" s="149">
        <v>1</v>
      </c>
      <c r="D1389" s="156" t="s">
        <v>73</v>
      </c>
      <c r="E1389" s="149">
        <v>5</v>
      </c>
      <c r="F1389" s="150"/>
      <c r="G1389" s="150"/>
      <c r="H1389" s="150"/>
      <c r="I1389" s="151">
        <f>ROUND(PRODUCT(C1389:H1389),2)</f>
        <v>5</v>
      </c>
      <c r="J1389" s="180"/>
    </row>
    <row r="1390" spans="1:10" s="181" customFormat="1">
      <c r="A1390" s="276"/>
      <c r="B1390" s="148" t="s">
        <v>533</v>
      </c>
      <c r="C1390" s="149">
        <v>1</v>
      </c>
      <c r="D1390" s="156" t="s">
        <v>73</v>
      </c>
      <c r="E1390" s="149">
        <v>2</v>
      </c>
      <c r="F1390" s="150"/>
      <c r="G1390" s="150"/>
      <c r="H1390" s="150"/>
      <c r="I1390" s="151">
        <f>ROUND(PRODUCT(C1390:H1390),2)</f>
        <v>2</v>
      </c>
      <c r="J1390" s="180"/>
    </row>
    <row r="1391" spans="1:10" s="181" customFormat="1">
      <c r="A1391" s="276"/>
      <c r="B1391" s="148"/>
      <c r="C1391" s="149"/>
      <c r="D1391" s="149"/>
      <c r="E1391" s="149"/>
      <c r="F1391" s="150"/>
      <c r="G1391" s="158" t="s">
        <v>11</v>
      </c>
      <c r="H1391" s="150"/>
      <c r="I1391" s="159">
        <f>SUM(I1386:I1390)</f>
        <v>15</v>
      </c>
      <c r="J1391" s="180" t="s">
        <v>276</v>
      </c>
    </row>
    <row r="1392" spans="1:10" s="181" customFormat="1">
      <c r="A1392" s="276"/>
      <c r="B1392" s="148"/>
      <c r="C1392" s="149"/>
      <c r="D1392" s="149"/>
      <c r="E1392" s="149"/>
      <c r="F1392" s="150"/>
      <c r="G1392" s="158"/>
      <c r="H1392" s="150"/>
      <c r="I1392" s="159"/>
      <c r="J1392" s="180"/>
    </row>
    <row r="1393" spans="1:10" s="181" customFormat="1" ht="37.5">
      <c r="A1393" s="276" t="s">
        <v>106</v>
      </c>
      <c r="B1393" s="155" t="s">
        <v>534</v>
      </c>
      <c r="C1393" s="149"/>
      <c r="D1393" s="149"/>
      <c r="E1393" s="149"/>
      <c r="F1393" s="150"/>
      <c r="G1393" s="158"/>
      <c r="H1393" s="150"/>
      <c r="I1393" s="159"/>
      <c r="J1393" s="180"/>
    </row>
    <row r="1394" spans="1:10" s="181" customFormat="1" ht="19.5" customHeight="1">
      <c r="A1394" s="276"/>
      <c r="B1394" s="148" t="s">
        <v>532</v>
      </c>
      <c r="C1394" s="149">
        <v>1</v>
      </c>
      <c r="D1394" s="156" t="s">
        <v>73</v>
      </c>
      <c r="E1394" s="149">
        <v>2</v>
      </c>
      <c r="F1394" s="150"/>
      <c r="G1394" s="150"/>
      <c r="H1394" s="150"/>
      <c r="I1394" s="151">
        <f>ROUND(PRODUCT(C1394:H1394),2)</f>
        <v>2</v>
      </c>
      <c r="J1394" s="180"/>
    </row>
    <row r="1395" spans="1:10" s="181" customFormat="1" ht="13.5" customHeight="1">
      <c r="A1395" s="276"/>
      <c r="B1395" s="148" t="s">
        <v>361</v>
      </c>
      <c r="C1395" s="149">
        <v>1</v>
      </c>
      <c r="D1395" s="156" t="s">
        <v>73</v>
      </c>
      <c r="E1395" s="149">
        <v>3</v>
      </c>
      <c r="F1395" s="150"/>
      <c r="G1395" s="150"/>
      <c r="H1395" s="150"/>
      <c r="I1395" s="151">
        <f>ROUND(PRODUCT(C1395:H1395),2)</f>
        <v>3</v>
      </c>
      <c r="J1395" s="180"/>
    </row>
    <row r="1396" spans="1:10" s="181" customFormat="1">
      <c r="A1396" s="276"/>
      <c r="B1396" s="148" t="s">
        <v>362</v>
      </c>
      <c r="C1396" s="149">
        <v>1</v>
      </c>
      <c r="D1396" s="156" t="s">
        <v>73</v>
      </c>
      <c r="E1396" s="149">
        <v>3</v>
      </c>
      <c r="F1396" s="150"/>
      <c r="G1396" s="150"/>
      <c r="H1396" s="150"/>
      <c r="I1396" s="151">
        <f>ROUND(PRODUCT(C1396:H1396),2)</f>
        <v>3</v>
      </c>
      <c r="J1396" s="180"/>
    </row>
    <row r="1397" spans="1:10" s="181" customFormat="1">
      <c r="A1397" s="276"/>
      <c r="B1397" s="148" t="s">
        <v>530</v>
      </c>
      <c r="C1397" s="149">
        <v>1</v>
      </c>
      <c r="D1397" s="156" t="s">
        <v>73</v>
      </c>
      <c r="E1397" s="149">
        <v>5</v>
      </c>
      <c r="F1397" s="150"/>
      <c r="G1397" s="150"/>
      <c r="H1397" s="150"/>
      <c r="I1397" s="151">
        <f>ROUND(PRODUCT(C1397:H1397),2)</f>
        <v>5</v>
      </c>
      <c r="J1397" s="180"/>
    </row>
    <row r="1398" spans="1:10" s="181" customFormat="1">
      <c r="A1398" s="276"/>
      <c r="B1398" s="148"/>
      <c r="C1398" s="149"/>
      <c r="D1398" s="149"/>
      <c r="E1398" s="149"/>
      <c r="F1398" s="150"/>
      <c r="G1398" s="158" t="s">
        <v>11</v>
      </c>
      <c r="H1398" s="150"/>
      <c r="I1398" s="159">
        <f>SUM(I1394:I1397)</f>
        <v>13</v>
      </c>
      <c r="J1398" s="180" t="s">
        <v>377</v>
      </c>
    </row>
    <row r="1399" spans="1:10" s="181" customFormat="1">
      <c r="A1399" s="276"/>
      <c r="B1399" s="148"/>
      <c r="C1399" s="149"/>
      <c r="D1399" s="149"/>
      <c r="E1399" s="149"/>
      <c r="F1399" s="150"/>
      <c r="G1399" s="158"/>
      <c r="H1399" s="150"/>
      <c r="I1399" s="159"/>
      <c r="J1399" s="221"/>
    </row>
    <row r="1400" spans="1:10" s="181" customFormat="1" ht="37.5" customHeight="1">
      <c r="A1400" s="276" t="s">
        <v>54</v>
      </c>
      <c r="B1400" s="183" t="s">
        <v>535</v>
      </c>
      <c r="C1400" s="149"/>
      <c r="D1400" s="149"/>
      <c r="E1400" s="149"/>
      <c r="F1400" s="150"/>
      <c r="G1400" s="150"/>
      <c r="H1400" s="150"/>
      <c r="I1400" s="151"/>
      <c r="J1400" s="221"/>
    </row>
    <row r="1401" spans="1:10" s="181" customFormat="1" ht="17.25" customHeight="1">
      <c r="B1401" s="148" t="s">
        <v>536</v>
      </c>
      <c r="C1401" s="149">
        <v>1</v>
      </c>
      <c r="D1401" s="149" t="s">
        <v>73</v>
      </c>
      <c r="E1401" s="149">
        <v>1</v>
      </c>
      <c r="F1401" s="150"/>
      <c r="G1401" s="150"/>
      <c r="H1401" s="150"/>
      <c r="I1401" s="151">
        <f>ROUND(PRODUCT(C1401:H1401),2)</f>
        <v>1</v>
      </c>
      <c r="J1401" s="180"/>
    </row>
    <row r="1402" spans="1:10" s="181" customFormat="1" ht="19.5" customHeight="1">
      <c r="A1402" s="276"/>
      <c r="B1402" s="148"/>
      <c r="C1402" s="149"/>
      <c r="D1402" s="149"/>
      <c r="E1402" s="149"/>
      <c r="F1402" s="150"/>
      <c r="G1402" s="158" t="s">
        <v>11</v>
      </c>
      <c r="H1402" s="150"/>
      <c r="I1402" s="159">
        <f>SUM(I1401:I1401)</f>
        <v>1</v>
      </c>
      <c r="J1402" s="180" t="s">
        <v>377</v>
      </c>
    </row>
    <row r="1403" spans="1:10" s="181" customFormat="1" ht="19.5" customHeight="1">
      <c r="A1403" s="276"/>
      <c r="B1403" s="148"/>
      <c r="C1403" s="149"/>
      <c r="D1403" s="149"/>
      <c r="E1403" s="149"/>
      <c r="F1403" s="150"/>
      <c r="G1403" s="158"/>
      <c r="H1403" s="150"/>
      <c r="I1403" s="159"/>
      <c r="J1403" s="180"/>
    </row>
    <row r="1404" spans="1:10" s="181" customFormat="1" ht="13.5" customHeight="1">
      <c r="A1404" s="276" t="s">
        <v>55</v>
      </c>
      <c r="B1404" s="183" t="s">
        <v>537</v>
      </c>
      <c r="C1404" s="149"/>
      <c r="D1404" s="149"/>
      <c r="E1404" s="149"/>
      <c r="F1404" s="150"/>
      <c r="G1404" s="150"/>
      <c r="H1404" s="150"/>
      <c r="I1404" s="151"/>
      <c r="J1404" s="180"/>
    </row>
    <row r="1405" spans="1:10" s="181" customFormat="1">
      <c r="A1405" s="276"/>
      <c r="B1405" s="148" t="s">
        <v>1359</v>
      </c>
      <c r="C1405" s="149">
        <v>1</v>
      </c>
      <c r="D1405" s="149" t="s">
        <v>73</v>
      </c>
      <c r="E1405" s="149">
        <v>2</v>
      </c>
      <c r="F1405" s="150"/>
      <c r="G1405" s="150"/>
      <c r="H1405" s="150"/>
      <c r="I1405" s="151">
        <f>ROUND(PRODUCT(C1405:H1405),2)</f>
        <v>2</v>
      </c>
      <c r="J1405" s="180"/>
    </row>
    <row r="1406" spans="1:10" s="181" customFormat="1">
      <c r="A1406" s="276"/>
      <c r="B1406" s="148" t="s">
        <v>1360</v>
      </c>
      <c r="C1406" s="149">
        <v>1</v>
      </c>
      <c r="D1406" s="149" t="s">
        <v>73</v>
      </c>
      <c r="E1406" s="149">
        <v>1</v>
      </c>
      <c r="F1406" s="150"/>
      <c r="G1406" s="150"/>
      <c r="H1406" s="150"/>
      <c r="I1406" s="151">
        <f>ROUND(PRODUCT(C1406:H1406),2)</f>
        <v>1</v>
      </c>
      <c r="J1406" s="180"/>
    </row>
    <row r="1407" spans="1:10" s="181" customFormat="1">
      <c r="A1407" s="276"/>
      <c r="B1407" s="148"/>
      <c r="C1407" s="149"/>
      <c r="D1407" s="149"/>
      <c r="E1407" s="149"/>
      <c r="F1407" s="150"/>
      <c r="G1407" s="158" t="s">
        <v>11</v>
      </c>
      <c r="H1407" s="150"/>
      <c r="I1407" s="159">
        <f>SUM(I1405:I1406)</f>
        <v>3</v>
      </c>
      <c r="J1407" s="180" t="s">
        <v>377</v>
      </c>
    </row>
    <row r="1408" spans="1:10" s="181" customFormat="1">
      <c r="A1408" s="276"/>
      <c r="B1408" s="148"/>
      <c r="C1408" s="149"/>
      <c r="D1408" s="149"/>
      <c r="E1408" s="149"/>
      <c r="F1408" s="150"/>
      <c r="G1408" s="158"/>
      <c r="H1408" s="150"/>
      <c r="I1408" s="159"/>
      <c r="J1408" s="180"/>
    </row>
    <row r="1409" spans="1:10" s="181" customFormat="1" ht="49.5" customHeight="1">
      <c r="A1409" s="276" t="s">
        <v>56</v>
      </c>
      <c r="B1409" s="155" t="s">
        <v>539</v>
      </c>
      <c r="C1409" s="149"/>
      <c r="D1409" s="149"/>
      <c r="E1409" s="149"/>
      <c r="F1409" s="150"/>
      <c r="G1409" s="158"/>
      <c r="H1409" s="150"/>
      <c r="I1409" s="159"/>
      <c r="J1409" s="180"/>
    </row>
    <row r="1410" spans="1:10" s="181" customFormat="1">
      <c r="A1410" s="276"/>
      <c r="B1410" s="182" t="s">
        <v>1361</v>
      </c>
      <c r="C1410" s="149">
        <v>1</v>
      </c>
      <c r="D1410" s="149" t="s">
        <v>73</v>
      </c>
      <c r="E1410" s="149">
        <v>1</v>
      </c>
      <c r="F1410" s="150"/>
      <c r="G1410" s="150"/>
      <c r="H1410" s="150"/>
      <c r="I1410" s="151">
        <f>ROUND(PRODUCT(C1410:H1410),2)</f>
        <v>1</v>
      </c>
      <c r="J1410" s="180"/>
    </row>
    <row r="1411" spans="1:10" s="181" customFormat="1" ht="18.75" customHeight="1">
      <c r="A1411" s="276"/>
      <c r="B1411" s="182" t="s">
        <v>361</v>
      </c>
      <c r="C1411" s="149">
        <v>1</v>
      </c>
      <c r="D1411" s="149" t="s">
        <v>73</v>
      </c>
      <c r="E1411" s="149">
        <v>2</v>
      </c>
      <c r="F1411" s="150"/>
      <c r="G1411" s="150"/>
      <c r="H1411" s="150"/>
      <c r="I1411" s="151">
        <f>ROUND(PRODUCT(C1411:H1411),2)</f>
        <v>2</v>
      </c>
      <c r="J1411" s="180"/>
    </row>
    <row r="1412" spans="1:10" s="181" customFormat="1">
      <c r="B1412" s="182" t="s">
        <v>362</v>
      </c>
      <c r="C1412" s="149">
        <v>1</v>
      </c>
      <c r="D1412" s="149" t="s">
        <v>73</v>
      </c>
      <c r="E1412" s="149">
        <v>2</v>
      </c>
      <c r="F1412" s="150"/>
      <c r="G1412" s="150"/>
      <c r="H1412" s="150"/>
      <c r="I1412" s="151">
        <f>ROUND(PRODUCT(C1412:H1412),2)</f>
        <v>2</v>
      </c>
      <c r="J1412" s="180"/>
    </row>
    <row r="1413" spans="1:10" s="181" customFormat="1">
      <c r="A1413" s="276"/>
      <c r="B1413" s="182" t="s">
        <v>530</v>
      </c>
      <c r="C1413" s="149">
        <v>1</v>
      </c>
      <c r="D1413" s="149" t="s">
        <v>73</v>
      </c>
      <c r="E1413" s="149">
        <v>3</v>
      </c>
      <c r="F1413" s="150"/>
      <c r="G1413" s="150"/>
      <c r="H1413" s="150"/>
      <c r="I1413" s="151">
        <f>ROUND(PRODUCT(C1413:H1413),2)</f>
        <v>3</v>
      </c>
      <c r="J1413" s="180"/>
    </row>
    <row r="1414" spans="1:10" s="181" customFormat="1">
      <c r="A1414" s="276"/>
      <c r="B1414" s="182"/>
      <c r="C1414" s="149"/>
      <c r="D1414" s="149"/>
      <c r="E1414" s="149"/>
      <c r="F1414" s="150"/>
      <c r="G1414" s="158" t="s">
        <v>11</v>
      </c>
      <c r="H1414" s="150"/>
      <c r="I1414" s="159">
        <f>SUM(I1410:I1413)</f>
        <v>8</v>
      </c>
      <c r="J1414" s="180" t="s">
        <v>377</v>
      </c>
    </row>
    <row r="1415" spans="1:10" s="181" customFormat="1">
      <c r="A1415" s="276"/>
      <c r="B1415" s="182"/>
      <c r="C1415" s="149"/>
      <c r="D1415" s="149"/>
      <c r="E1415" s="149"/>
      <c r="F1415" s="150"/>
      <c r="G1415" s="158"/>
      <c r="H1415" s="150"/>
      <c r="I1415" s="159"/>
      <c r="J1415" s="180"/>
    </row>
    <row r="1416" spans="1:10" s="181" customFormat="1" ht="76.5" customHeight="1">
      <c r="A1416" s="276">
        <v>58.3</v>
      </c>
      <c r="B1416" s="178" t="s">
        <v>540</v>
      </c>
      <c r="C1416" s="149"/>
      <c r="D1416" s="149"/>
      <c r="E1416" s="149"/>
      <c r="F1416" s="150"/>
      <c r="G1416" s="158"/>
      <c r="H1416" s="150"/>
      <c r="I1416" s="159"/>
      <c r="J1416" s="180"/>
    </row>
    <row r="1417" spans="1:10" s="181" customFormat="1">
      <c r="B1417" s="155" t="s">
        <v>541</v>
      </c>
      <c r="C1417" s="149"/>
      <c r="D1417" s="149"/>
      <c r="E1417" s="149"/>
      <c r="F1417" s="150"/>
      <c r="G1417" s="150"/>
      <c r="H1417" s="150"/>
      <c r="I1417" s="151"/>
      <c r="J1417" s="180"/>
    </row>
    <row r="1418" spans="1:10" s="181" customFormat="1">
      <c r="A1418" s="276"/>
      <c r="B1418" s="148" t="s">
        <v>1362</v>
      </c>
      <c r="C1418" s="149">
        <v>1</v>
      </c>
      <c r="D1418" s="149" t="s">
        <v>73</v>
      </c>
      <c r="E1418" s="149">
        <v>2</v>
      </c>
      <c r="F1418" s="150">
        <v>11</v>
      </c>
      <c r="G1418" s="150"/>
      <c r="H1418" s="150"/>
      <c r="I1418" s="151">
        <f t="shared" ref="I1418:I1421" si="169">ROUND(PRODUCT(C1418:H1418),2)</f>
        <v>22</v>
      </c>
      <c r="J1418" s="180"/>
    </row>
    <row r="1419" spans="1:10" s="181" customFormat="1">
      <c r="A1419" s="276"/>
      <c r="B1419" s="148" t="s">
        <v>1363</v>
      </c>
      <c r="C1419" s="149">
        <v>1</v>
      </c>
      <c r="D1419" s="149" t="s">
        <v>73</v>
      </c>
      <c r="E1419" s="149">
        <v>4</v>
      </c>
      <c r="F1419" s="150">
        <v>15</v>
      </c>
      <c r="G1419" s="150"/>
      <c r="H1419" s="150"/>
      <c r="I1419" s="151">
        <f t="shared" si="169"/>
        <v>60</v>
      </c>
      <c r="J1419" s="180"/>
    </row>
    <row r="1420" spans="1:10" s="181" customFormat="1">
      <c r="A1420" s="276"/>
      <c r="B1420" s="148" t="s">
        <v>1364</v>
      </c>
      <c r="C1420" s="149">
        <v>1</v>
      </c>
      <c r="D1420" s="149" t="s">
        <v>73</v>
      </c>
      <c r="E1420" s="149">
        <v>10</v>
      </c>
      <c r="F1420" s="150">
        <v>1</v>
      </c>
      <c r="G1420" s="150"/>
      <c r="H1420" s="150"/>
      <c r="I1420" s="151">
        <f t="shared" si="169"/>
        <v>10</v>
      </c>
      <c r="J1420" s="180"/>
    </row>
    <row r="1421" spans="1:10" s="181" customFormat="1">
      <c r="A1421" s="276"/>
      <c r="B1421" s="148" t="s">
        <v>1365</v>
      </c>
      <c r="C1421" s="149">
        <v>1</v>
      </c>
      <c r="D1421" s="149" t="s">
        <v>73</v>
      </c>
      <c r="E1421" s="149">
        <v>4</v>
      </c>
      <c r="F1421" s="150">
        <v>2.5</v>
      </c>
      <c r="G1421" s="150"/>
      <c r="H1421" s="150"/>
      <c r="I1421" s="151">
        <f t="shared" si="169"/>
        <v>10</v>
      </c>
      <c r="J1421" s="180"/>
    </row>
    <row r="1422" spans="1:10" s="181" customFormat="1">
      <c r="A1422" s="276"/>
      <c r="B1422" s="148"/>
      <c r="C1422" s="149"/>
      <c r="D1422" s="149"/>
      <c r="E1422" s="149"/>
      <c r="F1422" s="150"/>
      <c r="G1422" s="158" t="s">
        <v>11</v>
      </c>
      <c r="H1422" s="150"/>
      <c r="I1422" s="159">
        <f>SUM(I1418:I1421)</f>
        <v>102</v>
      </c>
      <c r="J1422" s="221"/>
    </row>
    <row r="1423" spans="1:10" s="181" customFormat="1" ht="21" customHeight="1">
      <c r="B1423" s="148"/>
      <c r="C1423" s="149"/>
      <c r="D1423" s="149"/>
      <c r="E1423" s="149"/>
      <c r="F1423" s="150"/>
      <c r="G1423" s="158"/>
      <c r="H1423" s="158" t="s">
        <v>74</v>
      </c>
      <c r="I1423" s="159">
        <f>ROUNDUP(I1422,1)</f>
        <v>102</v>
      </c>
      <c r="J1423" s="180" t="s">
        <v>377</v>
      </c>
    </row>
    <row r="1424" spans="1:10" s="181" customFormat="1" ht="21" customHeight="1">
      <c r="B1424" s="148"/>
      <c r="C1424" s="149"/>
      <c r="D1424" s="149"/>
      <c r="E1424" s="149"/>
      <c r="F1424" s="150"/>
      <c r="G1424" s="158"/>
      <c r="H1424" s="158"/>
      <c r="I1424" s="159"/>
      <c r="J1424" s="180"/>
    </row>
    <row r="1425" spans="1:10" s="181" customFormat="1">
      <c r="A1425" s="276"/>
      <c r="B1425" s="155" t="s">
        <v>542</v>
      </c>
      <c r="C1425" s="149"/>
      <c r="D1425" s="149"/>
      <c r="E1425" s="149"/>
      <c r="F1425" s="150"/>
      <c r="G1425" s="158"/>
      <c r="H1425" s="150"/>
      <c r="I1425" s="159"/>
      <c r="J1425" s="180"/>
    </row>
    <row r="1426" spans="1:10" s="181" customFormat="1">
      <c r="A1426" s="276"/>
      <c r="B1426" s="148" t="s">
        <v>1362</v>
      </c>
      <c r="C1426" s="149">
        <v>1</v>
      </c>
      <c r="D1426" s="149" t="s">
        <v>73</v>
      </c>
      <c r="E1426" s="149">
        <v>1</v>
      </c>
      <c r="F1426" s="150">
        <v>11</v>
      </c>
      <c r="G1426" s="150"/>
      <c r="H1426" s="150"/>
      <c r="I1426" s="151">
        <f t="shared" ref="I1426:I1428" si="170">ROUND(PRODUCT(C1426:H1426),2)</f>
        <v>11</v>
      </c>
      <c r="J1426" s="180"/>
    </row>
    <row r="1427" spans="1:10" s="181" customFormat="1" ht="15.75" customHeight="1">
      <c r="A1427" s="276"/>
      <c r="B1427" s="148" t="s">
        <v>1363</v>
      </c>
      <c r="C1427" s="149">
        <v>1</v>
      </c>
      <c r="D1427" s="149" t="s">
        <v>73</v>
      </c>
      <c r="E1427" s="149">
        <v>5</v>
      </c>
      <c r="F1427" s="150">
        <v>15</v>
      </c>
      <c r="G1427" s="150"/>
      <c r="H1427" s="150"/>
      <c r="I1427" s="151">
        <f t="shared" si="170"/>
        <v>75</v>
      </c>
      <c r="J1427" s="180"/>
    </row>
    <row r="1428" spans="1:10" s="181" customFormat="1" ht="15.75" customHeight="1">
      <c r="A1428" s="276"/>
      <c r="B1428" s="148" t="s">
        <v>1364</v>
      </c>
      <c r="C1428" s="149">
        <v>1</v>
      </c>
      <c r="D1428" s="149" t="s">
        <v>73</v>
      </c>
      <c r="E1428" s="149">
        <v>10</v>
      </c>
      <c r="F1428" s="150">
        <v>0.75</v>
      </c>
      <c r="G1428" s="150"/>
      <c r="H1428" s="150"/>
      <c r="I1428" s="151">
        <f t="shared" si="170"/>
        <v>7.5</v>
      </c>
      <c r="J1428" s="180"/>
    </row>
    <row r="1429" spans="1:10" s="181" customFormat="1" ht="18" customHeight="1">
      <c r="A1429" s="276"/>
      <c r="B1429" s="148"/>
      <c r="C1429" s="149"/>
      <c r="D1429" s="149"/>
      <c r="E1429" s="149"/>
      <c r="F1429" s="150"/>
      <c r="G1429" s="158" t="s">
        <v>11</v>
      </c>
      <c r="H1429" s="150"/>
      <c r="I1429" s="159">
        <f>SUM(I1426:I1428)</f>
        <v>93.5</v>
      </c>
      <c r="J1429" s="180"/>
    </row>
    <row r="1430" spans="1:10" s="181" customFormat="1">
      <c r="A1430" s="276"/>
      <c r="B1430" s="148"/>
      <c r="C1430" s="149"/>
      <c r="D1430" s="149"/>
      <c r="E1430" s="149"/>
      <c r="F1430" s="150"/>
      <c r="G1430" s="150"/>
      <c r="H1430" s="158" t="s">
        <v>74</v>
      </c>
      <c r="I1430" s="159">
        <f>ROUNDUP(I1429,1)</f>
        <v>93.5</v>
      </c>
      <c r="J1430" s="180"/>
    </row>
    <row r="1431" spans="1:10" s="181" customFormat="1">
      <c r="A1431" s="276"/>
      <c r="B1431" s="148"/>
      <c r="C1431" s="149"/>
      <c r="D1431" s="149"/>
      <c r="E1431" s="149"/>
      <c r="F1431" s="150"/>
      <c r="G1431" s="150"/>
      <c r="H1431" s="158"/>
      <c r="I1431" s="159"/>
      <c r="J1431" s="180"/>
    </row>
    <row r="1432" spans="1:10" s="181" customFormat="1" ht="37.5">
      <c r="A1432" s="276">
        <v>58.4</v>
      </c>
      <c r="B1432" s="155" t="s">
        <v>543</v>
      </c>
      <c r="C1432" s="148"/>
      <c r="D1432" s="148"/>
      <c r="E1432" s="148"/>
      <c r="F1432" s="228"/>
      <c r="G1432" s="228"/>
      <c r="H1432" s="228"/>
      <c r="I1432" s="205"/>
      <c r="J1432" s="180"/>
    </row>
    <row r="1433" spans="1:10" s="181" customFormat="1">
      <c r="A1433" s="276"/>
      <c r="B1433" s="148" t="s">
        <v>544</v>
      </c>
      <c r="C1433" s="149">
        <v>1</v>
      </c>
      <c r="D1433" s="156" t="s">
        <v>73</v>
      </c>
      <c r="E1433" s="149">
        <v>10</v>
      </c>
      <c r="F1433" s="150">
        <v>2</v>
      </c>
      <c r="G1433" s="150"/>
      <c r="H1433" s="158"/>
      <c r="I1433" s="159">
        <f>PRODUCT(C1433:H1433)</f>
        <v>20</v>
      </c>
      <c r="J1433" s="180" t="s">
        <v>76</v>
      </c>
    </row>
    <row r="1434" spans="1:10" s="181" customFormat="1">
      <c r="A1434" s="276"/>
      <c r="B1434" s="148"/>
      <c r="C1434" s="149"/>
      <c r="D1434" s="156"/>
      <c r="E1434" s="149"/>
      <c r="F1434" s="150"/>
      <c r="G1434" s="150"/>
      <c r="H1434" s="158"/>
      <c r="I1434" s="159"/>
      <c r="J1434" s="180"/>
    </row>
    <row r="1435" spans="1:10" s="181" customFormat="1" ht="37.5">
      <c r="A1435" s="276">
        <v>58.5</v>
      </c>
      <c r="B1435" s="387" t="s">
        <v>1590</v>
      </c>
      <c r="C1435" s="149"/>
      <c r="D1435" s="156"/>
      <c r="E1435" s="149"/>
      <c r="F1435" s="150"/>
      <c r="G1435" s="150"/>
      <c r="H1435" s="158"/>
      <c r="I1435" s="159"/>
      <c r="J1435" s="180"/>
    </row>
    <row r="1436" spans="1:10" s="181" customFormat="1">
      <c r="A1436" s="276"/>
      <c r="B1436" s="148" t="s">
        <v>1591</v>
      </c>
      <c r="C1436" s="149">
        <v>1</v>
      </c>
      <c r="D1436" s="156" t="s">
        <v>73</v>
      </c>
      <c r="E1436" s="149">
        <v>1</v>
      </c>
      <c r="F1436" s="150">
        <v>1</v>
      </c>
      <c r="G1436" s="150"/>
      <c r="H1436" s="158"/>
      <c r="I1436" s="159">
        <f>PRODUCT(C1436:H1436)</f>
        <v>1</v>
      </c>
      <c r="J1436" s="180" t="s">
        <v>128</v>
      </c>
    </row>
    <row r="1437" spans="1:10" s="181" customFormat="1">
      <c r="A1437" s="276"/>
      <c r="B1437" s="148"/>
      <c r="C1437" s="149"/>
      <c r="D1437" s="156"/>
      <c r="E1437" s="149"/>
      <c r="F1437" s="150"/>
      <c r="G1437" s="150"/>
      <c r="H1437" s="158"/>
      <c r="I1437" s="159"/>
      <c r="J1437" s="180"/>
    </row>
    <row r="1438" spans="1:10" s="181" customFormat="1" ht="37.5">
      <c r="A1438" s="276">
        <v>61.3</v>
      </c>
      <c r="B1438" s="176" t="s">
        <v>545</v>
      </c>
      <c r="C1438" s="217"/>
      <c r="D1438" s="239"/>
      <c r="E1438" s="217"/>
      <c r="F1438" s="168"/>
      <c r="G1438" s="168"/>
      <c r="H1438" s="168"/>
      <c r="I1438" s="240"/>
      <c r="J1438" s="180"/>
    </row>
    <row r="1439" spans="1:10" s="181" customFormat="1" ht="15.75" customHeight="1">
      <c r="A1439" s="276"/>
      <c r="B1439" s="176" t="s">
        <v>546</v>
      </c>
      <c r="C1439" s="217"/>
      <c r="D1439" s="239"/>
      <c r="E1439" s="217"/>
      <c r="F1439" s="168"/>
      <c r="G1439" s="168"/>
      <c r="H1439" s="168"/>
      <c r="I1439" s="240"/>
      <c r="J1439" s="180"/>
    </row>
    <row r="1440" spans="1:10" s="181" customFormat="1" ht="15.75" customHeight="1">
      <c r="A1440" s="276"/>
      <c r="B1440" s="171" t="s">
        <v>547</v>
      </c>
      <c r="C1440" s="217">
        <v>1</v>
      </c>
      <c r="D1440" s="239"/>
      <c r="E1440" s="217">
        <v>1</v>
      </c>
      <c r="F1440" s="168">
        <v>30</v>
      </c>
      <c r="G1440" s="168"/>
      <c r="H1440" s="168"/>
      <c r="I1440" s="241">
        <f>PRODUCT(C1440:H1440)</f>
        <v>30</v>
      </c>
      <c r="J1440" s="180" t="s">
        <v>76</v>
      </c>
    </row>
    <row r="1441" spans="1:10" s="181" customFormat="1" ht="15.75" customHeight="1">
      <c r="A1441" s="276"/>
      <c r="B1441" s="171"/>
      <c r="C1441" s="217"/>
      <c r="D1441" s="239"/>
      <c r="E1441" s="217"/>
      <c r="F1441" s="168"/>
      <c r="G1441" s="168"/>
      <c r="H1441" s="168"/>
      <c r="I1441" s="241"/>
      <c r="J1441" s="180"/>
    </row>
    <row r="1442" spans="1:10" s="181" customFormat="1">
      <c r="A1442" s="276"/>
      <c r="B1442" s="176" t="s">
        <v>548</v>
      </c>
      <c r="C1442" s="217"/>
      <c r="D1442" s="239"/>
      <c r="E1442" s="217"/>
      <c r="F1442" s="168"/>
      <c r="G1442" s="168"/>
      <c r="H1442" s="168"/>
      <c r="I1442" s="240"/>
      <c r="J1442" s="180"/>
    </row>
    <row r="1443" spans="1:10" s="181" customFormat="1">
      <c r="A1443" s="276"/>
      <c r="B1443" s="171" t="s">
        <v>549</v>
      </c>
      <c r="C1443" s="217">
        <v>1</v>
      </c>
      <c r="D1443" s="239"/>
      <c r="E1443" s="217">
        <v>1</v>
      </c>
      <c r="F1443" s="168">
        <v>20</v>
      </c>
      <c r="G1443" s="168"/>
      <c r="H1443" s="168"/>
      <c r="I1443" s="241">
        <f>PRODUCT(C1443:H1443)</f>
        <v>20</v>
      </c>
      <c r="J1443" s="180" t="s">
        <v>76</v>
      </c>
    </row>
    <row r="1444" spans="1:10" s="181" customFormat="1">
      <c r="A1444" s="276"/>
      <c r="B1444" s="171"/>
      <c r="C1444" s="217"/>
      <c r="D1444" s="239"/>
      <c r="E1444" s="217"/>
      <c r="F1444" s="168"/>
      <c r="G1444" s="168"/>
      <c r="H1444" s="168"/>
      <c r="I1444" s="241"/>
      <c r="J1444" s="180"/>
    </row>
    <row r="1445" spans="1:10" s="181" customFormat="1" ht="37.5">
      <c r="A1445" s="276" t="s">
        <v>1586</v>
      </c>
      <c r="B1445" s="387" t="s">
        <v>1585</v>
      </c>
      <c r="C1445" s="217"/>
      <c r="D1445" s="239"/>
      <c r="E1445" s="217"/>
      <c r="F1445" s="168"/>
      <c r="G1445" s="168"/>
      <c r="H1445" s="168"/>
      <c r="I1445" s="241"/>
      <c r="J1445" s="180"/>
    </row>
    <row r="1446" spans="1:10" s="181" customFormat="1">
      <c r="A1446" s="276"/>
      <c r="B1446" s="387" t="s">
        <v>1589</v>
      </c>
      <c r="C1446" s="217">
        <v>1</v>
      </c>
      <c r="D1446" s="239"/>
      <c r="E1446" s="217">
        <v>1</v>
      </c>
      <c r="F1446" s="168">
        <v>2</v>
      </c>
      <c r="G1446" s="168"/>
      <c r="H1446" s="168"/>
      <c r="I1446" s="241">
        <f>PRODUCT(C1446:H1446)</f>
        <v>2</v>
      </c>
      <c r="J1446" s="180" t="s">
        <v>128</v>
      </c>
    </row>
    <row r="1447" spans="1:10" s="181" customFormat="1">
      <c r="A1447" s="276"/>
      <c r="B1447" s="387"/>
      <c r="C1447" s="217"/>
      <c r="D1447" s="239"/>
      <c r="E1447" s="217"/>
      <c r="F1447" s="168"/>
      <c r="G1447" s="168"/>
      <c r="H1447" s="168"/>
      <c r="I1447" s="241"/>
      <c r="J1447" s="180"/>
    </row>
    <row r="1448" spans="1:10" s="181" customFormat="1">
      <c r="A1448" s="276"/>
      <c r="B1448" s="387" t="s">
        <v>791</v>
      </c>
      <c r="C1448" s="217"/>
      <c r="D1448" s="239"/>
      <c r="E1448" s="217"/>
      <c r="F1448" s="168"/>
      <c r="G1448" s="168"/>
      <c r="H1448" s="168"/>
      <c r="I1448" s="241"/>
      <c r="J1448" s="180"/>
    </row>
    <row r="1449" spans="1:10" s="181" customFormat="1">
      <c r="A1449" s="276"/>
      <c r="B1449" s="387" t="s">
        <v>1589</v>
      </c>
      <c r="C1449" s="217">
        <v>1</v>
      </c>
      <c r="D1449" s="239"/>
      <c r="E1449" s="217">
        <v>1</v>
      </c>
      <c r="F1449" s="168">
        <v>2</v>
      </c>
      <c r="G1449" s="168"/>
      <c r="H1449" s="168"/>
      <c r="I1449" s="241">
        <f>PRODUCT(C1449:H1449)</f>
        <v>2</v>
      </c>
      <c r="J1449" s="180" t="s">
        <v>128</v>
      </c>
    </row>
    <row r="1450" spans="1:10" s="181" customFormat="1">
      <c r="A1450" s="276"/>
      <c r="B1450" s="387"/>
      <c r="C1450" s="217"/>
      <c r="D1450" s="239"/>
      <c r="E1450" s="217"/>
      <c r="F1450" s="168"/>
      <c r="G1450" s="168"/>
      <c r="H1450" s="168"/>
      <c r="I1450" s="241"/>
      <c r="J1450" s="180"/>
    </row>
    <row r="1451" spans="1:10" s="181" customFormat="1" ht="37.5">
      <c r="A1451" s="276" t="s">
        <v>1588</v>
      </c>
      <c r="B1451" s="387" t="s">
        <v>1587</v>
      </c>
      <c r="C1451" s="217"/>
      <c r="D1451" s="239"/>
      <c r="E1451" s="217"/>
      <c r="F1451" s="168"/>
      <c r="G1451" s="168"/>
      <c r="H1451" s="168"/>
      <c r="I1451" s="241"/>
      <c r="J1451" s="180"/>
    </row>
    <row r="1452" spans="1:10" s="181" customFormat="1">
      <c r="A1452" s="276"/>
      <c r="B1452" s="387" t="s">
        <v>1589</v>
      </c>
      <c r="C1452" s="217">
        <v>1</v>
      </c>
      <c r="D1452" s="239"/>
      <c r="E1452" s="217">
        <v>1</v>
      </c>
      <c r="F1452" s="168">
        <v>2</v>
      </c>
      <c r="G1452" s="168"/>
      <c r="H1452" s="168"/>
      <c r="I1452" s="241">
        <f>PRODUCT(C1452:H1452)</f>
        <v>2</v>
      </c>
      <c r="J1452" s="180" t="s">
        <v>128</v>
      </c>
    </row>
    <row r="1453" spans="1:10" s="181" customFormat="1">
      <c r="A1453" s="276"/>
      <c r="B1453" s="387"/>
      <c r="C1453" s="217"/>
      <c r="D1453" s="239"/>
      <c r="E1453" s="217"/>
      <c r="F1453" s="168"/>
      <c r="G1453" s="168"/>
      <c r="H1453" s="168"/>
      <c r="I1453" s="241"/>
      <c r="J1453" s="180"/>
    </row>
    <row r="1454" spans="1:10" s="181" customFormat="1">
      <c r="A1454" s="276"/>
      <c r="B1454" s="387" t="s">
        <v>793</v>
      </c>
      <c r="C1454" s="217"/>
      <c r="D1454" s="239"/>
      <c r="E1454" s="217"/>
      <c r="F1454" s="168"/>
      <c r="G1454" s="168"/>
      <c r="H1454" s="168"/>
      <c r="I1454" s="241"/>
      <c r="J1454" s="180"/>
    </row>
    <row r="1455" spans="1:10" s="181" customFormat="1">
      <c r="A1455" s="276"/>
      <c r="B1455" s="387" t="s">
        <v>1589</v>
      </c>
      <c r="C1455" s="217">
        <v>1</v>
      </c>
      <c r="D1455" s="239"/>
      <c r="E1455" s="217">
        <v>1</v>
      </c>
      <c r="F1455" s="168">
        <v>2</v>
      </c>
      <c r="G1455" s="168"/>
      <c r="H1455" s="168"/>
      <c r="I1455" s="241">
        <f>PRODUCT(C1455:H1455)</f>
        <v>2</v>
      </c>
      <c r="J1455" s="180" t="s">
        <v>128</v>
      </c>
    </row>
    <row r="1456" spans="1:10" s="181" customFormat="1">
      <c r="A1456" s="276"/>
      <c r="B1456" s="171"/>
      <c r="C1456" s="217"/>
      <c r="D1456" s="239"/>
      <c r="E1456" s="217"/>
      <c r="F1456" s="168"/>
      <c r="G1456" s="168"/>
      <c r="H1456" s="168"/>
      <c r="I1456" s="241"/>
      <c r="J1456" s="180"/>
    </row>
    <row r="1457" spans="1:10" s="181" customFormat="1">
      <c r="A1457" s="276"/>
      <c r="B1457" s="171"/>
      <c r="C1457" s="217"/>
      <c r="D1457" s="239"/>
      <c r="E1457" s="217"/>
      <c r="F1457" s="168"/>
      <c r="G1457" s="168"/>
      <c r="H1457" s="168"/>
      <c r="I1457" s="241"/>
      <c r="J1457" s="180"/>
    </row>
    <row r="1458" spans="1:10" s="181" customFormat="1" ht="54" customHeight="1">
      <c r="A1458" s="276">
        <v>64.099999999999994</v>
      </c>
      <c r="B1458" s="178" t="s">
        <v>550</v>
      </c>
      <c r="C1458" s="149"/>
      <c r="D1458" s="149"/>
      <c r="E1458" s="149"/>
      <c r="F1458" s="150"/>
      <c r="G1458" s="150"/>
      <c r="H1458" s="150"/>
      <c r="I1458" s="159"/>
      <c r="J1458" s="180"/>
    </row>
    <row r="1459" spans="1:10" s="181" customFormat="1">
      <c r="A1459" s="276"/>
      <c r="B1459" s="155" t="s">
        <v>551</v>
      </c>
      <c r="C1459" s="149"/>
      <c r="D1459" s="149"/>
      <c r="E1459" s="149"/>
      <c r="F1459" s="150"/>
      <c r="G1459" s="150"/>
      <c r="H1459" s="150"/>
      <c r="I1459" s="159"/>
      <c r="J1459" s="180"/>
    </row>
    <row r="1460" spans="1:10" s="181" customFormat="1" ht="16.5" customHeight="1">
      <c r="B1460" s="155" t="s">
        <v>408</v>
      </c>
      <c r="C1460" s="149"/>
      <c r="D1460" s="149"/>
      <c r="E1460" s="149"/>
      <c r="F1460" s="150"/>
      <c r="G1460" s="150"/>
      <c r="H1460" s="150"/>
      <c r="I1460" s="151"/>
      <c r="J1460" s="213"/>
    </row>
    <row r="1461" spans="1:10" s="181" customFormat="1" ht="16.5" customHeight="1">
      <c r="B1461" s="148" t="s">
        <v>1552</v>
      </c>
      <c r="C1461" s="149">
        <v>1</v>
      </c>
      <c r="D1461" s="149" t="s">
        <v>73</v>
      </c>
      <c r="E1461" s="149">
        <v>10</v>
      </c>
      <c r="F1461" s="150"/>
      <c r="G1461" s="150"/>
      <c r="H1461" s="150"/>
      <c r="I1461" s="151">
        <f t="shared" ref="I1461:I1464" si="171">ROUND(PRODUCT(C1461:H1461),2)</f>
        <v>10</v>
      </c>
      <c r="J1461" s="213"/>
    </row>
    <row r="1462" spans="1:10" s="181" customFormat="1">
      <c r="A1462" s="152"/>
      <c r="B1462" s="148" t="s">
        <v>248</v>
      </c>
      <c r="C1462" s="149">
        <v>1</v>
      </c>
      <c r="D1462" s="149" t="s">
        <v>73</v>
      </c>
      <c r="E1462" s="149">
        <v>2</v>
      </c>
      <c r="F1462" s="150"/>
      <c r="G1462" s="150"/>
      <c r="H1462" s="150"/>
      <c r="I1462" s="151">
        <f t="shared" si="171"/>
        <v>2</v>
      </c>
      <c r="J1462" s="213"/>
    </row>
    <row r="1463" spans="1:10" s="181" customFormat="1">
      <c r="A1463" s="152"/>
      <c r="B1463" s="148" t="s">
        <v>1554</v>
      </c>
      <c r="C1463" s="149">
        <v>1</v>
      </c>
      <c r="D1463" s="149" t="s">
        <v>73</v>
      </c>
      <c r="E1463" s="149">
        <v>1</v>
      </c>
      <c r="F1463" s="150"/>
      <c r="G1463" s="150"/>
      <c r="H1463" s="150"/>
      <c r="I1463" s="151">
        <f t="shared" si="171"/>
        <v>1</v>
      </c>
      <c r="J1463" s="213"/>
    </row>
    <row r="1464" spans="1:10" s="181" customFormat="1">
      <c r="A1464" s="152"/>
      <c r="B1464" s="148" t="s">
        <v>586</v>
      </c>
      <c r="C1464" s="149">
        <v>1</v>
      </c>
      <c r="D1464" s="149" t="s">
        <v>73</v>
      </c>
      <c r="E1464" s="149">
        <v>1</v>
      </c>
      <c r="F1464" s="150"/>
      <c r="G1464" s="150"/>
      <c r="H1464" s="150"/>
      <c r="I1464" s="151">
        <f t="shared" si="171"/>
        <v>1</v>
      </c>
      <c r="J1464" s="213"/>
    </row>
    <row r="1465" spans="1:10" s="181" customFormat="1">
      <c r="A1465" s="152"/>
      <c r="B1465" s="148" t="s">
        <v>1550</v>
      </c>
      <c r="C1465" s="149">
        <v>1</v>
      </c>
      <c r="D1465" s="149" t="s">
        <v>73</v>
      </c>
      <c r="E1465" s="149">
        <v>2</v>
      </c>
      <c r="F1465" s="150"/>
      <c r="G1465" s="150"/>
      <c r="H1465" s="150"/>
      <c r="I1465" s="151">
        <f t="shared" ref="I1465:I1486" si="172">ROUND(PRODUCT(C1465:H1465),2)</f>
        <v>2</v>
      </c>
      <c r="J1465" s="213"/>
    </row>
    <row r="1466" spans="1:10" s="181" customFormat="1">
      <c r="A1466" s="152"/>
      <c r="B1466" s="155" t="s">
        <v>171</v>
      </c>
      <c r="C1466" s="149"/>
      <c r="D1466" s="149"/>
      <c r="E1466" s="149"/>
      <c r="F1466" s="150"/>
      <c r="G1466" s="150"/>
      <c r="H1466" s="150"/>
      <c r="I1466" s="151">
        <f t="shared" si="172"/>
        <v>0</v>
      </c>
      <c r="J1466" s="213"/>
    </row>
    <row r="1467" spans="1:10" s="181" customFormat="1">
      <c r="A1467" s="152"/>
      <c r="B1467" s="148" t="s">
        <v>298</v>
      </c>
      <c r="C1467" s="149">
        <v>1</v>
      </c>
      <c r="D1467" s="149" t="s">
        <v>73</v>
      </c>
      <c r="E1467" s="149">
        <v>4</v>
      </c>
      <c r="F1467" s="150"/>
      <c r="G1467" s="150"/>
      <c r="H1467" s="150"/>
      <c r="I1467" s="151">
        <f t="shared" si="172"/>
        <v>4</v>
      </c>
      <c r="J1467" s="213"/>
    </row>
    <row r="1468" spans="1:10" s="181" customFormat="1">
      <c r="A1468" s="152"/>
      <c r="B1468" s="148" t="s">
        <v>460</v>
      </c>
      <c r="C1468" s="149">
        <v>1</v>
      </c>
      <c r="D1468" s="149" t="s">
        <v>73</v>
      </c>
      <c r="E1468" s="149">
        <v>3</v>
      </c>
      <c r="F1468" s="150"/>
      <c r="G1468" s="150"/>
      <c r="H1468" s="150"/>
      <c r="I1468" s="151">
        <f t="shared" si="172"/>
        <v>3</v>
      </c>
      <c r="J1468" s="213"/>
    </row>
    <row r="1469" spans="1:10" s="181" customFormat="1" ht="19.5" customHeight="1">
      <c r="B1469" s="148" t="s">
        <v>552</v>
      </c>
      <c r="C1469" s="149">
        <v>1</v>
      </c>
      <c r="D1469" s="149" t="s">
        <v>73</v>
      </c>
      <c r="E1469" s="149">
        <v>1</v>
      </c>
      <c r="F1469" s="150"/>
      <c r="G1469" s="150"/>
      <c r="H1469" s="150"/>
      <c r="I1469" s="151">
        <f t="shared" ref="I1469" si="173">ROUND(PRODUCT(C1469:H1469),2)</f>
        <v>1</v>
      </c>
      <c r="J1469" s="180"/>
    </row>
    <row r="1470" spans="1:10" s="181" customFormat="1" ht="19.5" customHeight="1">
      <c r="B1470" s="148" t="s">
        <v>1316</v>
      </c>
      <c r="C1470" s="149">
        <v>1</v>
      </c>
      <c r="D1470" s="149" t="s">
        <v>73</v>
      </c>
      <c r="E1470" s="149">
        <v>1</v>
      </c>
      <c r="F1470" s="150"/>
      <c r="G1470" s="150"/>
      <c r="H1470" s="150"/>
      <c r="I1470" s="151">
        <f t="shared" si="172"/>
        <v>1</v>
      </c>
      <c r="J1470" s="180"/>
    </row>
    <row r="1471" spans="1:10" s="181" customFormat="1">
      <c r="A1471" s="276"/>
      <c r="B1471" s="148" t="s">
        <v>553</v>
      </c>
      <c r="C1471" s="149">
        <v>1</v>
      </c>
      <c r="D1471" s="149" t="s">
        <v>73</v>
      </c>
      <c r="E1471" s="149">
        <v>1</v>
      </c>
      <c r="F1471" s="150"/>
      <c r="G1471" s="150"/>
      <c r="H1471" s="150"/>
      <c r="I1471" s="151">
        <f t="shared" si="172"/>
        <v>1</v>
      </c>
      <c r="J1471" s="180"/>
    </row>
    <row r="1472" spans="1:10" s="181" customFormat="1">
      <c r="A1472" s="249"/>
      <c r="B1472" s="148" t="s">
        <v>412</v>
      </c>
      <c r="C1472" s="149">
        <v>1</v>
      </c>
      <c r="D1472" s="149" t="s">
        <v>73</v>
      </c>
      <c r="E1472" s="149">
        <v>2</v>
      </c>
      <c r="F1472" s="150"/>
      <c r="G1472" s="150"/>
      <c r="H1472" s="150"/>
      <c r="I1472" s="151">
        <f t="shared" si="172"/>
        <v>2</v>
      </c>
      <c r="J1472" s="180"/>
    </row>
    <row r="1473" spans="1:10" s="181" customFormat="1">
      <c r="A1473" s="276"/>
      <c r="B1473" s="148" t="s">
        <v>191</v>
      </c>
      <c r="C1473" s="149">
        <v>1</v>
      </c>
      <c r="D1473" s="149" t="s">
        <v>73</v>
      </c>
      <c r="E1473" s="149">
        <v>2</v>
      </c>
      <c r="F1473" s="150"/>
      <c r="G1473" s="150"/>
      <c r="H1473" s="150"/>
      <c r="I1473" s="151">
        <f t="shared" si="172"/>
        <v>2</v>
      </c>
      <c r="J1473" s="180"/>
    </row>
    <row r="1474" spans="1:10" s="181" customFormat="1">
      <c r="A1474" s="276"/>
      <c r="B1474" s="148" t="s">
        <v>303</v>
      </c>
      <c r="C1474" s="149">
        <v>1</v>
      </c>
      <c r="D1474" s="149" t="s">
        <v>73</v>
      </c>
      <c r="E1474" s="149">
        <v>2</v>
      </c>
      <c r="F1474" s="150"/>
      <c r="G1474" s="150"/>
      <c r="H1474" s="150"/>
      <c r="I1474" s="151">
        <f t="shared" si="172"/>
        <v>2</v>
      </c>
      <c r="J1474" s="180"/>
    </row>
    <row r="1475" spans="1:10" s="181" customFormat="1">
      <c r="A1475" s="276"/>
      <c r="B1475" s="148" t="s">
        <v>554</v>
      </c>
      <c r="C1475" s="149">
        <v>1</v>
      </c>
      <c r="D1475" s="149" t="s">
        <v>73</v>
      </c>
      <c r="E1475" s="149">
        <v>2</v>
      </c>
      <c r="F1475" s="150"/>
      <c r="G1475" s="150"/>
      <c r="H1475" s="150"/>
      <c r="I1475" s="151">
        <f t="shared" si="172"/>
        <v>2</v>
      </c>
      <c r="J1475" s="180"/>
    </row>
    <row r="1476" spans="1:10" s="181" customFormat="1">
      <c r="A1476" s="276"/>
      <c r="B1476" s="148" t="s">
        <v>197</v>
      </c>
      <c r="C1476" s="149">
        <v>1</v>
      </c>
      <c r="D1476" s="149" t="s">
        <v>73</v>
      </c>
      <c r="E1476" s="149">
        <v>4</v>
      </c>
      <c r="F1476" s="150"/>
      <c r="G1476" s="150"/>
      <c r="H1476" s="150"/>
      <c r="I1476" s="151">
        <f t="shared" si="172"/>
        <v>4</v>
      </c>
      <c r="J1476" s="180"/>
    </row>
    <row r="1477" spans="1:10" s="181" customFormat="1">
      <c r="A1477" s="276"/>
      <c r="B1477" s="155" t="s">
        <v>157</v>
      </c>
      <c r="C1477" s="149"/>
      <c r="D1477" s="149"/>
      <c r="E1477" s="149"/>
      <c r="F1477" s="150"/>
      <c r="G1477" s="150"/>
      <c r="H1477" s="150"/>
      <c r="I1477" s="151">
        <f t="shared" si="172"/>
        <v>0</v>
      </c>
      <c r="J1477" s="180"/>
    </row>
    <row r="1478" spans="1:10" s="181" customFormat="1">
      <c r="A1478" s="276"/>
      <c r="B1478" s="148" t="s">
        <v>298</v>
      </c>
      <c r="C1478" s="149">
        <v>1</v>
      </c>
      <c r="D1478" s="149" t="s">
        <v>73</v>
      </c>
      <c r="E1478" s="149">
        <v>2</v>
      </c>
      <c r="F1478" s="150"/>
      <c r="G1478" s="150"/>
      <c r="H1478" s="150"/>
      <c r="I1478" s="151">
        <f t="shared" si="172"/>
        <v>2</v>
      </c>
      <c r="J1478" s="180"/>
    </row>
    <row r="1479" spans="1:10" s="181" customFormat="1">
      <c r="A1479" s="276"/>
      <c r="B1479" s="148" t="s">
        <v>460</v>
      </c>
      <c r="C1479" s="149">
        <v>1</v>
      </c>
      <c r="D1479" s="149" t="s">
        <v>73</v>
      </c>
      <c r="E1479" s="149">
        <v>2</v>
      </c>
      <c r="F1479" s="150"/>
      <c r="G1479" s="150"/>
      <c r="H1479" s="150"/>
      <c r="I1479" s="151">
        <f t="shared" si="172"/>
        <v>2</v>
      </c>
      <c r="J1479" s="180"/>
    </row>
    <row r="1480" spans="1:10" s="181" customFormat="1">
      <c r="A1480" s="276"/>
      <c r="B1480" s="148" t="s">
        <v>555</v>
      </c>
      <c r="C1480" s="149">
        <v>1</v>
      </c>
      <c r="D1480" s="149" t="s">
        <v>73</v>
      </c>
      <c r="E1480" s="149">
        <v>1</v>
      </c>
      <c r="F1480" s="150"/>
      <c r="G1480" s="150"/>
      <c r="H1480" s="150"/>
      <c r="I1480" s="151">
        <f t="shared" si="172"/>
        <v>1</v>
      </c>
      <c r="J1480" s="180"/>
    </row>
    <row r="1481" spans="1:10" s="181" customFormat="1">
      <c r="A1481" s="276"/>
      <c r="B1481" s="148" t="s">
        <v>556</v>
      </c>
      <c r="C1481" s="149">
        <v>1</v>
      </c>
      <c r="D1481" s="149" t="s">
        <v>73</v>
      </c>
      <c r="E1481" s="149">
        <v>2</v>
      </c>
      <c r="F1481" s="150"/>
      <c r="G1481" s="150"/>
      <c r="H1481" s="150"/>
      <c r="I1481" s="151">
        <f t="shared" si="172"/>
        <v>2</v>
      </c>
      <c r="J1481" s="180"/>
    </row>
    <row r="1482" spans="1:10" s="181" customFormat="1">
      <c r="A1482" s="276"/>
      <c r="B1482" s="148" t="s">
        <v>331</v>
      </c>
      <c r="C1482" s="149">
        <v>1</v>
      </c>
      <c r="D1482" s="149" t="s">
        <v>73</v>
      </c>
      <c r="E1482" s="149">
        <v>2</v>
      </c>
      <c r="F1482" s="150"/>
      <c r="G1482" s="150"/>
      <c r="H1482" s="150"/>
      <c r="I1482" s="151">
        <f t="shared" si="172"/>
        <v>2</v>
      </c>
      <c r="J1482" s="180"/>
    </row>
    <row r="1483" spans="1:10" s="181" customFormat="1">
      <c r="A1483" s="276"/>
      <c r="B1483" s="148" t="s">
        <v>197</v>
      </c>
      <c r="C1483" s="149">
        <v>1</v>
      </c>
      <c r="D1483" s="149" t="s">
        <v>73</v>
      </c>
      <c r="E1483" s="149">
        <v>4</v>
      </c>
      <c r="F1483" s="150"/>
      <c r="G1483" s="150"/>
      <c r="H1483" s="150"/>
      <c r="I1483" s="151">
        <f t="shared" si="172"/>
        <v>4</v>
      </c>
      <c r="J1483" s="180"/>
    </row>
    <row r="1484" spans="1:10" s="181" customFormat="1">
      <c r="A1484" s="276"/>
      <c r="B1484" s="155" t="s">
        <v>188</v>
      </c>
      <c r="C1484" s="149"/>
      <c r="D1484" s="149"/>
      <c r="E1484" s="149"/>
      <c r="F1484" s="150"/>
      <c r="G1484" s="150"/>
      <c r="H1484" s="150"/>
      <c r="I1484" s="151">
        <f t="shared" si="172"/>
        <v>0</v>
      </c>
      <c r="J1484" s="180"/>
    </row>
    <row r="1485" spans="1:10" s="181" customFormat="1">
      <c r="A1485" s="276"/>
      <c r="B1485" s="148" t="s">
        <v>557</v>
      </c>
      <c r="C1485" s="149">
        <v>2</v>
      </c>
      <c r="D1485" s="149" t="s">
        <v>73</v>
      </c>
      <c r="E1485" s="149">
        <v>4</v>
      </c>
      <c r="F1485" s="150"/>
      <c r="G1485" s="150"/>
      <c r="H1485" s="150"/>
      <c r="I1485" s="151">
        <f t="shared" si="172"/>
        <v>8</v>
      </c>
      <c r="J1485" s="180"/>
    </row>
    <row r="1486" spans="1:10" s="181" customFormat="1">
      <c r="A1486" s="276"/>
      <c r="B1486" s="148" t="s">
        <v>559</v>
      </c>
      <c r="C1486" s="149">
        <v>1</v>
      </c>
      <c r="D1486" s="149" t="s">
        <v>73</v>
      </c>
      <c r="E1486" s="149">
        <v>1</v>
      </c>
      <c r="F1486" s="150"/>
      <c r="G1486" s="150"/>
      <c r="H1486" s="150"/>
      <c r="I1486" s="151">
        <f t="shared" si="172"/>
        <v>1</v>
      </c>
      <c r="J1486" s="180"/>
    </row>
    <row r="1487" spans="1:10" s="181" customFormat="1">
      <c r="A1487" s="276"/>
      <c r="B1487" s="148"/>
      <c r="C1487" s="149"/>
      <c r="D1487" s="149"/>
      <c r="E1487" s="149"/>
      <c r="F1487" s="150"/>
      <c r="G1487" s="150"/>
      <c r="H1487" s="150"/>
      <c r="I1487" s="159">
        <f>SUM(I1460:I1486)</f>
        <v>60</v>
      </c>
      <c r="J1487" s="180" t="s">
        <v>128</v>
      </c>
    </row>
    <row r="1488" spans="1:10" s="181" customFormat="1">
      <c r="A1488" s="276"/>
      <c r="B1488" s="148"/>
      <c r="C1488" s="149"/>
      <c r="D1488" s="149"/>
      <c r="E1488" s="149"/>
      <c r="F1488" s="150"/>
      <c r="G1488" s="150"/>
      <c r="H1488" s="150"/>
      <c r="I1488" s="159"/>
      <c r="J1488" s="180"/>
    </row>
    <row r="1489" spans="1:10" s="181" customFormat="1">
      <c r="A1489" s="276"/>
      <c r="B1489" s="155" t="s">
        <v>561</v>
      </c>
      <c r="C1489" s="149"/>
      <c r="D1489" s="149"/>
      <c r="E1489" s="149"/>
      <c r="F1489" s="150"/>
      <c r="G1489" s="150"/>
      <c r="H1489" s="150"/>
      <c r="I1489" s="159"/>
      <c r="J1489" s="180"/>
    </row>
    <row r="1490" spans="1:10" s="181" customFormat="1">
      <c r="A1490" s="276"/>
      <c r="B1490" s="155" t="s">
        <v>562</v>
      </c>
      <c r="C1490" s="220"/>
      <c r="D1490" s="220"/>
      <c r="E1490" s="220"/>
      <c r="F1490" s="158"/>
      <c r="G1490" s="158"/>
      <c r="H1490" s="158"/>
      <c r="I1490" s="159"/>
      <c r="J1490" s="180"/>
    </row>
    <row r="1491" spans="1:10" s="181" customFormat="1">
      <c r="A1491" s="276"/>
      <c r="B1491" s="148" t="s">
        <v>563</v>
      </c>
      <c r="C1491" s="149">
        <v>1</v>
      </c>
      <c r="D1491" s="156" t="s">
        <v>73</v>
      </c>
      <c r="E1491" s="149">
        <v>2</v>
      </c>
      <c r="F1491" s="150"/>
      <c r="G1491" s="150" t="s">
        <v>512</v>
      </c>
      <c r="H1491" s="150"/>
      <c r="I1491" s="151">
        <f t="shared" ref="I1491:I1493" si="174">ROUND(PRODUCT(C1491:H1491),2)</f>
        <v>2</v>
      </c>
      <c r="J1491" s="180"/>
    </row>
    <row r="1492" spans="1:10" s="181" customFormat="1">
      <c r="A1492" s="276"/>
      <c r="B1492" s="148" t="s">
        <v>248</v>
      </c>
      <c r="C1492" s="149">
        <v>1</v>
      </c>
      <c r="D1492" s="156" t="s">
        <v>73</v>
      </c>
      <c r="E1492" s="149">
        <v>1</v>
      </c>
      <c r="F1492" s="150"/>
      <c r="G1492" s="150"/>
      <c r="H1492" s="150"/>
      <c r="I1492" s="151">
        <f t="shared" si="174"/>
        <v>1</v>
      </c>
      <c r="J1492" s="180"/>
    </row>
    <row r="1493" spans="1:10" s="181" customFormat="1">
      <c r="A1493" s="276"/>
      <c r="B1493" s="148" t="s">
        <v>1552</v>
      </c>
      <c r="C1493" s="149">
        <v>1</v>
      </c>
      <c r="D1493" s="156" t="s">
        <v>73</v>
      </c>
      <c r="E1493" s="149">
        <v>10</v>
      </c>
      <c r="F1493" s="150"/>
      <c r="G1493" s="150" t="s">
        <v>512</v>
      </c>
      <c r="H1493" s="150"/>
      <c r="I1493" s="151">
        <f t="shared" si="174"/>
        <v>10</v>
      </c>
      <c r="J1493" s="180"/>
    </row>
    <row r="1494" spans="1:10" s="181" customFormat="1">
      <c r="A1494" s="276"/>
      <c r="B1494" s="148" t="s">
        <v>560</v>
      </c>
      <c r="C1494" s="149">
        <v>1</v>
      </c>
      <c r="D1494" s="156" t="s">
        <v>73</v>
      </c>
      <c r="E1494" s="149">
        <v>8</v>
      </c>
      <c r="F1494" s="150"/>
      <c r="G1494" s="150" t="s">
        <v>512</v>
      </c>
      <c r="H1494" s="150"/>
      <c r="I1494" s="151">
        <f t="shared" ref="I1494:I1520" si="175">ROUND(PRODUCT(C1494:H1494),2)</f>
        <v>8</v>
      </c>
      <c r="J1494" s="180"/>
    </row>
    <row r="1495" spans="1:10" s="181" customFormat="1">
      <c r="A1495" s="276"/>
      <c r="B1495" s="148" t="s">
        <v>1555</v>
      </c>
      <c r="C1495" s="149">
        <v>1</v>
      </c>
      <c r="D1495" s="156" t="s">
        <v>73</v>
      </c>
      <c r="E1495" s="149">
        <v>1</v>
      </c>
      <c r="F1495" s="150"/>
      <c r="G1495" s="150"/>
      <c r="H1495" s="150"/>
      <c r="I1495" s="151">
        <f t="shared" si="175"/>
        <v>1</v>
      </c>
      <c r="J1495" s="180"/>
    </row>
    <row r="1496" spans="1:10" s="181" customFormat="1">
      <c r="A1496" s="276"/>
      <c r="B1496" s="155" t="s">
        <v>564</v>
      </c>
      <c r="C1496" s="149"/>
      <c r="D1496" s="149"/>
      <c r="E1496" s="149"/>
      <c r="F1496" s="150"/>
      <c r="G1496" s="150"/>
      <c r="H1496" s="150"/>
      <c r="I1496" s="151">
        <f t="shared" si="175"/>
        <v>0</v>
      </c>
      <c r="J1496" s="180"/>
    </row>
    <row r="1497" spans="1:10" s="181" customFormat="1">
      <c r="A1497" s="276"/>
      <c r="B1497" s="148" t="s">
        <v>298</v>
      </c>
      <c r="C1497" s="149">
        <v>1</v>
      </c>
      <c r="D1497" s="149" t="s">
        <v>73</v>
      </c>
      <c r="E1497" s="149">
        <v>1</v>
      </c>
      <c r="F1497" s="150"/>
      <c r="G1497" s="150"/>
      <c r="H1497" s="150"/>
      <c r="I1497" s="151">
        <f t="shared" si="175"/>
        <v>1</v>
      </c>
      <c r="J1497" s="180"/>
    </row>
    <row r="1498" spans="1:10" s="181" customFormat="1">
      <c r="A1498" s="276"/>
      <c r="B1498" s="148" t="s">
        <v>460</v>
      </c>
      <c r="C1498" s="149">
        <v>1</v>
      </c>
      <c r="D1498" s="149" t="s">
        <v>73</v>
      </c>
      <c r="E1498" s="149">
        <v>4</v>
      </c>
      <c r="F1498" s="150"/>
      <c r="G1498" s="150"/>
      <c r="H1498" s="150"/>
      <c r="I1498" s="151">
        <f t="shared" si="175"/>
        <v>4</v>
      </c>
      <c r="J1498" s="180"/>
    </row>
    <row r="1499" spans="1:10" s="181" customFormat="1">
      <c r="A1499" s="276"/>
      <c r="B1499" s="148" t="s">
        <v>553</v>
      </c>
      <c r="C1499" s="149">
        <v>1</v>
      </c>
      <c r="D1499" s="149" t="s">
        <v>73</v>
      </c>
      <c r="E1499" s="149">
        <v>1</v>
      </c>
      <c r="F1499" s="150"/>
      <c r="G1499" s="150"/>
      <c r="H1499" s="150"/>
      <c r="I1499" s="151">
        <f t="shared" si="175"/>
        <v>1</v>
      </c>
      <c r="J1499" s="180"/>
    </row>
    <row r="1500" spans="1:10" s="181" customFormat="1">
      <c r="A1500" s="276"/>
      <c r="B1500" s="148" t="s">
        <v>412</v>
      </c>
      <c r="C1500" s="149">
        <v>1</v>
      </c>
      <c r="D1500" s="149" t="s">
        <v>73</v>
      </c>
      <c r="E1500" s="149">
        <v>1</v>
      </c>
      <c r="F1500" s="150"/>
      <c r="G1500" s="150"/>
      <c r="H1500" s="150"/>
      <c r="I1500" s="151">
        <f t="shared" si="175"/>
        <v>1</v>
      </c>
      <c r="J1500" s="180"/>
    </row>
    <row r="1501" spans="1:10" s="181" customFormat="1">
      <c r="A1501" s="276"/>
      <c r="B1501" s="148" t="s">
        <v>191</v>
      </c>
      <c r="C1501" s="149">
        <v>1</v>
      </c>
      <c r="D1501" s="149" t="s">
        <v>73</v>
      </c>
      <c r="E1501" s="149">
        <v>1</v>
      </c>
      <c r="F1501" s="150"/>
      <c r="G1501" s="150"/>
      <c r="H1501" s="150"/>
      <c r="I1501" s="151">
        <f t="shared" si="175"/>
        <v>1</v>
      </c>
      <c r="J1501" s="180"/>
    </row>
    <row r="1502" spans="1:10" s="181" customFormat="1">
      <c r="A1502" s="276"/>
      <c r="B1502" s="148" t="s">
        <v>1202</v>
      </c>
      <c r="C1502" s="149">
        <v>1</v>
      </c>
      <c r="D1502" s="149" t="s">
        <v>73</v>
      </c>
      <c r="E1502" s="149">
        <v>1</v>
      </c>
      <c r="F1502" s="150"/>
      <c r="G1502" s="150"/>
      <c r="H1502" s="150"/>
      <c r="I1502" s="151">
        <f t="shared" si="175"/>
        <v>1</v>
      </c>
      <c r="J1502" s="180"/>
    </row>
    <row r="1503" spans="1:10" s="181" customFormat="1">
      <c r="A1503" s="276"/>
      <c r="B1503" s="148" t="s">
        <v>554</v>
      </c>
      <c r="C1503" s="149">
        <v>1</v>
      </c>
      <c r="D1503" s="149" t="s">
        <v>73</v>
      </c>
      <c r="E1503" s="149">
        <v>1</v>
      </c>
      <c r="F1503" s="150"/>
      <c r="G1503" s="150"/>
      <c r="H1503" s="150"/>
      <c r="I1503" s="151">
        <f t="shared" si="175"/>
        <v>1</v>
      </c>
      <c r="J1503" s="180"/>
    </row>
    <row r="1504" spans="1:10" s="181" customFormat="1">
      <c r="A1504" s="276"/>
      <c r="B1504" s="148" t="s">
        <v>565</v>
      </c>
      <c r="C1504" s="149">
        <v>1</v>
      </c>
      <c r="D1504" s="149" t="s">
        <v>73</v>
      </c>
      <c r="E1504" s="149">
        <v>2</v>
      </c>
      <c r="F1504" s="150"/>
      <c r="G1504" s="150"/>
      <c r="H1504" s="150"/>
      <c r="I1504" s="151">
        <f t="shared" si="175"/>
        <v>2</v>
      </c>
      <c r="J1504" s="180"/>
    </row>
    <row r="1505" spans="1:10" s="181" customFormat="1">
      <c r="A1505" s="276"/>
      <c r="B1505" s="148" t="s">
        <v>172</v>
      </c>
      <c r="C1505" s="149">
        <v>1</v>
      </c>
      <c r="D1505" s="149" t="s">
        <v>73</v>
      </c>
      <c r="E1505" s="149">
        <v>1</v>
      </c>
      <c r="F1505" s="150"/>
      <c r="G1505" s="150"/>
      <c r="H1505" s="150"/>
      <c r="I1505" s="151">
        <f t="shared" si="175"/>
        <v>1</v>
      </c>
      <c r="J1505" s="180"/>
    </row>
    <row r="1506" spans="1:10" s="181" customFormat="1">
      <c r="A1506" s="276"/>
      <c r="B1506" s="148" t="s">
        <v>422</v>
      </c>
      <c r="C1506" s="149">
        <v>1</v>
      </c>
      <c r="D1506" s="149" t="s">
        <v>73</v>
      </c>
      <c r="E1506" s="149">
        <v>1</v>
      </c>
      <c r="F1506" s="150"/>
      <c r="G1506" s="150"/>
      <c r="H1506" s="150"/>
      <c r="I1506" s="151">
        <f t="shared" si="175"/>
        <v>1</v>
      </c>
      <c r="J1506" s="180"/>
    </row>
    <row r="1507" spans="1:10" s="181" customFormat="1">
      <c r="A1507" s="276"/>
      <c r="B1507" s="155" t="s">
        <v>566</v>
      </c>
      <c r="C1507" s="149"/>
      <c r="D1507" s="149"/>
      <c r="E1507" s="149"/>
      <c r="F1507" s="150"/>
      <c r="G1507" s="150"/>
      <c r="H1507" s="150"/>
      <c r="I1507" s="151">
        <f t="shared" si="175"/>
        <v>0</v>
      </c>
      <c r="J1507" s="180"/>
    </row>
    <row r="1508" spans="1:10" s="181" customFormat="1">
      <c r="A1508" s="276"/>
      <c r="B1508" s="148" t="s">
        <v>298</v>
      </c>
      <c r="C1508" s="149">
        <v>1</v>
      </c>
      <c r="D1508" s="149" t="s">
        <v>73</v>
      </c>
      <c r="E1508" s="149">
        <v>1</v>
      </c>
      <c r="F1508" s="150"/>
      <c r="G1508" s="150"/>
      <c r="H1508" s="150"/>
      <c r="I1508" s="151">
        <f t="shared" si="175"/>
        <v>1</v>
      </c>
      <c r="J1508" s="180"/>
    </row>
    <row r="1509" spans="1:10" s="181" customFormat="1">
      <c r="A1509" s="276"/>
      <c r="B1509" s="148" t="s">
        <v>460</v>
      </c>
      <c r="C1509" s="149">
        <v>1</v>
      </c>
      <c r="D1509" s="149" t="s">
        <v>73</v>
      </c>
      <c r="E1509" s="149">
        <v>1</v>
      </c>
      <c r="F1509" s="150"/>
      <c r="G1509" s="150"/>
      <c r="H1509" s="150"/>
      <c r="I1509" s="151">
        <f t="shared" si="175"/>
        <v>1</v>
      </c>
      <c r="J1509" s="180"/>
    </row>
    <row r="1510" spans="1:10" s="181" customFormat="1">
      <c r="A1510" s="276"/>
      <c r="B1510" s="148" t="s">
        <v>567</v>
      </c>
      <c r="C1510" s="149">
        <v>1</v>
      </c>
      <c r="D1510" s="149" t="s">
        <v>73</v>
      </c>
      <c r="E1510" s="149">
        <v>3</v>
      </c>
      <c r="F1510" s="150"/>
      <c r="G1510" s="150"/>
      <c r="H1510" s="150"/>
      <c r="I1510" s="151">
        <f t="shared" si="175"/>
        <v>3</v>
      </c>
      <c r="J1510" s="180"/>
    </row>
    <row r="1511" spans="1:10" s="181" customFormat="1">
      <c r="A1511" s="276"/>
      <c r="B1511" s="148" t="s">
        <v>310</v>
      </c>
      <c r="C1511" s="149">
        <v>1</v>
      </c>
      <c r="D1511" s="149" t="s">
        <v>73</v>
      </c>
      <c r="E1511" s="149">
        <v>1</v>
      </c>
      <c r="F1511" s="150"/>
      <c r="G1511" s="150"/>
      <c r="H1511" s="150"/>
      <c r="I1511" s="151">
        <f t="shared" si="175"/>
        <v>1</v>
      </c>
      <c r="J1511" s="180"/>
    </row>
    <row r="1512" spans="1:10" s="181" customFormat="1">
      <c r="A1512" s="276"/>
      <c r="B1512" s="148" t="s">
        <v>191</v>
      </c>
      <c r="C1512" s="149">
        <v>1</v>
      </c>
      <c r="D1512" s="149" t="s">
        <v>73</v>
      </c>
      <c r="E1512" s="149">
        <v>1</v>
      </c>
      <c r="F1512" s="150"/>
      <c r="G1512" s="150"/>
      <c r="H1512" s="150"/>
      <c r="I1512" s="151">
        <f t="shared" si="175"/>
        <v>1</v>
      </c>
      <c r="J1512" s="180"/>
    </row>
    <row r="1513" spans="1:10" s="181" customFormat="1">
      <c r="A1513" s="276"/>
      <c r="B1513" s="148" t="s">
        <v>172</v>
      </c>
      <c r="C1513" s="149">
        <v>1</v>
      </c>
      <c r="D1513" s="149" t="s">
        <v>73</v>
      </c>
      <c r="E1513" s="149">
        <v>1</v>
      </c>
      <c r="F1513" s="150"/>
      <c r="G1513" s="150"/>
      <c r="H1513" s="150"/>
      <c r="I1513" s="151">
        <f t="shared" si="175"/>
        <v>1</v>
      </c>
      <c r="J1513" s="180"/>
    </row>
    <row r="1514" spans="1:10" s="181" customFormat="1">
      <c r="A1514" s="276"/>
      <c r="B1514" s="148" t="s">
        <v>156</v>
      </c>
      <c r="C1514" s="149">
        <v>1</v>
      </c>
      <c r="D1514" s="149" t="s">
        <v>73</v>
      </c>
      <c r="E1514" s="149">
        <v>1</v>
      </c>
      <c r="F1514" s="150"/>
      <c r="G1514" s="150"/>
      <c r="H1514" s="150"/>
      <c r="I1514" s="151">
        <f t="shared" ref="I1514" si="176">ROUND(PRODUCT(C1514:H1514),2)</f>
        <v>1</v>
      </c>
      <c r="J1514" s="180"/>
    </row>
    <row r="1515" spans="1:10" s="181" customFormat="1">
      <c r="A1515" s="276"/>
      <c r="B1515" s="148" t="s">
        <v>1550</v>
      </c>
      <c r="C1515" s="149">
        <v>1</v>
      </c>
      <c r="D1515" s="149" t="s">
        <v>73</v>
      </c>
      <c r="E1515" s="149">
        <v>1</v>
      </c>
      <c r="F1515" s="150"/>
      <c r="G1515" s="150"/>
      <c r="H1515" s="150"/>
      <c r="I1515" s="151">
        <f t="shared" si="175"/>
        <v>1</v>
      </c>
      <c r="J1515" s="180"/>
    </row>
    <row r="1516" spans="1:10" s="181" customFormat="1">
      <c r="A1516" s="276"/>
      <c r="B1516" s="155" t="s">
        <v>568</v>
      </c>
      <c r="C1516" s="149"/>
      <c r="D1516" s="149"/>
      <c r="E1516" s="149"/>
      <c r="F1516" s="150"/>
      <c r="G1516" s="150"/>
      <c r="H1516" s="150"/>
      <c r="I1516" s="151">
        <f t="shared" si="175"/>
        <v>0</v>
      </c>
      <c r="J1516" s="180"/>
    </row>
    <row r="1517" spans="1:10" s="181" customFormat="1">
      <c r="A1517" s="276"/>
      <c r="B1517" s="148" t="s">
        <v>569</v>
      </c>
      <c r="C1517" s="149">
        <v>2</v>
      </c>
      <c r="D1517" s="149" t="s">
        <v>73</v>
      </c>
      <c r="E1517" s="149">
        <v>2</v>
      </c>
      <c r="F1517" s="150"/>
      <c r="G1517" s="150"/>
      <c r="H1517" s="150"/>
      <c r="I1517" s="151">
        <f t="shared" si="175"/>
        <v>4</v>
      </c>
      <c r="J1517" s="180"/>
    </row>
    <row r="1518" spans="1:10" s="181" customFormat="1">
      <c r="A1518" s="276"/>
      <c r="B1518" s="148" t="s">
        <v>570</v>
      </c>
      <c r="C1518" s="149">
        <v>1</v>
      </c>
      <c r="D1518" s="149" t="s">
        <v>73</v>
      </c>
      <c r="E1518" s="149">
        <v>1</v>
      </c>
      <c r="F1518" s="150"/>
      <c r="G1518" s="150"/>
      <c r="H1518" s="150"/>
      <c r="I1518" s="151">
        <f t="shared" si="175"/>
        <v>1</v>
      </c>
      <c r="J1518" s="180"/>
    </row>
    <row r="1519" spans="1:10" s="181" customFormat="1">
      <c r="A1519" s="276"/>
      <c r="B1519" s="148" t="s">
        <v>160</v>
      </c>
      <c r="C1519" s="149">
        <v>1</v>
      </c>
      <c r="D1519" s="149" t="s">
        <v>73</v>
      </c>
      <c r="E1519" s="149">
        <v>2</v>
      </c>
      <c r="F1519" s="150"/>
      <c r="G1519" s="150"/>
      <c r="H1519" s="150"/>
      <c r="I1519" s="151">
        <f t="shared" si="175"/>
        <v>2</v>
      </c>
      <c r="J1519" s="180"/>
    </row>
    <row r="1520" spans="1:10" s="181" customFormat="1">
      <c r="A1520" s="276"/>
      <c r="B1520" s="148" t="s">
        <v>571</v>
      </c>
      <c r="C1520" s="149">
        <v>1</v>
      </c>
      <c r="D1520" s="149" t="s">
        <v>73</v>
      </c>
      <c r="E1520" s="149">
        <v>2</v>
      </c>
      <c r="F1520" s="150"/>
      <c r="G1520" s="150"/>
      <c r="H1520" s="150"/>
      <c r="I1520" s="151">
        <f t="shared" si="175"/>
        <v>2</v>
      </c>
      <c r="J1520" s="180"/>
    </row>
    <row r="1521" spans="1:10" s="181" customFormat="1">
      <c r="A1521" s="276"/>
      <c r="B1521" s="148"/>
      <c r="C1521" s="149"/>
      <c r="D1521" s="149"/>
      <c r="E1521" s="149"/>
      <c r="F1521" s="150"/>
      <c r="G1521" s="150"/>
      <c r="H1521" s="150"/>
      <c r="I1521" s="159">
        <f>SUM(I1491:I1520)</f>
        <v>55</v>
      </c>
      <c r="J1521" s="180" t="s">
        <v>128</v>
      </c>
    </row>
    <row r="1522" spans="1:10" s="181" customFormat="1">
      <c r="A1522" s="276"/>
      <c r="B1522" s="148"/>
      <c r="C1522" s="149"/>
      <c r="D1522" s="149"/>
      <c r="E1522" s="149"/>
      <c r="F1522" s="150"/>
      <c r="G1522" s="150"/>
      <c r="H1522" s="150"/>
      <c r="I1522" s="159"/>
      <c r="J1522" s="180"/>
    </row>
    <row r="1523" spans="1:10" s="181" customFormat="1">
      <c r="A1523" s="276"/>
      <c r="B1523" s="155" t="s">
        <v>572</v>
      </c>
      <c r="C1523" s="148"/>
      <c r="D1523" s="148"/>
      <c r="E1523" s="148"/>
      <c r="F1523" s="228"/>
      <c r="G1523" s="228"/>
      <c r="H1523" s="228"/>
      <c r="I1523" s="205"/>
      <c r="J1523" s="180"/>
    </row>
    <row r="1524" spans="1:10" s="181" customFormat="1">
      <c r="A1524" s="276"/>
      <c r="B1524" s="148" t="s">
        <v>573</v>
      </c>
      <c r="C1524" s="162">
        <v>1</v>
      </c>
      <c r="D1524" s="162" t="s">
        <v>73</v>
      </c>
      <c r="E1524" s="162">
        <v>1</v>
      </c>
      <c r="F1524" s="150"/>
      <c r="G1524" s="150"/>
      <c r="H1524" s="150"/>
      <c r="I1524" s="151">
        <f>ROUND(PRODUCT(C1524:H1524),2)</f>
        <v>1</v>
      </c>
      <c r="J1524" s="180"/>
    </row>
    <row r="1525" spans="1:10" s="181" customFormat="1" ht="17.25" customHeight="1">
      <c r="A1525" s="276"/>
      <c r="B1525" s="148" t="s">
        <v>574</v>
      </c>
      <c r="C1525" s="162">
        <v>1</v>
      </c>
      <c r="D1525" s="162" t="s">
        <v>73</v>
      </c>
      <c r="E1525" s="162">
        <v>1</v>
      </c>
      <c r="F1525" s="150"/>
      <c r="G1525" s="150"/>
      <c r="H1525" s="150"/>
      <c r="I1525" s="151">
        <f>ROUND(PRODUCT(C1525:H1525),2)</f>
        <v>1</v>
      </c>
      <c r="J1525" s="180"/>
    </row>
    <row r="1526" spans="1:10" s="181" customFormat="1">
      <c r="A1526" s="276"/>
      <c r="B1526" s="148" t="s">
        <v>575</v>
      </c>
      <c r="C1526" s="162">
        <v>1</v>
      </c>
      <c r="D1526" s="162" t="s">
        <v>73</v>
      </c>
      <c r="E1526" s="162">
        <v>1</v>
      </c>
      <c r="F1526" s="150"/>
      <c r="G1526" s="150"/>
      <c r="H1526" s="150"/>
      <c r="I1526" s="151">
        <f>ROUND(PRODUCT(C1526:H1526),2)</f>
        <v>1</v>
      </c>
      <c r="J1526" s="180"/>
    </row>
    <row r="1527" spans="1:10" s="181" customFormat="1">
      <c r="A1527" s="276"/>
      <c r="B1527" s="148" t="s">
        <v>576</v>
      </c>
      <c r="C1527" s="162">
        <v>1</v>
      </c>
      <c r="D1527" s="162" t="s">
        <v>73</v>
      </c>
      <c r="E1527" s="162">
        <v>1</v>
      </c>
      <c r="F1527" s="150"/>
      <c r="G1527" s="150"/>
      <c r="H1527" s="150"/>
      <c r="I1527" s="151">
        <f>ROUND(PRODUCT(C1527:H1527),2)</f>
        <v>1</v>
      </c>
      <c r="J1527" s="180"/>
    </row>
    <row r="1528" spans="1:10" s="181" customFormat="1">
      <c r="A1528" s="276"/>
      <c r="B1528" s="148"/>
      <c r="C1528" s="162"/>
      <c r="D1528" s="162"/>
      <c r="E1528" s="162"/>
      <c r="F1528" s="150"/>
      <c r="G1528" s="150"/>
      <c r="H1528" s="150"/>
      <c r="I1528" s="242">
        <f>SUM(I1524:I1527)</f>
        <v>4</v>
      </c>
      <c r="J1528" s="180" t="s">
        <v>128</v>
      </c>
    </row>
    <row r="1529" spans="1:10" s="181" customFormat="1">
      <c r="A1529" s="276"/>
      <c r="B1529" s="148"/>
      <c r="C1529" s="162"/>
      <c r="D1529" s="162"/>
      <c r="E1529" s="162"/>
      <c r="F1529" s="150"/>
      <c r="G1529" s="150"/>
      <c r="H1529" s="150"/>
      <c r="I1529" s="242"/>
      <c r="J1529" s="180"/>
    </row>
    <row r="1530" spans="1:10" s="181" customFormat="1" ht="102.75" customHeight="1">
      <c r="A1530" s="276">
        <v>65.099999999999994</v>
      </c>
      <c r="B1530" s="208" t="s">
        <v>577</v>
      </c>
      <c r="C1530" s="149"/>
      <c r="D1530" s="149"/>
      <c r="E1530" s="149"/>
      <c r="F1530" s="150"/>
      <c r="G1530" s="150"/>
      <c r="H1530" s="150"/>
      <c r="I1530" s="159"/>
      <c r="J1530" s="180"/>
    </row>
    <row r="1531" spans="1:10" s="181" customFormat="1">
      <c r="A1531" s="276"/>
      <c r="B1531" s="155" t="s">
        <v>408</v>
      </c>
      <c r="C1531" s="149"/>
      <c r="D1531" s="149"/>
      <c r="E1531" s="149"/>
      <c r="F1531" s="150"/>
      <c r="G1531" s="150"/>
      <c r="H1531" s="150"/>
      <c r="I1531" s="159"/>
      <c r="J1531" s="180"/>
    </row>
    <row r="1532" spans="1:10" s="181" customFormat="1">
      <c r="A1532" s="276"/>
      <c r="B1532" s="148" t="s">
        <v>418</v>
      </c>
      <c r="C1532" s="149">
        <v>1</v>
      </c>
      <c r="D1532" s="149" t="s">
        <v>73</v>
      </c>
      <c r="E1532" s="149">
        <v>1</v>
      </c>
      <c r="F1532" s="150"/>
      <c r="G1532" s="150"/>
      <c r="H1532" s="150"/>
      <c r="I1532" s="151">
        <f t="shared" ref="I1532:I1552" si="177">ROUND(PRODUCT(C1532:H1532),2)</f>
        <v>1</v>
      </c>
      <c r="J1532" s="180"/>
    </row>
    <row r="1533" spans="1:10" s="181" customFormat="1">
      <c r="A1533" s="276"/>
      <c r="B1533" s="155" t="s">
        <v>190</v>
      </c>
      <c r="C1533" s="149"/>
      <c r="D1533" s="149"/>
      <c r="E1533" s="149"/>
      <c r="F1533" s="150"/>
      <c r="G1533" s="150"/>
      <c r="H1533" s="150"/>
      <c r="I1533" s="151">
        <f t="shared" si="177"/>
        <v>0</v>
      </c>
      <c r="J1533" s="180"/>
    </row>
    <row r="1534" spans="1:10" s="181" customFormat="1">
      <c r="A1534" s="276"/>
      <c r="B1534" s="148" t="s">
        <v>419</v>
      </c>
      <c r="C1534" s="149">
        <v>1</v>
      </c>
      <c r="D1534" s="149" t="s">
        <v>73</v>
      </c>
      <c r="E1534" s="149">
        <v>2</v>
      </c>
      <c r="F1534" s="150"/>
      <c r="G1534" s="150"/>
      <c r="H1534" s="150"/>
      <c r="I1534" s="151">
        <f t="shared" si="177"/>
        <v>2</v>
      </c>
      <c r="J1534" s="180"/>
    </row>
    <row r="1535" spans="1:10" s="181" customFormat="1">
      <c r="A1535" s="276"/>
      <c r="B1535" s="148" t="s">
        <v>420</v>
      </c>
      <c r="C1535" s="149">
        <v>1</v>
      </c>
      <c r="D1535" s="149" t="s">
        <v>73</v>
      </c>
      <c r="E1535" s="149">
        <v>1</v>
      </c>
      <c r="F1535" s="150"/>
      <c r="G1535" s="150"/>
      <c r="H1535" s="150"/>
      <c r="I1535" s="151">
        <f t="shared" si="177"/>
        <v>1</v>
      </c>
      <c r="J1535" s="180"/>
    </row>
    <row r="1536" spans="1:10" s="181" customFormat="1">
      <c r="A1536" s="276"/>
      <c r="B1536" s="148" t="s">
        <v>421</v>
      </c>
      <c r="C1536" s="149">
        <v>1</v>
      </c>
      <c r="D1536" s="149" t="s">
        <v>73</v>
      </c>
      <c r="E1536" s="149">
        <v>2</v>
      </c>
      <c r="F1536" s="150"/>
      <c r="G1536" s="150"/>
      <c r="H1536" s="150"/>
      <c r="I1536" s="151">
        <f t="shared" si="177"/>
        <v>2</v>
      </c>
      <c r="J1536" s="180"/>
    </row>
    <row r="1537" spans="1:10" s="181" customFormat="1" ht="23.25" customHeight="1">
      <c r="B1537" s="148" t="s">
        <v>184</v>
      </c>
      <c r="C1537" s="149">
        <v>1</v>
      </c>
      <c r="D1537" s="149" t="s">
        <v>73</v>
      </c>
      <c r="E1537" s="149">
        <v>1</v>
      </c>
      <c r="F1537" s="150"/>
      <c r="G1537" s="150"/>
      <c r="H1537" s="150"/>
      <c r="I1537" s="151">
        <f t="shared" si="177"/>
        <v>1</v>
      </c>
      <c r="J1537" s="180"/>
    </row>
    <row r="1538" spans="1:10" s="181" customFormat="1">
      <c r="A1538" s="249"/>
      <c r="B1538" s="148" t="s">
        <v>191</v>
      </c>
      <c r="C1538" s="149">
        <v>1</v>
      </c>
      <c r="D1538" s="149" t="s">
        <v>73</v>
      </c>
      <c r="E1538" s="149">
        <v>1</v>
      </c>
      <c r="F1538" s="150"/>
      <c r="G1538" s="150"/>
      <c r="H1538" s="150"/>
      <c r="I1538" s="151">
        <f t="shared" si="177"/>
        <v>1</v>
      </c>
      <c r="J1538" s="180"/>
    </row>
    <row r="1539" spans="1:10" s="181" customFormat="1">
      <c r="A1539" s="276"/>
      <c r="B1539" s="148" t="s">
        <v>422</v>
      </c>
      <c r="C1539" s="149">
        <v>1</v>
      </c>
      <c r="D1539" s="149" t="s">
        <v>73</v>
      </c>
      <c r="E1539" s="149">
        <v>2</v>
      </c>
      <c r="F1539" s="150"/>
      <c r="G1539" s="150"/>
      <c r="H1539" s="150"/>
      <c r="I1539" s="151">
        <f t="shared" si="177"/>
        <v>2</v>
      </c>
      <c r="J1539" s="180"/>
    </row>
    <row r="1540" spans="1:10" s="181" customFormat="1">
      <c r="A1540" s="276"/>
      <c r="B1540" s="148" t="s">
        <v>423</v>
      </c>
      <c r="C1540" s="149">
        <v>1</v>
      </c>
      <c r="D1540" s="149" t="s">
        <v>73</v>
      </c>
      <c r="E1540" s="149">
        <v>2</v>
      </c>
      <c r="F1540" s="150"/>
      <c r="G1540" s="150"/>
      <c r="H1540" s="150"/>
      <c r="I1540" s="151">
        <f t="shared" si="177"/>
        <v>2</v>
      </c>
      <c r="J1540" s="180"/>
    </row>
    <row r="1541" spans="1:10" s="181" customFormat="1">
      <c r="A1541" s="276"/>
      <c r="B1541" s="148" t="s">
        <v>122</v>
      </c>
      <c r="C1541" s="149">
        <v>1</v>
      </c>
      <c r="D1541" s="149" t="s">
        <v>73</v>
      </c>
      <c r="E1541" s="149">
        <v>2</v>
      </c>
      <c r="F1541" s="150"/>
      <c r="G1541" s="150"/>
      <c r="H1541" s="150"/>
      <c r="I1541" s="151">
        <f t="shared" si="177"/>
        <v>2</v>
      </c>
      <c r="J1541" s="180"/>
    </row>
    <row r="1542" spans="1:10" s="181" customFormat="1">
      <c r="A1542" s="276"/>
      <c r="B1542" s="155" t="s">
        <v>189</v>
      </c>
      <c r="C1542" s="149"/>
      <c r="D1542" s="149"/>
      <c r="E1542" s="149"/>
      <c r="F1542" s="150"/>
      <c r="G1542" s="150"/>
      <c r="H1542" s="150"/>
      <c r="I1542" s="151">
        <f t="shared" si="177"/>
        <v>0</v>
      </c>
      <c r="J1542" s="180"/>
    </row>
    <row r="1543" spans="1:10" s="181" customFormat="1">
      <c r="A1543" s="276"/>
      <c r="B1543" s="148" t="s">
        <v>419</v>
      </c>
      <c r="C1543" s="149">
        <v>1</v>
      </c>
      <c r="D1543" s="149" t="s">
        <v>73</v>
      </c>
      <c r="E1543" s="149">
        <v>2</v>
      </c>
      <c r="F1543" s="150"/>
      <c r="G1543" s="150"/>
      <c r="H1543" s="150"/>
      <c r="I1543" s="151">
        <f t="shared" si="177"/>
        <v>2</v>
      </c>
      <c r="J1543" s="180"/>
    </row>
    <row r="1544" spans="1:10" s="181" customFormat="1">
      <c r="A1544" s="276"/>
      <c r="B1544" s="148" t="s">
        <v>426</v>
      </c>
      <c r="C1544" s="149">
        <v>1</v>
      </c>
      <c r="D1544" s="149" t="s">
        <v>73</v>
      </c>
      <c r="E1544" s="149">
        <v>1</v>
      </c>
      <c r="F1544" s="150"/>
      <c r="G1544" s="150"/>
      <c r="H1544" s="150"/>
      <c r="I1544" s="151">
        <f t="shared" si="177"/>
        <v>1</v>
      </c>
      <c r="J1544" s="180"/>
    </row>
    <row r="1545" spans="1:10" s="181" customFormat="1">
      <c r="A1545" s="276"/>
      <c r="B1545" s="148" t="s">
        <v>421</v>
      </c>
      <c r="C1545" s="149">
        <v>1</v>
      </c>
      <c r="D1545" s="149" t="s">
        <v>73</v>
      </c>
      <c r="E1545" s="149">
        <v>2</v>
      </c>
      <c r="F1545" s="150"/>
      <c r="G1545" s="150"/>
      <c r="H1545" s="150"/>
      <c r="I1545" s="151">
        <f t="shared" si="177"/>
        <v>2</v>
      </c>
      <c r="J1545" s="180"/>
    </row>
    <row r="1546" spans="1:10" s="181" customFormat="1">
      <c r="A1546" s="276"/>
      <c r="B1546" s="148" t="s">
        <v>192</v>
      </c>
      <c r="C1546" s="149">
        <v>1</v>
      </c>
      <c r="D1546" s="149" t="s">
        <v>73</v>
      </c>
      <c r="E1546" s="149">
        <v>1</v>
      </c>
      <c r="F1546" s="150"/>
      <c r="G1546" s="150"/>
      <c r="H1546" s="150"/>
      <c r="I1546" s="151">
        <f t="shared" si="177"/>
        <v>1</v>
      </c>
      <c r="J1546" s="180"/>
    </row>
    <row r="1547" spans="1:10" s="181" customFormat="1">
      <c r="A1547" s="276"/>
      <c r="B1547" s="148" t="s">
        <v>184</v>
      </c>
      <c r="C1547" s="149">
        <v>1</v>
      </c>
      <c r="D1547" s="149" t="s">
        <v>73</v>
      </c>
      <c r="E1547" s="149">
        <v>1</v>
      </c>
      <c r="F1547" s="150"/>
      <c r="G1547" s="150"/>
      <c r="H1547" s="150"/>
      <c r="I1547" s="151">
        <f t="shared" si="177"/>
        <v>1</v>
      </c>
      <c r="J1547" s="180"/>
    </row>
    <row r="1548" spans="1:10" s="181" customFormat="1">
      <c r="A1548" s="276"/>
      <c r="B1548" s="148" t="s">
        <v>422</v>
      </c>
      <c r="C1548" s="149">
        <v>1</v>
      </c>
      <c r="D1548" s="149" t="s">
        <v>73</v>
      </c>
      <c r="E1548" s="149">
        <v>2</v>
      </c>
      <c r="F1548" s="150"/>
      <c r="G1548" s="150"/>
      <c r="H1548" s="150"/>
      <c r="I1548" s="151">
        <f t="shared" si="177"/>
        <v>2</v>
      </c>
      <c r="J1548" s="180"/>
    </row>
    <row r="1549" spans="1:10" s="181" customFormat="1">
      <c r="A1549" s="276"/>
      <c r="B1549" s="148" t="s">
        <v>191</v>
      </c>
      <c r="C1549" s="149">
        <v>1</v>
      </c>
      <c r="D1549" s="149" t="s">
        <v>73</v>
      </c>
      <c r="E1549" s="149">
        <v>1</v>
      </c>
      <c r="F1549" s="150"/>
      <c r="G1549" s="150"/>
      <c r="H1549" s="150"/>
      <c r="I1549" s="151">
        <f t="shared" si="177"/>
        <v>1</v>
      </c>
      <c r="J1549" s="180"/>
    </row>
    <row r="1550" spans="1:10" s="181" customFormat="1">
      <c r="A1550" s="276"/>
      <c r="B1550" s="148" t="s">
        <v>122</v>
      </c>
      <c r="C1550" s="149">
        <v>1</v>
      </c>
      <c r="D1550" s="149" t="s">
        <v>73</v>
      </c>
      <c r="E1550" s="149">
        <v>2</v>
      </c>
      <c r="F1550" s="150"/>
      <c r="G1550" s="150"/>
      <c r="H1550" s="150"/>
      <c r="I1550" s="151">
        <f t="shared" si="177"/>
        <v>2</v>
      </c>
      <c r="J1550" s="180"/>
    </row>
    <row r="1551" spans="1:10" s="181" customFormat="1">
      <c r="A1551" s="276"/>
      <c r="B1551" s="155" t="s">
        <v>173</v>
      </c>
      <c r="C1551" s="149"/>
      <c r="D1551" s="149"/>
      <c r="E1551" s="149"/>
      <c r="F1551" s="150"/>
      <c r="G1551" s="150"/>
      <c r="H1551" s="150"/>
      <c r="I1551" s="151">
        <f t="shared" si="177"/>
        <v>0</v>
      </c>
      <c r="J1551" s="180"/>
    </row>
    <row r="1552" spans="1:10" s="181" customFormat="1">
      <c r="A1552" s="276"/>
      <c r="B1552" s="148" t="s">
        <v>424</v>
      </c>
      <c r="C1552" s="149">
        <v>1</v>
      </c>
      <c r="D1552" s="149" t="s">
        <v>73</v>
      </c>
      <c r="E1552" s="149">
        <v>4</v>
      </c>
      <c r="F1552" s="150"/>
      <c r="G1552" s="150"/>
      <c r="H1552" s="150"/>
      <c r="I1552" s="151">
        <f t="shared" si="177"/>
        <v>4</v>
      </c>
      <c r="J1552" s="180"/>
    </row>
    <row r="1553" spans="1:10" s="181" customFormat="1">
      <c r="A1553" s="276"/>
      <c r="B1553" s="157" t="s">
        <v>11</v>
      </c>
      <c r="C1553" s="149"/>
      <c r="D1553" s="149"/>
      <c r="E1553" s="149"/>
      <c r="F1553" s="150"/>
      <c r="G1553" s="150"/>
      <c r="H1553" s="150"/>
      <c r="I1553" s="160">
        <f>SUM(I1531:I1552)</f>
        <v>30</v>
      </c>
      <c r="J1553" s="180" t="s">
        <v>128</v>
      </c>
    </row>
    <row r="1554" spans="1:10" s="181" customFormat="1">
      <c r="A1554" s="276"/>
      <c r="B1554" s="157"/>
      <c r="C1554" s="149"/>
      <c r="D1554" s="149"/>
      <c r="E1554" s="149"/>
      <c r="F1554" s="150"/>
      <c r="G1554" s="150"/>
      <c r="H1554" s="150"/>
      <c r="I1554" s="160"/>
      <c r="J1554" s="180"/>
    </row>
    <row r="1555" spans="1:10" s="181" customFormat="1" ht="93" customHeight="1">
      <c r="A1555" s="276">
        <v>66.099999999999994</v>
      </c>
      <c r="B1555" s="178" t="s">
        <v>578</v>
      </c>
      <c r="C1555" s="149"/>
      <c r="D1555" s="149"/>
      <c r="E1555" s="149"/>
      <c r="F1555" s="150"/>
      <c r="G1555" s="150"/>
      <c r="H1555" s="150"/>
      <c r="I1555" s="159"/>
      <c r="J1555" s="180"/>
    </row>
    <row r="1556" spans="1:10" s="181" customFormat="1">
      <c r="A1556" s="276"/>
      <c r="B1556" s="148" t="s">
        <v>579</v>
      </c>
      <c r="C1556" s="149">
        <v>1</v>
      </c>
      <c r="D1556" s="149" t="s">
        <v>73</v>
      </c>
      <c r="E1556" s="149">
        <v>4</v>
      </c>
      <c r="F1556" s="150"/>
      <c r="G1556" s="150"/>
      <c r="H1556" s="150"/>
      <c r="I1556" s="159">
        <f>PRODUCT(C1556:H1556)</f>
        <v>4</v>
      </c>
      <c r="J1556" s="180" t="s">
        <v>128</v>
      </c>
    </row>
    <row r="1557" spans="1:10" s="181" customFormat="1">
      <c r="A1557" s="276"/>
      <c r="B1557" s="148"/>
      <c r="C1557" s="149"/>
      <c r="D1557" s="149"/>
      <c r="E1557" s="149"/>
      <c r="F1557" s="150"/>
      <c r="G1557" s="150"/>
      <c r="H1557" s="150"/>
      <c r="I1557" s="159"/>
      <c r="J1557" s="180"/>
    </row>
    <row r="1558" spans="1:10" s="181" customFormat="1" ht="71.25" customHeight="1">
      <c r="A1558" s="276">
        <v>67.099999999999994</v>
      </c>
      <c r="B1558" s="208" t="s">
        <v>580</v>
      </c>
      <c r="C1558" s="149"/>
      <c r="D1558" s="149"/>
      <c r="E1558" s="149"/>
      <c r="F1558" s="150"/>
      <c r="G1558" s="150"/>
      <c r="H1558" s="150"/>
      <c r="I1558" s="159"/>
      <c r="J1558" s="180"/>
    </row>
    <row r="1559" spans="1:10" s="181" customFormat="1">
      <c r="A1559" s="276"/>
      <c r="B1559" s="155" t="s">
        <v>581</v>
      </c>
      <c r="C1559" s="149"/>
      <c r="D1559" s="149"/>
      <c r="E1559" s="149"/>
      <c r="F1559" s="150"/>
      <c r="G1559" s="150"/>
      <c r="H1559" s="150"/>
      <c r="I1559" s="159"/>
      <c r="J1559" s="180"/>
    </row>
    <row r="1560" spans="1:10" s="181" customFormat="1">
      <c r="A1560" s="276"/>
      <c r="B1560" s="148" t="s">
        <v>582</v>
      </c>
      <c r="C1560" s="149">
        <v>1</v>
      </c>
      <c r="D1560" s="149" t="s">
        <v>73</v>
      </c>
      <c r="E1560" s="149">
        <v>2</v>
      </c>
      <c r="F1560" s="150"/>
      <c r="G1560" s="150"/>
      <c r="H1560" s="150"/>
      <c r="I1560" s="151">
        <f t="shared" ref="I1560:I1584" si="178">ROUND(PRODUCT(C1560:H1560),2)</f>
        <v>2</v>
      </c>
      <c r="J1560" s="180"/>
    </row>
    <row r="1561" spans="1:10" s="181" customFormat="1" ht="17.25" customHeight="1">
      <c r="A1561" s="276"/>
      <c r="B1561" s="148" t="s">
        <v>290</v>
      </c>
      <c r="C1561" s="149">
        <v>1</v>
      </c>
      <c r="D1561" s="149" t="s">
        <v>73</v>
      </c>
      <c r="E1561" s="149">
        <v>1</v>
      </c>
      <c r="F1561" s="150"/>
      <c r="G1561" s="150"/>
      <c r="H1561" s="150"/>
      <c r="I1561" s="151">
        <f t="shared" si="178"/>
        <v>1</v>
      </c>
      <c r="J1561" s="180"/>
    </row>
    <row r="1562" spans="1:10" s="181" customFormat="1">
      <c r="A1562" s="276"/>
      <c r="B1562" s="155" t="s">
        <v>564</v>
      </c>
      <c r="C1562" s="149"/>
      <c r="D1562" s="149"/>
      <c r="E1562" s="149"/>
      <c r="F1562" s="150"/>
      <c r="G1562" s="150"/>
      <c r="H1562" s="150"/>
      <c r="I1562" s="151">
        <f t="shared" si="178"/>
        <v>0</v>
      </c>
      <c r="J1562" s="221"/>
    </row>
    <row r="1563" spans="1:10" s="181" customFormat="1" ht="24" customHeight="1">
      <c r="B1563" s="148" t="s">
        <v>583</v>
      </c>
      <c r="C1563" s="149">
        <v>1</v>
      </c>
      <c r="D1563" s="149" t="s">
        <v>73</v>
      </c>
      <c r="E1563" s="149">
        <v>2</v>
      </c>
      <c r="F1563" s="150"/>
      <c r="G1563" s="150"/>
      <c r="H1563" s="150"/>
      <c r="I1563" s="151">
        <f t="shared" si="178"/>
        <v>2</v>
      </c>
      <c r="J1563" s="180"/>
    </row>
    <row r="1564" spans="1:10" s="181" customFormat="1">
      <c r="A1564" s="276"/>
      <c r="B1564" s="148" t="s">
        <v>584</v>
      </c>
      <c r="C1564" s="149">
        <v>1</v>
      </c>
      <c r="D1564" s="149" t="s">
        <v>73</v>
      </c>
      <c r="E1564" s="149">
        <v>1</v>
      </c>
      <c r="F1564" s="150"/>
      <c r="G1564" s="150"/>
      <c r="H1564" s="150"/>
      <c r="I1564" s="151">
        <f t="shared" si="178"/>
        <v>1</v>
      </c>
      <c r="J1564" s="180"/>
    </row>
    <row r="1565" spans="1:10" s="181" customFormat="1" ht="24" customHeight="1">
      <c r="B1565" s="148" t="s">
        <v>442</v>
      </c>
      <c r="C1565" s="149">
        <v>1</v>
      </c>
      <c r="D1565" s="149" t="s">
        <v>73</v>
      </c>
      <c r="E1565" s="149">
        <v>1</v>
      </c>
      <c r="F1565" s="150"/>
      <c r="G1565" s="150"/>
      <c r="H1565" s="150"/>
      <c r="I1565" s="151">
        <f t="shared" si="178"/>
        <v>1</v>
      </c>
      <c r="J1565" s="180"/>
    </row>
    <row r="1566" spans="1:10" s="181" customFormat="1">
      <c r="A1566" s="276"/>
      <c r="B1566" s="148" t="s">
        <v>412</v>
      </c>
      <c r="C1566" s="149">
        <v>1</v>
      </c>
      <c r="D1566" s="149" t="s">
        <v>73</v>
      </c>
      <c r="E1566" s="149">
        <v>1</v>
      </c>
      <c r="F1566" s="150"/>
      <c r="G1566" s="150"/>
      <c r="H1566" s="150"/>
      <c r="I1566" s="151">
        <f t="shared" si="178"/>
        <v>1</v>
      </c>
      <c r="J1566" s="180"/>
    </row>
    <row r="1567" spans="1:10" s="181" customFormat="1">
      <c r="A1567" s="276"/>
      <c r="B1567" s="148" t="s">
        <v>182</v>
      </c>
      <c r="C1567" s="149">
        <v>1</v>
      </c>
      <c r="D1567" s="149" t="s">
        <v>73</v>
      </c>
      <c r="E1567" s="149">
        <v>1</v>
      </c>
      <c r="F1567" s="150"/>
      <c r="G1567" s="150"/>
      <c r="H1567" s="150"/>
      <c r="I1567" s="151">
        <f t="shared" si="178"/>
        <v>1</v>
      </c>
      <c r="J1567" s="180"/>
    </row>
    <row r="1568" spans="1:10" s="181" customFormat="1">
      <c r="A1568" s="276"/>
      <c r="B1568" s="148" t="s">
        <v>197</v>
      </c>
      <c r="C1568" s="149">
        <v>1</v>
      </c>
      <c r="D1568" s="149" t="s">
        <v>73</v>
      </c>
      <c r="E1568" s="149">
        <v>1</v>
      </c>
      <c r="F1568" s="150"/>
      <c r="G1568" s="150"/>
      <c r="H1568" s="150"/>
      <c r="I1568" s="151">
        <f t="shared" si="178"/>
        <v>1</v>
      </c>
      <c r="J1568" s="180"/>
    </row>
    <row r="1569" spans="1:10" s="181" customFormat="1">
      <c r="A1569" s="276"/>
      <c r="B1569" s="148" t="s">
        <v>585</v>
      </c>
      <c r="C1569" s="149">
        <v>1</v>
      </c>
      <c r="D1569" s="149" t="s">
        <v>73</v>
      </c>
      <c r="E1569" s="149">
        <v>1</v>
      </c>
      <c r="F1569" s="150"/>
      <c r="G1569" s="150"/>
      <c r="H1569" s="150"/>
      <c r="I1569" s="151">
        <f t="shared" si="178"/>
        <v>1</v>
      </c>
      <c r="J1569" s="180"/>
    </row>
    <row r="1570" spans="1:10" s="181" customFormat="1">
      <c r="A1570" s="276"/>
      <c r="B1570" s="148" t="s">
        <v>586</v>
      </c>
      <c r="C1570" s="149">
        <v>1</v>
      </c>
      <c r="D1570" s="149" t="s">
        <v>73</v>
      </c>
      <c r="E1570" s="149">
        <v>1</v>
      </c>
      <c r="F1570" s="150"/>
      <c r="G1570" s="150"/>
      <c r="H1570" s="150"/>
      <c r="I1570" s="151">
        <f t="shared" si="178"/>
        <v>1</v>
      </c>
      <c r="J1570" s="180"/>
    </row>
    <row r="1571" spans="1:10" s="181" customFormat="1">
      <c r="A1571" s="276"/>
      <c r="B1571" s="148" t="s">
        <v>587</v>
      </c>
      <c r="C1571" s="149">
        <v>1</v>
      </c>
      <c r="D1571" s="149" t="s">
        <v>73</v>
      </c>
      <c r="E1571" s="149">
        <v>1</v>
      </c>
      <c r="F1571" s="150"/>
      <c r="G1571" s="150"/>
      <c r="H1571" s="150"/>
      <c r="I1571" s="151">
        <f t="shared" si="178"/>
        <v>1</v>
      </c>
      <c r="J1571" s="180"/>
    </row>
    <row r="1572" spans="1:10" s="181" customFormat="1">
      <c r="A1572" s="276"/>
      <c r="B1572" s="155" t="s">
        <v>566</v>
      </c>
      <c r="C1572" s="149"/>
      <c r="D1572" s="149"/>
      <c r="E1572" s="149"/>
      <c r="F1572" s="150"/>
      <c r="G1572" s="150"/>
      <c r="H1572" s="150"/>
      <c r="I1572" s="151">
        <f t="shared" si="178"/>
        <v>0</v>
      </c>
      <c r="J1572" s="180"/>
    </row>
    <row r="1573" spans="1:10" s="181" customFormat="1">
      <c r="A1573" s="276"/>
      <c r="B1573" s="148" t="s">
        <v>583</v>
      </c>
      <c r="C1573" s="149">
        <v>1</v>
      </c>
      <c r="D1573" s="149" t="s">
        <v>73</v>
      </c>
      <c r="E1573" s="149">
        <v>2</v>
      </c>
      <c r="F1573" s="150"/>
      <c r="G1573" s="150"/>
      <c r="H1573" s="150"/>
      <c r="I1573" s="151">
        <f t="shared" si="178"/>
        <v>2</v>
      </c>
      <c r="J1573" s="180"/>
    </row>
    <row r="1574" spans="1:10" s="181" customFormat="1">
      <c r="A1574" s="276"/>
      <c r="B1574" s="148" t="s">
        <v>584</v>
      </c>
      <c r="C1574" s="149">
        <v>1</v>
      </c>
      <c r="D1574" s="149" t="s">
        <v>73</v>
      </c>
      <c r="E1574" s="149">
        <v>1</v>
      </c>
      <c r="F1574" s="150"/>
      <c r="G1574" s="150"/>
      <c r="H1574" s="150"/>
      <c r="I1574" s="151">
        <f t="shared" si="178"/>
        <v>1</v>
      </c>
      <c r="J1574" s="180"/>
    </row>
    <row r="1575" spans="1:10" s="181" customFormat="1">
      <c r="A1575" s="276"/>
      <c r="B1575" s="148" t="s">
        <v>588</v>
      </c>
      <c r="C1575" s="149">
        <v>1</v>
      </c>
      <c r="D1575" s="149" t="s">
        <v>73</v>
      </c>
      <c r="E1575" s="149">
        <v>1</v>
      </c>
      <c r="F1575" s="150"/>
      <c r="G1575" s="150"/>
      <c r="H1575" s="150"/>
      <c r="I1575" s="151">
        <f t="shared" si="178"/>
        <v>1</v>
      </c>
      <c r="J1575" s="180"/>
    </row>
    <row r="1576" spans="1:10" s="181" customFormat="1">
      <c r="A1576" s="276"/>
      <c r="B1576" s="148" t="s">
        <v>182</v>
      </c>
      <c r="C1576" s="149">
        <v>1</v>
      </c>
      <c r="D1576" s="149" t="s">
        <v>73</v>
      </c>
      <c r="E1576" s="149">
        <v>1</v>
      </c>
      <c r="F1576" s="150"/>
      <c r="G1576" s="150"/>
      <c r="H1576" s="150"/>
      <c r="I1576" s="151">
        <f t="shared" si="178"/>
        <v>1</v>
      </c>
      <c r="J1576" s="180"/>
    </row>
    <row r="1577" spans="1:10" s="181" customFormat="1">
      <c r="A1577" s="276"/>
      <c r="B1577" s="148" t="s">
        <v>197</v>
      </c>
      <c r="C1577" s="149">
        <v>1</v>
      </c>
      <c r="D1577" s="149" t="s">
        <v>73</v>
      </c>
      <c r="E1577" s="149">
        <v>1</v>
      </c>
      <c r="F1577" s="150"/>
      <c r="G1577" s="150"/>
      <c r="H1577" s="150"/>
      <c r="I1577" s="151">
        <f t="shared" si="178"/>
        <v>1</v>
      </c>
      <c r="J1577" s="180"/>
    </row>
    <row r="1578" spans="1:10" s="181" customFormat="1">
      <c r="A1578" s="276"/>
      <c r="B1578" s="148" t="s">
        <v>586</v>
      </c>
      <c r="C1578" s="149">
        <v>1</v>
      </c>
      <c r="D1578" s="149" t="s">
        <v>73</v>
      </c>
      <c r="E1578" s="149">
        <v>1</v>
      </c>
      <c r="F1578" s="150"/>
      <c r="G1578" s="150"/>
      <c r="H1578" s="150"/>
      <c r="I1578" s="151">
        <f t="shared" si="178"/>
        <v>1</v>
      </c>
      <c r="J1578" s="180"/>
    </row>
    <row r="1579" spans="1:10" s="181" customFormat="1">
      <c r="A1579" s="276"/>
      <c r="B1579" s="148" t="s">
        <v>587</v>
      </c>
      <c r="C1579" s="149">
        <v>1</v>
      </c>
      <c r="D1579" s="149" t="s">
        <v>73</v>
      </c>
      <c r="E1579" s="149">
        <v>1</v>
      </c>
      <c r="F1579" s="150"/>
      <c r="G1579" s="150"/>
      <c r="H1579" s="150"/>
      <c r="I1579" s="151">
        <f t="shared" si="178"/>
        <v>1</v>
      </c>
      <c r="J1579" s="180"/>
    </row>
    <row r="1580" spans="1:10" s="181" customFormat="1">
      <c r="A1580" s="276"/>
      <c r="B1580" s="148" t="s">
        <v>412</v>
      </c>
      <c r="C1580" s="149">
        <v>1</v>
      </c>
      <c r="D1580" s="149" t="s">
        <v>73</v>
      </c>
      <c r="E1580" s="149">
        <v>1</v>
      </c>
      <c r="F1580" s="150"/>
      <c r="G1580" s="150"/>
      <c r="H1580" s="150"/>
      <c r="I1580" s="151">
        <f t="shared" si="178"/>
        <v>1</v>
      </c>
      <c r="J1580" s="180"/>
    </row>
    <row r="1581" spans="1:10" s="181" customFormat="1">
      <c r="A1581" s="276"/>
      <c r="B1581" s="148" t="s">
        <v>197</v>
      </c>
      <c r="C1581" s="149">
        <v>1</v>
      </c>
      <c r="D1581" s="149" t="s">
        <v>73</v>
      </c>
      <c r="E1581" s="149">
        <v>2</v>
      </c>
      <c r="F1581" s="150"/>
      <c r="G1581" s="150"/>
      <c r="H1581" s="150"/>
      <c r="I1581" s="151">
        <f t="shared" si="178"/>
        <v>2</v>
      </c>
      <c r="J1581" s="180"/>
    </row>
    <row r="1582" spans="1:10" s="181" customFormat="1">
      <c r="A1582" s="276"/>
      <c r="B1582" s="155" t="s">
        <v>568</v>
      </c>
      <c r="C1582" s="149"/>
      <c r="D1582" s="149"/>
      <c r="E1582" s="149"/>
      <c r="F1582" s="150"/>
      <c r="G1582" s="150"/>
      <c r="H1582" s="150"/>
      <c r="I1582" s="151">
        <f t="shared" si="178"/>
        <v>0</v>
      </c>
      <c r="J1582" s="180"/>
    </row>
    <row r="1583" spans="1:10" s="181" customFormat="1">
      <c r="A1583" s="276"/>
      <c r="B1583" s="148" t="s">
        <v>589</v>
      </c>
      <c r="C1583" s="149">
        <v>1</v>
      </c>
      <c r="D1583" s="149" t="s">
        <v>73</v>
      </c>
      <c r="E1583" s="149">
        <v>2</v>
      </c>
      <c r="F1583" s="150"/>
      <c r="G1583" s="150"/>
      <c r="H1583" s="150"/>
      <c r="I1583" s="151">
        <f t="shared" si="178"/>
        <v>2</v>
      </c>
      <c r="J1583" s="180"/>
    </row>
    <row r="1584" spans="1:10" s="181" customFormat="1">
      <c r="A1584" s="276"/>
      <c r="B1584" s="148" t="s">
        <v>590</v>
      </c>
      <c r="C1584" s="149">
        <v>1</v>
      </c>
      <c r="D1584" s="149" t="s">
        <v>73</v>
      </c>
      <c r="E1584" s="149">
        <v>2</v>
      </c>
      <c r="F1584" s="150"/>
      <c r="G1584" s="150"/>
      <c r="H1584" s="150"/>
      <c r="I1584" s="151">
        <f t="shared" si="178"/>
        <v>2</v>
      </c>
      <c r="J1584" s="180"/>
    </row>
    <row r="1585" spans="1:10" s="181" customFormat="1">
      <c r="A1585" s="276"/>
      <c r="B1585" s="148"/>
      <c r="C1585" s="149"/>
      <c r="D1585" s="149"/>
      <c r="E1585" s="149"/>
      <c r="F1585" s="150"/>
      <c r="G1585" s="150"/>
      <c r="H1585" s="150"/>
      <c r="I1585" s="159">
        <f>SUM(I1560:I1584)</f>
        <v>28</v>
      </c>
      <c r="J1585" s="180" t="s">
        <v>128</v>
      </c>
    </row>
    <row r="1586" spans="1:10" s="181" customFormat="1">
      <c r="A1586" s="276"/>
      <c r="B1586" s="148"/>
      <c r="C1586" s="149"/>
      <c r="D1586" s="149"/>
      <c r="E1586" s="149"/>
      <c r="F1586" s="150"/>
      <c r="G1586" s="150"/>
      <c r="H1586" s="150"/>
      <c r="I1586" s="159"/>
      <c r="J1586" s="180"/>
    </row>
    <row r="1587" spans="1:10" s="181" customFormat="1" ht="108.75" customHeight="1">
      <c r="A1587" s="276">
        <v>68.2</v>
      </c>
      <c r="B1587" s="208" t="s">
        <v>591</v>
      </c>
      <c r="C1587" s="149"/>
      <c r="D1587" s="149"/>
      <c r="E1587" s="149"/>
      <c r="F1587" s="150"/>
      <c r="G1587" s="150"/>
      <c r="H1587" s="150"/>
      <c r="I1587" s="159"/>
      <c r="J1587" s="180"/>
    </row>
    <row r="1588" spans="1:10" s="181" customFormat="1">
      <c r="A1588" s="276"/>
      <c r="B1588" s="155" t="s">
        <v>581</v>
      </c>
      <c r="C1588" s="149"/>
      <c r="D1588" s="149"/>
      <c r="E1588" s="149"/>
      <c r="F1588" s="150"/>
      <c r="G1588" s="150"/>
      <c r="H1588" s="150"/>
      <c r="I1588" s="151">
        <f>ROUND(PRODUCT(C1588:H1588),2)</f>
        <v>0</v>
      </c>
      <c r="J1588" s="180"/>
    </row>
    <row r="1589" spans="1:10" s="181" customFormat="1">
      <c r="A1589" s="276"/>
      <c r="B1589" s="178" t="s">
        <v>592</v>
      </c>
      <c r="C1589" s="149">
        <v>1</v>
      </c>
      <c r="D1589" s="149" t="s">
        <v>73</v>
      </c>
      <c r="E1589" s="149">
        <v>1</v>
      </c>
      <c r="F1589" s="150"/>
      <c r="G1589" s="150"/>
      <c r="H1589" s="150"/>
      <c r="I1589" s="151">
        <f t="shared" ref="I1589:I1605" si="179">ROUND(PRODUCT(C1589:H1589),2)</f>
        <v>1</v>
      </c>
      <c r="J1589" s="180"/>
    </row>
    <row r="1590" spans="1:10" s="181" customFormat="1" ht="19.5" customHeight="1">
      <c r="A1590" s="276"/>
      <c r="B1590" s="178" t="s">
        <v>593</v>
      </c>
      <c r="C1590" s="149">
        <v>1</v>
      </c>
      <c r="D1590" s="149" t="s">
        <v>73</v>
      </c>
      <c r="E1590" s="149">
        <v>2</v>
      </c>
      <c r="F1590" s="150"/>
      <c r="G1590" s="150"/>
      <c r="H1590" s="150"/>
      <c r="I1590" s="151">
        <f t="shared" si="179"/>
        <v>2</v>
      </c>
      <c r="J1590" s="180"/>
    </row>
    <row r="1591" spans="1:10" s="181" customFormat="1">
      <c r="A1591" s="276"/>
      <c r="B1591" s="155" t="s">
        <v>564</v>
      </c>
      <c r="C1591" s="149"/>
      <c r="D1591" s="149"/>
      <c r="E1591" s="149"/>
      <c r="F1591" s="150"/>
      <c r="G1591" s="150"/>
      <c r="H1591" s="150"/>
      <c r="I1591" s="151">
        <f t="shared" si="179"/>
        <v>0</v>
      </c>
      <c r="J1591" s="180"/>
    </row>
    <row r="1592" spans="1:10" s="181" customFormat="1">
      <c r="A1592" s="276"/>
      <c r="B1592" s="148" t="s">
        <v>298</v>
      </c>
      <c r="C1592" s="149">
        <v>1</v>
      </c>
      <c r="D1592" s="149" t="s">
        <v>73</v>
      </c>
      <c r="E1592" s="149">
        <v>3</v>
      </c>
      <c r="F1592" s="150"/>
      <c r="G1592" s="150"/>
      <c r="H1592" s="150"/>
      <c r="I1592" s="151">
        <f t="shared" si="179"/>
        <v>3</v>
      </c>
      <c r="J1592" s="180"/>
    </row>
    <row r="1593" spans="1:10" s="181" customFormat="1">
      <c r="A1593" s="276"/>
      <c r="B1593" s="148" t="s">
        <v>460</v>
      </c>
      <c r="C1593" s="149">
        <v>1</v>
      </c>
      <c r="D1593" s="149" t="s">
        <v>73</v>
      </c>
      <c r="E1593" s="149">
        <v>4</v>
      </c>
      <c r="F1593" s="150"/>
      <c r="G1593" s="150"/>
      <c r="H1593" s="150"/>
      <c r="I1593" s="151">
        <f t="shared" si="179"/>
        <v>4</v>
      </c>
      <c r="J1593" s="180"/>
    </row>
    <row r="1594" spans="1:10" s="181" customFormat="1" ht="16.5" customHeight="1">
      <c r="B1594" s="148" t="s">
        <v>412</v>
      </c>
      <c r="C1594" s="149">
        <v>1</v>
      </c>
      <c r="D1594" s="149" t="s">
        <v>73</v>
      </c>
      <c r="E1594" s="149">
        <v>5</v>
      </c>
      <c r="F1594" s="150"/>
      <c r="G1594" s="150"/>
      <c r="H1594" s="150"/>
      <c r="I1594" s="151">
        <f t="shared" si="179"/>
        <v>5</v>
      </c>
      <c r="J1594" s="180"/>
    </row>
    <row r="1595" spans="1:10" s="181" customFormat="1">
      <c r="A1595" s="276"/>
      <c r="B1595" s="148" t="s">
        <v>182</v>
      </c>
      <c r="C1595" s="149">
        <v>1</v>
      </c>
      <c r="D1595" s="149" t="s">
        <v>73</v>
      </c>
      <c r="E1595" s="149">
        <v>2</v>
      </c>
      <c r="F1595" s="150"/>
      <c r="G1595" s="150"/>
      <c r="H1595" s="150"/>
      <c r="I1595" s="151">
        <f t="shared" si="179"/>
        <v>2</v>
      </c>
      <c r="J1595" s="180"/>
    </row>
    <row r="1596" spans="1:10" s="181" customFormat="1" ht="16.5" customHeight="1">
      <c r="A1596" s="276"/>
      <c r="B1596" s="148" t="s">
        <v>594</v>
      </c>
      <c r="C1596" s="149">
        <v>1</v>
      </c>
      <c r="D1596" s="149" t="s">
        <v>73</v>
      </c>
      <c r="E1596" s="149">
        <v>2</v>
      </c>
      <c r="F1596" s="150"/>
      <c r="G1596" s="150"/>
      <c r="H1596" s="150"/>
      <c r="I1596" s="151">
        <f t="shared" si="179"/>
        <v>2</v>
      </c>
      <c r="J1596" s="180"/>
    </row>
    <row r="1597" spans="1:10" s="181" customFormat="1" ht="16.5" customHeight="1">
      <c r="A1597" s="276"/>
      <c r="B1597" s="155" t="s">
        <v>566</v>
      </c>
      <c r="C1597" s="149"/>
      <c r="D1597" s="149"/>
      <c r="E1597" s="149"/>
      <c r="F1597" s="150"/>
      <c r="G1597" s="150"/>
      <c r="H1597" s="150"/>
      <c r="I1597" s="151">
        <f t="shared" si="179"/>
        <v>0</v>
      </c>
      <c r="J1597" s="180"/>
    </row>
    <row r="1598" spans="1:10" s="181" customFormat="1">
      <c r="A1598" s="276"/>
      <c r="B1598" s="148" t="s">
        <v>298</v>
      </c>
      <c r="C1598" s="149">
        <v>1</v>
      </c>
      <c r="D1598" s="149" t="s">
        <v>73</v>
      </c>
      <c r="E1598" s="149">
        <v>3</v>
      </c>
      <c r="F1598" s="150"/>
      <c r="G1598" s="150"/>
      <c r="H1598" s="150"/>
      <c r="I1598" s="151">
        <f t="shared" si="179"/>
        <v>3</v>
      </c>
      <c r="J1598" s="180"/>
    </row>
    <row r="1599" spans="1:10" s="181" customFormat="1">
      <c r="A1599" s="276"/>
      <c r="B1599" s="148" t="s">
        <v>460</v>
      </c>
      <c r="C1599" s="149">
        <v>1</v>
      </c>
      <c r="D1599" s="149" t="s">
        <v>73</v>
      </c>
      <c r="E1599" s="149">
        <v>4</v>
      </c>
      <c r="F1599" s="150"/>
      <c r="G1599" s="150"/>
      <c r="H1599" s="150"/>
      <c r="I1599" s="151">
        <f t="shared" si="179"/>
        <v>4</v>
      </c>
      <c r="J1599" s="180"/>
    </row>
    <row r="1600" spans="1:10" s="181" customFormat="1">
      <c r="A1600" s="276"/>
      <c r="B1600" s="148" t="s">
        <v>412</v>
      </c>
      <c r="C1600" s="149">
        <v>1</v>
      </c>
      <c r="D1600" s="149" t="s">
        <v>73</v>
      </c>
      <c r="E1600" s="149">
        <v>5</v>
      </c>
      <c r="F1600" s="150"/>
      <c r="G1600" s="150"/>
      <c r="H1600" s="150"/>
      <c r="I1600" s="151">
        <f t="shared" si="179"/>
        <v>5</v>
      </c>
      <c r="J1600" s="180"/>
    </row>
    <row r="1601" spans="1:10" s="181" customFormat="1">
      <c r="A1601" s="276"/>
      <c r="B1601" s="148" t="s">
        <v>182</v>
      </c>
      <c r="C1601" s="149">
        <v>1</v>
      </c>
      <c r="D1601" s="149" t="s">
        <v>73</v>
      </c>
      <c r="E1601" s="149">
        <v>4</v>
      </c>
      <c r="F1601" s="150"/>
      <c r="G1601" s="150"/>
      <c r="H1601" s="150"/>
      <c r="I1601" s="151">
        <f t="shared" si="179"/>
        <v>4</v>
      </c>
      <c r="J1601" s="180"/>
    </row>
    <row r="1602" spans="1:10" s="181" customFormat="1">
      <c r="A1602" s="276"/>
      <c r="B1602" s="148" t="s">
        <v>310</v>
      </c>
      <c r="C1602" s="149">
        <v>1</v>
      </c>
      <c r="D1602" s="149" t="s">
        <v>73</v>
      </c>
      <c r="E1602" s="149">
        <v>2</v>
      </c>
      <c r="F1602" s="150"/>
      <c r="G1602" s="150"/>
      <c r="H1602" s="150"/>
      <c r="I1602" s="151">
        <f t="shared" si="179"/>
        <v>2</v>
      </c>
      <c r="J1602" s="180"/>
    </row>
    <row r="1603" spans="1:10" s="181" customFormat="1">
      <c r="A1603" s="276"/>
      <c r="B1603" s="148" t="s">
        <v>594</v>
      </c>
      <c r="C1603" s="149">
        <v>1</v>
      </c>
      <c r="D1603" s="149" t="s">
        <v>73</v>
      </c>
      <c r="E1603" s="149">
        <v>2</v>
      </c>
      <c r="F1603" s="150"/>
      <c r="G1603" s="150"/>
      <c r="H1603" s="150"/>
      <c r="I1603" s="151">
        <f t="shared" si="179"/>
        <v>2</v>
      </c>
      <c r="J1603" s="180"/>
    </row>
    <row r="1604" spans="1:10" s="181" customFormat="1">
      <c r="A1604" s="276"/>
      <c r="B1604" s="155" t="s">
        <v>595</v>
      </c>
      <c r="C1604" s="220"/>
      <c r="D1604" s="220"/>
      <c r="E1604" s="220"/>
      <c r="F1604" s="158"/>
      <c r="G1604" s="158"/>
      <c r="H1604" s="158"/>
      <c r="I1604" s="159">
        <f t="shared" si="179"/>
        <v>0</v>
      </c>
      <c r="J1604" s="180"/>
    </row>
    <row r="1605" spans="1:10" s="181" customFormat="1">
      <c r="A1605" s="276"/>
      <c r="B1605" s="148" t="s">
        <v>183</v>
      </c>
      <c r="C1605" s="149">
        <v>2</v>
      </c>
      <c r="D1605" s="149" t="s">
        <v>73</v>
      </c>
      <c r="E1605" s="149">
        <v>3</v>
      </c>
      <c r="F1605" s="150"/>
      <c r="G1605" s="150"/>
      <c r="H1605" s="150"/>
      <c r="I1605" s="151">
        <f t="shared" si="179"/>
        <v>6</v>
      </c>
      <c r="J1605" s="180"/>
    </row>
    <row r="1606" spans="1:10" s="181" customFormat="1">
      <c r="A1606" s="276"/>
      <c r="B1606" s="148"/>
      <c r="C1606" s="149"/>
      <c r="D1606" s="149"/>
      <c r="E1606" s="149"/>
      <c r="F1606" s="150"/>
      <c r="G1606" s="150"/>
      <c r="H1606" s="150"/>
      <c r="I1606" s="159">
        <f>SUM(I1589:I1605)</f>
        <v>45</v>
      </c>
      <c r="J1606" s="180" t="s">
        <v>128</v>
      </c>
    </row>
    <row r="1607" spans="1:10" s="181" customFormat="1">
      <c r="A1607" s="276"/>
      <c r="B1607" s="148"/>
      <c r="C1607" s="149"/>
      <c r="D1607" s="149"/>
      <c r="E1607" s="149"/>
      <c r="F1607" s="150"/>
      <c r="G1607" s="150"/>
      <c r="H1607" s="150"/>
      <c r="I1607" s="159"/>
      <c r="J1607" s="180"/>
    </row>
    <row r="1608" spans="1:10" s="181" customFormat="1" ht="103.5" customHeight="1">
      <c r="A1608" s="276">
        <v>75.2</v>
      </c>
      <c r="B1608" s="208" t="s">
        <v>596</v>
      </c>
      <c r="C1608" s="149"/>
      <c r="D1608" s="149"/>
      <c r="E1608" s="149"/>
      <c r="F1608" s="150"/>
      <c r="G1608" s="150"/>
      <c r="H1608" s="150"/>
      <c r="I1608" s="151"/>
      <c r="J1608" s="180"/>
    </row>
    <row r="1609" spans="1:10" s="181" customFormat="1">
      <c r="A1609" s="276"/>
      <c r="B1609" s="178" t="s">
        <v>597</v>
      </c>
      <c r="C1609" s="149"/>
      <c r="D1609" s="149"/>
      <c r="E1609" s="149"/>
      <c r="F1609" s="150"/>
      <c r="G1609" s="150"/>
      <c r="H1609" s="150"/>
      <c r="I1609" s="151"/>
      <c r="J1609" s="180"/>
    </row>
    <row r="1610" spans="1:10" s="181" customFormat="1">
      <c r="A1610" s="276"/>
      <c r="B1610" s="155" t="s">
        <v>408</v>
      </c>
      <c r="C1610" s="149"/>
      <c r="D1610" s="149"/>
      <c r="E1610" s="149"/>
      <c r="F1610" s="150"/>
      <c r="G1610" s="150"/>
      <c r="H1610" s="150"/>
      <c r="I1610" s="159"/>
      <c r="J1610" s="180"/>
    </row>
    <row r="1611" spans="1:10" s="181" customFormat="1">
      <c r="A1611" s="276"/>
      <c r="B1611" s="148" t="s">
        <v>418</v>
      </c>
      <c r="C1611" s="149">
        <v>1</v>
      </c>
      <c r="D1611" s="149" t="s">
        <v>73</v>
      </c>
      <c r="E1611" s="149">
        <v>1</v>
      </c>
      <c r="F1611" s="150"/>
      <c r="G1611" s="150"/>
      <c r="H1611" s="150"/>
      <c r="I1611" s="151">
        <f t="shared" ref="I1611:I1631" si="180">ROUND(PRODUCT(C1611:H1611),2)</f>
        <v>1</v>
      </c>
      <c r="J1611" s="180"/>
    </row>
    <row r="1612" spans="1:10" s="221" customFormat="1">
      <c r="A1612" s="276"/>
      <c r="B1612" s="155" t="s">
        <v>190</v>
      </c>
      <c r="C1612" s="149"/>
      <c r="D1612" s="149"/>
      <c r="E1612" s="149"/>
      <c r="F1612" s="150"/>
      <c r="G1612" s="150"/>
      <c r="H1612" s="150"/>
      <c r="I1612" s="151">
        <f t="shared" si="180"/>
        <v>0</v>
      </c>
      <c r="J1612" s="180"/>
    </row>
    <row r="1613" spans="1:10" s="181" customFormat="1">
      <c r="A1613" s="276"/>
      <c r="B1613" s="148" t="s">
        <v>419</v>
      </c>
      <c r="C1613" s="149">
        <v>1</v>
      </c>
      <c r="D1613" s="149" t="s">
        <v>73</v>
      </c>
      <c r="E1613" s="149">
        <v>2</v>
      </c>
      <c r="F1613" s="150"/>
      <c r="G1613" s="150"/>
      <c r="H1613" s="150"/>
      <c r="I1613" s="151">
        <f t="shared" si="180"/>
        <v>2</v>
      </c>
      <c r="J1613" s="180"/>
    </row>
    <row r="1614" spans="1:10" s="181" customFormat="1">
      <c r="A1614" s="276"/>
      <c r="B1614" s="148" t="s">
        <v>420</v>
      </c>
      <c r="C1614" s="149">
        <v>1</v>
      </c>
      <c r="D1614" s="149" t="s">
        <v>73</v>
      </c>
      <c r="E1614" s="149">
        <v>1</v>
      </c>
      <c r="F1614" s="150"/>
      <c r="G1614" s="150"/>
      <c r="H1614" s="150"/>
      <c r="I1614" s="151">
        <f t="shared" si="180"/>
        <v>1</v>
      </c>
      <c r="J1614" s="180"/>
    </row>
    <row r="1615" spans="1:10" s="181" customFormat="1" ht="19.5" customHeight="1">
      <c r="B1615" s="148" t="s">
        <v>421</v>
      </c>
      <c r="C1615" s="149">
        <v>1</v>
      </c>
      <c r="D1615" s="149" t="s">
        <v>73</v>
      </c>
      <c r="E1615" s="149">
        <v>2</v>
      </c>
      <c r="F1615" s="150"/>
      <c r="G1615" s="150"/>
      <c r="H1615" s="150"/>
      <c r="I1615" s="151">
        <f t="shared" si="180"/>
        <v>2</v>
      </c>
      <c r="J1615" s="180"/>
    </row>
    <row r="1616" spans="1:10" s="181" customFormat="1" ht="18.75" customHeight="1">
      <c r="A1616" s="276"/>
      <c r="B1616" s="148" t="s">
        <v>184</v>
      </c>
      <c r="C1616" s="149">
        <v>1</v>
      </c>
      <c r="D1616" s="149" t="s">
        <v>73</v>
      </c>
      <c r="E1616" s="149">
        <v>1</v>
      </c>
      <c r="F1616" s="150"/>
      <c r="G1616" s="150"/>
      <c r="H1616" s="150"/>
      <c r="I1616" s="151">
        <f t="shared" si="180"/>
        <v>1</v>
      </c>
      <c r="J1616" s="180"/>
    </row>
    <row r="1617" spans="1:10" s="181" customFormat="1">
      <c r="A1617" s="249"/>
      <c r="B1617" s="148" t="s">
        <v>191</v>
      </c>
      <c r="C1617" s="149">
        <v>1</v>
      </c>
      <c r="D1617" s="149" t="s">
        <v>73</v>
      </c>
      <c r="E1617" s="149">
        <v>1</v>
      </c>
      <c r="F1617" s="150"/>
      <c r="G1617" s="150"/>
      <c r="H1617" s="150"/>
      <c r="I1617" s="151">
        <f t="shared" si="180"/>
        <v>1</v>
      </c>
      <c r="J1617" s="180"/>
    </row>
    <row r="1618" spans="1:10" s="181" customFormat="1">
      <c r="A1618" s="276"/>
      <c r="B1618" s="148" t="s">
        <v>422</v>
      </c>
      <c r="C1618" s="149">
        <v>1</v>
      </c>
      <c r="D1618" s="149" t="s">
        <v>73</v>
      </c>
      <c r="E1618" s="149">
        <v>2</v>
      </c>
      <c r="F1618" s="150"/>
      <c r="G1618" s="150"/>
      <c r="H1618" s="150"/>
      <c r="I1618" s="151">
        <f t="shared" si="180"/>
        <v>2</v>
      </c>
      <c r="J1618" s="180"/>
    </row>
    <row r="1619" spans="1:10" s="181" customFormat="1">
      <c r="A1619" s="276"/>
      <c r="B1619" s="148" t="s">
        <v>423</v>
      </c>
      <c r="C1619" s="149">
        <v>1</v>
      </c>
      <c r="D1619" s="149" t="s">
        <v>73</v>
      </c>
      <c r="E1619" s="149">
        <v>2</v>
      </c>
      <c r="F1619" s="150"/>
      <c r="G1619" s="150"/>
      <c r="H1619" s="150"/>
      <c r="I1619" s="151">
        <f t="shared" si="180"/>
        <v>2</v>
      </c>
      <c r="J1619" s="180"/>
    </row>
    <row r="1620" spans="1:10" s="181" customFormat="1">
      <c r="A1620" s="276"/>
      <c r="B1620" s="148" t="s">
        <v>122</v>
      </c>
      <c r="C1620" s="149">
        <v>1</v>
      </c>
      <c r="D1620" s="149" t="s">
        <v>73</v>
      </c>
      <c r="E1620" s="149">
        <v>2</v>
      </c>
      <c r="F1620" s="150"/>
      <c r="G1620" s="150"/>
      <c r="H1620" s="150"/>
      <c r="I1620" s="151">
        <f t="shared" si="180"/>
        <v>2</v>
      </c>
      <c r="J1620" s="180"/>
    </row>
    <row r="1621" spans="1:10" s="181" customFormat="1">
      <c r="A1621" s="276"/>
      <c r="B1621" s="155" t="s">
        <v>189</v>
      </c>
      <c r="C1621" s="149"/>
      <c r="D1621" s="149"/>
      <c r="E1621" s="149"/>
      <c r="F1621" s="150"/>
      <c r="G1621" s="150"/>
      <c r="H1621" s="150"/>
      <c r="I1621" s="151">
        <f t="shared" si="180"/>
        <v>0</v>
      </c>
      <c r="J1621" s="180"/>
    </row>
    <row r="1622" spans="1:10" s="181" customFormat="1">
      <c r="A1622" s="276"/>
      <c r="B1622" s="148" t="s">
        <v>419</v>
      </c>
      <c r="C1622" s="149">
        <v>1</v>
      </c>
      <c r="D1622" s="149" t="s">
        <v>73</v>
      </c>
      <c r="E1622" s="149">
        <v>2</v>
      </c>
      <c r="F1622" s="150"/>
      <c r="G1622" s="150"/>
      <c r="H1622" s="150"/>
      <c r="I1622" s="151">
        <f t="shared" si="180"/>
        <v>2</v>
      </c>
      <c r="J1622" s="180"/>
    </row>
    <row r="1623" spans="1:10" s="181" customFormat="1">
      <c r="A1623" s="276"/>
      <c r="B1623" s="148" t="s">
        <v>426</v>
      </c>
      <c r="C1623" s="149">
        <v>1</v>
      </c>
      <c r="D1623" s="149" t="s">
        <v>73</v>
      </c>
      <c r="E1623" s="149">
        <v>1</v>
      </c>
      <c r="F1623" s="150"/>
      <c r="G1623" s="150"/>
      <c r="H1623" s="150"/>
      <c r="I1623" s="151">
        <f t="shared" si="180"/>
        <v>1</v>
      </c>
      <c r="J1623" s="180"/>
    </row>
    <row r="1624" spans="1:10" s="181" customFormat="1">
      <c r="A1624" s="276"/>
      <c r="B1624" s="148" t="s">
        <v>421</v>
      </c>
      <c r="C1624" s="149">
        <v>1</v>
      </c>
      <c r="D1624" s="149" t="s">
        <v>73</v>
      </c>
      <c r="E1624" s="149">
        <v>2</v>
      </c>
      <c r="F1624" s="150"/>
      <c r="G1624" s="150"/>
      <c r="H1624" s="150"/>
      <c r="I1624" s="151">
        <f t="shared" si="180"/>
        <v>2</v>
      </c>
      <c r="J1624" s="180"/>
    </row>
    <row r="1625" spans="1:10" s="181" customFormat="1">
      <c r="A1625" s="276"/>
      <c r="B1625" s="148" t="s">
        <v>192</v>
      </c>
      <c r="C1625" s="149">
        <v>1</v>
      </c>
      <c r="D1625" s="149" t="s">
        <v>73</v>
      </c>
      <c r="E1625" s="149">
        <v>1</v>
      </c>
      <c r="F1625" s="150"/>
      <c r="G1625" s="150"/>
      <c r="H1625" s="150"/>
      <c r="I1625" s="151">
        <f t="shared" si="180"/>
        <v>1</v>
      </c>
      <c r="J1625" s="180"/>
    </row>
    <row r="1626" spans="1:10" s="181" customFormat="1">
      <c r="A1626" s="276"/>
      <c r="B1626" s="148" t="s">
        <v>184</v>
      </c>
      <c r="C1626" s="149">
        <v>1</v>
      </c>
      <c r="D1626" s="149" t="s">
        <v>73</v>
      </c>
      <c r="E1626" s="149">
        <v>1</v>
      </c>
      <c r="F1626" s="150"/>
      <c r="G1626" s="150"/>
      <c r="H1626" s="150"/>
      <c r="I1626" s="151">
        <f t="shared" si="180"/>
        <v>1</v>
      </c>
      <c r="J1626" s="180"/>
    </row>
    <row r="1627" spans="1:10" s="181" customFormat="1">
      <c r="A1627" s="276"/>
      <c r="B1627" s="148" t="s">
        <v>422</v>
      </c>
      <c r="C1627" s="149">
        <v>1</v>
      </c>
      <c r="D1627" s="149" t="s">
        <v>73</v>
      </c>
      <c r="E1627" s="149">
        <v>2</v>
      </c>
      <c r="F1627" s="150"/>
      <c r="G1627" s="150"/>
      <c r="H1627" s="150"/>
      <c r="I1627" s="151">
        <f t="shared" si="180"/>
        <v>2</v>
      </c>
      <c r="J1627" s="180"/>
    </row>
    <row r="1628" spans="1:10" s="181" customFormat="1">
      <c r="A1628" s="276"/>
      <c r="B1628" s="148" t="s">
        <v>191</v>
      </c>
      <c r="C1628" s="149">
        <v>1</v>
      </c>
      <c r="D1628" s="149" t="s">
        <v>73</v>
      </c>
      <c r="E1628" s="149">
        <v>1</v>
      </c>
      <c r="F1628" s="150"/>
      <c r="G1628" s="150"/>
      <c r="H1628" s="150"/>
      <c r="I1628" s="151">
        <f t="shared" si="180"/>
        <v>1</v>
      </c>
      <c r="J1628" s="180"/>
    </row>
    <row r="1629" spans="1:10" s="181" customFormat="1">
      <c r="A1629" s="276"/>
      <c r="B1629" s="148" t="s">
        <v>122</v>
      </c>
      <c r="C1629" s="149">
        <v>1</v>
      </c>
      <c r="D1629" s="149" t="s">
        <v>73</v>
      </c>
      <c r="E1629" s="149">
        <v>2</v>
      </c>
      <c r="F1629" s="150"/>
      <c r="G1629" s="150"/>
      <c r="H1629" s="150"/>
      <c r="I1629" s="151">
        <f t="shared" si="180"/>
        <v>2</v>
      </c>
      <c r="J1629" s="180"/>
    </row>
    <row r="1630" spans="1:10" s="181" customFormat="1">
      <c r="A1630" s="276"/>
      <c r="B1630" s="155" t="s">
        <v>173</v>
      </c>
      <c r="C1630" s="149"/>
      <c r="D1630" s="149"/>
      <c r="E1630" s="149"/>
      <c r="F1630" s="150"/>
      <c r="G1630" s="150"/>
      <c r="H1630" s="150"/>
      <c r="I1630" s="151">
        <f t="shared" si="180"/>
        <v>0</v>
      </c>
      <c r="J1630" s="180"/>
    </row>
    <row r="1631" spans="1:10" s="181" customFormat="1">
      <c r="A1631" s="276"/>
      <c r="B1631" s="148" t="s">
        <v>424</v>
      </c>
      <c r="C1631" s="149">
        <v>1</v>
      </c>
      <c r="D1631" s="149" t="s">
        <v>73</v>
      </c>
      <c r="E1631" s="149">
        <v>4</v>
      </c>
      <c r="F1631" s="150"/>
      <c r="G1631" s="150"/>
      <c r="H1631" s="150"/>
      <c r="I1631" s="151">
        <f t="shared" si="180"/>
        <v>4</v>
      </c>
      <c r="J1631" s="180"/>
    </row>
    <row r="1632" spans="1:10" s="181" customFormat="1">
      <c r="A1632" s="276"/>
      <c r="B1632" s="157" t="s">
        <v>11</v>
      </c>
      <c r="C1632" s="149"/>
      <c r="D1632" s="149"/>
      <c r="E1632" s="149"/>
      <c r="F1632" s="150"/>
      <c r="G1632" s="150"/>
      <c r="H1632" s="150"/>
      <c r="I1632" s="159">
        <f>SUM(I1610:I1631)</f>
        <v>30</v>
      </c>
      <c r="J1632" s="180" t="s">
        <v>128</v>
      </c>
    </row>
    <row r="1633" spans="1:10" s="181" customFormat="1">
      <c r="A1633" s="276"/>
      <c r="B1633" s="157"/>
      <c r="C1633" s="149"/>
      <c r="D1633" s="149"/>
      <c r="E1633" s="149"/>
      <c r="F1633" s="150"/>
      <c r="G1633" s="150"/>
      <c r="H1633" s="150"/>
      <c r="I1633" s="159"/>
      <c r="J1633" s="180"/>
    </row>
    <row r="1634" spans="1:10" s="181" customFormat="1" ht="75">
      <c r="A1634" s="152">
        <v>77.7</v>
      </c>
      <c r="B1634" s="171" t="s">
        <v>604</v>
      </c>
      <c r="C1634" s="162"/>
      <c r="D1634" s="148"/>
      <c r="E1634" s="162"/>
      <c r="F1634" s="150"/>
      <c r="G1634" s="150"/>
      <c r="H1634" s="150"/>
      <c r="I1634" s="205"/>
      <c r="J1634" s="180"/>
    </row>
    <row r="1635" spans="1:10" s="181" customFormat="1">
      <c r="A1635" s="276"/>
      <c r="B1635" s="148" t="s">
        <v>598</v>
      </c>
      <c r="C1635" s="162">
        <v>1</v>
      </c>
      <c r="D1635" s="148" t="s">
        <v>73</v>
      </c>
      <c r="E1635" s="162">
        <v>4</v>
      </c>
      <c r="F1635" s="150">
        <v>15</v>
      </c>
      <c r="G1635" s="150"/>
      <c r="H1635" s="150"/>
      <c r="I1635" s="151">
        <f t="shared" ref="I1635:I1636" si="181">ROUND(PRODUCT(C1635:H1635),2)</f>
        <v>60</v>
      </c>
      <c r="J1635" s="180"/>
    </row>
    <row r="1636" spans="1:10" s="181" customFormat="1">
      <c r="A1636" s="276"/>
      <c r="B1636" s="148" t="s">
        <v>599</v>
      </c>
      <c r="C1636" s="162">
        <v>1</v>
      </c>
      <c r="D1636" s="148" t="s">
        <v>73</v>
      </c>
      <c r="E1636" s="162">
        <v>1</v>
      </c>
      <c r="F1636" s="150">
        <v>25</v>
      </c>
      <c r="G1636" s="150"/>
      <c r="H1636" s="150"/>
      <c r="I1636" s="151">
        <f t="shared" si="181"/>
        <v>25</v>
      </c>
      <c r="J1636" s="180"/>
    </row>
    <row r="1637" spans="1:10" s="181" customFormat="1">
      <c r="A1637" s="276"/>
      <c r="B1637" s="148" t="s">
        <v>600</v>
      </c>
      <c r="C1637" s="162">
        <v>1</v>
      </c>
      <c r="D1637" s="148" t="s">
        <v>73</v>
      </c>
      <c r="E1637" s="162">
        <v>1</v>
      </c>
      <c r="F1637" s="150">
        <v>15</v>
      </c>
      <c r="G1637" s="150"/>
      <c r="H1637" s="150"/>
      <c r="I1637" s="151">
        <f t="shared" ref="I1637:I1643" si="182">ROUND(PRODUCT(C1637:H1637),2)</f>
        <v>15</v>
      </c>
      <c r="J1637" s="180"/>
    </row>
    <row r="1638" spans="1:10" s="181" customFormat="1">
      <c r="A1638" s="276"/>
      <c r="B1638" s="148" t="s">
        <v>555</v>
      </c>
      <c r="C1638" s="162">
        <v>1</v>
      </c>
      <c r="D1638" s="148" t="s">
        <v>73</v>
      </c>
      <c r="E1638" s="162">
        <v>1</v>
      </c>
      <c r="F1638" s="150">
        <v>5</v>
      </c>
      <c r="G1638" s="150"/>
      <c r="H1638" s="150"/>
      <c r="I1638" s="151">
        <f t="shared" si="182"/>
        <v>5</v>
      </c>
      <c r="J1638" s="180"/>
    </row>
    <row r="1639" spans="1:10" s="181" customFormat="1">
      <c r="A1639" s="276"/>
      <c r="B1639" s="148" t="s">
        <v>601</v>
      </c>
      <c r="C1639" s="162">
        <v>1</v>
      </c>
      <c r="D1639" s="148" t="s">
        <v>73</v>
      </c>
      <c r="E1639" s="162">
        <v>1</v>
      </c>
      <c r="F1639" s="150">
        <v>10</v>
      </c>
      <c r="G1639" s="150"/>
      <c r="H1639" s="150"/>
      <c r="I1639" s="151">
        <f t="shared" si="182"/>
        <v>10</v>
      </c>
      <c r="J1639" s="180"/>
    </row>
    <row r="1640" spans="1:10" s="154" customFormat="1">
      <c r="A1640" s="276"/>
      <c r="B1640" s="148" t="s">
        <v>602</v>
      </c>
      <c r="C1640" s="162">
        <v>1</v>
      </c>
      <c r="D1640" s="148" t="s">
        <v>73</v>
      </c>
      <c r="E1640" s="162">
        <v>1</v>
      </c>
      <c r="F1640" s="150">
        <v>20</v>
      </c>
      <c r="G1640" s="150"/>
      <c r="H1640" s="150"/>
      <c r="I1640" s="151">
        <f t="shared" si="182"/>
        <v>20</v>
      </c>
      <c r="J1640" s="180"/>
    </row>
    <row r="1641" spans="1:10" s="154" customFormat="1">
      <c r="A1641" s="276"/>
      <c r="B1641" s="148" t="s">
        <v>555</v>
      </c>
      <c r="C1641" s="162">
        <v>1</v>
      </c>
      <c r="D1641" s="148" t="s">
        <v>73</v>
      </c>
      <c r="E1641" s="162">
        <v>1</v>
      </c>
      <c r="F1641" s="150">
        <v>7</v>
      </c>
      <c r="G1641" s="150"/>
      <c r="H1641" s="150"/>
      <c r="I1641" s="151">
        <f t="shared" si="182"/>
        <v>7</v>
      </c>
      <c r="J1641" s="180"/>
    </row>
    <row r="1642" spans="1:10" s="154" customFormat="1">
      <c r="A1642" s="276"/>
      <c r="B1642" s="148" t="s">
        <v>601</v>
      </c>
      <c r="C1642" s="162">
        <v>1</v>
      </c>
      <c r="D1642" s="148" t="s">
        <v>73</v>
      </c>
      <c r="E1642" s="162">
        <v>1</v>
      </c>
      <c r="F1642" s="150">
        <v>20</v>
      </c>
      <c r="G1642" s="150"/>
      <c r="H1642" s="150"/>
      <c r="I1642" s="151">
        <f t="shared" si="182"/>
        <v>20</v>
      </c>
      <c r="J1642" s="180"/>
    </row>
    <row r="1643" spans="1:10" s="154" customFormat="1">
      <c r="A1643" s="276"/>
      <c r="B1643" s="148" t="s">
        <v>603</v>
      </c>
      <c r="C1643" s="162">
        <v>1</v>
      </c>
      <c r="D1643" s="148" t="s">
        <v>73</v>
      </c>
      <c r="E1643" s="162">
        <v>1</v>
      </c>
      <c r="F1643" s="150">
        <v>15</v>
      </c>
      <c r="G1643" s="150"/>
      <c r="H1643" s="150"/>
      <c r="I1643" s="151">
        <f t="shared" si="182"/>
        <v>15</v>
      </c>
      <c r="J1643" s="180"/>
    </row>
    <row r="1644" spans="1:10" s="154" customFormat="1">
      <c r="A1644" s="276"/>
      <c r="B1644" s="155" t="s">
        <v>605</v>
      </c>
      <c r="C1644" s="162"/>
      <c r="D1644" s="148"/>
      <c r="E1644" s="162"/>
      <c r="F1644" s="150"/>
      <c r="G1644" s="150"/>
      <c r="H1644" s="150"/>
      <c r="I1644" s="243"/>
      <c r="J1644" s="180"/>
    </row>
    <row r="1645" spans="1:10" s="154" customFormat="1">
      <c r="A1645" s="276"/>
      <c r="B1645" s="148" t="s">
        <v>606</v>
      </c>
      <c r="C1645" s="162">
        <v>1</v>
      </c>
      <c r="D1645" s="148" t="s">
        <v>73</v>
      </c>
      <c r="E1645" s="162">
        <v>1</v>
      </c>
      <c r="F1645" s="150">
        <v>30</v>
      </c>
      <c r="G1645" s="150"/>
      <c r="H1645" s="150"/>
      <c r="I1645" s="151">
        <f t="shared" ref="I1645:I1650" si="183">ROUND(PRODUCT(C1645:H1645),2)</f>
        <v>30</v>
      </c>
      <c r="J1645" s="180"/>
    </row>
    <row r="1646" spans="1:10" s="154" customFormat="1">
      <c r="A1646" s="276"/>
      <c r="B1646" s="148" t="s">
        <v>607</v>
      </c>
      <c r="C1646" s="162">
        <v>1</v>
      </c>
      <c r="D1646" s="148" t="s">
        <v>73</v>
      </c>
      <c r="E1646" s="162">
        <v>1</v>
      </c>
      <c r="F1646" s="150">
        <v>90</v>
      </c>
      <c r="G1646" s="150"/>
      <c r="H1646" s="150"/>
      <c r="I1646" s="151">
        <f t="shared" si="183"/>
        <v>90</v>
      </c>
      <c r="J1646" s="180"/>
    </row>
    <row r="1647" spans="1:10" s="154" customFormat="1">
      <c r="A1647" s="276"/>
      <c r="B1647" s="148" t="s">
        <v>608</v>
      </c>
      <c r="C1647" s="162">
        <v>1</v>
      </c>
      <c r="D1647" s="148" t="s">
        <v>73</v>
      </c>
      <c r="E1647" s="162">
        <v>1</v>
      </c>
      <c r="F1647" s="150">
        <v>90</v>
      </c>
      <c r="G1647" s="150"/>
      <c r="H1647" s="150"/>
      <c r="I1647" s="151">
        <f t="shared" si="183"/>
        <v>90</v>
      </c>
      <c r="J1647" s="180"/>
    </row>
    <row r="1648" spans="1:10" s="154" customFormat="1">
      <c r="A1648" s="276"/>
      <c r="B1648" s="148" t="s">
        <v>609</v>
      </c>
      <c r="C1648" s="162">
        <v>1</v>
      </c>
      <c r="D1648" s="148" t="s">
        <v>73</v>
      </c>
      <c r="E1648" s="162">
        <v>1</v>
      </c>
      <c r="F1648" s="150">
        <v>45</v>
      </c>
      <c r="G1648" s="150"/>
      <c r="H1648" s="150"/>
      <c r="I1648" s="151">
        <f t="shared" si="183"/>
        <v>45</v>
      </c>
      <c r="J1648" s="180"/>
    </row>
    <row r="1649" spans="1:10" s="154" customFormat="1">
      <c r="A1649" s="276"/>
      <c r="B1649" s="148" t="s">
        <v>610</v>
      </c>
      <c r="C1649" s="162">
        <v>1</v>
      </c>
      <c r="D1649" s="148" t="s">
        <v>73</v>
      </c>
      <c r="E1649" s="162">
        <v>1</v>
      </c>
      <c r="F1649" s="150">
        <v>40</v>
      </c>
      <c r="G1649" s="150"/>
      <c r="H1649" s="150"/>
      <c r="I1649" s="151">
        <f t="shared" si="183"/>
        <v>40</v>
      </c>
      <c r="J1649" s="180"/>
    </row>
    <row r="1650" spans="1:10" s="154" customFormat="1">
      <c r="A1650" s="276"/>
      <c r="B1650" s="148" t="s">
        <v>611</v>
      </c>
      <c r="C1650" s="162">
        <v>1</v>
      </c>
      <c r="D1650" s="148" t="s">
        <v>73</v>
      </c>
      <c r="E1650" s="162">
        <v>3</v>
      </c>
      <c r="F1650" s="150">
        <v>30</v>
      </c>
      <c r="G1650" s="150"/>
      <c r="H1650" s="150"/>
      <c r="I1650" s="151">
        <f t="shared" si="183"/>
        <v>90</v>
      </c>
      <c r="J1650" s="180"/>
    </row>
    <row r="1651" spans="1:10" s="154" customFormat="1">
      <c r="A1651" s="276"/>
      <c r="B1651" s="148"/>
      <c r="C1651" s="162"/>
      <c r="D1651" s="148"/>
      <c r="E1651" s="162"/>
      <c r="F1651" s="150"/>
      <c r="G1651" s="150"/>
      <c r="H1651" s="150"/>
      <c r="I1651" s="242">
        <f>SUM(I1635:I1650)</f>
        <v>562</v>
      </c>
      <c r="J1651" s="180" t="s">
        <v>76</v>
      </c>
    </row>
    <row r="1652" spans="1:10" s="154" customFormat="1">
      <c r="A1652" s="276"/>
      <c r="B1652" s="148"/>
      <c r="C1652" s="162"/>
      <c r="D1652" s="148"/>
      <c r="E1652" s="162"/>
      <c r="F1652" s="150"/>
      <c r="G1652" s="150"/>
      <c r="H1652" s="150"/>
      <c r="I1652" s="242"/>
      <c r="J1652" s="180"/>
    </row>
    <row r="1653" spans="1:10" s="154" customFormat="1" ht="75">
      <c r="A1653" s="276">
        <v>80.2</v>
      </c>
      <c r="B1653" s="148" t="s">
        <v>612</v>
      </c>
      <c r="C1653" s="149"/>
      <c r="D1653" s="149"/>
      <c r="E1653" s="149"/>
      <c r="F1653" s="150"/>
      <c r="G1653" s="150"/>
      <c r="H1653" s="150"/>
      <c r="I1653" s="151"/>
      <c r="J1653" s="180"/>
    </row>
    <row r="1654" spans="1:10" s="154" customFormat="1">
      <c r="A1654" s="276"/>
      <c r="B1654" s="148" t="s">
        <v>613</v>
      </c>
      <c r="C1654" s="149">
        <v>1</v>
      </c>
      <c r="D1654" s="149" t="s">
        <v>73</v>
      </c>
      <c r="E1654" s="149">
        <v>1</v>
      </c>
      <c r="F1654" s="150"/>
      <c r="G1654" s="150"/>
      <c r="H1654" s="150"/>
      <c r="I1654" s="159">
        <f>PRODUCT(C1654:H1654)</f>
        <v>1</v>
      </c>
      <c r="J1654" s="180" t="s">
        <v>128</v>
      </c>
    </row>
    <row r="1655" spans="1:10" s="154" customFormat="1">
      <c r="A1655" s="276"/>
      <c r="B1655" s="148"/>
      <c r="C1655" s="149"/>
      <c r="D1655" s="149"/>
      <c r="E1655" s="149"/>
      <c r="F1655" s="150"/>
      <c r="G1655" s="150"/>
      <c r="H1655" s="150"/>
      <c r="I1655" s="159"/>
      <c r="J1655" s="180"/>
    </row>
    <row r="1656" spans="1:10" s="154" customFormat="1" ht="37.5">
      <c r="A1656" s="276">
        <v>82.3</v>
      </c>
      <c r="B1656" s="387" t="s">
        <v>1583</v>
      </c>
      <c r="C1656" s="149"/>
      <c r="D1656" s="149"/>
      <c r="E1656" s="149"/>
      <c r="F1656" s="150"/>
      <c r="G1656" s="150"/>
      <c r="H1656" s="150"/>
      <c r="I1656" s="159"/>
      <c r="J1656" s="180"/>
    </row>
    <row r="1657" spans="1:10" s="154" customFormat="1">
      <c r="A1657" s="276"/>
      <c r="B1657" s="148" t="s">
        <v>1584</v>
      </c>
      <c r="C1657" s="149">
        <v>1</v>
      </c>
      <c r="D1657" s="149" t="s">
        <v>73</v>
      </c>
      <c r="E1657" s="149">
        <v>1</v>
      </c>
      <c r="F1657" s="150">
        <v>8</v>
      </c>
      <c r="G1657" s="150"/>
      <c r="H1657" s="150"/>
      <c r="I1657" s="159">
        <f>PRODUCT(C1657:H1657)</f>
        <v>8</v>
      </c>
      <c r="J1657" s="180" t="s">
        <v>128</v>
      </c>
    </row>
    <row r="1658" spans="1:10" s="154" customFormat="1">
      <c r="A1658" s="276"/>
      <c r="B1658" s="148"/>
      <c r="C1658" s="149"/>
      <c r="D1658" s="149"/>
      <c r="E1658" s="149"/>
      <c r="F1658" s="150"/>
      <c r="G1658" s="150"/>
      <c r="H1658" s="150"/>
      <c r="I1658" s="159"/>
      <c r="J1658" s="180"/>
    </row>
    <row r="1659" spans="1:10" s="154" customFormat="1" ht="37.5">
      <c r="A1659" s="276">
        <v>84.3</v>
      </c>
      <c r="B1659" s="176" t="s">
        <v>614</v>
      </c>
      <c r="C1659" s="149"/>
      <c r="D1659" s="149"/>
      <c r="E1659" s="149"/>
      <c r="F1659" s="150"/>
      <c r="G1659" s="150"/>
      <c r="H1659" s="150"/>
      <c r="I1659" s="151"/>
      <c r="J1659" s="180"/>
    </row>
    <row r="1660" spans="1:10" s="154" customFormat="1">
      <c r="A1660" s="276"/>
      <c r="B1660" s="148" t="s">
        <v>615</v>
      </c>
      <c r="C1660" s="149">
        <v>1</v>
      </c>
      <c r="D1660" s="149" t="s">
        <v>73</v>
      </c>
      <c r="E1660" s="149">
        <v>2</v>
      </c>
      <c r="F1660" s="150">
        <v>35</v>
      </c>
      <c r="G1660" s="150"/>
      <c r="H1660" s="150"/>
      <c r="I1660" s="151">
        <f>ROUND(PRODUCT(C1660:H1660),2)</f>
        <v>70</v>
      </c>
      <c r="J1660" s="180"/>
    </row>
    <row r="1661" spans="1:10" s="154" customFormat="1">
      <c r="A1661" s="276"/>
      <c r="B1661" s="148" t="s">
        <v>616</v>
      </c>
      <c r="C1661" s="149"/>
      <c r="D1661" s="149"/>
      <c r="E1661" s="149"/>
      <c r="F1661" s="150"/>
      <c r="G1661" s="150"/>
      <c r="H1661" s="150"/>
      <c r="I1661" s="151"/>
      <c r="J1661" s="180"/>
    </row>
    <row r="1662" spans="1:10" s="154" customFormat="1">
      <c r="A1662" s="276"/>
      <c r="B1662" s="148" t="s">
        <v>617</v>
      </c>
      <c r="C1662" s="149">
        <v>1</v>
      </c>
      <c r="D1662" s="149" t="s">
        <v>73</v>
      </c>
      <c r="E1662" s="149">
        <v>1</v>
      </c>
      <c r="F1662" s="150">
        <v>30</v>
      </c>
      <c r="G1662" s="150"/>
      <c r="H1662" s="150"/>
      <c r="I1662" s="151">
        <f>ROUND(PRODUCT(C1662:H1662),2)</f>
        <v>30</v>
      </c>
      <c r="J1662" s="180"/>
    </row>
    <row r="1663" spans="1:10" s="154" customFormat="1">
      <c r="A1663" s="276"/>
      <c r="B1663" s="148" t="s">
        <v>618</v>
      </c>
      <c r="C1663" s="149">
        <v>1</v>
      </c>
      <c r="D1663" s="149" t="s">
        <v>73</v>
      </c>
      <c r="E1663" s="149">
        <v>1</v>
      </c>
      <c r="F1663" s="150">
        <v>30</v>
      </c>
      <c r="G1663" s="150"/>
      <c r="H1663" s="150"/>
      <c r="I1663" s="151">
        <f>ROUND(PRODUCT(C1663:H1663),2)</f>
        <v>30</v>
      </c>
      <c r="J1663" s="349"/>
    </row>
    <row r="1664" spans="1:10" s="181" customFormat="1">
      <c r="B1664" s="155"/>
      <c r="C1664" s="220"/>
      <c r="D1664" s="220"/>
      <c r="E1664" s="220"/>
      <c r="F1664" s="158"/>
      <c r="G1664" s="158"/>
      <c r="H1664" s="158"/>
      <c r="I1664" s="159">
        <f>SUM(I1660:I1663)</f>
        <v>130</v>
      </c>
      <c r="J1664" s="213" t="s">
        <v>76</v>
      </c>
    </row>
    <row r="1665" spans="1:10" s="181" customFormat="1">
      <c r="B1665" s="155"/>
      <c r="C1665" s="220"/>
      <c r="D1665" s="220"/>
      <c r="E1665" s="220"/>
      <c r="F1665" s="158"/>
      <c r="G1665" s="158"/>
      <c r="H1665" s="158"/>
      <c r="I1665" s="159"/>
      <c r="J1665" s="213"/>
    </row>
    <row r="1666" spans="1:10" s="181" customFormat="1" ht="42.75" customHeight="1">
      <c r="A1666" s="276">
        <v>85.1</v>
      </c>
      <c r="B1666" s="155" t="s">
        <v>619</v>
      </c>
      <c r="C1666" s="149"/>
      <c r="D1666" s="149"/>
      <c r="E1666" s="149"/>
      <c r="F1666" s="150"/>
      <c r="G1666" s="150"/>
      <c r="H1666" s="150"/>
      <c r="I1666" s="151"/>
      <c r="J1666" s="180"/>
    </row>
    <row r="1667" spans="1:10" s="181" customFormat="1" ht="39" customHeight="1">
      <c r="B1667" s="148" t="s">
        <v>620</v>
      </c>
      <c r="C1667" s="149">
        <v>1</v>
      </c>
      <c r="D1667" s="149" t="s">
        <v>73</v>
      </c>
      <c r="E1667" s="149">
        <v>1</v>
      </c>
      <c r="F1667" s="150">
        <v>10</v>
      </c>
      <c r="G1667" s="150"/>
      <c r="H1667" s="150"/>
      <c r="I1667" s="159">
        <f>PRODUCT(C1667:H1667)</f>
        <v>10</v>
      </c>
      <c r="J1667" s="212" t="s">
        <v>128</v>
      </c>
    </row>
    <row r="1668" spans="1:10" s="181" customFormat="1" ht="18" customHeight="1">
      <c r="B1668" s="148"/>
      <c r="C1668" s="149"/>
      <c r="D1668" s="149"/>
      <c r="E1668" s="149"/>
      <c r="F1668" s="150"/>
      <c r="G1668" s="150"/>
      <c r="H1668" s="150"/>
      <c r="I1668" s="159"/>
      <c r="J1668" s="212"/>
    </row>
    <row r="1669" spans="1:10" s="181" customFormat="1" ht="56.25">
      <c r="A1669" s="276">
        <v>105.3</v>
      </c>
      <c r="B1669" s="155" t="s">
        <v>621</v>
      </c>
      <c r="C1669" s="149"/>
      <c r="D1669" s="149"/>
      <c r="E1669" s="149"/>
      <c r="F1669" s="150"/>
      <c r="G1669" s="150"/>
      <c r="H1669" s="158"/>
      <c r="I1669" s="159"/>
      <c r="J1669" s="212"/>
    </row>
    <row r="1670" spans="1:10" s="181" customFormat="1">
      <c r="A1670" s="276"/>
      <c r="B1670" s="148" t="s">
        <v>622</v>
      </c>
      <c r="C1670" s="149">
        <v>1</v>
      </c>
      <c r="D1670" s="149" t="s">
        <v>73</v>
      </c>
      <c r="E1670" s="149">
        <v>1</v>
      </c>
      <c r="F1670" s="150">
        <v>10</v>
      </c>
      <c r="G1670" s="150"/>
      <c r="H1670" s="150"/>
      <c r="I1670" s="151">
        <f>ROUND(PRODUCT(C1670:H1670),2)</f>
        <v>10</v>
      </c>
      <c r="J1670" s="212"/>
    </row>
    <row r="1671" spans="1:10" s="181" customFormat="1">
      <c r="A1671" s="276"/>
      <c r="B1671" s="148" t="s">
        <v>623</v>
      </c>
      <c r="C1671" s="149">
        <v>1</v>
      </c>
      <c r="D1671" s="149" t="s">
        <v>73</v>
      </c>
      <c r="E1671" s="149">
        <v>1</v>
      </c>
      <c r="F1671" s="150">
        <v>15</v>
      </c>
      <c r="G1671" s="150"/>
      <c r="H1671" s="150"/>
      <c r="I1671" s="151">
        <f>ROUND(PRODUCT(C1671:H1671),2)</f>
        <v>15</v>
      </c>
      <c r="J1671" s="212"/>
    </row>
    <row r="1672" spans="1:10" s="181" customFormat="1">
      <c r="A1672" s="276"/>
      <c r="B1672" s="148" t="s">
        <v>624</v>
      </c>
      <c r="C1672" s="149">
        <v>1</v>
      </c>
      <c r="D1672" s="149" t="s">
        <v>73</v>
      </c>
      <c r="E1672" s="149">
        <v>1</v>
      </c>
      <c r="F1672" s="150">
        <v>20</v>
      </c>
      <c r="G1672" s="150"/>
      <c r="H1672" s="150"/>
      <c r="I1672" s="151">
        <f>ROUND(PRODUCT(C1672:H1672),2)</f>
        <v>20</v>
      </c>
      <c r="J1672" s="212"/>
    </row>
    <row r="1673" spans="1:10" s="181" customFormat="1">
      <c r="A1673" s="276"/>
      <c r="B1673" s="148" t="s">
        <v>625</v>
      </c>
      <c r="C1673" s="149">
        <v>1</v>
      </c>
      <c r="D1673" s="149" t="s">
        <v>73</v>
      </c>
      <c r="E1673" s="149">
        <v>1</v>
      </c>
      <c r="F1673" s="150">
        <v>25</v>
      </c>
      <c r="G1673" s="150"/>
      <c r="H1673" s="150"/>
      <c r="I1673" s="151">
        <f>ROUND(PRODUCT(C1673:H1673),2)</f>
        <v>25</v>
      </c>
      <c r="J1673" s="180"/>
    </row>
    <row r="1674" spans="1:10" s="181" customFormat="1">
      <c r="A1674" s="276"/>
      <c r="B1674" s="148"/>
      <c r="C1674" s="149"/>
      <c r="D1674" s="149"/>
      <c r="E1674" s="149"/>
      <c r="F1674" s="150"/>
      <c r="G1674" s="150"/>
      <c r="H1674" s="150"/>
      <c r="I1674" s="159">
        <f>SUM(I1670:I1673)</f>
        <v>70</v>
      </c>
      <c r="J1674" s="180" t="s">
        <v>76</v>
      </c>
    </row>
    <row r="1675" spans="1:10" s="181" customFormat="1">
      <c r="A1675" s="276"/>
      <c r="B1675" s="148"/>
      <c r="C1675" s="149"/>
      <c r="D1675" s="149"/>
      <c r="E1675" s="149"/>
      <c r="F1675" s="150"/>
      <c r="G1675" s="150"/>
      <c r="H1675" s="150"/>
      <c r="I1675" s="159"/>
      <c r="J1675" s="180"/>
    </row>
    <row r="1676" spans="1:10" s="181" customFormat="1" ht="168.75">
      <c r="A1676" s="276">
        <v>112.1</v>
      </c>
      <c r="B1676" s="178" t="s">
        <v>626</v>
      </c>
      <c r="C1676" s="149"/>
      <c r="D1676" s="149"/>
      <c r="E1676" s="149"/>
      <c r="F1676" s="150"/>
      <c r="G1676" s="150"/>
      <c r="H1676" s="150"/>
      <c r="I1676" s="151"/>
      <c r="J1676" s="180"/>
    </row>
    <row r="1677" spans="1:10" s="181" customFormat="1">
      <c r="B1677" s="148" t="s">
        <v>627</v>
      </c>
      <c r="C1677" s="149">
        <v>1</v>
      </c>
      <c r="D1677" s="149" t="s">
        <v>73</v>
      </c>
      <c r="E1677" s="149">
        <v>2</v>
      </c>
      <c r="F1677" s="150"/>
      <c r="G1677" s="150"/>
      <c r="H1677" s="150"/>
      <c r="I1677" s="151">
        <f>ROUND(PRODUCT(C1677:H1677),2)</f>
        <v>2</v>
      </c>
      <c r="J1677" s="180"/>
    </row>
    <row r="1678" spans="1:10" s="181" customFormat="1">
      <c r="A1678" s="276"/>
      <c r="B1678" s="148" t="s">
        <v>628</v>
      </c>
      <c r="C1678" s="149">
        <v>2</v>
      </c>
      <c r="D1678" s="149" t="s">
        <v>73</v>
      </c>
      <c r="E1678" s="149">
        <v>2</v>
      </c>
      <c r="F1678" s="150"/>
      <c r="G1678" s="150"/>
      <c r="H1678" s="150"/>
      <c r="I1678" s="151">
        <f>ROUND(PRODUCT(C1678:H1678),2)</f>
        <v>4</v>
      </c>
      <c r="J1678" s="180"/>
    </row>
    <row r="1679" spans="1:10" s="181" customFormat="1">
      <c r="A1679" s="276"/>
      <c r="B1679" s="148" t="s">
        <v>123</v>
      </c>
      <c r="C1679" s="149">
        <v>1</v>
      </c>
      <c r="D1679" s="149" t="s">
        <v>73</v>
      </c>
      <c r="E1679" s="149">
        <v>5</v>
      </c>
      <c r="F1679" s="150"/>
      <c r="G1679" s="150"/>
      <c r="H1679" s="150"/>
      <c r="I1679" s="151">
        <f>ROUND(PRODUCT(C1679:H1679),2)</f>
        <v>5</v>
      </c>
      <c r="J1679" s="180"/>
    </row>
    <row r="1680" spans="1:10" s="181" customFormat="1">
      <c r="A1680" s="276"/>
      <c r="B1680" s="148"/>
      <c r="C1680" s="149"/>
      <c r="D1680" s="149"/>
      <c r="E1680" s="149"/>
      <c r="F1680" s="150"/>
      <c r="G1680" s="150"/>
      <c r="H1680" s="150"/>
      <c r="I1680" s="159">
        <f>SUM(I1677:I1679)</f>
        <v>11</v>
      </c>
      <c r="J1680" s="180" t="s">
        <v>128</v>
      </c>
    </row>
    <row r="1681" spans="1:10" s="181" customFormat="1">
      <c r="A1681" s="276"/>
      <c r="B1681" s="148"/>
      <c r="C1681" s="149"/>
      <c r="D1681" s="149"/>
      <c r="E1681" s="149"/>
      <c r="F1681" s="150"/>
      <c r="G1681" s="150"/>
      <c r="H1681" s="150"/>
      <c r="I1681" s="159"/>
      <c r="J1681" s="180"/>
    </row>
    <row r="1682" spans="1:10" s="181" customFormat="1" ht="108.75" customHeight="1">
      <c r="A1682" s="362"/>
      <c r="B1682" s="223" t="s">
        <v>629</v>
      </c>
      <c r="C1682" s="172"/>
      <c r="D1682" s="172"/>
      <c r="E1682" s="172"/>
      <c r="F1682" s="173"/>
      <c r="G1682" s="173"/>
      <c r="H1682" s="173"/>
      <c r="I1682" s="241"/>
      <c r="J1682" s="180"/>
    </row>
    <row r="1683" spans="1:10" s="181" customFormat="1">
      <c r="A1683" s="249"/>
      <c r="B1683" s="171" t="s">
        <v>630</v>
      </c>
      <c r="C1683" s="172">
        <v>1</v>
      </c>
      <c r="D1683" s="172" t="s">
        <v>73</v>
      </c>
      <c r="E1683" s="172">
        <v>2</v>
      </c>
      <c r="F1683" s="173"/>
      <c r="G1683" s="173"/>
      <c r="H1683" s="173"/>
      <c r="I1683" s="151">
        <f>PRODUCT(C1683:H1683)</f>
        <v>2</v>
      </c>
      <c r="J1683" s="180"/>
    </row>
    <row r="1684" spans="1:10" s="154" customFormat="1" ht="18" customHeight="1">
      <c r="A1684" s="276"/>
      <c r="B1684" s="239"/>
      <c r="C1684" s="217"/>
      <c r="D1684" s="239"/>
      <c r="E1684" s="217"/>
      <c r="F1684" s="168"/>
      <c r="G1684" s="168"/>
      <c r="H1684" s="168"/>
      <c r="I1684" s="245">
        <f>SUM(I1683:I1683)</f>
        <v>2</v>
      </c>
      <c r="J1684" s="180" t="s">
        <v>128</v>
      </c>
    </row>
    <row r="1685" spans="1:10" s="154" customFormat="1" ht="18" customHeight="1">
      <c r="A1685" s="276"/>
      <c r="B1685" s="239"/>
      <c r="C1685" s="217"/>
      <c r="D1685" s="239"/>
      <c r="E1685" s="217"/>
      <c r="F1685" s="168"/>
      <c r="G1685" s="168"/>
      <c r="H1685" s="168"/>
      <c r="I1685" s="245"/>
      <c r="J1685" s="180"/>
    </row>
    <row r="1686" spans="1:10" s="154" customFormat="1" ht="47.25" customHeight="1">
      <c r="A1686" s="276" t="s">
        <v>1582</v>
      </c>
      <c r="B1686" s="389" t="s">
        <v>1581</v>
      </c>
      <c r="C1686" s="217"/>
      <c r="D1686" s="239"/>
      <c r="E1686" s="217"/>
      <c r="F1686" s="168"/>
      <c r="G1686" s="168"/>
      <c r="H1686" s="168"/>
      <c r="I1686" s="245"/>
      <c r="J1686" s="180"/>
    </row>
    <row r="1687" spans="1:10" s="154" customFormat="1">
      <c r="A1687" s="276"/>
      <c r="B1687" s="239" t="s">
        <v>1567</v>
      </c>
      <c r="C1687" s="217">
        <v>1</v>
      </c>
      <c r="D1687" s="239" t="s">
        <v>73</v>
      </c>
      <c r="E1687" s="217">
        <v>1</v>
      </c>
      <c r="F1687" s="168">
        <v>1</v>
      </c>
      <c r="G1687" s="168"/>
      <c r="H1687" s="168"/>
      <c r="I1687" s="151">
        <f>PRODUCT(C1687:H1687)</f>
        <v>1</v>
      </c>
      <c r="J1687" s="180" t="s">
        <v>128</v>
      </c>
    </row>
    <row r="1688" spans="1:10" s="154" customFormat="1" ht="18" customHeight="1">
      <c r="A1688" s="276"/>
      <c r="B1688" s="239"/>
      <c r="C1688" s="217"/>
      <c r="D1688" s="239"/>
      <c r="E1688" s="217"/>
      <c r="F1688" s="168"/>
      <c r="G1688" s="168"/>
      <c r="H1688" s="168"/>
      <c r="I1688" s="245"/>
      <c r="J1688" s="180"/>
    </row>
    <row r="1689" spans="1:10" s="154" customFormat="1" ht="48.75" customHeight="1">
      <c r="A1689" s="276" t="s">
        <v>1580</v>
      </c>
      <c r="B1689" s="387" t="s">
        <v>1579</v>
      </c>
      <c r="C1689" s="217"/>
      <c r="D1689" s="239"/>
      <c r="E1689" s="217"/>
      <c r="F1689" s="168"/>
      <c r="G1689" s="168"/>
      <c r="H1689" s="168"/>
      <c r="I1689" s="245"/>
      <c r="J1689" s="180"/>
    </row>
    <row r="1690" spans="1:10" s="154" customFormat="1">
      <c r="A1690" s="276"/>
      <c r="B1690" s="239" t="s">
        <v>1567</v>
      </c>
      <c r="C1690" s="217">
        <v>1</v>
      </c>
      <c r="D1690" s="239" t="s">
        <v>73</v>
      </c>
      <c r="E1690" s="217">
        <v>1</v>
      </c>
      <c r="F1690" s="168">
        <v>1</v>
      </c>
      <c r="G1690" s="168"/>
      <c r="H1690" s="168"/>
      <c r="I1690" s="151">
        <f>PRODUCT(C1690:H1690)</f>
        <v>1</v>
      </c>
      <c r="J1690" s="180" t="s">
        <v>128</v>
      </c>
    </row>
    <row r="1691" spans="1:10" s="154" customFormat="1" ht="18" customHeight="1">
      <c r="A1691" s="276"/>
      <c r="B1691" s="239"/>
      <c r="C1691" s="217"/>
      <c r="D1691" s="239"/>
      <c r="E1691" s="217"/>
      <c r="F1691" s="168"/>
      <c r="G1691" s="168"/>
      <c r="H1691" s="168"/>
      <c r="I1691" s="245"/>
      <c r="J1691" s="180"/>
    </row>
    <row r="1692" spans="1:10" s="154" customFormat="1" ht="103.5" customHeight="1">
      <c r="A1692" s="276" t="s">
        <v>1457</v>
      </c>
      <c r="B1692" s="223" t="s">
        <v>631</v>
      </c>
      <c r="C1692" s="217"/>
      <c r="D1692" s="239"/>
      <c r="E1692" s="217"/>
      <c r="F1692" s="168"/>
      <c r="G1692" s="168"/>
      <c r="H1692" s="168"/>
      <c r="I1692" s="245"/>
      <c r="J1692" s="180"/>
    </row>
    <row r="1693" spans="1:10" s="154" customFormat="1">
      <c r="A1693" s="276"/>
      <c r="B1693" s="239" t="s">
        <v>632</v>
      </c>
      <c r="C1693" s="217">
        <v>1</v>
      </c>
      <c r="D1693" s="239" t="s">
        <v>73</v>
      </c>
      <c r="E1693" s="217">
        <v>1</v>
      </c>
      <c r="F1693" s="168">
        <v>4</v>
      </c>
      <c r="G1693" s="168"/>
      <c r="H1693" s="168"/>
      <c r="I1693" s="151">
        <f>PRODUCT(C1693:H1693)</f>
        <v>4</v>
      </c>
      <c r="J1693" s="180" t="s">
        <v>128</v>
      </c>
    </row>
    <row r="1694" spans="1:10" s="154" customFormat="1">
      <c r="A1694" s="276"/>
      <c r="B1694" s="239"/>
      <c r="C1694" s="217"/>
      <c r="D1694" s="239"/>
      <c r="E1694" s="217"/>
      <c r="F1694" s="168"/>
      <c r="G1694" s="168"/>
      <c r="H1694" s="168"/>
      <c r="I1694" s="151"/>
      <c r="J1694" s="180"/>
    </row>
    <row r="1695" spans="1:10" s="154" customFormat="1" ht="37.5">
      <c r="A1695" s="276" t="s">
        <v>1574</v>
      </c>
      <c r="B1695" s="387" t="s">
        <v>1573</v>
      </c>
      <c r="C1695" s="217"/>
      <c r="D1695" s="239"/>
      <c r="E1695" s="217"/>
      <c r="F1695" s="168"/>
      <c r="G1695" s="168"/>
      <c r="H1695" s="168"/>
      <c r="I1695" s="151"/>
      <c r="J1695" s="180"/>
    </row>
    <row r="1696" spans="1:10" s="154" customFormat="1">
      <c r="A1696" s="276"/>
      <c r="B1696" s="239" t="s">
        <v>1578</v>
      </c>
      <c r="C1696" s="217">
        <v>1</v>
      </c>
      <c r="D1696" s="239" t="s">
        <v>73</v>
      </c>
      <c r="E1696" s="217">
        <v>1</v>
      </c>
      <c r="F1696" s="168">
        <v>8</v>
      </c>
      <c r="G1696" s="168"/>
      <c r="H1696" s="168"/>
      <c r="I1696" s="151">
        <f>PRODUCT(C1696:H1696)</f>
        <v>8</v>
      </c>
      <c r="J1696" s="180" t="s">
        <v>76</v>
      </c>
    </row>
    <row r="1697" spans="1:10" s="154" customFormat="1" ht="18" customHeight="1">
      <c r="A1697" s="276"/>
      <c r="B1697" s="387"/>
      <c r="C1697" s="217"/>
      <c r="D1697" s="239"/>
      <c r="E1697" s="217"/>
      <c r="F1697" s="168"/>
      <c r="G1697" s="168"/>
      <c r="H1697" s="168"/>
      <c r="I1697" s="151"/>
      <c r="J1697" s="180"/>
    </row>
    <row r="1698" spans="1:10" s="154" customFormat="1" ht="37.5">
      <c r="A1698" s="276" t="s">
        <v>1576</v>
      </c>
      <c r="B1698" s="387" t="s">
        <v>1575</v>
      </c>
      <c r="C1698" s="217"/>
      <c r="D1698" s="239"/>
      <c r="E1698" s="217"/>
      <c r="F1698" s="168"/>
      <c r="G1698" s="168"/>
      <c r="H1698" s="168"/>
      <c r="I1698" s="151"/>
      <c r="J1698" s="180"/>
    </row>
    <row r="1699" spans="1:10" s="154" customFormat="1">
      <c r="A1699" s="276"/>
      <c r="B1699" s="239" t="s">
        <v>1577</v>
      </c>
      <c r="C1699" s="217">
        <v>1</v>
      </c>
      <c r="D1699" s="239" t="s">
        <v>73</v>
      </c>
      <c r="E1699" s="217">
        <v>1</v>
      </c>
      <c r="F1699" s="168">
        <v>10</v>
      </c>
      <c r="G1699" s="168"/>
      <c r="H1699" s="168"/>
      <c r="I1699" s="151">
        <f>PRODUCT(C1699:H1699)</f>
        <v>10</v>
      </c>
      <c r="J1699" s="180" t="s">
        <v>76</v>
      </c>
    </row>
    <row r="1700" spans="1:10" s="154" customFormat="1">
      <c r="A1700" s="276"/>
      <c r="B1700" s="239"/>
      <c r="C1700" s="217"/>
      <c r="D1700" s="239"/>
      <c r="E1700" s="217"/>
      <c r="F1700" s="168"/>
      <c r="G1700" s="168"/>
      <c r="H1700" s="168"/>
      <c r="I1700" s="151"/>
      <c r="J1700" s="180"/>
    </row>
    <row r="1701" spans="1:10" s="154" customFormat="1">
      <c r="A1701" s="276"/>
      <c r="B1701" s="239"/>
      <c r="C1701" s="217"/>
      <c r="D1701" s="239"/>
      <c r="E1701" s="217"/>
      <c r="F1701" s="168"/>
      <c r="G1701" s="168"/>
      <c r="H1701" s="168"/>
      <c r="I1701" s="151"/>
      <c r="J1701" s="180"/>
    </row>
    <row r="1702" spans="1:10" s="154" customFormat="1">
      <c r="A1702" s="276"/>
      <c r="B1702" s="239"/>
      <c r="C1702" s="217"/>
      <c r="D1702" s="239"/>
      <c r="E1702" s="217"/>
      <c r="F1702" s="168"/>
      <c r="G1702" s="168"/>
      <c r="H1702" s="168"/>
      <c r="I1702" s="151"/>
      <c r="J1702" s="180"/>
    </row>
    <row r="1703" spans="1:10" s="154" customFormat="1" ht="37.5" customHeight="1">
      <c r="A1703" s="179" t="s">
        <v>57</v>
      </c>
      <c r="B1703" s="231" t="s">
        <v>633</v>
      </c>
      <c r="C1703" s="217"/>
      <c r="D1703" s="239"/>
      <c r="E1703" s="217"/>
      <c r="F1703" s="168"/>
      <c r="G1703" s="168"/>
      <c r="H1703" s="168"/>
      <c r="I1703" s="241"/>
      <c r="J1703" s="180"/>
    </row>
    <row r="1704" spans="1:10" s="154" customFormat="1">
      <c r="A1704" s="276"/>
      <c r="B1704" s="183" t="s">
        <v>315</v>
      </c>
      <c r="C1704" s="149"/>
      <c r="D1704" s="149"/>
      <c r="E1704" s="149"/>
      <c r="F1704" s="150"/>
      <c r="G1704" s="150"/>
      <c r="H1704" s="150"/>
      <c r="I1704" s="151">
        <f>I530</f>
        <v>882.50999999999976</v>
      </c>
      <c r="J1704" s="180"/>
    </row>
    <row r="1705" spans="1:10" s="181" customFormat="1">
      <c r="A1705" s="276"/>
      <c r="B1705" s="182" t="s">
        <v>1570</v>
      </c>
      <c r="C1705" s="149">
        <v>-1</v>
      </c>
      <c r="D1705" s="156" t="s">
        <v>73</v>
      </c>
      <c r="E1705" s="149">
        <v>1</v>
      </c>
      <c r="F1705" s="150">
        <f>2*(14.7+10.37)</f>
        <v>50.14</v>
      </c>
      <c r="G1705" s="150"/>
      <c r="H1705" s="150">
        <v>1.2</v>
      </c>
      <c r="I1705" s="151">
        <f t="shared" ref="I1705:I1711" si="184">ROUND(PRODUCT(C1705:H1705),2)</f>
        <v>-60.17</v>
      </c>
      <c r="J1705" s="180"/>
    </row>
    <row r="1706" spans="1:10" s="181" customFormat="1">
      <c r="A1706" s="276"/>
      <c r="B1706" s="182" t="s">
        <v>1571</v>
      </c>
      <c r="C1706" s="149">
        <v>-1</v>
      </c>
      <c r="D1706" s="156" t="s">
        <v>73</v>
      </c>
      <c r="E1706" s="149">
        <v>10</v>
      </c>
      <c r="F1706" s="150">
        <v>3.32</v>
      </c>
      <c r="G1706" s="150">
        <v>0.23</v>
      </c>
      <c r="H1706" s="150"/>
      <c r="I1706" s="151">
        <f t="shared" si="184"/>
        <v>-7.64</v>
      </c>
      <c r="J1706" s="180"/>
    </row>
    <row r="1707" spans="1:10" s="181" customFormat="1">
      <c r="A1707" s="276"/>
      <c r="B1707" s="182" t="s">
        <v>1572</v>
      </c>
      <c r="C1707" s="149">
        <v>-1</v>
      </c>
      <c r="D1707" s="156" t="s">
        <v>73</v>
      </c>
      <c r="E1707" s="149">
        <v>10</v>
      </c>
      <c r="F1707" s="150">
        <v>4.24</v>
      </c>
      <c r="G1707" s="150"/>
      <c r="H1707" s="150">
        <v>0.9</v>
      </c>
      <c r="I1707" s="151">
        <f t="shared" si="184"/>
        <v>-38.159999999999997</v>
      </c>
      <c r="J1707" s="180"/>
    </row>
    <row r="1708" spans="1:10" s="181" customFormat="1">
      <c r="A1708" s="276"/>
      <c r="B1708" s="182" t="s">
        <v>1309</v>
      </c>
      <c r="C1708" s="149">
        <v>1</v>
      </c>
      <c r="D1708" s="156" t="s">
        <v>73</v>
      </c>
      <c r="E1708" s="149">
        <v>32</v>
      </c>
      <c r="F1708" s="150">
        <v>1.81</v>
      </c>
      <c r="G1708" s="150">
        <v>0.6</v>
      </c>
      <c r="H1708" s="150"/>
      <c r="I1708" s="151">
        <f t="shared" si="184"/>
        <v>34.75</v>
      </c>
      <c r="J1708" s="180"/>
    </row>
    <row r="1709" spans="1:10" s="181" customFormat="1">
      <c r="A1709" s="276"/>
      <c r="B1709" s="182" t="s">
        <v>1310</v>
      </c>
      <c r="C1709" s="149">
        <v>1</v>
      </c>
      <c r="D1709" s="156" t="s">
        <v>73</v>
      </c>
      <c r="E1709" s="149">
        <v>7</v>
      </c>
      <c r="F1709" s="150">
        <v>1.36</v>
      </c>
      <c r="G1709" s="150">
        <v>0.6</v>
      </c>
      <c r="H1709" s="150"/>
      <c r="I1709" s="151">
        <f t="shared" si="184"/>
        <v>5.71</v>
      </c>
      <c r="J1709" s="180"/>
    </row>
    <row r="1710" spans="1:10" s="181" customFormat="1">
      <c r="A1710" s="276"/>
      <c r="B1710" s="182" t="s">
        <v>1312</v>
      </c>
      <c r="C1710" s="149">
        <v>1</v>
      </c>
      <c r="D1710" s="156" t="s">
        <v>73</v>
      </c>
      <c r="E1710" s="149">
        <v>1</v>
      </c>
      <c r="F1710" s="150">
        <v>1.46</v>
      </c>
      <c r="G1710" s="150">
        <v>0.6</v>
      </c>
      <c r="H1710" s="150"/>
      <c r="I1710" s="151">
        <f t="shared" si="184"/>
        <v>0.88</v>
      </c>
      <c r="J1710" s="180"/>
    </row>
    <row r="1711" spans="1:10" s="181" customFormat="1">
      <c r="A1711" s="276"/>
      <c r="B1711" s="182" t="s">
        <v>1311</v>
      </c>
      <c r="C1711" s="149">
        <v>2</v>
      </c>
      <c r="D1711" s="156" t="s">
        <v>73</v>
      </c>
      <c r="E1711" s="149">
        <v>40</v>
      </c>
      <c r="F1711" s="150">
        <v>0.6</v>
      </c>
      <c r="G1711" s="150"/>
      <c r="H1711" s="150">
        <v>0.08</v>
      </c>
      <c r="I1711" s="151">
        <f t="shared" si="184"/>
        <v>3.84</v>
      </c>
      <c r="J1711" s="180"/>
    </row>
    <row r="1712" spans="1:10" s="154" customFormat="1">
      <c r="A1712" s="152"/>
      <c r="B1712" s="148" t="s">
        <v>1424</v>
      </c>
      <c r="C1712" s="149">
        <v>1</v>
      </c>
      <c r="D1712" s="149" t="s">
        <v>73</v>
      </c>
      <c r="E1712" s="149">
        <v>6</v>
      </c>
      <c r="F1712" s="150">
        <v>1.22</v>
      </c>
      <c r="G1712" s="150"/>
      <c r="H1712" s="150">
        <v>2.92</v>
      </c>
      <c r="I1712" s="151">
        <f t="shared" ref="I1712:I1717" si="185">ROUND(PRODUCT(C1712:H1712),2)</f>
        <v>21.37</v>
      </c>
      <c r="J1712" s="213"/>
    </row>
    <row r="1713" spans="1:10" s="154" customFormat="1" ht="19.5" customHeight="1">
      <c r="B1713" s="148" t="s">
        <v>1424</v>
      </c>
      <c r="C1713" s="149">
        <v>1</v>
      </c>
      <c r="D1713" s="149" t="s">
        <v>73</v>
      </c>
      <c r="E1713" s="149">
        <v>2</v>
      </c>
      <c r="F1713" s="150">
        <v>1.06</v>
      </c>
      <c r="G1713" s="150"/>
      <c r="H1713" s="150">
        <v>2.92</v>
      </c>
      <c r="I1713" s="151">
        <f t="shared" si="185"/>
        <v>6.19</v>
      </c>
      <c r="J1713" s="213"/>
    </row>
    <row r="1714" spans="1:10" s="181" customFormat="1">
      <c r="A1714" s="276"/>
      <c r="B1714" s="148" t="s">
        <v>1425</v>
      </c>
      <c r="C1714" s="149">
        <v>1</v>
      </c>
      <c r="D1714" s="149" t="s">
        <v>73</v>
      </c>
      <c r="E1714" s="149">
        <v>1</v>
      </c>
      <c r="F1714" s="150">
        <v>3.45</v>
      </c>
      <c r="G1714" s="150"/>
      <c r="H1714" s="150">
        <v>3.1749999999999998</v>
      </c>
      <c r="I1714" s="151">
        <f t="shared" si="185"/>
        <v>10.95</v>
      </c>
      <c r="J1714" s="180"/>
    </row>
    <row r="1715" spans="1:10" s="181" customFormat="1">
      <c r="A1715" s="276"/>
      <c r="B1715" s="170" t="s">
        <v>1130</v>
      </c>
      <c r="C1715" s="149">
        <v>1</v>
      </c>
      <c r="D1715" s="149" t="s">
        <v>73</v>
      </c>
      <c r="E1715" s="149">
        <v>2</v>
      </c>
      <c r="F1715" s="150">
        <v>166.4</v>
      </c>
      <c r="G1715" s="150"/>
      <c r="H1715" s="150">
        <v>1.5</v>
      </c>
      <c r="I1715" s="151">
        <f t="shared" si="185"/>
        <v>499.2</v>
      </c>
      <c r="J1715" s="180"/>
    </row>
    <row r="1716" spans="1:10" s="181" customFormat="1">
      <c r="A1716" s="276"/>
      <c r="B1716" s="170" t="s">
        <v>1426</v>
      </c>
      <c r="C1716" s="149">
        <v>1</v>
      </c>
      <c r="D1716" s="149" t="s">
        <v>73</v>
      </c>
      <c r="E1716" s="149">
        <v>1</v>
      </c>
      <c r="F1716" s="150">
        <v>157.4</v>
      </c>
      <c r="G1716" s="150">
        <v>0.23</v>
      </c>
      <c r="H1716" s="150"/>
      <c r="I1716" s="151">
        <f t="shared" si="185"/>
        <v>36.200000000000003</v>
      </c>
      <c r="J1716" s="180"/>
    </row>
    <row r="1717" spans="1:10" s="181" customFormat="1">
      <c r="A1717" s="276"/>
      <c r="B1717" s="148" t="s">
        <v>1427</v>
      </c>
      <c r="C1717" s="149">
        <v>-2</v>
      </c>
      <c r="D1717" s="149" t="s">
        <v>73</v>
      </c>
      <c r="E1717" s="149">
        <v>2</v>
      </c>
      <c r="F1717" s="150">
        <v>4.5</v>
      </c>
      <c r="G1717" s="150"/>
      <c r="H1717" s="150">
        <v>1.5</v>
      </c>
      <c r="I1717" s="151">
        <f t="shared" si="185"/>
        <v>-27</v>
      </c>
      <c r="J1717" s="161"/>
    </row>
    <row r="1718" spans="1:10" s="181" customFormat="1">
      <c r="A1718" s="276"/>
      <c r="B1718" s="157"/>
      <c r="C1718" s="149"/>
      <c r="D1718" s="149"/>
      <c r="E1718" s="149"/>
      <c r="F1718" s="150"/>
      <c r="G1718" s="158"/>
      <c r="H1718" s="150"/>
      <c r="I1718" s="159">
        <f>SUM(I1704:I1717)</f>
        <v>1368.63</v>
      </c>
      <c r="J1718" s="180"/>
    </row>
    <row r="1719" spans="1:10" s="181" customFormat="1">
      <c r="A1719" s="276"/>
      <c r="B1719" s="182"/>
      <c r="C1719" s="149"/>
      <c r="D1719" s="149"/>
      <c r="E1719" s="149"/>
      <c r="F1719" s="150"/>
      <c r="G1719" s="158" t="s">
        <v>74</v>
      </c>
      <c r="H1719" s="150"/>
      <c r="I1719" s="159">
        <f>ROUNDUP(I1718,0)</f>
        <v>1369</v>
      </c>
      <c r="J1719" s="180" t="s">
        <v>75</v>
      </c>
    </row>
    <row r="1720" spans="1:10" s="181" customFormat="1">
      <c r="A1720" s="276"/>
      <c r="B1720" s="182"/>
      <c r="C1720" s="149"/>
      <c r="D1720" s="149"/>
      <c r="E1720" s="149"/>
      <c r="F1720" s="150"/>
      <c r="G1720" s="158"/>
      <c r="H1720" s="150"/>
      <c r="I1720" s="159"/>
      <c r="J1720" s="180"/>
    </row>
    <row r="1721" spans="1:10" s="181" customFormat="1" ht="131.25">
      <c r="A1721" s="246">
        <v>344.2</v>
      </c>
      <c r="B1721" s="178" t="s">
        <v>634</v>
      </c>
      <c r="C1721" s="149"/>
      <c r="D1721" s="149"/>
      <c r="E1721" s="149"/>
      <c r="F1721" s="150"/>
      <c r="G1721" s="150"/>
      <c r="H1721" s="150"/>
      <c r="I1721" s="151"/>
      <c r="J1721" s="180"/>
    </row>
    <row r="1722" spans="1:10" s="181" customFormat="1">
      <c r="A1722" s="276"/>
      <c r="B1722" s="206" t="s">
        <v>635</v>
      </c>
      <c r="C1722" s="217">
        <v>1</v>
      </c>
      <c r="D1722" s="239" t="s">
        <v>73</v>
      </c>
      <c r="E1722" s="217">
        <v>9</v>
      </c>
      <c r="F1722" s="168"/>
      <c r="G1722" s="168"/>
      <c r="H1722" s="168"/>
      <c r="I1722" s="151">
        <f>ROUND(PRODUCT(C1722:H1722),2)</f>
        <v>9</v>
      </c>
      <c r="J1722" s="180"/>
    </row>
    <row r="1723" spans="1:10" s="181" customFormat="1">
      <c r="A1723" s="169"/>
      <c r="B1723" s="148"/>
      <c r="C1723" s="149"/>
      <c r="D1723" s="149"/>
      <c r="E1723" s="149"/>
      <c r="F1723" s="150"/>
      <c r="G1723" s="224" t="s">
        <v>11</v>
      </c>
      <c r="H1723" s="150"/>
      <c r="I1723" s="159">
        <v>9</v>
      </c>
      <c r="J1723" s="180" t="s">
        <v>128</v>
      </c>
    </row>
    <row r="1724" spans="1:10" s="181" customFormat="1">
      <c r="A1724" s="169"/>
      <c r="B1724" s="148"/>
      <c r="C1724" s="149"/>
      <c r="D1724" s="149"/>
      <c r="E1724" s="149"/>
      <c r="F1724" s="150"/>
      <c r="G1724" s="224"/>
      <c r="H1724" s="150"/>
      <c r="I1724" s="159"/>
      <c r="J1724" s="180"/>
    </row>
    <row r="1725" spans="1:10" s="181" customFormat="1" ht="37.5" customHeight="1">
      <c r="A1725" s="179">
        <v>238.1</v>
      </c>
      <c r="B1725" s="198" t="s">
        <v>636</v>
      </c>
      <c r="C1725" s="217"/>
      <c r="D1725" s="239"/>
      <c r="E1725" s="217"/>
      <c r="F1725" s="168"/>
      <c r="G1725" s="168"/>
      <c r="H1725" s="168"/>
      <c r="I1725" s="241"/>
      <c r="J1725" s="180"/>
    </row>
    <row r="1726" spans="1:10" s="181" customFormat="1">
      <c r="A1726" s="276"/>
      <c r="B1726" s="206" t="s">
        <v>637</v>
      </c>
      <c r="C1726" s="217"/>
      <c r="D1726" s="239"/>
      <c r="E1726" s="217"/>
      <c r="F1726" s="168"/>
      <c r="G1726" s="168"/>
      <c r="H1726" s="168"/>
      <c r="I1726" s="241">
        <f>I766</f>
        <v>2098</v>
      </c>
      <c r="J1726" s="180"/>
    </row>
    <row r="1727" spans="1:10" s="181" customFormat="1">
      <c r="A1727" s="276"/>
      <c r="B1727" s="206"/>
      <c r="C1727" s="217"/>
      <c r="D1727" s="239"/>
      <c r="E1727" s="217"/>
      <c r="F1727" s="168"/>
      <c r="G1727" s="168"/>
      <c r="H1727" s="168"/>
      <c r="I1727" s="241">
        <f>SUM(I1726:I1726)</f>
        <v>2098</v>
      </c>
      <c r="J1727" s="213" t="s">
        <v>174</v>
      </c>
    </row>
    <row r="1728" spans="1:10" s="154" customFormat="1">
      <c r="A1728" s="276"/>
      <c r="B1728" s="206"/>
      <c r="C1728" s="217"/>
      <c r="D1728" s="239"/>
      <c r="E1728" s="217"/>
      <c r="F1728" s="168"/>
      <c r="G1728" s="168"/>
      <c r="H1728" s="247" t="s">
        <v>11</v>
      </c>
      <c r="I1728" s="448">
        <f>I1727/1000</f>
        <v>2.0979999999999999</v>
      </c>
      <c r="J1728" s="213" t="s">
        <v>78</v>
      </c>
    </row>
    <row r="1729" spans="1:10" s="154" customFormat="1">
      <c r="A1729" s="276"/>
      <c r="B1729" s="206"/>
      <c r="C1729" s="217"/>
      <c r="D1729" s="239"/>
      <c r="E1729" s="217"/>
      <c r="F1729" s="168"/>
      <c r="G1729" s="168"/>
      <c r="H1729" s="247"/>
      <c r="I1729" s="241"/>
      <c r="J1729" s="213"/>
    </row>
    <row r="1730" spans="1:10" s="181" customFormat="1" ht="64.5" customHeight="1">
      <c r="A1730" s="276" t="s">
        <v>58</v>
      </c>
      <c r="B1730" s="183" t="s">
        <v>638</v>
      </c>
      <c r="C1730" s="149"/>
      <c r="D1730" s="149"/>
      <c r="E1730" s="149"/>
      <c r="F1730" s="150"/>
      <c r="G1730" s="158"/>
      <c r="H1730" s="150"/>
      <c r="I1730" s="159"/>
      <c r="J1730" s="180"/>
    </row>
    <row r="1731" spans="1:10" s="181" customFormat="1">
      <c r="A1731" s="179"/>
      <c r="B1731" s="148" t="s">
        <v>639</v>
      </c>
      <c r="C1731" s="149">
        <v>1</v>
      </c>
      <c r="D1731" s="149" t="s">
        <v>73</v>
      </c>
      <c r="E1731" s="149">
        <v>6</v>
      </c>
      <c r="F1731" s="150">
        <v>1.2</v>
      </c>
      <c r="G1731" s="150">
        <v>1.2</v>
      </c>
      <c r="H1731" s="150"/>
      <c r="I1731" s="151">
        <f>ROUND(PRODUCT(C1731:H1731),2)</f>
        <v>8.64</v>
      </c>
      <c r="J1731" s="180"/>
    </row>
    <row r="1732" spans="1:10" s="181" customFormat="1">
      <c r="A1732" s="276"/>
      <c r="B1732" s="148" t="s">
        <v>1366</v>
      </c>
      <c r="C1732" s="149">
        <v>3</v>
      </c>
      <c r="D1732" s="156" t="s">
        <v>73</v>
      </c>
      <c r="E1732" s="149">
        <v>22</v>
      </c>
      <c r="F1732" s="150">
        <v>1.2</v>
      </c>
      <c r="G1732" s="150">
        <v>0.3</v>
      </c>
      <c r="H1732" s="150"/>
      <c r="I1732" s="151">
        <f t="shared" ref="I1732:I1739" si="186">ROUND(PRODUCT(C1732:H1732),2)</f>
        <v>23.76</v>
      </c>
      <c r="J1732" s="180"/>
    </row>
    <row r="1733" spans="1:10" s="154" customFormat="1" ht="35.25" customHeight="1">
      <c r="B1733" s="148" t="s">
        <v>1367</v>
      </c>
      <c r="C1733" s="149">
        <v>3</v>
      </c>
      <c r="D1733" s="156" t="s">
        <v>73</v>
      </c>
      <c r="E1733" s="149">
        <v>22</v>
      </c>
      <c r="F1733" s="150">
        <v>1.2</v>
      </c>
      <c r="G1733" s="150"/>
      <c r="H1733" s="150">
        <v>0.15</v>
      </c>
      <c r="I1733" s="151">
        <f t="shared" si="186"/>
        <v>11.88</v>
      </c>
      <c r="J1733" s="213"/>
    </row>
    <row r="1734" spans="1:10" s="154" customFormat="1" ht="20.25" customHeight="1">
      <c r="A1734" s="179"/>
      <c r="B1734" s="148" t="s">
        <v>640</v>
      </c>
      <c r="C1734" s="149">
        <v>1</v>
      </c>
      <c r="D1734" s="156" t="s">
        <v>73</v>
      </c>
      <c r="E1734" s="149">
        <v>3</v>
      </c>
      <c r="F1734" s="150">
        <v>1.2</v>
      </c>
      <c r="G1734" s="150">
        <v>0.6</v>
      </c>
      <c r="H1734" s="150"/>
      <c r="I1734" s="151">
        <f t="shared" ref="I1734" si="187">ROUND(PRODUCT(C1734:H1734),2)</f>
        <v>2.16</v>
      </c>
      <c r="J1734" s="213"/>
    </row>
    <row r="1735" spans="1:10" s="154" customFormat="1">
      <c r="A1735" s="179"/>
      <c r="B1735" s="148" t="s">
        <v>640</v>
      </c>
      <c r="C1735" s="149">
        <v>1</v>
      </c>
      <c r="D1735" s="156" t="s">
        <v>73</v>
      </c>
      <c r="E1735" s="149">
        <v>3</v>
      </c>
      <c r="F1735" s="150">
        <v>1.2</v>
      </c>
      <c r="G1735" s="150">
        <v>0.23</v>
      </c>
      <c r="H1735" s="150"/>
      <c r="I1735" s="151">
        <f t="shared" si="186"/>
        <v>0.83</v>
      </c>
      <c r="J1735" s="349"/>
    </row>
    <row r="1736" spans="1:10" s="154" customFormat="1">
      <c r="A1736" s="179"/>
      <c r="B1736" s="148" t="s">
        <v>641</v>
      </c>
      <c r="C1736" s="149">
        <v>3</v>
      </c>
      <c r="D1736" s="156" t="s">
        <v>73</v>
      </c>
      <c r="E1736" s="149">
        <v>22</v>
      </c>
      <c r="F1736" s="150">
        <v>0.3</v>
      </c>
      <c r="G1736" s="150"/>
      <c r="H1736" s="150">
        <v>0.15</v>
      </c>
      <c r="I1736" s="151">
        <f>ROUND(PRODUCT(C1736:H1736),2)</f>
        <v>2.97</v>
      </c>
      <c r="J1736" s="349"/>
    </row>
    <row r="1737" spans="1:10" s="181" customFormat="1" ht="25.5" customHeight="1">
      <c r="B1737" s="148" t="s">
        <v>642</v>
      </c>
      <c r="C1737" s="149">
        <v>3</v>
      </c>
      <c r="D1737" s="156" t="s">
        <v>73</v>
      </c>
      <c r="E1737" s="149">
        <v>22</v>
      </c>
      <c r="F1737" s="150">
        <v>0.15</v>
      </c>
      <c r="G1737" s="150"/>
      <c r="H1737" s="150">
        <v>0.15</v>
      </c>
      <c r="I1737" s="151">
        <f t="shared" si="186"/>
        <v>1.49</v>
      </c>
      <c r="J1737" s="180"/>
    </row>
    <row r="1738" spans="1:10" s="181" customFormat="1" ht="17.25" customHeight="1">
      <c r="A1738" s="276"/>
      <c r="B1738" s="148" t="s">
        <v>643</v>
      </c>
      <c r="C1738" s="149">
        <v>1</v>
      </c>
      <c r="D1738" s="156" t="s">
        <v>73</v>
      </c>
      <c r="E1738" s="149">
        <v>6</v>
      </c>
      <c r="F1738" s="150">
        <v>2.7</v>
      </c>
      <c r="G1738" s="150"/>
      <c r="H1738" s="150">
        <v>0.15</v>
      </c>
      <c r="I1738" s="151">
        <f t="shared" si="186"/>
        <v>2.4300000000000002</v>
      </c>
      <c r="J1738" s="180"/>
    </row>
    <row r="1739" spans="1:10" s="181" customFormat="1" ht="18.75" customHeight="1">
      <c r="A1739" s="276"/>
      <c r="B1739" s="148" t="s">
        <v>644</v>
      </c>
      <c r="C1739" s="149">
        <v>2</v>
      </c>
      <c r="D1739" s="156" t="s">
        <v>73</v>
      </c>
      <c r="E1739" s="149">
        <v>3</v>
      </c>
      <c r="F1739" s="150">
        <v>0.6</v>
      </c>
      <c r="G1739" s="150"/>
      <c r="H1739" s="150">
        <v>0.15</v>
      </c>
      <c r="I1739" s="151">
        <f t="shared" si="186"/>
        <v>0.54</v>
      </c>
      <c r="J1739" s="180"/>
    </row>
    <row r="1740" spans="1:10" s="181" customFormat="1" ht="18" customHeight="1">
      <c r="A1740" s="276"/>
      <c r="B1740" s="148" t="s">
        <v>1368</v>
      </c>
      <c r="C1740" s="149">
        <v>2</v>
      </c>
      <c r="D1740" s="156" t="s">
        <v>73</v>
      </c>
      <c r="E1740" s="149">
        <v>3</v>
      </c>
      <c r="F1740" s="150">
        <v>3</v>
      </c>
      <c r="G1740" s="150">
        <v>0.45</v>
      </c>
      <c r="H1740" s="150"/>
      <c r="I1740" s="151">
        <f t="shared" ref="I1740" si="188">ROUND(PRODUCT(C1740:H1740),2)</f>
        <v>8.1</v>
      </c>
      <c r="J1740" s="180"/>
    </row>
    <row r="1741" spans="1:10" s="181" customFormat="1" ht="19.5" customHeight="1">
      <c r="A1741" s="276"/>
      <c r="B1741" s="148"/>
      <c r="C1741" s="149"/>
      <c r="D1741" s="156"/>
      <c r="E1741" s="149"/>
      <c r="F1741" s="150"/>
      <c r="G1741" s="224" t="s">
        <v>11</v>
      </c>
      <c r="H1741" s="150"/>
      <c r="I1741" s="159">
        <f>SUM(I1731:I1740)</f>
        <v>62.800000000000011</v>
      </c>
      <c r="J1741" s="180"/>
    </row>
    <row r="1742" spans="1:10" s="181" customFormat="1" ht="19.5" customHeight="1">
      <c r="A1742" s="276"/>
      <c r="B1742" s="148"/>
      <c r="C1742" s="149"/>
      <c r="D1742" s="156"/>
      <c r="E1742" s="149"/>
      <c r="F1742" s="150"/>
      <c r="G1742" s="228"/>
      <c r="H1742" s="224" t="s">
        <v>246</v>
      </c>
      <c r="I1742" s="159">
        <f>ROUNDUP(I1741,0)</f>
        <v>63</v>
      </c>
      <c r="J1742" s="180" t="s">
        <v>75</v>
      </c>
    </row>
    <row r="1743" spans="1:10" s="181" customFormat="1" ht="19.5" customHeight="1">
      <c r="A1743" s="276"/>
      <c r="B1743" s="148"/>
      <c r="C1743" s="149"/>
      <c r="D1743" s="156"/>
      <c r="E1743" s="149"/>
      <c r="F1743" s="150"/>
      <c r="G1743" s="228"/>
      <c r="H1743" s="224"/>
      <c r="I1743" s="159"/>
      <c r="J1743" s="180"/>
    </row>
    <row r="1744" spans="1:10" s="181" customFormat="1" ht="19.5" customHeight="1">
      <c r="A1744" s="276">
        <v>361.5</v>
      </c>
      <c r="B1744" s="155" t="s">
        <v>645</v>
      </c>
      <c r="C1744" s="149"/>
      <c r="D1744" s="149"/>
      <c r="E1744" s="149"/>
      <c r="F1744" s="150"/>
      <c r="G1744" s="150"/>
      <c r="H1744" s="158"/>
      <c r="I1744" s="159"/>
      <c r="J1744" s="180"/>
    </row>
    <row r="1745" spans="1:10" s="181" customFormat="1" ht="21.75" customHeight="1">
      <c r="A1745" s="276"/>
      <c r="B1745" s="155" t="s">
        <v>492</v>
      </c>
      <c r="C1745" s="149"/>
      <c r="D1745" s="149"/>
      <c r="E1745" s="149"/>
      <c r="F1745" s="150"/>
      <c r="G1745" s="150"/>
      <c r="H1745" s="158"/>
      <c r="I1745" s="159"/>
      <c r="J1745" s="180"/>
    </row>
    <row r="1746" spans="1:10" s="181" customFormat="1" ht="21.75" customHeight="1">
      <c r="A1746" s="276"/>
      <c r="B1746" s="148" t="s">
        <v>646</v>
      </c>
      <c r="C1746" s="149">
        <v>1</v>
      </c>
      <c r="D1746" s="149" t="s">
        <v>73</v>
      </c>
      <c r="E1746" s="149">
        <v>1</v>
      </c>
      <c r="F1746" s="150">
        <v>4.6100000000000003</v>
      </c>
      <c r="G1746" s="150">
        <v>3.07</v>
      </c>
      <c r="H1746" s="158"/>
      <c r="I1746" s="151">
        <f t="shared" ref="I1746:I1783" si="189">ROUND(PRODUCT(C1746:H1746),2)</f>
        <v>14.15</v>
      </c>
      <c r="J1746" s="180"/>
    </row>
    <row r="1747" spans="1:10" s="181" customFormat="1" ht="23.25" customHeight="1">
      <c r="A1747" s="276"/>
      <c r="B1747" s="148" t="s">
        <v>647</v>
      </c>
      <c r="C1747" s="149">
        <v>1</v>
      </c>
      <c r="D1747" s="149" t="s">
        <v>73</v>
      </c>
      <c r="E1747" s="149">
        <v>1</v>
      </c>
      <c r="F1747" s="150">
        <f>2*(4.61+3.07)</f>
        <v>15.36</v>
      </c>
      <c r="G1747" s="150"/>
      <c r="H1747" s="150">
        <v>0.1</v>
      </c>
      <c r="I1747" s="151"/>
      <c r="J1747" s="180"/>
    </row>
    <row r="1748" spans="1:10" s="181" customFormat="1" ht="23.25" customHeight="1">
      <c r="A1748" s="276"/>
      <c r="B1748" s="148" t="s">
        <v>648</v>
      </c>
      <c r="C1748" s="149">
        <v>1</v>
      </c>
      <c r="D1748" s="149" t="s">
        <v>73</v>
      </c>
      <c r="E1748" s="149">
        <v>1</v>
      </c>
      <c r="F1748" s="150">
        <v>1</v>
      </c>
      <c r="G1748" s="150">
        <v>0.13</v>
      </c>
      <c r="H1748" s="158"/>
      <c r="I1748" s="151">
        <f t="shared" si="189"/>
        <v>0.13</v>
      </c>
      <c r="J1748" s="180"/>
    </row>
    <row r="1749" spans="1:10" s="181" customFormat="1">
      <c r="A1749" s="276"/>
      <c r="B1749" s="183" t="s">
        <v>171</v>
      </c>
      <c r="C1749" s="149"/>
      <c r="D1749" s="149"/>
      <c r="E1749" s="149"/>
      <c r="F1749" s="150"/>
      <c r="G1749" s="150"/>
      <c r="H1749" s="158"/>
      <c r="I1749" s="151">
        <f t="shared" si="189"/>
        <v>0</v>
      </c>
      <c r="J1749" s="180"/>
    </row>
    <row r="1750" spans="1:10" s="181" customFormat="1">
      <c r="A1750" s="276"/>
      <c r="B1750" s="148" t="s">
        <v>460</v>
      </c>
      <c r="C1750" s="149">
        <v>1</v>
      </c>
      <c r="D1750" s="149" t="s">
        <v>73</v>
      </c>
      <c r="E1750" s="149">
        <v>1</v>
      </c>
      <c r="F1750" s="150">
        <v>5.15</v>
      </c>
      <c r="G1750" s="150">
        <v>4.12</v>
      </c>
      <c r="H1750" s="150"/>
      <c r="I1750" s="151">
        <f t="shared" si="189"/>
        <v>21.22</v>
      </c>
      <c r="J1750" s="221"/>
    </row>
    <row r="1751" spans="1:10" s="181" customFormat="1" ht="23.25" customHeight="1">
      <c r="B1751" s="148" t="s">
        <v>647</v>
      </c>
      <c r="C1751" s="149">
        <v>1</v>
      </c>
      <c r="D1751" s="149" t="s">
        <v>73</v>
      </c>
      <c r="E1751" s="149">
        <v>1</v>
      </c>
      <c r="F1751" s="150">
        <f>2*(5.15+4.12)</f>
        <v>18.54</v>
      </c>
      <c r="G1751" s="150"/>
      <c r="H1751" s="150">
        <v>0.1</v>
      </c>
      <c r="I1751" s="151">
        <f t="shared" si="189"/>
        <v>1.85</v>
      </c>
      <c r="J1751" s="180"/>
    </row>
    <row r="1752" spans="1:10" s="181" customFormat="1">
      <c r="A1752" s="276"/>
      <c r="B1752" s="148" t="s">
        <v>648</v>
      </c>
      <c r="C1752" s="149">
        <v>1</v>
      </c>
      <c r="D1752" s="149" t="s">
        <v>73</v>
      </c>
      <c r="E1752" s="149">
        <v>2</v>
      </c>
      <c r="F1752" s="150">
        <v>1</v>
      </c>
      <c r="G1752" s="150">
        <v>0.13</v>
      </c>
      <c r="H1752" s="150"/>
      <c r="I1752" s="151">
        <f t="shared" si="189"/>
        <v>0.26</v>
      </c>
      <c r="J1752" s="180"/>
    </row>
    <row r="1753" spans="1:10" s="181" customFormat="1">
      <c r="A1753" s="276"/>
      <c r="B1753" s="148" t="s">
        <v>555</v>
      </c>
      <c r="C1753" s="149">
        <v>1</v>
      </c>
      <c r="D1753" s="149" t="s">
        <v>73</v>
      </c>
      <c r="E1753" s="149">
        <v>1</v>
      </c>
      <c r="F1753" s="150">
        <v>2.0750000000000002</v>
      </c>
      <c r="G1753" s="150">
        <v>2.6850000000000001</v>
      </c>
      <c r="H1753" s="150"/>
      <c r="I1753" s="151">
        <f t="shared" si="189"/>
        <v>5.57</v>
      </c>
      <c r="J1753" s="180"/>
    </row>
    <row r="1754" spans="1:10" s="181" customFormat="1">
      <c r="A1754" s="276"/>
      <c r="B1754" s="148" t="s">
        <v>647</v>
      </c>
      <c r="C1754" s="149">
        <v>1</v>
      </c>
      <c r="D1754" s="149" t="s">
        <v>73</v>
      </c>
      <c r="E1754" s="149">
        <v>1</v>
      </c>
      <c r="F1754" s="150">
        <f>2*(2.075+2.685)</f>
        <v>9.52</v>
      </c>
      <c r="G1754" s="150"/>
      <c r="H1754" s="150">
        <v>0.1</v>
      </c>
      <c r="I1754" s="151"/>
      <c r="J1754" s="180"/>
    </row>
    <row r="1755" spans="1:10" s="181" customFormat="1">
      <c r="A1755" s="276"/>
      <c r="B1755" s="148" t="s">
        <v>648</v>
      </c>
      <c r="C1755" s="149">
        <v>1</v>
      </c>
      <c r="D1755" s="149" t="s">
        <v>73</v>
      </c>
      <c r="E1755" s="149">
        <v>1</v>
      </c>
      <c r="F1755" s="150">
        <v>0.75</v>
      </c>
      <c r="G1755" s="150">
        <v>0.12</v>
      </c>
      <c r="H1755" s="150"/>
      <c r="I1755" s="151">
        <f>ROUND(PRODUCT(C1755:H1755),2)</f>
        <v>0.09</v>
      </c>
      <c r="J1755" s="180"/>
    </row>
    <row r="1756" spans="1:10" s="181" customFormat="1">
      <c r="A1756" s="276"/>
      <c r="B1756" s="148" t="s">
        <v>649</v>
      </c>
      <c r="C1756" s="149">
        <v>1</v>
      </c>
      <c r="D1756" s="149" t="s">
        <v>73</v>
      </c>
      <c r="E1756" s="149">
        <v>1</v>
      </c>
      <c r="F1756" s="150">
        <v>6.67</v>
      </c>
      <c r="G1756" s="150">
        <v>3.5649999999999999</v>
      </c>
      <c r="H1756" s="150"/>
      <c r="I1756" s="151">
        <f t="shared" si="189"/>
        <v>23.78</v>
      </c>
      <c r="J1756" s="180"/>
    </row>
    <row r="1757" spans="1:10" s="181" customFormat="1">
      <c r="A1757" s="276"/>
      <c r="B1757" s="148" t="s">
        <v>650</v>
      </c>
      <c r="C1757" s="149">
        <v>1</v>
      </c>
      <c r="D1757" s="149" t="s">
        <v>73</v>
      </c>
      <c r="E1757" s="149">
        <v>1</v>
      </c>
      <c r="F1757" s="150">
        <f>2*(6.67+3.565)</f>
        <v>20.47</v>
      </c>
      <c r="G1757" s="150"/>
      <c r="H1757" s="150">
        <v>0.1</v>
      </c>
      <c r="I1757" s="151">
        <f t="shared" si="189"/>
        <v>2.0499999999999998</v>
      </c>
      <c r="J1757" s="180"/>
    </row>
    <row r="1758" spans="1:10" s="181" customFormat="1">
      <c r="A1758" s="276"/>
      <c r="B1758" s="148" t="s">
        <v>648</v>
      </c>
      <c r="C1758" s="149">
        <v>1</v>
      </c>
      <c r="D1758" s="149" t="s">
        <v>73</v>
      </c>
      <c r="E1758" s="149">
        <v>1</v>
      </c>
      <c r="F1758" s="150">
        <v>1</v>
      </c>
      <c r="G1758" s="150">
        <v>0.13</v>
      </c>
      <c r="H1758" s="150"/>
      <c r="I1758" s="151">
        <f t="shared" si="189"/>
        <v>0.13</v>
      </c>
      <c r="J1758" s="180"/>
    </row>
    <row r="1759" spans="1:10" s="181" customFormat="1">
      <c r="A1759" s="276"/>
      <c r="B1759" s="148" t="s">
        <v>184</v>
      </c>
      <c r="C1759" s="149">
        <v>1</v>
      </c>
      <c r="D1759" s="149" t="s">
        <v>73</v>
      </c>
      <c r="E1759" s="149">
        <v>1</v>
      </c>
      <c r="F1759" s="150">
        <v>2.645</v>
      </c>
      <c r="G1759" s="150">
        <v>1.91</v>
      </c>
      <c r="H1759" s="150"/>
      <c r="I1759" s="151">
        <f t="shared" si="189"/>
        <v>5.05</v>
      </c>
      <c r="J1759" s="180"/>
    </row>
    <row r="1760" spans="1:10" s="181" customFormat="1">
      <c r="A1760" s="276"/>
      <c r="B1760" s="148" t="s">
        <v>647</v>
      </c>
      <c r="C1760" s="149">
        <v>1</v>
      </c>
      <c r="D1760" s="149" t="s">
        <v>73</v>
      </c>
      <c r="E1760" s="149">
        <v>1</v>
      </c>
      <c r="F1760" s="150">
        <f>2*(2.645+1.91)</f>
        <v>9.11</v>
      </c>
      <c r="G1760" s="150"/>
      <c r="H1760" s="150">
        <v>0.1</v>
      </c>
      <c r="I1760" s="151">
        <f t="shared" si="189"/>
        <v>0.91</v>
      </c>
      <c r="J1760" s="180"/>
    </row>
    <row r="1761" spans="1:10" s="181" customFormat="1">
      <c r="A1761" s="276"/>
      <c r="B1761" s="148" t="s">
        <v>648</v>
      </c>
      <c r="C1761" s="149">
        <v>1</v>
      </c>
      <c r="D1761" s="149" t="s">
        <v>73</v>
      </c>
      <c r="E1761" s="149">
        <v>1</v>
      </c>
      <c r="F1761" s="150">
        <v>1</v>
      </c>
      <c r="G1761" s="150">
        <v>0.13</v>
      </c>
      <c r="H1761" s="150"/>
      <c r="I1761" s="151">
        <f t="shared" si="189"/>
        <v>0.13</v>
      </c>
      <c r="J1761" s="180"/>
    </row>
    <row r="1762" spans="1:10" s="181" customFormat="1">
      <c r="A1762" s="276"/>
      <c r="B1762" s="148" t="s">
        <v>331</v>
      </c>
      <c r="C1762" s="149">
        <v>1</v>
      </c>
      <c r="D1762" s="149" t="s">
        <v>73</v>
      </c>
      <c r="E1762" s="149">
        <v>1</v>
      </c>
      <c r="F1762" s="150">
        <v>1.835</v>
      </c>
      <c r="G1762" s="150">
        <v>3.1850000000000001</v>
      </c>
      <c r="H1762" s="150"/>
      <c r="I1762" s="151">
        <f t="shared" si="189"/>
        <v>5.84</v>
      </c>
      <c r="J1762" s="180"/>
    </row>
    <row r="1763" spans="1:10" s="181" customFormat="1">
      <c r="A1763" s="276"/>
      <c r="B1763" s="148" t="s">
        <v>647</v>
      </c>
      <c r="C1763" s="149">
        <v>1</v>
      </c>
      <c r="D1763" s="149" t="s">
        <v>73</v>
      </c>
      <c r="E1763" s="149">
        <v>1</v>
      </c>
      <c r="F1763" s="150">
        <f>2*(1.835+3.185)</f>
        <v>10.039999999999999</v>
      </c>
      <c r="G1763" s="150"/>
      <c r="H1763" s="150">
        <v>0.1</v>
      </c>
      <c r="I1763" s="151">
        <f t="shared" si="189"/>
        <v>1</v>
      </c>
      <c r="J1763" s="180"/>
    </row>
    <row r="1764" spans="1:10" s="181" customFormat="1">
      <c r="A1764" s="276"/>
      <c r="B1764" s="148" t="s">
        <v>648</v>
      </c>
      <c r="C1764" s="149">
        <v>1</v>
      </c>
      <c r="D1764" s="149" t="s">
        <v>73</v>
      </c>
      <c r="E1764" s="149">
        <v>1</v>
      </c>
      <c r="F1764" s="150">
        <v>1</v>
      </c>
      <c r="G1764" s="150">
        <v>0.12</v>
      </c>
      <c r="H1764" s="150"/>
      <c r="I1764" s="151">
        <f t="shared" si="189"/>
        <v>0.12</v>
      </c>
      <c r="J1764" s="180"/>
    </row>
    <row r="1765" spans="1:10" s="181" customFormat="1">
      <c r="A1765" s="276"/>
      <c r="B1765" s="148" t="s">
        <v>651</v>
      </c>
      <c r="C1765" s="149">
        <v>1</v>
      </c>
      <c r="D1765" s="149" t="s">
        <v>73</v>
      </c>
      <c r="E1765" s="149">
        <v>1</v>
      </c>
      <c r="F1765" s="150">
        <v>2.645</v>
      </c>
      <c r="G1765" s="150">
        <v>2.1800000000000002</v>
      </c>
      <c r="H1765" s="150"/>
      <c r="I1765" s="151">
        <f t="shared" ref="I1765:I1767" si="190">ROUND(PRODUCT(C1765:H1765),2)</f>
        <v>5.77</v>
      </c>
      <c r="J1765" s="180"/>
    </row>
    <row r="1766" spans="1:10" s="181" customFormat="1">
      <c r="A1766" s="276"/>
      <c r="B1766" s="148" t="s">
        <v>647</v>
      </c>
      <c r="C1766" s="149">
        <v>1</v>
      </c>
      <c r="D1766" s="149" t="s">
        <v>73</v>
      </c>
      <c r="E1766" s="149">
        <v>1</v>
      </c>
      <c r="F1766" s="150">
        <f>2*(2.645+2.18)</f>
        <v>9.65</v>
      </c>
      <c r="G1766" s="150"/>
      <c r="H1766" s="150">
        <v>0.1</v>
      </c>
      <c r="I1766" s="151">
        <f t="shared" si="190"/>
        <v>0.97</v>
      </c>
      <c r="J1766" s="180"/>
    </row>
    <row r="1767" spans="1:10" s="181" customFormat="1">
      <c r="A1767" s="276"/>
      <c r="B1767" s="148" t="s">
        <v>648</v>
      </c>
      <c r="C1767" s="149">
        <v>1</v>
      </c>
      <c r="D1767" s="149" t="s">
        <v>73</v>
      </c>
      <c r="E1767" s="149">
        <v>1</v>
      </c>
      <c r="F1767" s="150">
        <v>1</v>
      </c>
      <c r="G1767" s="150">
        <v>0.12</v>
      </c>
      <c r="H1767" s="150"/>
      <c r="I1767" s="151">
        <f t="shared" si="190"/>
        <v>0.12</v>
      </c>
      <c r="J1767" s="180"/>
    </row>
    <row r="1768" spans="1:10" s="181" customFormat="1">
      <c r="A1768" s="276"/>
      <c r="B1768" s="148" t="s">
        <v>1342</v>
      </c>
      <c r="C1768" s="149">
        <v>1</v>
      </c>
      <c r="D1768" s="149" t="s">
        <v>73</v>
      </c>
      <c r="E1768" s="149">
        <v>1</v>
      </c>
      <c r="F1768" s="150">
        <v>2.66</v>
      </c>
      <c r="G1768" s="150">
        <v>2</v>
      </c>
      <c r="H1768" s="150"/>
      <c r="I1768" s="151">
        <f t="shared" si="189"/>
        <v>5.32</v>
      </c>
      <c r="J1768" s="180"/>
    </row>
    <row r="1769" spans="1:10" s="181" customFormat="1">
      <c r="A1769" s="276"/>
      <c r="B1769" s="148" t="s">
        <v>647</v>
      </c>
      <c r="C1769" s="149">
        <v>1</v>
      </c>
      <c r="D1769" s="149" t="s">
        <v>73</v>
      </c>
      <c r="E1769" s="149">
        <v>1</v>
      </c>
      <c r="F1769" s="150">
        <f>2*(2.66+2)</f>
        <v>9.32</v>
      </c>
      <c r="G1769" s="150"/>
      <c r="H1769" s="150">
        <v>0.1</v>
      </c>
      <c r="I1769" s="151">
        <f t="shared" si="189"/>
        <v>0.93</v>
      </c>
      <c r="J1769" s="180"/>
    </row>
    <row r="1770" spans="1:10" s="181" customFormat="1">
      <c r="A1770" s="276"/>
      <c r="B1770" s="148" t="s">
        <v>648</v>
      </c>
      <c r="C1770" s="149">
        <v>1</v>
      </c>
      <c r="D1770" s="149" t="s">
        <v>73</v>
      </c>
      <c r="E1770" s="149">
        <v>1</v>
      </c>
      <c r="F1770" s="150">
        <v>1</v>
      </c>
      <c r="G1770" s="150">
        <v>0.13</v>
      </c>
      <c r="H1770" s="150"/>
      <c r="I1770" s="151">
        <f t="shared" si="189"/>
        <v>0.13</v>
      </c>
      <c r="J1770" s="180"/>
    </row>
    <row r="1771" spans="1:10" s="181" customFormat="1">
      <c r="A1771" s="276"/>
      <c r="B1771" s="155" t="s">
        <v>189</v>
      </c>
      <c r="C1771" s="149"/>
      <c r="D1771" s="149"/>
      <c r="E1771" s="149"/>
      <c r="F1771" s="150"/>
      <c r="G1771" s="150"/>
      <c r="H1771" s="150"/>
      <c r="I1771" s="151">
        <f t="shared" si="189"/>
        <v>0</v>
      </c>
      <c r="J1771" s="180"/>
    </row>
    <row r="1772" spans="1:10" s="181" customFormat="1">
      <c r="A1772" s="276"/>
      <c r="B1772" s="148" t="s">
        <v>460</v>
      </c>
      <c r="C1772" s="149">
        <v>1</v>
      </c>
      <c r="D1772" s="149" t="s">
        <v>73</v>
      </c>
      <c r="E1772" s="149">
        <v>1</v>
      </c>
      <c r="F1772" s="150">
        <v>5.15</v>
      </c>
      <c r="G1772" s="150">
        <v>4.12</v>
      </c>
      <c r="H1772" s="150"/>
      <c r="I1772" s="151">
        <f t="shared" ref="I1772:I1775" si="191">ROUND(PRODUCT(C1772:H1772),2)</f>
        <v>21.22</v>
      </c>
      <c r="J1772" s="180"/>
    </row>
    <row r="1773" spans="1:10" s="181" customFormat="1">
      <c r="A1773" s="276"/>
      <c r="B1773" s="148" t="s">
        <v>647</v>
      </c>
      <c r="C1773" s="149">
        <v>1</v>
      </c>
      <c r="D1773" s="149" t="s">
        <v>73</v>
      </c>
      <c r="E1773" s="149">
        <v>1</v>
      </c>
      <c r="F1773" s="150">
        <f>2*(5.15+4.12)</f>
        <v>18.54</v>
      </c>
      <c r="G1773" s="150"/>
      <c r="H1773" s="150">
        <v>0.1</v>
      </c>
      <c r="I1773" s="151">
        <f t="shared" si="191"/>
        <v>1.85</v>
      </c>
      <c r="J1773" s="180"/>
    </row>
    <row r="1774" spans="1:10" s="181" customFormat="1">
      <c r="A1774" s="276"/>
      <c r="B1774" s="148" t="s">
        <v>648</v>
      </c>
      <c r="C1774" s="149">
        <v>1</v>
      </c>
      <c r="D1774" s="149" t="s">
        <v>73</v>
      </c>
      <c r="E1774" s="149">
        <v>2</v>
      </c>
      <c r="F1774" s="150">
        <v>1</v>
      </c>
      <c r="G1774" s="150">
        <v>0.13</v>
      </c>
      <c r="H1774" s="150"/>
      <c r="I1774" s="151">
        <f t="shared" si="191"/>
        <v>0.26</v>
      </c>
      <c r="J1774" s="180"/>
    </row>
    <row r="1775" spans="1:10" s="181" customFormat="1">
      <c r="A1775" s="276"/>
      <c r="B1775" s="148" t="s">
        <v>555</v>
      </c>
      <c r="C1775" s="149">
        <v>1</v>
      </c>
      <c r="D1775" s="149" t="s">
        <v>73</v>
      </c>
      <c r="E1775" s="149">
        <v>1</v>
      </c>
      <c r="F1775" s="150">
        <v>2.0750000000000002</v>
      </c>
      <c r="G1775" s="150">
        <v>2.6850000000000001</v>
      </c>
      <c r="H1775" s="150"/>
      <c r="I1775" s="151">
        <f t="shared" si="191"/>
        <v>5.57</v>
      </c>
      <c r="J1775" s="180"/>
    </row>
    <row r="1776" spans="1:10" s="181" customFormat="1">
      <c r="A1776" s="276"/>
      <c r="B1776" s="148" t="s">
        <v>647</v>
      </c>
      <c r="C1776" s="149">
        <v>1</v>
      </c>
      <c r="D1776" s="149" t="s">
        <v>73</v>
      </c>
      <c r="E1776" s="149">
        <v>1</v>
      </c>
      <c r="F1776" s="150">
        <f>2*(2.075+2.685)</f>
        <v>9.52</v>
      </c>
      <c r="G1776" s="150"/>
      <c r="H1776" s="150">
        <v>0.1</v>
      </c>
      <c r="I1776" s="151"/>
      <c r="J1776" s="180"/>
    </row>
    <row r="1777" spans="1:10" s="181" customFormat="1">
      <c r="A1777" s="276"/>
      <c r="B1777" s="148" t="s">
        <v>648</v>
      </c>
      <c r="C1777" s="149">
        <v>1</v>
      </c>
      <c r="D1777" s="149" t="s">
        <v>73</v>
      </c>
      <c r="E1777" s="149">
        <v>1</v>
      </c>
      <c r="F1777" s="150">
        <v>0.75</v>
      </c>
      <c r="G1777" s="150">
        <v>0.12</v>
      </c>
      <c r="H1777" s="150"/>
      <c r="I1777" s="151">
        <f>ROUND(PRODUCT(C1777:H1777),2)</f>
        <v>0.09</v>
      </c>
      <c r="J1777" s="180"/>
    </row>
    <row r="1778" spans="1:10" s="181" customFormat="1">
      <c r="A1778" s="276"/>
      <c r="B1778" s="148" t="s">
        <v>649</v>
      </c>
      <c r="C1778" s="149">
        <v>1</v>
      </c>
      <c r="D1778" s="149" t="s">
        <v>73</v>
      </c>
      <c r="E1778" s="149">
        <v>1</v>
      </c>
      <c r="F1778" s="150">
        <v>6.67</v>
      </c>
      <c r="G1778" s="150">
        <v>3.5649999999999999</v>
      </c>
      <c r="H1778" s="150"/>
      <c r="I1778" s="151">
        <f t="shared" ref="I1778:I1780" si="192">ROUND(PRODUCT(C1778:H1778),2)</f>
        <v>23.78</v>
      </c>
      <c r="J1778" s="180"/>
    </row>
    <row r="1779" spans="1:10" s="181" customFormat="1">
      <c r="A1779" s="276"/>
      <c r="B1779" s="148" t="s">
        <v>650</v>
      </c>
      <c r="C1779" s="149">
        <v>1</v>
      </c>
      <c r="D1779" s="149" t="s">
        <v>73</v>
      </c>
      <c r="E1779" s="149">
        <v>1</v>
      </c>
      <c r="F1779" s="150">
        <f>2*(6.67+3.565)</f>
        <v>20.47</v>
      </c>
      <c r="G1779" s="150"/>
      <c r="H1779" s="150">
        <v>0.1</v>
      </c>
      <c r="I1779" s="151">
        <f t="shared" si="192"/>
        <v>2.0499999999999998</v>
      </c>
      <c r="J1779" s="180"/>
    </row>
    <row r="1780" spans="1:10" s="181" customFormat="1">
      <c r="A1780" s="276"/>
      <c r="B1780" s="148" t="s">
        <v>648</v>
      </c>
      <c r="C1780" s="149">
        <v>1</v>
      </c>
      <c r="D1780" s="149" t="s">
        <v>73</v>
      </c>
      <c r="E1780" s="149">
        <v>1</v>
      </c>
      <c r="F1780" s="150">
        <v>1</v>
      </c>
      <c r="G1780" s="150">
        <v>0.13</v>
      </c>
      <c r="H1780" s="150"/>
      <c r="I1780" s="151">
        <f t="shared" si="192"/>
        <v>0.13</v>
      </c>
      <c r="J1780" s="180"/>
    </row>
    <row r="1781" spans="1:10" s="181" customFormat="1">
      <c r="A1781" s="276"/>
      <c r="B1781" s="148" t="s">
        <v>1369</v>
      </c>
      <c r="C1781" s="149">
        <v>1</v>
      </c>
      <c r="D1781" s="149" t="s">
        <v>73</v>
      </c>
      <c r="E1781" s="149">
        <v>1</v>
      </c>
      <c r="F1781" s="150">
        <v>4.6100000000000003</v>
      </c>
      <c r="G1781" s="150">
        <v>6.23</v>
      </c>
      <c r="H1781" s="150"/>
      <c r="I1781" s="151">
        <f t="shared" si="189"/>
        <v>28.72</v>
      </c>
      <c r="J1781" s="180"/>
    </row>
    <row r="1782" spans="1:10" s="181" customFormat="1">
      <c r="A1782" s="276"/>
      <c r="B1782" s="148" t="s">
        <v>647</v>
      </c>
      <c r="C1782" s="149">
        <v>1</v>
      </c>
      <c r="D1782" s="149" t="s">
        <v>73</v>
      </c>
      <c r="E1782" s="149">
        <v>1</v>
      </c>
      <c r="F1782" s="150">
        <f>2*(4.61+6.23)</f>
        <v>21.68</v>
      </c>
      <c r="G1782" s="150"/>
      <c r="H1782" s="150">
        <v>0.1</v>
      </c>
      <c r="I1782" s="151">
        <f t="shared" si="189"/>
        <v>2.17</v>
      </c>
      <c r="J1782" s="180"/>
    </row>
    <row r="1783" spans="1:10" s="181" customFormat="1">
      <c r="A1783" s="276"/>
      <c r="B1783" s="148" t="s">
        <v>652</v>
      </c>
      <c r="C1783" s="149">
        <v>1</v>
      </c>
      <c r="D1783" s="149" t="s">
        <v>73</v>
      </c>
      <c r="E1783" s="149">
        <v>1</v>
      </c>
      <c r="F1783" s="150">
        <v>1</v>
      </c>
      <c r="G1783" s="150">
        <v>0.13</v>
      </c>
      <c r="H1783" s="150"/>
      <c r="I1783" s="151">
        <f t="shared" si="189"/>
        <v>0.13</v>
      </c>
      <c r="J1783" s="180"/>
    </row>
    <row r="1784" spans="1:10" s="181" customFormat="1">
      <c r="A1784" s="276"/>
      <c r="B1784" s="148" t="s">
        <v>331</v>
      </c>
      <c r="C1784" s="149">
        <v>1</v>
      </c>
      <c r="D1784" s="149" t="s">
        <v>73</v>
      </c>
      <c r="E1784" s="149">
        <v>1</v>
      </c>
      <c r="F1784" s="150">
        <v>1.835</v>
      </c>
      <c r="G1784" s="150">
        <v>3.1850000000000001</v>
      </c>
      <c r="H1784" s="150"/>
      <c r="I1784" s="151">
        <f t="shared" ref="I1784:I1789" si="193">ROUND(PRODUCT(C1784:H1784),2)</f>
        <v>5.84</v>
      </c>
      <c r="J1784" s="180"/>
    </row>
    <row r="1785" spans="1:10" s="181" customFormat="1">
      <c r="A1785" s="276"/>
      <c r="B1785" s="148" t="s">
        <v>647</v>
      </c>
      <c r="C1785" s="149">
        <v>1</v>
      </c>
      <c r="D1785" s="149" t="s">
        <v>73</v>
      </c>
      <c r="E1785" s="149">
        <v>1</v>
      </c>
      <c r="F1785" s="150">
        <f>2*(1.835+3.185)</f>
        <v>10.039999999999999</v>
      </c>
      <c r="G1785" s="150"/>
      <c r="H1785" s="150">
        <v>0.1</v>
      </c>
      <c r="I1785" s="151">
        <f t="shared" si="193"/>
        <v>1</v>
      </c>
      <c r="J1785" s="180"/>
    </row>
    <row r="1786" spans="1:10" s="181" customFormat="1">
      <c r="A1786" s="276"/>
      <c r="B1786" s="148" t="s">
        <v>648</v>
      </c>
      <c r="C1786" s="149">
        <v>1</v>
      </c>
      <c r="D1786" s="149" t="s">
        <v>73</v>
      </c>
      <c r="E1786" s="149">
        <v>1</v>
      </c>
      <c r="F1786" s="150">
        <v>1</v>
      </c>
      <c r="G1786" s="150">
        <v>0.12</v>
      </c>
      <c r="H1786" s="150"/>
      <c r="I1786" s="151">
        <f t="shared" si="193"/>
        <v>0.12</v>
      </c>
      <c r="J1786" s="180"/>
    </row>
    <row r="1787" spans="1:10" s="181" customFormat="1">
      <c r="A1787" s="276"/>
      <c r="B1787" s="148" t="s">
        <v>1342</v>
      </c>
      <c r="C1787" s="149">
        <v>1</v>
      </c>
      <c r="D1787" s="149" t="s">
        <v>73</v>
      </c>
      <c r="E1787" s="149">
        <v>1</v>
      </c>
      <c r="F1787" s="150">
        <v>2.66</v>
      </c>
      <c r="G1787" s="150">
        <v>2</v>
      </c>
      <c r="H1787" s="150"/>
      <c r="I1787" s="151">
        <f t="shared" si="193"/>
        <v>5.32</v>
      </c>
      <c r="J1787" s="180"/>
    </row>
    <row r="1788" spans="1:10" s="181" customFormat="1">
      <c r="A1788" s="276"/>
      <c r="B1788" s="148" t="s">
        <v>647</v>
      </c>
      <c r="C1788" s="149">
        <v>1</v>
      </c>
      <c r="D1788" s="149" t="s">
        <v>73</v>
      </c>
      <c r="E1788" s="149">
        <v>1</v>
      </c>
      <c r="F1788" s="150">
        <f>2*(2.66+2)</f>
        <v>9.32</v>
      </c>
      <c r="G1788" s="150"/>
      <c r="H1788" s="150">
        <v>0.1</v>
      </c>
      <c r="I1788" s="151">
        <f t="shared" si="193"/>
        <v>0.93</v>
      </c>
      <c r="J1788" s="180"/>
    </row>
    <row r="1789" spans="1:10" s="181" customFormat="1">
      <c r="A1789" s="276"/>
      <c r="B1789" s="148" t="s">
        <v>648</v>
      </c>
      <c r="C1789" s="149">
        <v>1</v>
      </c>
      <c r="D1789" s="149" t="s">
        <v>73</v>
      </c>
      <c r="E1789" s="149">
        <v>1</v>
      </c>
      <c r="F1789" s="150">
        <v>1</v>
      </c>
      <c r="G1789" s="150">
        <v>0.13</v>
      </c>
      <c r="H1789" s="150"/>
      <c r="I1789" s="151">
        <f t="shared" si="193"/>
        <v>0.13</v>
      </c>
      <c r="J1789" s="180"/>
    </row>
    <row r="1790" spans="1:10" s="181" customFormat="1">
      <c r="A1790" s="276"/>
      <c r="B1790" s="155" t="s">
        <v>188</v>
      </c>
      <c r="C1790" s="149"/>
      <c r="D1790" s="149"/>
      <c r="E1790" s="149"/>
      <c r="F1790" s="150"/>
      <c r="G1790" s="150"/>
      <c r="H1790" s="150"/>
      <c r="I1790" s="151"/>
      <c r="J1790" s="180"/>
    </row>
    <row r="1791" spans="1:10" s="181" customFormat="1">
      <c r="A1791" s="276"/>
      <c r="B1791" s="148" t="s">
        <v>653</v>
      </c>
      <c r="C1791" s="149">
        <v>1</v>
      </c>
      <c r="D1791" s="149" t="s">
        <v>73</v>
      </c>
      <c r="E1791" s="149">
        <v>1</v>
      </c>
      <c r="F1791" s="150">
        <v>4.6100000000000003</v>
      </c>
      <c r="G1791" s="150">
        <v>3.0449999999999999</v>
      </c>
      <c r="H1791" s="150"/>
      <c r="I1791" s="151">
        <f t="shared" ref="I1791:I1799" si="194">ROUND(PRODUCT(C1791:H1791),2)</f>
        <v>14.04</v>
      </c>
      <c r="J1791" s="180"/>
    </row>
    <row r="1792" spans="1:10" s="181" customFormat="1">
      <c r="A1792" s="276"/>
      <c r="B1792" s="148" t="s">
        <v>647</v>
      </c>
      <c r="C1792" s="149">
        <v>1</v>
      </c>
      <c r="D1792" s="149" t="s">
        <v>73</v>
      </c>
      <c r="E1792" s="149">
        <v>1</v>
      </c>
      <c r="F1792" s="150">
        <f>2*(4.61+3.045)</f>
        <v>15.31</v>
      </c>
      <c r="G1792" s="158"/>
      <c r="H1792" s="150">
        <v>0.1</v>
      </c>
      <c r="I1792" s="151">
        <f t="shared" si="194"/>
        <v>1.53</v>
      </c>
      <c r="J1792" s="180"/>
    </row>
    <row r="1793" spans="1:10" s="181" customFormat="1">
      <c r="A1793" s="276"/>
      <c r="B1793" s="148" t="s">
        <v>652</v>
      </c>
      <c r="C1793" s="149">
        <v>1</v>
      </c>
      <c r="D1793" s="149" t="s">
        <v>73</v>
      </c>
      <c r="E1793" s="149">
        <v>1</v>
      </c>
      <c r="F1793" s="150">
        <v>1</v>
      </c>
      <c r="G1793" s="150">
        <v>0.13</v>
      </c>
      <c r="H1793" s="150"/>
      <c r="I1793" s="151">
        <f t="shared" si="194"/>
        <v>0.13</v>
      </c>
      <c r="J1793" s="180"/>
    </row>
    <row r="1794" spans="1:10" s="181" customFormat="1">
      <c r="A1794" s="276"/>
      <c r="B1794" s="148" t="s">
        <v>654</v>
      </c>
      <c r="C1794" s="149">
        <v>1</v>
      </c>
      <c r="D1794" s="149" t="s">
        <v>73</v>
      </c>
      <c r="E1794" s="149">
        <v>1</v>
      </c>
      <c r="F1794" s="150">
        <v>4.6100000000000003</v>
      </c>
      <c r="G1794" s="150">
        <v>3.0449999999999999</v>
      </c>
      <c r="H1794" s="150"/>
      <c r="I1794" s="151">
        <f t="shared" si="194"/>
        <v>14.04</v>
      </c>
      <c r="J1794" s="180"/>
    </row>
    <row r="1795" spans="1:10" s="181" customFormat="1">
      <c r="A1795" s="276"/>
      <c r="B1795" s="148" t="s">
        <v>647</v>
      </c>
      <c r="C1795" s="149">
        <v>1</v>
      </c>
      <c r="D1795" s="149" t="s">
        <v>73</v>
      </c>
      <c r="E1795" s="149">
        <v>1</v>
      </c>
      <c r="F1795" s="150">
        <f>2*(4.61+3.045)</f>
        <v>15.31</v>
      </c>
      <c r="G1795" s="158"/>
      <c r="H1795" s="150">
        <v>0.1</v>
      </c>
      <c r="I1795" s="151">
        <f t="shared" si="194"/>
        <v>1.53</v>
      </c>
      <c r="J1795" s="180"/>
    </row>
    <row r="1796" spans="1:10" s="181" customFormat="1">
      <c r="A1796" s="276"/>
      <c r="B1796" s="148" t="s">
        <v>652</v>
      </c>
      <c r="C1796" s="149">
        <v>1</v>
      </c>
      <c r="D1796" s="149" t="s">
        <v>73</v>
      </c>
      <c r="E1796" s="149">
        <v>1</v>
      </c>
      <c r="F1796" s="150">
        <v>1</v>
      </c>
      <c r="G1796" s="150">
        <v>0.13</v>
      </c>
      <c r="H1796" s="150"/>
      <c r="I1796" s="151">
        <f t="shared" ref="I1796" si="195">ROUND(PRODUCT(C1796:H1796),2)</f>
        <v>0.13</v>
      </c>
      <c r="J1796" s="180"/>
    </row>
    <row r="1797" spans="1:10" s="181" customFormat="1">
      <c r="A1797" s="276"/>
      <c r="B1797" s="148" t="s">
        <v>652</v>
      </c>
      <c r="C1797" s="149">
        <v>1</v>
      </c>
      <c r="D1797" s="149" t="s">
        <v>73</v>
      </c>
      <c r="E1797" s="149">
        <v>2</v>
      </c>
      <c r="F1797" s="150">
        <v>0.9</v>
      </c>
      <c r="G1797" s="150">
        <v>0.13</v>
      </c>
      <c r="H1797" s="150"/>
      <c r="I1797" s="151">
        <f t="shared" si="194"/>
        <v>0.23</v>
      </c>
      <c r="J1797" s="180"/>
    </row>
    <row r="1798" spans="1:10" s="181" customFormat="1">
      <c r="A1798" s="276"/>
      <c r="B1798" s="148" t="s">
        <v>655</v>
      </c>
      <c r="C1798" s="149">
        <v>1</v>
      </c>
      <c r="D1798" s="149" t="s">
        <v>73</v>
      </c>
      <c r="E1798" s="149">
        <v>2</v>
      </c>
      <c r="F1798" s="150">
        <v>4.6100000000000003</v>
      </c>
      <c r="G1798" s="150">
        <v>1.47</v>
      </c>
      <c r="H1798" s="150"/>
      <c r="I1798" s="151">
        <f t="shared" ref="I1798" si="196">ROUND(PRODUCT(C1798:H1798),2)</f>
        <v>13.55</v>
      </c>
      <c r="J1798" s="180"/>
    </row>
    <row r="1799" spans="1:10" s="181" customFormat="1">
      <c r="A1799" s="276"/>
      <c r="B1799" s="148" t="s">
        <v>1370</v>
      </c>
      <c r="C1799" s="149">
        <v>1</v>
      </c>
      <c r="D1799" s="149" t="s">
        <v>73</v>
      </c>
      <c r="E1799" s="149">
        <v>2</v>
      </c>
      <c r="F1799" s="150">
        <f>2*(4.61+1.47)</f>
        <v>12.16</v>
      </c>
      <c r="G1799" s="150"/>
      <c r="H1799" s="150">
        <v>0.1</v>
      </c>
      <c r="I1799" s="151">
        <f t="shared" si="194"/>
        <v>2.4300000000000002</v>
      </c>
      <c r="J1799" s="180"/>
    </row>
    <row r="1800" spans="1:10" s="181" customFormat="1">
      <c r="A1800" s="276"/>
      <c r="B1800" s="148"/>
      <c r="C1800" s="162"/>
      <c r="D1800" s="162"/>
      <c r="E1800" s="162"/>
      <c r="F1800" s="150"/>
      <c r="G1800" s="158" t="s">
        <v>11</v>
      </c>
      <c r="H1800" s="158"/>
      <c r="I1800" s="159">
        <f>SUM(I1746:I1799)</f>
        <v>242.44</v>
      </c>
      <c r="J1800" s="180"/>
    </row>
    <row r="1801" spans="1:10" s="181" customFormat="1">
      <c r="A1801" s="276"/>
      <c r="B1801" s="148"/>
      <c r="C1801" s="162"/>
      <c r="D1801" s="162"/>
      <c r="E1801" s="162"/>
      <c r="F1801" s="150"/>
      <c r="G1801" s="158"/>
      <c r="H1801" s="158" t="s">
        <v>74</v>
      </c>
      <c r="I1801" s="159">
        <f>ROUNDUP(I1800,0)</f>
        <v>243</v>
      </c>
      <c r="J1801" s="180" t="s">
        <v>176</v>
      </c>
    </row>
    <row r="1802" spans="1:10" s="181" customFormat="1">
      <c r="A1802" s="276"/>
      <c r="B1802" s="148"/>
      <c r="C1802" s="162"/>
      <c r="D1802" s="162"/>
      <c r="E1802" s="162"/>
      <c r="F1802" s="150"/>
      <c r="G1802" s="158"/>
      <c r="H1802" s="158"/>
      <c r="I1802" s="159"/>
      <c r="J1802" s="180"/>
    </row>
    <row r="1803" spans="1:10" s="181" customFormat="1" ht="37.5">
      <c r="A1803" s="249" t="s">
        <v>59</v>
      </c>
      <c r="B1803" s="155" t="s">
        <v>656</v>
      </c>
      <c r="C1803" s="149"/>
      <c r="D1803" s="149"/>
      <c r="E1803" s="149"/>
      <c r="F1803" s="150"/>
      <c r="G1803" s="158"/>
      <c r="H1803" s="150"/>
      <c r="I1803" s="159"/>
      <c r="J1803" s="180"/>
    </row>
    <row r="1804" spans="1:10" s="181" customFormat="1">
      <c r="A1804" s="276"/>
      <c r="B1804" s="155" t="s">
        <v>492</v>
      </c>
      <c r="C1804" s="149"/>
      <c r="D1804" s="149"/>
      <c r="E1804" s="149"/>
      <c r="F1804" s="150"/>
      <c r="G1804" s="158"/>
      <c r="H1804" s="150"/>
      <c r="I1804" s="159"/>
      <c r="J1804" s="180"/>
    </row>
    <row r="1805" spans="1:10" s="181" customFormat="1">
      <c r="A1805" s="276"/>
      <c r="B1805" s="148" t="s">
        <v>1374</v>
      </c>
      <c r="C1805" s="149">
        <v>1</v>
      </c>
      <c r="D1805" s="149" t="s">
        <v>73</v>
      </c>
      <c r="E1805" s="149">
        <v>1</v>
      </c>
      <c r="F1805" s="150">
        <v>2.16</v>
      </c>
      <c r="G1805" s="150">
        <v>1.2</v>
      </c>
      <c r="H1805" s="150"/>
      <c r="I1805" s="151">
        <f t="shared" ref="I1805" si="197">ROUND(PRODUCT(C1805:H1805),2)</f>
        <v>2.59</v>
      </c>
      <c r="J1805" s="180"/>
    </row>
    <row r="1806" spans="1:10" s="181" customFormat="1">
      <c r="A1806" s="276"/>
      <c r="B1806" s="148" t="s">
        <v>1374</v>
      </c>
      <c r="C1806" s="149">
        <v>1</v>
      </c>
      <c r="D1806" s="149" t="s">
        <v>73</v>
      </c>
      <c r="E1806" s="149">
        <v>1</v>
      </c>
      <c r="F1806" s="150">
        <v>3.56</v>
      </c>
      <c r="G1806" s="150">
        <v>1.2</v>
      </c>
      <c r="H1806" s="150"/>
      <c r="I1806" s="151">
        <f t="shared" ref="I1806" si="198">ROUND(PRODUCT(C1806:H1806),2)</f>
        <v>4.2699999999999996</v>
      </c>
      <c r="J1806" s="180"/>
    </row>
    <row r="1807" spans="1:10" s="181" customFormat="1">
      <c r="A1807" s="276"/>
      <c r="B1807" s="155" t="s">
        <v>171</v>
      </c>
      <c r="C1807" s="149"/>
      <c r="D1807" s="149"/>
      <c r="E1807" s="149"/>
      <c r="F1807" s="150"/>
      <c r="G1807" s="158"/>
      <c r="H1807" s="150"/>
      <c r="I1807" s="151">
        <f t="shared" ref="I1807:I1813" si="199">ROUND(PRODUCT(C1807:H1807),2)</f>
        <v>0</v>
      </c>
      <c r="J1807" s="180"/>
    </row>
    <row r="1808" spans="1:10" s="181" customFormat="1">
      <c r="A1808" s="276"/>
      <c r="B1808" s="148" t="s">
        <v>657</v>
      </c>
      <c r="C1808" s="149">
        <v>1</v>
      </c>
      <c r="D1808" s="149" t="s">
        <v>73</v>
      </c>
      <c r="E1808" s="149">
        <v>1</v>
      </c>
      <c r="F1808" s="150">
        <v>4.68</v>
      </c>
      <c r="G1808" s="150">
        <v>2</v>
      </c>
      <c r="H1808" s="150"/>
      <c r="I1808" s="151">
        <f t="shared" si="199"/>
        <v>9.36</v>
      </c>
      <c r="J1808" s="180"/>
    </row>
    <row r="1809" spans="1:10" s="181" customFormat="1">
      <c r="A1809" s="276"/>
      <c r="B1809" s="148" t="s">
        <v>650</v>
      </c>
      <c r="C1809" s="149">
        <v>1</v>
      </c>
      <c r="D1809" s="149" t="s">
        <v>73</v>
      </c>
      <c r="E1809" s="149">
        <v>1</v>
      </c>
      <c r="F1809" s="150">
        <f>2*(4.68+2)</f>
        <v>13.36</v>
      </c>
      <c r="G1809" s="150"/>
      <c r="H1809" s="150">
        <v>0.1</v>
      </c>
      <c r="I1809" s="151">
        <f t="shared" si="199"/>
        <v>1.34</v>
      </c>
      <c r="J1809" s="221"/>
    </row>
    <row r="1810" spans="1:10" s="181" customFormat="1">
      <c r="B1810" s="148" t="s">
        <v>658</v>
      </c>
      <c r="C1810" s="149">
        <v>1</v>
      </c>
      <c r="D1810" s="149" t="s">
        <v>73</v>
      </c>
      <c r="E1810" s="149">
        <v>1</v>
      </c>
      <c r="F1810" s="150">
        <v>3.91</v>
      </c>
      <c r="G1810" s="150">
        <v>2.67</v>
      </c>
      <c r="H1810" s="150"/>
      <c r="I1810" s="151">
        <f t="shared" si="199"/>
        <v>10.44</v>
      </c>
      <c r="J1810" s="180"/>
    </row>
    <row r="1811" spans="1:10" s="181" customFormat="1">
      <c r="A1811" s="276"/>
      <c r="B1811" s="148" t="s">
        <v>647</v>
      </c>
      <c r="C1811" s="149">
        <v>1</v>
      </c>
      <c r="D1811" s="149" t="s">
        <v>73</v>
      </c>
      <c r="E1811" s="149">
        <v>1</v>
      </c>
      <c r="F1811" s="150">
        <f>2*(3.91+2.67)</f>
        <v>13.16</v>
      </c>
      <c r="G1811" s="150"/>
      <c r="H1811" s="150">
        <v>0.1</v>
      </c>
      <c r="I1811" s="151">
        <f t="shared" si="199"/>
        <v>1.32</v>
      </c>
      <c r="J1811" s="180"/>
    </row>
    <row r="1812" spans="1:10" s="181" customFormat="1">
      <c r="A1812" s="276"/>
      <c r="B1812" s="148" t="s">
        <v>659</v>
      </c>
      <c r="C1812" s="149">
        <v>1</v>
      </c>
      <c r="D1812" s="149" t="s">
        <v>73</v>
      </c>
      <c r="E1812" s="149">
        <v>1</v>
      </c>
      <c r="F1812" s="150">
        <v>2.3050000000000002</v>
      </c>
      <c r="G1812" s="150">
        <v>1.85</v>
      </c>
      <c r="H1812" s="150"/>
      <c r="I1812" s="151">
        <f t="shared" si="199"/>
        <v>4.26</v>
      </c>
      <c r="J1812" s="180"/>
    </row>
    <row r="1813" spans="1:10" s="181" customFormat="1">
      <c r="A1813" s="276"/>
      <c r="B1813" s="148" t="s">
        <v>650</v>
      </c>
      <c r="C1813" s="149">
        <v>1</v>
      </c>
      <c r="D1813" s="149" t="s">
        <v>73</v>
      </c>
      <c r="E1813" s="149">
        <v>1</v>
      </c>
      <c r="F1813" s="150">
        <f>2*(2.31+1.85)</f>
        <v>8.32</v>
      </c>
      <c r="G1813" s="150"/>
      <c r="H1813" s="150">
        <v>0.1</v>
      </c>
      <c r="I1813" s="151">
        <f t="shared" si="199"/>
        <v>0.83</v>
      </c>
      <c r="J1813" s="180"/>
    </row>
    <row r="1814" spans="1:10" s="181" customFormat="1">
      <c r="A1814" s="276"/>
      <c r="B1814" s="155" t="s">
        <v>660</v>
      </c>
      <c r="C1814" s="149"/>
      <c r="D1814" s="149"/>
      <c r="E1814" s="149"/>
      <c r="F1814" s="150"/>
      <c r="G1814" s="158"/>
      <c r="H1814" s="150"/>
      <c r="I1814" s="151">
        <f>ROUND(PRODUCT(C1814:H1814),2)</f>
        <v>0</v>
      </c>
      <c r="J1814" s="180"/>
    </row>
    <row r="1815" spans="1:10" s="181" customFormat="1">
      <c r="A1815" s="276"/>
      <c r="B1815" s="148" t="s">
        <v>657</v>
      </c>
      <c r="C1815" s="149">
        <v>1</v>
      </c>
      <c r="D1815" s="149" t="s">
        <v>73</v>
      </c>
      <c r="E1815" s="149">
        <v>1</v>
      </c>
      <c r="F1815" s="150">
        <v>4.68</v>
      </c>
      <c r="G1815" s="150">
        <v>2</v>
      </c>
      <c r="H1815" s="150"/>
      <c r="I1815" s="151">
        <f t="shared" ref="I1815:I1820" si="200">ROUND(PRODUCT(C1815:H1815),2)</f>
        <v>9.36</v>
      </c>
      <c r="J1815" s="180"/>
    </row>
    <row r="1816" spans="1:10" s="181" customFormat="1">
      <c r="A1816" s="276"/>
      <c r="B1816" s="148" t="s">
        <v>650</v>
      </c>
      <c r="C1816" s="149">
        <v>1</v>
      </c>
      <c r="D1816" s="149" t="s">
        <v>73</v>
      </c>
      <c r="E1816" s="149">
        <v>1</v>
      </c>
      <c r="F1816" s="150">
        <f>2*(4.68+2)</f>
        <v>13.36</v>
      </c>
      <c r="G1816" s="150"/>
      <c r="H1816" s="150">
        <v>0.1</v>
      </c>
      <c r="I1816" s="151">
        <f t="shared" si="200"/>
        <v>1.34</v>
      </c>
      <c r="J1816" s="180"/>
    </row>
    <row r="1817" spans="1:10" s="181" customFormat="1">
      <c r="A1817" s="276"/>
      <c r="B1817" s="148" t="s">
        <v>658</v>
      </c>
      <c r="C1817" s="149">
        <v>1</v>
      </c>
      <c r="D1817" s="149" t="s">
        <v>73</v>
      </c>
      <c r="E1817" s="149">
        <v>1</v>
      </c>
      <c r="F1817" s="150">
        <v>3.91</v>
      </c>
      <c r="G1817" s="150">
        <v>2.67</v>
      </c>
      <c r="H1817" s="150"/>
      <c r="I1817" s="151">
        <f t="shared" si="200"/>
        <v>10.44</v>
      </c>
      <c r="J1817" s="180"/>
    </row>
    <row r="1818" spans="1:10" s="181" customFormat="1">
      <c r="A1818" s="276"/>
      <c r="B1818" s="148" t="s">
        <v>647</v>
      </c>
      <c r="C1818" s="149">
        <v>1</v>
      </c>
      <c r="D1818" s="149" t="s">
        <v>73</v>
      </c>
      <c r="E1818" s="149">
        <v>1</v>
      </c>
      <c r="F1818" s="150">
        <f>2*(3.91+2.67)</f>
        <v>13.16</v>
      </c>
      <c r="G1818" s="150"/>
      <c r="H1818" s="150">
        <v>0.1</v>
      </c>
      <c r="I1818" s="151">
        <f t="shared" si="200"/>
        <v>1.32</v>
      </c>
      <c r="J1818" s="180"/>
    </row>
    <row r="1819" spans="1:10" s="181" customFormat="1">
      <c r="A1819" s="276"/>
      <c r="B1819" s="148" t="s">
        <v>659</v>
      </c>
      <c r="C1819" s="149">
        <v>1</v>
      </c>
      <c r="D1819" s="149" t="s">
        <v>73</v>
      </c>
      <c r="E1819" s="149">
        <v>1</v>
      </c>
      <c r="F1819" s="150">
        <v>2.3050000000000002</v>
      </c>
      <c r="G1819" s="150">
        <v>1.85</v>
      </c>
      <c r="H1819" s="150"/>
      <c r="I1819" s="151">
        <f t="shared" si="200"/>
        <v>4.26</v>
      </c>
      <c r="J1819" s="180"/>
    </row>
    <row r="1820" spans="1:10" s="181" customFormat="1">
      <c r="A1820" s="276"/>
      <c r="B1820" s="148" t="s">
        <v>650</v>
      </c>
      <c r="C1820" s="149">
        <v>1</v>
      </c>
      <c r="D1820" s="149" t="s">
        <v>73</v>
      </c>
      <c r="E1820" s="149">
        <v>1</v>
      </c>
      <c r="F1820" s="150">
        <f>2*(2.31+1.85)</f>
        <v>8.32</v>
      </c>
      <c r="G1820" s="150"/>
      <c r="H1820" s="150">
        <v>0.1</v>
      </c>
      <c r="I1820" s="151">
        <f t="shared" si="200"/>
        <v>0.83</v>
      </c>
      <c r="J1820" s="180"/>
    </row>
    <row r="1821" spans="1:10" s="181" customFormat="1" ht="17.25" customHeight="1">
      <c r="A1821" s="276"/>
      <c r="B1821" s="155" t="s">
        <v>1371</v>
      </c>
      <c r="C1821" s="149"/>
      <c r="D1821" s="149"/>
      <c r="E1821" s="149"/>
      <c r="F1821" s="150"/>
      <c r="G1821" s="158"/>
      <c r="H1821" s="150"/>
      <c r="I1821" s="151">
        <f>ROUND(PRODUCT(C1821:H1821),2)</f>
        <v>0</v>
      </c>
      <c r="J1821" s="180"/>
    </row>
    <row r="1822" spans="1:10" s="181" customFormat="1">
      <c r="A1822" s="276"/>
      <c r="B1822" s="148" t="s">
        <v>1372</v>
      </c>
      <c r="C1822" s="149">
        <v>1</v>
      </c>
      <c r="D1822" s="149" t="s">
        <v>73</v>
      </c>
      <c r="E1822" s="149">
        <v>1</v>
      </c>
      <c r="F1822" s="150">
        <v>4.5599999999999996</v>
      </c>
      <c r="G1822" s="150">
        <v>2.67</v>
      </c>
      <c r="H1822" s="150"/>
      <c r="I1822" s="151">
        <f>ROUND(PRODUCT(C1822:H1822),2)</f>
        <v>12.18</v>
      </c>
      <c r="J1822" s="180"/>
    </row>
    <row r="1823" spans="1:10" s="181" customFormat="1">
      <c r="A1823" s="276"/>
      <c r="B1823" s="148" t="s">
        <v>650</v>
      </c>
      <c r="C1823" s="149">
        <v>1</v>
      </c>
      <c r="D1823" s="149" t="s">
        <v>73</v>
      </c>
      <c r="E1823" s="149">
        <v>1</v>
      </c>
      <c r="F1823" s="150">
        <f>2*(4.56+2.67)</f>
        <v>14.459999999999999</v>
      </c>
      <c r="G1823" s="150"/>
      <c r="H1823" s="150">
        <v>0.1</v>
      </c>
      <c r="I1823" s="151">
        <f>ROUND(PRODUCT(C1823:H1823),2)</f>
        <v>1.45</v>
      </c>
      <c r="J1823" s="180"/>
    </row>
    <row r="1824" spans="1:10" s="181" customFormat="1">
      <c r="A1824" s="276"/>
      <c r="B1824" s="148" t="s">
        <v>1373</v>
      </c>
      <c r="C1824" s="149">
        <v>2</v>
      </c>
      <c r="D1824" s="149" t="s">
        <v>73</v>
      </c>
      <c r="E1824" s="149">
        <v>3</v>
      </c>
      <c r="F1824" s="150">
        <v>1.2</v>
      </c>
      <c r="G1824" s="150">
        <v>0.6</v>
      </c>
      <c r="H1824" s="150"/>
      <c r="I1824" s="151">
        <f>ROUND(PRODUCT(C1824:H1824),2)</f>
        <v>4.32</v>
      </c>
      <c r="J1824" s="180"/>
    </row>
    <row r="1825" spans="1:10" s="181" customFormat="1">
      <c r="A1825" s="276"/>
      <c r="B1825" s="148"/>
      <c r="C1825" s="149"/>
      <c r="D1825" s="149"/>
      <c r="E1825" s="149"/>
      <c r="F1825" s="150"/>
      <c r="G1825" s="150"/>
      <c r="H1825" s="158"/>
      <c r="I1825" s="159">
        <f>SUM(I1805:I1824)</f>
        <v>79.91</v>
      </c>
      <c r="J1825" s="180"/>
    </row>
    <row r="1826" spans="1:10" s="181" customFormat="1">
      <c r="A1826" s="276"/>
      <c r="B1826" s="182"/>
      <c r="C1826" s="149"/>
      <c r="D1826" s="149"/>
      <c r="E1826" s="149"/>
      <c r="F1826" s="150"/>
      <c r="G1826" s="150"/>
      <c r="H1826" s="158" t="s">
        <v>74</v>
      </c>
      <c r="I1826" s="159">
        <f>ROUNDUP(I1825,1)</f>
        <v>80</v>
      </c>
      <c r="J1826" s="180" t="s">
        <v>75</v>
      </c>
    </row>
    <row r="1827" spans="1:10" s="181" customFormat="1">
      <c r="A1827" s="276"/>
      <c r="B1827" s="182"/>
      <c r="C1827" s="149"/>
      <c r="D1827" s="149"/>
      <c r="E1827" s="149"/>
      <c r="F1827" s="150"/>
      <c r="G1827" s="150"/>
      <c r="H1827" s="158"/>
      <c r="I1827" s="159"/>
      <c r="J1827" s="180"/>
    </row>
    <row r="1828" spans="1:10" s="181" customFormat="1" ht="75">
      <c r="A1828" s="179">
        <v>448.2</v>
      </c>
      <c r="B1828" s="231" t="s">
        <v>661</v>
      </c>
      <c r="C1828" s="217"/>
      <c r="D1828" s="239"/>
      <c r="E1828" s="217"/>
      <c r="F1828" s="168"/>
      <c r="G1828" s="168"/>
      <c r="H1828" s="168"/>
      <c r="I1828" s="241"/>
      <c r="J1828" s="180"/>
    </row>
    <row r="1829" spans="1:10" s="181" customFormat="1" ht="17.25" customHeight="1">
      <c r="A1829" s="276"/>
      <c r="B1829" s="206" t="s">
        <v>635</v>
      </c>
      <c r="C1829" s="217">
        <v>1</v>
      </c>
      <c r="D1829" s="239" t="s">
        <v>73</v>
      </c>
      <c r="E1829" s="217">
        <v>10</v>
      </c>
      <c r="F1829" s="168"/>
      <c r="G1829" s="168"/>
      <c r="H1829" s="168"/>
      <c r="I1829" s="159">
        <f>ROUND(PRODUCT(C1829:H1829),2)</f>
        <v>10</v>
      </c>
      <c r="J1829" s="180" t="s">
        <v>128</v>
      </c>
    </row>
    <row r="1830" spans="1:10" s="181" customFormat="1" ht="17.25" customHeight="1">
      <c r="A1830" s="276"/>
      <c r="B1830" s="206"/>
      <c r="C1830" s="217"/>
      <c r="D1830" s="239"/>
      <c r="E1830" s="217"/>
      <c r="F1830" s="168"/>
      <c r="G1830" s="168"/>
      <c r="H1830" s="168"/>
      <c r="I1830" s="159"/>
      <c r="J1830" s="180"/>
    </row>
    <row r="1831" spans="1:10" s="181" customFormat="1" ht="33.75" customHeight="1">
      <c r="A1831" s="276" t="s">
        <v>1458</v>
      </c>
      <c r="B1831" s="176" t="s">
        <v>662</v>
      </c>
      <c r="C1831" s="220"/>
      <c r="D1831" s="220"/>
      <c r="E1831" s="220"/>
      <c r="F1831" s="158"/>
      <c r="G1831" s="158"/>
      <c r="H1831" s="158"/>
      <c r="I1831" s="159"/>
      <c r="J1831" s="180"/>
    </row>
    <row r="1832" spans="1:10" s="181" customFormat="1" ht="17.25" customHeight="1">
      <c r="A1832" s="276"/>
      <c r="B1832" s="155" t="s">
        <v>1556</v>
      </c>
      <c r="C1832" s="220">
        <v>1</v>
      </c>
      <c r="D1832" s="156" t="s">
        <v>73</v>
      </c>
      <c r="E1832" s="220">
        <v>3</v>
      </c>
      <c r="F1832" s="158"/>
      <c r="G1832" s="158"/>
      <c r="H1832" s="158"/>
      <c r="I1832" s="159">
        <f>ROUND(PRODUCT(C1832:H1832),2)</f>
        <v>3</v>
      </c>
      <c r="J1832" s="180" t="s">
        <v>346</v>
      </c>
    </row>
    <row r="1833" spans="1:10" s="181" customFormat="1" ht="17.25" customHeight="1">
      <c r="A1833" s="276"/>
      <c r="B1833" s="155"/>
      <c r="C1833" s="220"/>
      <c r="D1833" s="156"/>
      <c r="E1833" s="220"/>
      <c r="F1833" s="158"/>
      <c r="G1833" s="158"/>
      <c r="H1833" s="158"/>
      <c r="I1833" s="159"/>
      <c r="J1833" s="180"/>
    </row>
    <row r="1834" spans="1:10" s="181" customFormat="1" ht="17.25" customHeight="1">
      <c r="A1834" s="276">
        <v>912</v>
      </c>
      <c r="B1834" s="153" t="s">
        <v>663</v>
      </c>
      <c r="C1834" s="172"/>
      <c r="D1834" s="172"/>
      <c r="E1834" s="172"/>
      <c r="F1834" s="173"/>
      <c r="G1834" s="173"/>
      <c r="H1834" s="173"/>
      <c r="I1834" s="241"/>
      <c r="J1834" s="180"/>
    </row>
    <row r="1835" spans="1:10" s="181" customFormat="1" ht="18" customHeight="1">
      <c r="A1835" s="276"/>
      <c r="B1835" s="171" t="s">
        <v>664</v>
      </c>
      <c r="C1835" s="172">
        <v>1</v>
      </c>
      <c r="D1835" s="156" t="s">
        <v>73</v>
      </c>
      <c r="E1835" s="172">
        <v>1</v>
      </c>
      <c r="F1835" s="173"/>
      <c r="G1835" s="173"/>
      <c r="H1835" s="173"/>
      <c r="I1835" s="159">
        <f>ROUND(PRODUCT(C1835:H1835),2)</f>
        <v>1</v>
      </c>
      <c r="J1835" s="180" t="s">
        <v>346</v>
      </c>
    </row>
    <row r="1836" spans="1:10" s="181" customFormat="1">
      <c r="A1836" s="276"/>
      <c r="B1836" s="155" t="s">
        <v>665</v>
      </c>
      <c r="C1836" s="149"/>
      <c r="D1836" s="149"/>
      <c r="E1836" s="149"/>
      <c r="F1836" s="150"/>
      <c r="G1836" s="158"/>
      <c r="H1836" s="158"/>
      <c r="I1836" s="159"/>
      <c r="J1836" s="180"/>
    </row>
    <row r="1837" spans="1:10" s="181" customFormat="1">
      <c r="A1837" s="360"/>
      <c r="B1837" s="155"/>
      <c r="C1837" s="149"/>
      <c r="D1837" s="149"/>
      <c r="E1837" s="149"/>
      <c r="F1837" s="150"/>
      <c r="G1837" s="158"/>
      <c r="H1837" s="158"/>
      <c r="I1837" s="159"/>
      <c r="J1837" s="180"/>
    </row>
    <row r="1838" spans="1:10" s="154" customFormat="1" ht="88.5" customHeight="1">
      <c r="A1838" s="349" t="s">
        <v>1459</v>
      </c>
      <c r="B1838" s="250" t="s">
        <v>666</v>
      </c>
      <c r="C1838" s="220"/>
      <c r="D1838" s="220"/>
      <c r="E1838" s="220"/>
      <c r="F1838" s="158"/>
      <c r="G1838" s="158"/>
      <c r="H1838" s="158"/>
      <c r="I1838" s="159"/>
      <c r="J1838" s="213"/>
    </row>
    <row r="1839" spans="1:10" s="154" customFormat="1">
      <c r="A1839" s="179"/>
      <c r="B1839" s="148" t="s">
        <v>408</v>
      </c>
      <c r="C1839" s="149">
        <v>1</v>
      </c>
      <c r="D1839" s="149" t="s">
        <v>73</v>
      </c>
      <c r="E1839" s="149">
        <v>10</v>
      </c>
      <c r="F1839" s="150"/>
      <c r="G1839" s="150"/>
      <c r="H1839" s="150"/>
      <c r="I1839" s="151">
        <f t="shared" ref="I1839:I1864" si="201">PRODUCT(C1839:H1839)</f>
        <v>10</v>
      </c>
      <c r="J1839" s="213"/>
    </row>
    <row r="1840" spans="1:10" s="181" customFormat="1">
      <c r="A1840" s="276"/>
      <c r="B1840" s="148" t="s">
        <v>248</v>
      </c>
      <c r="C1840" s="149">
        <v>1</v>
      </c>
      <c r="D1840" s="149" t="s">
        <v>73</v>
      </c>
      <c r="E1840" s="149">
        <v>2</v>
      </c>
      <c r="F1840" s="150"/>
      <c r="G1840" s="150"/>
      <c r="H1840" s="150"/>
      <c r="I1840" s="151">
        <f t="shared" si="201"/>
        <v>2</v>
      </c>
      <c r="J1840" s="180"/>
    </row>
    <row r="1841" spans="1:10" s="181" customFormat="1">
      <c r="A1841" s="276"/>
      <c r="B1841" s="148" t="s">
        <v>667</v>
      </c>
      <c r="C1841" s="149">
        <v>1</v>
      </c>
      <c r="D1841" s="149" t="s">
        <v>73</v>
      </c>
      <c r="E1841" s="149">
        <v>1</v>
      </c>
      <c r="F1841" s="150"/>
      <c r="G1841" s="150"/>
      <c r="H1841" s="150"/>
      <c r="I1841" s="151">
        <f t="shared" si="201"/>
        <v>1</v>
      </c>
      <c r="J1841" s="180"/>
    </row>
    <row r="1842" spans="1:10" s="154" customFormat="1" ht="13.5" customHeight="1">
      <c r="A1842" s="179"/>
      <c r="B1842" s="155" t="s">
        <v>171</v>
      </c>
      <c r="C1842" s="149"/>
      <c r="D1842" s="149"/>
      <c r="E1842" s="149"/>
      <c r="F1842" s="150"/>
      <c r="G1842" s="150"/>
      <c r="H1842" s="150"/>
      <c r="I1842" s="151">
        <f t="shared" si="201"/>
        <v>0</v>
      </c>
      <c r="J1842" s="244"/>
    </row>
    <row r="1843" spans="1:10" s="154" customFormat="1">
      <c r="A1843" s="179"/>
      <c r="B1843" s="148" t="s">
        <v>298</v>
      </c>
      <c r="C1843" s="149">
        <v>1</v>
      </c>
      <c r="D1843" s="149" t="s">
        <v>73</v>
      </c>
      <c r="E1843" s="149">
        <v>3</v>
      </c>
      <c r="F1843" s="150"/>
      <c r="G1843" s="150"/>
      <c r="H1843" s="150"/>
      <c r="I1843" s="151">
        <f t="shared" si="201"/>
        <v>3</v>
      </c>
      <c r="J1843" s="213"/>
    </row>
    <row r="1844" spans="1:10" s="181" customFormat="1">
      <c r="A1844" s="276"/>
      <c r="B1844" s="148" t="s">
        <v>460</v>
      </c>
      <c r="C1844" s="149">
        <v>1</v>
      </c>
      <c r="D1844" s="149" t="s">
        <v>73</v>
      </c>
      <c r="E1844" s="149">
        <v>3</v>
      </c>
      <c r="F1844" s="150"/>
      <c r="G1844" s="150"/>
      <c r="H1844" s="150"/>
      <c r="I1844" s="151">
        <f t="shared" si="201"/>
        <v>3</v>
      </c>
      <c r="J1844" s="180"/>
    </row>
    <row r="1845" spans="1:10" s="181" customFormat="1" ht="16.5" customHeight="1">
      <c r="A1845" s="276"/>
      <c r="B1845" s="148" t="s">
        <v>553</v>
      </c>
      <c r="C1845" s="149">
        <v>1</v>
      </c>
      <c r="D1845" s="149" t="s">
        <v>73</v>
      </c>
      <c r="E1845" s="149">
        <v>2</v>
      </c>
      <c r="F1845" s="150"/>
      <c r="G1845" s="150"/>
      <c r="H1845" s="150"/>
      <c r="I1845" s="151">
        <f t="shared" si="201"/>
        <v>2</v>
      </c>
      <c r="J1845" s="180"/>
    </row>
    <row r="1846" spans="1:10" s="181" customFormat="1">
      <c r="A1846" s="249"/>
      <c r="B1846" s="148" t="s">
        <v>412</v>
      </c>
      <c r="C1846" s="149">
        <v>1</v>
      </c>
      <c r="D1846" s="149" t="s">
        <v>73</v>
      </c>
      <c r="E1846" s="149">
        <v>3</v>
      </c>
      <c r="F1846" s="150"/>
      <c r="G1846" s="150"/>
      <c r="H1846" s="150"/>
      <c r="I1846" s="151">
        <f t="shared" si="201"/>
        <v>3</v>
      </c>
      <c r="J1846" s="180"/>
    </row>
    <row r="1847" spans="1:10" s="181" customFormat="1">
      <c r="A1847" s="276"/>
      <c r="B1847" s="148" t="s">
        <v>191</v>
      </c>
      <c r="C1847" s="149">
        <v>1</v>
      </c>
      <c r="D1847" s="149" t="s">
        <v>73</v>
      </c>
      <c r="E1847" s="149">
        <v>2</v>
      </c>
      <c r="F1847" s="150"/>
      <c r="G1847" s="150"/>
      <c r="H1847" s="150"/>
      <c r="I1847" s="151">
        <f t="shared" si="201"/>
        <v>2</v>
      </c>
      <c r="J1847" s="180"/>
    </row>
    <row r="1848" spans="1:10" s="181" customFormat="1">
      <c r="A1848" s="276"/>
      <c r="B1848" s="148" t="s">
        <v>303</v>
      </c>
      <c r="C1848" s="149">
        <v>1</v>
      </c>
      <c r="D1848" s="149" t="s">
        <v>73</v>
      </c>
      <c r="E1848" s="149">
        <v>2</v>
      </c>
      <c r="F1848" s="150"/>
      <c r="G1848" s="150"/>
      <c r="H1848" s="150"/>
      <c r="I1848" s="151">
        <f t="shared" si="201"/>
        <v>2</v>
      </c>
      <c r="J1848" s="180"/>
    </row>
    <row r="1849" spans="1:10" s="181" customFormat="1">
      <c r="A1849" s="276"/>
      <c r="B1849" s="148" t="s">
        <v>554</v>
      </c>
      <c r="C1849" s="149">
        <v>1</v>
      </c>
      <c r="D1849" s="149" t="s">
        <v>73</v>
      </c>
      <c r="E1849" s="149">
        <v>2</v>
      </c>
      <c r="F1849" s="150"/>
      <c r="G1849" s="150"/>
      <c r="H1849" s="150"/>
      <c r="I1849" s="151">
        <f t="shared" si="201"/>
        <v>2</v>
      </c>
      <c r="J1849" s="180"/>
    </row>
    <row r="1850" spans="1:10" s="181" customFormat="1">
      <c r="A1850" s="276"/>
      <c r="B1850" s="148" t="s">
        <v>197</v>
      </c>
      <c r="C1850" s="149">
        <v>1</v>
      </c>
      <c r="D1850" s="149" t="s">
        <v>73</v>
      </c>
      <c r="E1850" s="149">
        <v>3</v>
      </c>
      <c r="F1850" s="150"/>
      <c r="G1850" s="150"/>
      <c r="H1850" s="150"/>
      <c r="I1850" s="151">
        <f t="shared" si="201"/>
        <v>3</v>
      </c>
      <c r="J1850" s="180"/>
    </row>
    <row r="1851" spans="1:10" s="181" customFormat="1">
      <c r="A1851" s="276"/>
      <c r="B1851" s="148" t="s">
        <v>667</v>
      </c>
      <c r="C1851" s="149">
        <v>1</v>
      </c>
      <c r="D1851" s="149" t="s">
        <v>73</v>
      </c>
      <c r="E1851" s="149">
        <v>1</v>
      </c>
      <c r="F1851" s="150"/>
      <c r="G1851" s="150"/>
      <c r="H1851" s="150"/>
      <c r="I1851" s="151">
        <f t="shared" si="201"/>
        <v>1</v>
      </c>
      <c r="J1851" s="180"/>
    </row>
    <row r="1852" spans="1:10" s="181" customFormat="1">
      <c r="A1852" s="276"/>
      <c r="B1852" s="155" t="s">
        <v>157</v>
      </c>
      <c r="C1852" s="149"/>
      <c r="D1852" s="149"/>
      <c r="E1852" s="149"/>
      <c r="F1852" s="150"/>
      <c r="G1852" s="150"/>
      <c r="H1852" s="150"/>
      <c r="I1852" s="151">
        <f t="shared" si="201"/>
        <v>0</v>
      </c>
      <c r="J1852" s="180"/>
    </row>
    <row r="1853" spans="1:10" s="181" customFormat="1">
      <c r="A1853" s="276"/>
      <c r="B1853" s="148" t="s">
        <v>298</v>
      </c>
      <c r="C1853" s="149">
        <v>1</v>
      </c>
      <c r="D1853" s="149" t="s">
        <v>73</v>
      </c>
      <c r="E1853" s="149">
        <v>3</v>
      </c>
      <c r="F1853" s="150"/>
      <c r="G1853" s="150"/>
      <c r="H1853" s="150"/>
      <c r="I1853" s="151">
        <f t="shared" si="201"/>
        <v>3</v>
      </c>
      <c r="J1853" s="180"/>
    </row>
    <row r="1854" spans="1:10" s="181" customFormat="1">
      <c r="A1854" s="276"/>
      <c r="B1854" s="148" t="s">
        <v>460</v>
      </c>
      <c r="C1854" s="149">
        <v>1</v>
      </c>
      <c r="D1854" s="149" t="s">
        <v>73</v>
      </c>
      <c r="E1854" s="149">
        <v>3</v>
      </c>
      <c r="F1854" s="150"/>
      <c r="G1854" s="150"/>
      <c r="H1854" s="150"/>
      <c r="I1854" s="151">
        <f t="shared" si="201"/>
        <v>3</v>
      </c>
      <c r="J1854" s="180"/>
    </row>
    <row r="1855" spans="1:10" s="181" customFormat="1">
      <c r="A1855" s="276"/>
      <c r="B1855" s="148" t="s">
        <v>556</v>
      </c>
      <c r="C1855" s="149">
        <v>1</v>
      </c>
      <c r="D1855" s="149" t="s">
        <v>73</v>
      </c>
      <c r="E1855" s="149">
        <v>2</v>
      </c>
      <c r="F1855" s="150"/>
      <c r="G1855" s="150"/>
      <c r="H1855" s="150"/>
      <c r="I1855" s="151">
        <f t="shared" si="201"/>
        <v>2</v>
      </c>
      <c r="J1855" s="180"/>
    </row>
    <row r="1856" spans="1:10" s="181" customFormat="1">
      <c r="A1856" s="276"/>
      <c r="B1856" s="148" t="s">
        <v>331</v>
      </c>
      <c r="C1856" s="149">
        <v>1</v>
      </c>
      <c r="D1856" s="149" t="s">
        <v>73</v>
      </c>
      <c r="E1856" s="149">
        <v>2</v>
      </c>
      <c r="F1856" s="150"/>
      <c r="G1856" s="150"/>
      <c r="H1856" s="150"/>
      <c r="I1856" s="151">
        <f t="shared" si="201"/>
        <v>2</v>
      </c>
      <c r="J1856" s="180"/>
    </row>
    <row r="1857" spans="1:10" s="181" customFormat="1">
      <c r="A1857" s="276"/>
      <c r="B1857" s="148" t="s">
        <v>554</v>
      </c>
      <c r="C1857" s="149">
        <v>1</v>
      </c>
      <c r="D1857" s="149" t="s">
        <v>73</v>
      </c>
      <c r="E1857" s="149">
        <v>2</v>
      </c>
      <c r="F1857" s="150"/>
      <c r="G1857" s="150"/>
      <c r="H1857" s="150"/>
      <c r="I1857" s="151">
        <f t="shared" si="201"/>
        <v>2</v>
      </c>
      <c r="J1857" s="180"/>
    </row>
    <row r="1858" spans="1:10" s="181" customFormat="1">
      <c r="A1858" s="276"/>
      <c r="B1858" s="148" t="s">
        <v>412</v>
      </c>
      <c r="C1858" s="149">
        <v>1</v>
      </c>
      <c r="D1858" s="149" t="s">
        <v>73</v>
      </c>
      <c r="E1858" s="149">
        <v>3</v>
      </c>
      <c r="F1858" s="150"/>
      <c r="G1858" s="150"/>
      <c r="H1858" s="150"/>
      <c r="I1858" s="151">
        <f t="shared" si="201"/>
        <v>3</v>
      </c>
      <c r="J1858" s="180"/>
    </row>
    <row r="1859" spans="1:10" s="181" customFormat="1">
      <c r="A1859" s="276"/>
      <c r="B1859" s="148" t="s">
        <v>197</v>
      </c>
      <c r="C1859" s="149">
        <v>1</v>
      </c>
      <c r="D1859" s="149" t="s">
        <v>73</v>
      </c>
      <c r="E1859" s="149">
        <v>3</v>
      </c>
      <c r="F1859" s="150"/>
      <c r="G1859" s="150"/>
      <c r="H1859" s="150"/>
      <c r="I1859" s="151">
        <f t="shared" si="201"/>
        <v>3</v>
      </c>
      <c r="J1859" s="180"/>
    </row>
    <row r="1860" spans="1:10" s="181" customFormat="1">
      <c r="A1860" s="276"/>
      <c r="B1860" s="148" t="s">
        <v>667</v>
      </c>
      <c r="C1860" s="149">
        <v>1</v>
      </c>
      <c r="D1860" s="149" t="s">
        <v>73</v>
      </c>
      <c r="E1860" s="149">
        <v>1</v>
      </c>
      <c r="F1860" s="150"/>
      <c r="G1860" s="150"/>
      <c r="H1860" s="150"/>
      <c r="I1860" s="151">
        <f t="shared" si="201"/>
        <v>1</v>
      </c>
      <c r="J1860" s="180"/>
    </row>
    <row r="1861" spans="1:10" s="181" customFormat="1">
      <c r="A1861" s="276"/>
      <c r="B1861" s="155" t="s">
        <v>188</v>
      </c>
      <c r="C1861" s="149"/>
      <c r="D1861" s="149"/>
      <c r="E1861" s="149"/>
      <c r="F1861" s="150"/>
      <c r="G1861" s="150"/>
      <c r="H1861" s="150"/>
      <c r="I1861" s="151">
        <f t="shared" si="201"/>
        <v>0</v>
      </c>
      <c r="J1861" s="180"/>
    </row>
    <row r="1862" spans="1:10" s="181" customFormat="1">
      <c r="A1862" s="276"/>
      <c r="B1862" s="148" t="s">
        <v>557</v>
      </c>
      <c r="C1862" s="149">
        <v>2</v>
      </c>
      <c r="D1862" s="149" t="s">
        <v>73</v>
      </c>
      <c r="E1862" s="149">
        <v>2</v>
      </c>
      <c r="F1862" s="150"/>
      <c r="G1862" s="150"/>
      <c r="H1862" s="150"/>
      <c r="I1862" s="151">
        <f t="shared" si="201"/>
        <v>4</v>
      </c>
      <c r="J1862" s="180"/>
    </row>
    <row r="1863" spans="1:10" s="181" customFormat="1">
      <c r="A1863" s="276"/>
      <c r="B1863" s="148" t="s">
        <v>667</v>
      </c>
      <c r="C1863" s="149">
        <v>2</v>
      </c>
      <c r="D1863" s="149" t="s">
        <v>73</v>
      </c>
      <c r="E1863" s="149">
        <v>1</v>
      </c>
      <c r="F1863" s="150"/>
      <c r="G1863" s="150"/>
      <c r="H1863" s="150"/>
      <c r="I1863" s="151">
        <f>PRODUCT(C1863:H1863)</f>
        <v>2</v>
      </c>
      <c r="J1863" s="180"/>
    </row>
    <row r="1864" spans="1:10" s="181" customFormat="1">
      <c r="A1864" s="276"/>
      <c r="B1864" s="148" t="s">
        <v>558</v>
      </c>
      <c r="C1864" s="149">
        <v>1</v>
      </c>
      <c r="D1864" s="149" t="s">
        <v>73</v>
      </c>
      <c r="E1864" s="149">
        <v>1</v>
      </c>
      <c r="F1864" s="150"/>
      <c r="G1864" s="150"/>
      <c r="H1864" s="150"/>
      <c r="I1864" s="151">
        <f t="shared" si="201"/>
        <v>1</v>
      </c>
      <c r="J1864" s="180"/>
    </row>
    <row r="1865" spans="1:10" s="181" customFormat="1">
      <c r="A1865" s="276"/>
      <c r="B1865" s="148"/>
      <c r="C1865" s="149"/>
      <c r="D1865" s="149"/>
      <c r="E1865" s="149"/>
      <c r="F1865" s="150"/>
      <c r="G1865" s="150"/>
      <c r="H1865" s="150" t="s">
        <v>246</v>
      </c>
      <c r="I1865" s="159">
        <f>SUM(I1839:I1864)</f>
        <v>60</v>
      </c>
      <c r="J1865" s="180" t="s">
        <v>128</v>
      </c>
    </row>
    <row r="1866" spans="1:10" s="181" customFormat="1">
      <c r="A1866" s="276"/>
      <c r="B1866" s="148"/>
      <c r="C1866" s="149"/>
      <c r="D1866" s="149"/>
      <c r="E1866" s="149"/>
      <c r="F1866" s="150"/>
      <c r="G1866" s="150"/>
      <c r="H1866" s="150"/>
      <c r="I1866" s="159"/>
      <c r="J1866" s="180"/>
    </row>
    <row r="1867" spans="1:10" s="181" customFormat="1" ht="93.75">
      <c r="A1867" s="276" t="s">
        <v>1460</v>
      </c>
      <c r="B1867" s="251" t="s">
        <v>668</v>
      </c>
      <c r="C1867" s="162"/>
      <c r="D1867" s="162"/>
      <c r="E1867" s="162"/>
      <c r="F1867" s="228"/>
      <c r="G1867" s="228"/>
      <c r="H1867" s="228"/>
      <c r="I1867" s="159"/>
      <c r="J1867" s="180"/>
    </row>
    <row r="1868" spans="1:10" s="181" customFormat="1">
      <c r="A1868" s="276"/>
      <c r="B1868" s="252" t="s">
        <v>1461</v>
      </c>
      <c r="C1868" s="220"/>
      <c r="D1868" s="220"/>
      <c r="E1868" s="220"/>
      <c r="F1868" s="158"/>
      <c r="G1868" s="158"/>
      <c r="H1868" s="158"/>
      <c r="I1868" s="159"/>
      <c r="J1868" s="180"/>
    </row>
    <row r="1869" spans="1:10" s="181" customFormat="1">
      <c r="A1869" s="276"/>
      <c r="B1869" s="155" t="s">
        <v>562</v>
      </c>
      <c r="C1869" s="220"/>
      <c r="D1869" s="220"/>
      <c r="E1869" s="220"/>
      <c r="F1869" s="158"/>
      <c r="G1869" s="158"/>
      <c r="H1869" s="158"/>
      <c r="I1869" s="159"/>
      <c r="J1869" s="180"/>
    </row>
    <row r="1870" spans="1:10" s="181" customFormat="1">
      <c r="A1870" s="276"/>
      <c r="B1870" s="148" t="s">
        <v>563</v>
      </c>
      <c r="C1870" s="149">
        <v>1</v>
      </c>
      <c r="D1870" s="156" t="s">
        <v>73</v>
      </c>
      <c r="E1870" s="149">
        <v>2</v>
      </c>
      <c r="F1870" s="150"/>
      <c r="G1870" s="150" t="s">
        <v>512</v>
      </c>
      <c r="H1870" s="150"/>
      <c r="I1870" s="151">
        <f t="shared" ref="I1870:I1897" si="202">PRODUCT(C1870:H1870)</f>
        <v>2</v>
      </c>
      <c r="J1870" s="180"/>
    </row>
    <row r="1871" spans="1:10" s="181" customFormat="1">
      <c r="A1871" s="276"/>
      <c r="B1871" s="148" t="s">
        <v>248</v>
      </c>
      <c r="C1871" s="149">
        <v>1</v>
      </c>
      <c r="D1871" s="156" t="s">
        <v>73</v>
      </c>
      <c r="E1871" s="149">
        <v>2</v>
      </c>
      <c r="F1871" s="150"/>
      <c r="G1871" s="150"/>
      <c r="H1871" s="150"/>
      <c r="I1871" s="151">
        <f t="shared" si="202"/>
        <v>2</v>
      </c>
      <c r="J1871" s="180"/>
    </row>
    <row r="1872" spans="1:10" s="181" customFormat="1">
      <c r="A1872" s="276"/>
      <c r="B1872" s="155" t="s">
        <v>564</v>
      </c>
      <c r="C1872" s="149"/>
      <c r="D1872" s="149"/>
      <c r="E1872" s="149"/>
      <c r="F1872" s="150"/>
      <c r="G1872" s="150"/>
      <c r="H1872" s="150"/>
      <c r="I1872" s="151">
        <f t="shared" si="202"/>
        <v>0</v>
      </c>
      <c r="J1872" s="180"/>
    </row>
    <row r="1873" spans="1:10" s="181" customFormat="1">
      <c r="A1873" s="276"/>
      <c r="B1873" s="148" t="s">
        <v>298</v>
      </c>
      <c r="C1873" s="149">
        <v>1</v>
      </c>
      <c r="D1873" s="149" t="s">
        <v>73</v>
      </c>
      <c r="E1873" s="149">
        <v>2</v>
      </c>
      <c r="F1873" s="150"/>
      <c r="G1873" s="150"/>
      <c r="H1873" s="150"/>
      <c r="I1873" s="151">
        <f t="shared" si="202"/>
        <v>2</v>
      </c>
      <c r="J1873" s="180"/>
    </row>
    <row r="1874" spans="1:10" s="181" customFormat="1" ht="16.5" customHeight="1">
      <c r="A1874" s="276"/>
      <c r="B1874" s="148" t="s">
        <v>460</v>
      </c>
      <c r="C1874" s="149">
        <v>1</v>
      </c>
      <c r="D1874" s="149" t="s">
        <v>73</v>
      </c>
      <c r="E1874" s="149">
        <v>2</v>
      </c>
      <c r="F1874" s="150"/>
      <c r="G1874" s="150"/>
      <c r="H1874" s="150"/>
      <c r="I1874" s="151">
        <f t="shared" si="202"/>
        <v>2</v>
      </c>
      <c r="J1874" s="180"/>
    </row>
    <row r="1875" spans="1:10" s="181" customFormat="1">
      <c r="A1875" s="276"/>
      <c r="B1875" s="148" t="s">
        <v>553</v>
      </c>
      <c r="C1875" s="149">
        <v>1</v>
      </c>
      <c r="D1875" s="149" t="s">
        <v>73</v>
      </c>
      <c r="E1875" s="149">
        <v>1</v>
      </c>
      <c r="F1875" s="150"/>
      <c r="G1875" s="150"/>
      <c r="H1875" s="150"/>
      <c r="I1875" s="151">
        <f t="shared" si="202"/>
        <v>1</v>
      </c>
      <c r="J1875" s="180"/>
    </row>
    <row r="1876" spans="1:10" s="181" customFormat="1">
      <c r="A1876" s="276"/>
      <c r="B1876" s="148" t="s">
        <v>412</v>
      </c>
      <c r="C1876" s="149">
        <v>1</v>
      </c>
      <c r="D1876" s="149" t="s">
        <v>73</v>
      </c>
      <c r="E1876" s="149">
        <v>1</v>
      </c>
      <c r="F1876" s="150"/>
      <c r="G1876" s="150"/>
      <c r="H1876" s="150"/>
      <c r="I1876" s="151">
        <f t="shared" si="202"/>
        <v>1</v>
      </c>
      <c r="J1876" s="180"/>
    </row>
    <row r="1877" spans="1:10" s="181" customFormat="1">
      <c r="A1877" s="276"/>
      <c r="B1877" s="148" t="s">
        <v>191</v>
      </c>
      <c r="C1877" s="149">
        <v>1</v>
      </c>
      <c r="D1877" s="149" t="s">
        <v>73</v>
      </c>
      <c r="E1877" s="149">
        <v>1</v>
      </c>
      <c r="F1877" s="150"/>
      <c r="G1877" s="150"/>
      <c r="H1877" s="150"/>
      <c r="I1877" s="151">
        <f t="shared" si="202"/>
        <v>1</v>
      </c>
      <c r="J1877" s="180"/>
    </row>
    <row r="1878" spans="1:10" s="181" customFormat="1">
      <c r="A1878" s="276"/>
      <c r="B1878" s="148" t="s">
        <v>303</v>
      </c>
      <c r="C1878" s="149">
        <v>1</v>
      </c>
      <c r="D1878" s="149" t="s">
        <v>73</v>
      </c>
      <c r="E1878" s="149">
        <v>1</v>
      </c>
      <c r="F1878" s="150"/>
      <c r="G1878" s="150"/>
      <c r="H1878" s="150"/>
      <c r="I1878" s="151">
        <f t="shared" si="202"/>
        <v>1</v>
      </c>
      <c r="J1878" s="180"/>
    </row>
    <row r="1879" spans="1:10" s="181" customFormat="1">
      <c r="A1879" s="276"/>
      <c r="B1879" s="148" t="s">
        <v>554</v>
      </c>
      <c r="C1879" s="149">
        <v>1</v>
      </c>
      <c r="D1879" s="149" t="s">
        <v>73</v>
      </c>
      <c r="E1879" s="149">
        <v>1</v>
      </c>
      <c r="F1879" s="150"/>
      <c r="G1879" s="150"/>
      <c r="H1879" s="150"/>
      <c r="I1879" s="151">
        <f t="shared" si="202"/>
        <v>1</v>
      </c>
      <c r="J1879" s="180"/>
    </row>
    <row r="1880" spans="1:10" s="181" customFormat="1">
      <c r="A1880" s="276"/>
      <c r="B1880" s="148" t="s">
        <v>565</v>
      </c>
      <c r="C1880" s="149">
        <v>1</v>
      </c>
      <c r="D1880" s="149" t="s">
        <v>73</v>
      </c>
      <c r="E1880" s="149">
        <v>2</v>
      </c>
      <c r="F1880" s="150"/>
      <c r="G1880" s="150"/>
      <c r="H1880" s="150"/>
      <c r="I1880" s="151">
        <f t="shared" si="202"/>
        <v>2</v>
      </c>
      <c r="J1880" s="180"/>
    </row>
    <row r="1881" spans="1:10" s="181" customFormat="1">
      <c r="A1881" s="276"/>
      <c r="B1881" s="148" t="s">
        <v>555</v>
      </c>
      <c r="C1881" s="149">
        <v>1</v>
      </c>
      <c r="D1881" s="149" t="s">
        <v>73</v>
      </c>
      <c r="E1881" s="149">
        <v>1</v>
      </c>
      <c r="F1881" s="150"/>
      <c r="G1881" s="150"/>
      <c r="H1881" s="150"/>
      <c r="I1881" s="151">
        <f t="shared" si="202"/>
        <v>1</v>
      </c>
      <c r="J1881" s="180"/>
    </row>
    <row r="1882" spans="1:10" s="181" customFormat="1">
      <c r="A1882" s="276"/>
      <c r="B1882" s="148" t="s">
        <v>172</v>
      </c>
      <c r="C1882" s="149">
        <v>1</v>
      </c>
      <c r="D1882" s="149" t="s">
        <v>73</v>
      </c>
      <c r="E1882" s="149">
        <v>1</v>
      </c>
      <c r="F1882" s="150"/>
      <c r="G1882" s="150"/>
      <c r="H1882" s="150"/>
      <c r="I1882" s="151">
        <f t="shared" si="202"/>
        <v>1</v>
      </c>
      <c r="J1882" s="180"/>
    </row>
    <row r="1883" spans="1:10" s="181" customFormat="1">
      <c r="A1883" s="276"/>
      <c r="B1883" s="155" t="s">
        <v>566</v>
      </c>
      <c r="C1883" s="149"/>
      <c r="D1883" s="149"/>
      <c r="E1883" s="149"/>
      <c r="F1883" s="150"/>
      <c r="G1883" s="150"/>
      <c r="H1883" s="150"/>
      <c r="I1883" s="151">
        <f t="shared" si="202"/>
        <v>0</v>
      </c>
      <c r="J1883" s="180"/>
    </row>
    <row r="1884" spans="1:10" s="181" customFormat="1">
      <c r="A1884" s="276"/>
      <c r="B1884" s="148" t="s">
        <v>298</v>
      </c>
      <c r="C1884" s="149">
        <v>1</v>
      </c>
      <c r="D1884" s="149" t="s">
        <v>73</v>
      </c>
      <c r="E1884" s="149">
        <v>2</v>
      </c>
      <c r="F1884" s="150"/>
      <c r="G1884" s="150"/>
      <c r="H1884" s="150"/>
      <c r="I1884" s="151">
        <f t="shared" si="202"/>
        <v>2</v>
      </c>
      <c r="J1884" s="180"/>
    </row>
    <row r="1885" spans="1:10" s="181" customFormat="1">
      <c r="A1885" s="276"/>
      <c r="B1885" s="148" t="s">
        <v>460</v>
      </c>
      <c r="C1885" s="149">
        <v>1</v>
      </c>
      <c r="D1885" s="149" t="s">
        <v>73</v>
      </c>
      <c r="E1885" s="149">
        <v>2</v>
      </c>
      <c r="F1885" s="150"/>
      <c r="G1885" s="150"/>
      <c r="H1885" s="150"/>
      <c r="I1885" s="151">
        <f t="shared" si="202"/>
        <v>2</v>
      </c>
      <c r="J1885" s="180"/>
    </row>
    <row r="1886" spans="1:10" s="181" customFormat="1">
      <c r="A1886" s="276"/>
      <c r="B1886" s="148" t="s">
        <v>567</v>
      </c>
      <c r="C1886" s="149">
        <v>1</v>
      </c>
      <c r="D1886" s="149" t="s">
        <v>73</v>
      </c>
      <c r="E1886" s="149">
        <v>1</v>
      </c>
      <c r="F1886" s="150"/>
      <c r="G1886" s="150"/>
      <c r="H1886" s="150"/>
      <c r="I1886" s="151">
        <f t="shared" si="202"/>
        <v>1</v>
      </c>
      <c r="J1886" s="180"/>
    </row>
    <row r="1887" spans="1:10" s="181" customFormat="1">
      <c r="A1887" s="276"/>
      <c r="B1887" s="148" t="s">
        <v>310</v>
      </c>
      <c r="C1887" s="149">
        <v>1</v>
      </c>
      <c r="D1887" s="149" t="s">
        <v>73</v>
      </c>
      <c r="E1887" s="149">
        <v>2</v>
      </c>
      <c r="F1887" s="150"/>
      <c r="G1887" s="150"/>
      <c r="H1887" s="150"/>
      <c r="I1887" s="151">
        <f t="shared" si="202"/>
        <v>2</v>
      </c>
      <c r="J1887" s="180"/>
    </row>
    <row r="1888" spans="1:10" s="181" customFormat="1">
      <c r="A1888" s="276"/>
      <c r="B1888" s="148" t="s">
        <v>191</v>
      </c>
      <c r="C1888" s="149">
        <v>1</v>
      </c>
      <c r="D1888" s="149" t="s">
        <v>73</v>
      </c>
      <c r="E1888" s="149">
        <v>1</v>
      </c>
      <c r="F1888" s="150"/>
      <c r="G1888" s="150"/>
      <c r="H1888" s="150"/>
      <c r="I1888" s="151">
        <f t="shared" si="202"/>
        <v>1</v>
      </c>
      <c r="J1888" s="180"/>
    </row>
    <row r="1889" spans="1:10" s="181" customFormat="1">
      <c r="A1889" s="276"/>
      <c r="B1889" s="148"/>
      <c r="C1889" s="149"/>
      <c r="D1889" s="149"/>
      <c r="E1889" s="149"/>
      <c r="F1889" s="150"/>
      <c r="G1889" s="150"/>
      <c r="H1889" s="150"/>
      <c r="I1889" s="151"/>
      <c r="J1889" s="180"/>
    </row>
    <row r="1890" spans="1:10" s="181" customFormat="1">
      <c r="A1890" s="276"/>
      <c r="B1890" s="148" t="s">
        <v>412</v>
      </c>
      <c r="C1890" s="149">
        <v>1</v>
      </c>
      <c r="D1890" s="149" t="s">
        <v>73</v>
      </c>
      <c r="E1890" s="149">
        <v>1</v>
      </c>
      <c r="F1890" s="150"/>
      <c r="G1890" s="150"/>
      <c r="H1890" s="150"/>
      <c r="I1890" s="151">
        <f t="shared" si="202"/>
        <v>1</v>
      </c>
      <c r="J1890" s="180"/>
    </row>
    <row r="1891" spans="1:10" s="181" customFormat="1">
      <c r="A1891" s="276"/>
      <c r="B1891" s="148" t="s">
        <v>565</v>
      </c>
      <c r="C1891" s="149">
        <v>1</v>
      </c>
      <c r="D1891" s="149" t="s">
        <v>73</v>
      </c>
      <c r="E1891" s="149">
        <v>2</v>
      </c>
      <c r="F1891" s="150"/>
      <c r="G1891" s="150"/>
      <c r="H1891" s="150"/>
      <c r="I1891" s="151">
        <f t="shared" si="202"/>
        <v>2</v>
      </c>
      <c r="J1891" s="180"/>
    </row>
    <row r="1892" spans="1:10" s="181" customFormat="1">
      <c r="A1892" s="276"/>
      <c r="B1892" s="148" t="s">
        <v>172</v>
      </c>
      <c r="C1892" s="149">
        <v>1</v>
      </c>
      <c r="D1892" s="149" t="s">
        <v>73</v>
      </c>
      <c r="E1892" s="149">
        <v>1</v>
      </c>
      <c r="F1892" s="150"/>
      <c r="G1892" s="150"/>
      <c r="H1892" s="150"/>
      <c r="I1892" s="151">
        <f t="shared" si="202"/>
        <v>1</v>
      </c>
      <c r="J1892" s="180"/>
    </row>
    <row r="1893" spans="1:10" s="181" customFormat="1">
      <c r="A1893" s="276"/>
      <c r="B1893" s="155" t="s">
        <v>568</v>
      </c>
      <c r="C1893" s="149"/>
      <c r="D1893" s="149"/>
      <c r="E1893" s="149"/>
      <c r="F1893" s="150"/>
      <c r="G1893" s="150"/>
      <c r="H1893" s="150"/>
      <c r="I1893" s="151">
        <f t="shared" si="202"/>
        <v>0</v>
      </c>
      <c r="J1893" s="180"/>
    </row>
    <row r="1894" spans="1:10" s="181" customFormat="1">
      <c r="A1894" s="276"/>
      <c r="B1894" s="148" t="s">
        <v>569</v>
      </c>
      <c r="C1894" s="149">
        <v>2</v>
      </c>
      <c r="D1894" s="149" t="s">
        <v>73</v>
      </c>
      <c r="E1894" s="149">
        <v>2</v>
      </c>
      <c r="F1894" s="150"/>
      <c r="G1894" s="150"/>
      <c r="H1894" s="150"/>
      <c r="I1894" s="151">
        <f t="shared" si="202"/>
        <v>4</v>
      </c>
      <c r="J1894" s="180"/>
    </row>
    <row r="1895" spans="1:10" s="181" customFormat="1">
      <c r="A1895" s="276"/>
      <c r="B1895" s="148" t="s">
        <v>570</v>
      </c>
      <c r="C1895" s="149">
        <v>1</v>
      </c>
      <c r="D1895" s="149" t="s">
        <v>73</v>
      </c>
      <c r="E1895" s="149">
        <v>2</v>
      </c>
      <c r="F1895" s="150"/>
      <c r="G1895" s="150"/>
      <c r="H1895" s="150"/>
      <c r="I1895" s="151">
        <f t="shared" si="202"/>
        <v>2</v>
      </c>
      <c r="J1895" s="180"/>
    </row>
    <row r="1896" spans="1:10" s="181" customFormat="1">
      <c r="A1896" s="276"/>
      <c r="B1896" s="148" t="s">
        <v>160</v>
      </c>
      <c r="C1896" s="149">
        <v>1</v>
      </c>
      <c r="D1896" s="149" t="s">
        <v>73</v>
      </c>
      <c r="E1896" s="149">
        <v>2</v>
      </c>
      <c r="F1896" s="150"/>
      <c r="G1896" s="150"/>
      <c r="H1896" s="150"/>
      <c r="I1896" s="151">
        <f t="shared" si="202"/>
        <v>2</v>
      </c>
      <c r="J1896" s="180"/>
    </row>
    <row r="1897" spans="1:10" s="181" customFormat="1">
      <c r="A1897" s="276"/>
      <c r="B1897" s="148" t="s">
        <v>571</v>
      </c>
      <c r="C1897" s="149">
        <v>1</v>
      </c>
      <c r="D1897" s="149" t="s">
        <v>73</v>
      </c>
      <c r="E1897" s="149">
        <v>2</v>
      </c>
      <c r="F1897" s="150"/>
      <c r="G1897" s="150"/>
      <c r="H1897" s="150"/>
      <c r="I1897" s="151">
        <f t="shared" si="202"/>
        <v>2</v>
      </c>
      <c r="J1897" s="180"/>
    </row>
    <row r="1898" spans="1:10" s="181" customFormat="1">
      <c r="A1898" s="276"/>
      <c r="B1898" s="148"/>
      <c r="C1898" s="149"/>
      <c r="D1898" s="149"/>
      <c r="E1898" s="149"/>
      <c r="F1898" s="150"/>
      <c r="G1898" s="150"/>
      <c r="H1898" s="150"/>
      <c r="I1898" s="159">
        <f>SUM(I1870:I1897)</f>
        <v>39</v>
      </c>
      <c r="J1898" s="180" t="s">
        <v>128</v>
      </c>
    </row>
    <row r="1899" spans="1:10" s="181" customFormat="1">
      <c r="A1899" s="276"/>
      <c r="B1899" s="148"/>
      <c r="C1899" s="149"/>
      <c r="D1899" s="149"/>
      <c r="E1899" s="149"/>
      <c r="F1899" s="150"/>
      <c r="G1899" s="150"/>
      <c r="H1899" s="150"/>
      <c r="I1899" s="159"/>
      <c r="J1899" s="180"/>
    </row>
    <row r="1900" spans="1:10" s="181" customFormat="1">
      <c r="A1900" s="276"/>
      <c r="B1900" s="155" t="s">
        <v>1462</v>
      </c>
      <c r="C1900" s="149"/>
      <c r="D1900" s="149"/>
      <c r="E1900" s="149"/>
      <c r="F1900" s="150"/>
      <c r="G1900" s="150"/>
      <c r="H1900" s="150"/>
      <c r="I1900" s="159"/>
      <c r="J1900" s="180"/>
    </row>
    <row r="1901" spans="1:10" s="181" customFormat="1">
      <c r="A1901" s="276"/>
      <c r="B1901" s="148" t="s">
        <v>669</v>
      </c>
      <c r="C1901" s="149">
        <v>1</v>
      </c>
      <c r="D1901" s="149" t="s">
        <v>73</v>
      </c>
      <c r="E1901" s="149">
        <v>1</v>
      </c>
      <c r="F1901" s="150"/>
      <c r="G1901" s="150"/>
      <c r="H1901" s="150"/>
      <c r="I1901" s="151">
        <f>PRODUCT(C1901:H1901)</f>
        <v>1</v>
      </c>
      <c r="J1901" s="180"/>
    </row>
    <row r="1902" spans="1:10" s="181" customFormat="1">
      <c r="A1902" s="276"/>
      <c r="B1902" s="148" t="s">
        <v>670</v>
      </c>
      <c r="C1902" s="149">
        <v>1</v>
      </c>
      <c r="D1902" s="149" t="s">
        <v>73</v>
      </c>
      <c r="E1902" s="149">
        <v>4</v>
      </c>
      <c r="F1902" s="150"/>
      <c r="G1902" s="150"/>
      <c r="H1902" s="150"/>
      <c r="I1902" s="151">
        <f>PRODUCT(C1902:H1902)</f>
        <v>4</v>
      </c>
      <c r="J1902" s="180"/>
    </row>
    <row r="1903" spans="1:10" s="181" customFormat="1">
      <c r="A1903" s="276"/>
      <c r="B1903" s="148"/>
      <c r="C1903" s="149"/>
      <c r="D1903" s="149"/>
      <c r="E1903" s="149"/>
      <c r="F1903" s="158"/>
      <c r="G1903" s="158"/>
      <c r="H1903" s="158"/>
      <c r="I1903" s="159">
        <f>SUM(I1901:I1902)</f>
        <v>5</v>
      </c>
      <c r="J1903" s="180" t="s">
        <v>128</v>
      </c>
    </row>
    <row r="1904" spans="1:10" s="181" customFormat="1">
      <c r="A1904" s="276"/>
      <c r="B1904" s="148"/>
      <c r="C1904" s="149"/>
      <c r="D1904" s="149"/>
      <c r="E1904" s="149"/>
      <c r="F1904" s="158"/>
      <c r="G1904" s="158"/>
      <c r="H1904" s="158"/>
      <c r="I1904" s="159"/>
      <c r="J1904" s="180"/>
    </row>
    <row r="1905" spans="1:10" s="181" customFormat="1" ht="37.5">
      <c r="A1905" s="276" t="s">
        <v>1463</v>
      </c>
      <c r="B1905" s="176" t="s">
        <v>671</v>
      </c>
      <c r="C1905" s="220"/>
      <c r="D1905" s="220"/>
      <c r="E1905" s="220"/>
      <c r="F1905" s="158"/>
      <c r="G1905" s="158"/>
      <c r="H1905" s="158"/>
      <c r="I1905" s="159"/>
      <c r="J1905" s="180"/>
    </row>
    <row r="1906" spans="1:10" s="181" customFormat="1">
      <c r="A1906" s="276"/>
      <c r="B1906" s="148" t="s">
        <v>669</v>
      </c>
      <c r="C1906" s="149">
        <v>1</v>
      </c>
      <c r="D1906" s="149" t="s">
        <v>73</v>
      </c>
      <c r="E1906" s="149">
        <v>1</v>
      </c>
      <c r="F1906" s="150"/>
      <c r="G1906" s="150"/>
      <c r="H1906" s="150"/>
      <c r="I1906" s="151">
        <f>PRODUCT(C1906:H1906)</f>
        <v>1</v>
      </c>
      <c r="J1906" s="180"/>
    </row>
    <row r="1907" spans="1:10" s="181" customFormat="1">
      <c r="A1907" s="276"/>
      <c r="B1907" s="148" t="s">
        <v>670</v>
      </c>
      <c r="C1907" s="149">
        <v>1</v>
      </c>
      <c r="D1907" s="149" t="s">
        <v>73</v>
      </c>
      <c r="E1907" s="149">
        <v>4</v>
      </c>
      <c r="F1907" s="150"/>
      <c r="G1907" s="150"/>
      <c r="H1907" s="150"/>
      <c r="I1907" s="151">
        <f>PRODUCT(C1907:H1907)</f>
        <v>4</v>
      </c>
      <c r="J1907" s="221"/>
    </row>
    <row r="1908" spans="1:10" s="181" customFormat="1">
      <c r="A1908" s="276"/>
      <c r="B1908" s="148"/>
      <c r="C1908" s="149"/>
      <c r="D1908" s="149"/>
      <c r="E1908" s="149"/>
      <c r="F1908" s="158"/>
      <c r="G1908" s="158"/>
      <c r="H1908" s="158"/>
      <c r="I1908" s="159">
        <f>SUM(I1906:I1907)</f>
        <v>5</v>
      </c>
      <c r="J1908" s="180" t="s">
        <v>128</v>
      </c>
    </row>
    <row r="1909" spans="1:10" s="181" customFormat="1">
      <c r="A1909" s="276"/>
      <c r="B1909" s="148"/>
      <c r="C1909" s="149"/>
      <c r="D1909" s="149"/>
      <c r="E1909" s="149"/>
      <c r="F1909" s="158"/>
      <c r="G1909" s="158"/>
      <c r="H1909" s="158"/>
      <c r="I1909" s="159"/>
      <c r="J1909" s="180"/>
    </row>
    <row r="1910" spans="1:10" s="181" customFormat="1">
      <c r="A1910" s="388">
        <v>504</v>
      </c>
      <c r="B1910" s="387" t="s">
        <v>1568</v>
      </c>
      <c r="C1910" s="149"/>
      <c r="D1910" s="149"/>
      <c r="E1910" s="149"/>
      <c r="F1910" s="158"/>
      <c r="G1910" s="158"/>
      <c r="H1910" s="158"/>
      <c r="I1910" s="159"/>
      <c r="J1910" s="180"/>
    </row>
    <row r="1911" spans="1:10" s="181" customFormat="1">
      <c r="A1911" s="390"/>
      <c r="B1911" s="391" t="s">
        <v>1567</v>
      </c>
      <c r="C1911" s="217">
        <v>1</v>
      </c>
      <c r="D1911" s="156" t="s">
        <v>73</v>
      </c>
      <c r="E1911" s="217">
        <v>1</v>
      </c>
      <c r="F1911" s="168">
        <v>62</v>
      </c>
      <c r="G1911" s="168"/>
      <c r="H1911" s="168"/>
      <c r="I1911" s="241">
        <f>PRODUCT(C1911:H1911)</f>
        <v>62</v>
      </c>
      <c r="J1911" s="180" t="s">
        <v>76</v>
      </c>
    </row>
    <row r="1912" spans="1:10" s="181" customFormat="1">
      <c r="A1912" s="276"/>
      <c r="B1912" s="148"/>
      <c r="C1912" s="149"/>
      <c r="D1912" s="149"/>
      <c r="E1912" s="149"/>
      <c r="F1912" s="158"/>
      <c r="G1912" s="158"/>
      <c r="H1912" s="158"/>
      <c r="I1912" s="159"/>
      <c r="J1912" s="180"/>
    </row>
    <row r="1913" spans="1:10" s="181" customFormat="1" ht="37.5">
      <c r="A1913" s="276" t="s">
        <v>1565</v>
      </c>
      <c r="B1913" s="387" t="s">
        <v>1564</v>
      </c>
      <c r="C1913" s="149"/>
      <c r="D1913" s="149"/>
      <c r="E1913" s="149"/>
      <c r="F1913" s="158"/>
      <c r="G1913" s="158"/>
      <c r="H1913" s="158"/>
      <c r="I1913" s="159"/>
      <c r="J1913" s="180"/>
    </row>
    <row r="1914" spans="1:10" s="181" customFormat="1">
      <c r="A1914" s="276"/>
      <c r="B1914" s="148" t="s">
        <v>1567</v>
      </c>
      <c r="C1914" s="217">
        <v>1</v>
      </c>
      <c r="D1914" s="156" t="s">
        <v>73</v>
      </c>
      <c r="E1914" s="217">
        <v>1</v>
      </c>
      <c r="F1914" s="168">
        <v>1</v>
      </c>
      <c r="G1914" s="168"/>
      <c r="H1914" s="168"/>
      <c r="I1914" s="241">
        <f>PRODUCT(C1914:H1914)</f>
        <v>1</v>
      </c>
      <c r="J1914" s="180" t="s">
        <v>128</v>
      </c>
    </row>
    <row r="1915" spans="1:10" s="181" customFormat="1">
      <c r="A1915" s="276"/>
      <c r="B1915" s="148"/>
      <c r="C1915" s="149"/>
      <c r="D1915" s="149"/>
      <c r="E1915" s="149"/>
      <c r="F1915" s="158"/>
      <c r="G1915" s="158"/>
      <c r="H1915" s="158"/>
      <c r="I1915" s="159"/>
      <c r="J1915" s="180"/>
    </row>
    <row r="1916" spans="1:10" s="181" customFormat="1" ht="37.5">
      <c r="A1916" s="276" t="s">
        <v>1562</v>
      </c>
      <c r="B1916" s="387" t="s">
        <v>1563</v>
      </c>
      <c r="C1916" s="149"/>
      <c r="D1916" s="149"/>
      <c r="E1916" s="149"/>
      <c r="F1916" s="158"/>
      <c r="G1916" s="158"/>
      <c r="H1916" s="158"/>
      <c r="I1916" s="159"/>
      <c r="J1916" s="180"/>
    </row>
    <row r="1917" spans="1:10" s="181" customFormat="1">
      <c r="A1917" s="276"/>
      <c r="B1917" s="148" t="s">
        <v>1566</v>
      </c>
      <c r="C1917" s="217">
        <v>1</v>
      </c>
      <c r="D1917" s="156" t="s">
        <v>73</v>
      </c>
      <c r="E1917" s="217">
        <v>1</v>
      </c>
      <c r="F1917" s="168">
        <v>50</v>
      </c>
      <c r="G1917" s="168"/>
      <c r="H1917" s="168"/>
      <c r="I1917" s="241">
        <f>PRODUCT(C1917:H1917)</f>
        <v>50</v>
      </c>
      <c r="J1917" s="180" t="s">
        <v>76</v>
      </c>
    </row>
    <row r="1918" spans="1:10" s="181" customFormat="1">
      <c r="A1918" s="276"/>
      <c r="B1918" s="148"/>
      <c r="C1918" s="149"/>
      <c r="D1918" s="149"/>
      <c r="E1918" s="149"/>
      <c r="F1918" s="158"/>
      <c r="G1918" s="158"/>
      <c r="H1918" s="158"/>
      <c r="I1918" s="159"/>
      <c r="J1918" s="180"/>
    </row>
    <row r="1919" spans="1:10" s="181" customFormat="1" ht="56.25">
      <c r="A1919" s="388">
        <v>619</v>
      </c>
      <c r="B1919" s="387" t="s">
        <v>1560</v>
      </c>
      <c r="C1919" s="149"/>
      <c r="D1919" s="149"/>
      <c r="E1919" s="149"/>
      <c r="F1919" s="158"/>
      <c r="G1919" s="158"/>
      <c r="H1919" s="158"/>
      <c r="I1919" s="159"/>
      <c r="J1919" s="180"/>
    </row>
    <row r="1920" spans="1:10" s="181" customFormat="1">
      <c r="A1920" s="276"/>
      <c r="B1920" s="239" t="s">
        <v>1561</v>
      </c>
      <c r="C1920" s="217">
        <v>1</v>
      </c>
      <c r="D1920" s="156" t="s">
        <v>73</v>
      </c>
      <c r="E1920" s="217">
        <v>1</v>
      </c>
      <c r="F1920" s="168">
        <v>1</v>
      </c>
      <c r="G1920" s="168"/>
      <c r="H1920" s="168"/>
      <c r="I1920" s="241">
        <f>PRODUCT(C1920:H1920)</f>
        <v>1</v>
      </c>
      <c r="J1920" s="180" t="s">
        <v>128</v>
      </c>
    </row>
    <row r="1921" spans="1:10" s="181" customFormat="1">
      <c r="A1921" s="276"/>
      <c r="B1921" s="148"/>
      <c r="C1921" s="149"/>
      <c r="D1921" s="149"/>
      <c r="E1921" s="149"/>
      <c r="F1921" s="158"/>
      <c r="G1921" s="158"/>
      <c r="H1921" s="158"/>
      <c r="I1921" s="159"/>
      <c r="J1921" s="180"/>
    </row>
    <row r="1922" spans="1:10" s="181" customFormat="1" ht="37.5">
      <c r="A1922" s="388" t="s">
        <v>1558</v>
      </c>
      <c r="B1922" s="387" t="s">
        <v>1559</v>
      </c>
      <c r="C1922" s="149"/>
      <c r="D1922" s="149"/>
      <c r="E1922" s="149"/>
      <c r="F1922" s="158"/>
      <c r="G1922" s="158"/>
      <c r="H1922" s="158"/>
      <c r="I1922" s="159"/>
      <c r="J1922" s="180"/>
    </row>
    <row r="1923" spans="1:10" s="181" customFormat="1">
      <c r="A1923" s="276"/>
      <c r="B1923" s="239" t="s">
        <v>1557</v>
      </c>
      <c r="C1923" s="217">
        <v>1</v>
      </c>
      <c r="D1923" s="156" t="s">
        <v>73</v>
      </c>
      <c r="E1923" s="217">
        <v>2</v>
      </c>
      <c r="F1923" s="168">
        <v>30</v>
      </c>
      <c r="G1923" s="168"/>
      <c r="H1923" s="168"/>
      <c r="I1923" s="241">
        <f>PRODUCT(C1923:H1923)</f>
        <v>60</v>
      </c>
      <c r="J1923" s="213" t="s">
        <v>76</v>
      </c>
    </row>
    <row r="1924" spans="1:10" s="181" customFormat="1">
      <c r="A1924" s="276"/>
      <c r="B1924" s="148"/>
      <c r="C1924" s="149"/>
      <c r="D1924" s="149"/>
      <c r="E1924" s="149"/>
      <c r="F1924" s="158"/>
      <c r="G1924" s="158"/>
      <c r="H1924" s="158"/>
      <c r="I1924" s="159"/>
      <c r="J1924" s="180"/>
    </row>
    <row r="1925" spans="1:10" s="181" customFormat="1" ht="37.5">
      <c r="A1925" s="276">
        <v>724.1</v>
      </c>
      <c r="B1925" s="198" t="s">
        <v>672</v>
      </c>
      <c r="C1925" s="217"/>
      <c r="D1925" s="239"/>
      <c r="E1925" s="217"/>
      <c r="F1925" s="168"/>
      <c r="G1925" s="168"/>
      <c r="H1925" s="168"/>
      <c r="I1925" s="240"/>
      <c r="J1925" s="180"/>
    </row>
    <row r="1926" spans="1:10" s="181" customFormat="1">
      <c r="A1926" s="276"/>
      <c r="B1926" s="239" t="s">
        <v>673</v>
      </c>
      <c r="C1926" s="217">
        <v>1</v>
      </c>
      <c r="D1926" s="156" t="s">
        <v>73</v>
      </c>
      <c r="E1926" s="217">
        <v>1</v>
      </c>
      <c r="F1926" s="168">
        <v>75</v>
      </c>
      <c r="G1926" s="168"/>
      <c r="H1926" s="168"/>
      <c r="I1926" s="241">
        <f>PRODUCT(C1926:H1926)</f>
        <v>75</v>
      </c>
      <c r="J1926" s="213" t="s">
        <v>76</v>
      </c>
    </row>
    <row r="1927" spans="1:10" s="181" customFormat="1" ht="36" customHeight="1">
      <c r="A1927" s="276"/>
      <c r="B1927" s="239"/>
      <c r="C1927" s="217"/>
      <c r="D1927" s="156"/>
      <c r="E1927" s="217"/>
      <c r="F1927" s="168"/>
      <c r="G1927" s="168"/>
      <c r="H1927" s="168"/>
      <c r="I1927" s="241"/>
      <c r="J1927" s="213"/>
    </row>
    <row r="1928" spans="1:10" s="181" customFormat="1" ht="36" customHeight="1">
      <c r="A1928" s="276">
        <v>82.3</v>
      </c>
      <c r="B1928" s="223" t="s">
        <v>674</v>
      </c>
      <c r="C1928" s="220"/>
      <c r="D1928" s="220"/>
      <c r="E1928" s="220"/>
      <c r="F1928" s="158"/>
      <c r="G1928" s="158"/>
      <c r="H1928" s="158"/>
      <c r="I1928" s="159"/>
      <c r="J1928" s="180"/>
    </row>
    <row r="1929" spans="1:10" s="181" customFormat="1">
      <c r="A1929" s="276"/>
      <c r="B1929" s="148" t="s">
        <v>675</v>
      </c>
      <c r="C1929" s="149">
        <v>1</v>
      </c>
      <c r="D1929" s="149" t="s">
        <v>73</v>
      </c>
      <c r="E1929" s="149">
        <v>8</v>
      </c>
      <c r="F1929" s="158"/>
      <c r="G1929" s="158"/>
      <c r="H1929" s="158"/>
      <c r="I1929" s="159">
        <f>PRODUCT(C1929:H1929)</f>
        <v>8</v>
      </c>
      <c r="J1929" s="213" t="s">
        <v>382</v>
      </c>
    </row>
    <row r="1930" spans="1:10" s="181" customFormat="1">
      <c r="A1930" s="276"/>
      <c r="B1930" s="148"/>
      <c r="C1930" s="149"/>
      <c r="D1930" s="149"/>
      <c r="E1930" s="149"/>
      <c r="F1930" s="158"/>
      <c r="G1930" s="158"/>
      <c r="H1930" s="158"/>
      <c r="I1930" s="159"/>
      <c r="J1930" s="213"/>
    </row>
    <row r="1931" spans="1:10" s="181" customFormat="1" ht="112.5">
      <c r="A1931" s="276" t="s">
        <v>1464</v>
      </c>
      <c r="B1931" s="253" t="s">
        <v>676</v>
      </c>
      <c r="C1931" s="149"/>
      <c r="D1931" s="149"/>
      <c r="E1931" s="149"/>
      <c r="F1931" s="150"/>
      <c r="G1931" s="150"/>
      <c r="H1931" s="158"/>
      <c r="I1931" s="159"/>
      <c r="J1931" s="180"/>
    </row>
    <row r="1932" spans="1:10" s="181" customFormat="1">
      <c r="A1932" s="276"/>
      <c r="B1932" s="148" t="s">
        <v>675</v>
      </c>
      <c r="C1932" s="149">
        <v>1</v>
      </c>
      <c r="D1932" s="149" t="s">
        <v>73</v>
      </c>
      <c r="E1932" s="149">
        <v>4</v>
      </c>
      <c r="F1932" s="158"/>
      <c r="G1932" s="158"/>
      <c r="H1932" s="158"/>
      <c r="I1932" s="159">
        <f>PRODUCT(C1932:H1932)</f>
        <v>4</v>
      </c>
      <c r="J1932" s="180" t="s">
        <v>382</v>
      </c>
    </row>
    <row r="1933" spans="1:10" s="181" customFormat="1" ht="17.25" customHeight="1">
      <c r="A1933" s="276"/>
      <c r="B1933" s="148"/>
      <c r="C1933" s="149"/>
      <c r="D1933" s="149"/>
      <c r="E1933" s="149"/>
      <c r="F1933" s="158"/>
      <c r="G1933" s="158"/>
      <c r="H1933" s="158"/>
      <c r="I1933" s="159"/>
      <c r="J1933" s="221"/>
    </row>
    <row r="1934" spans="1:10" s="181" customFormat="1" ht="16.5" customHeight="1">
      <c r="A1934" s="276" t="s">
        <v>1465</v>
      </c>
      <c r="B1934" s="254" t="s">
        <v>677</v>
      </c>
      <c r="C1934" s="255"/>
      <c r="D1934" s="255"/>
      <c r="E1934" s="256"/>
      <c r="F1934" s="256"/>
      <c r="G1934" s="257"/>
      <c r="H1934" s="258"/>
      <c r="I1934" s="259"/>
      <c r="J1934" s="221"/>
    </row>
    <row r="1935" spans="1:10" s="154" customFormat="1" ht="15" customHeight="1">
      <c r="A1935" s="276"/>
      <c r="B1935" s="255" t="s">
        <v>678</v>
      </c>
      <c r="C1935" s="260">
        <v>1</v>
      </c>
      <c r="D1935" s="255" t="s">
        <v>73</v>
      </c>
      <c r="E1935" s="255">
        <v>3</v>
      </c>
      <c r="F1935" s="256">
        <v>1.5</v>
      </c>
      <c r="G1935" s="257"/>
      <c r="H1935" s="256"/>
      <c r="I1935" s="151">
        <f>ROUND(PRODUCT(C1935:H1935),2)</f>
        <v>4.5</v>
      </c>
      <c r="J1935" s="213"/>
    </row>
    <row r="1936" spans="1:10" s="154" customFormat="1">
      <c r="A1936" s="179"/>
      <c r="B1936" s="255" t="s">
        <v>679</v>
      </c>
      <c r="C1936" s="260">
        <v>1</v>
      </c>
      <c r="D1936" s="255" t="s">
        <v>73</v>
      </c>
      <c r="E1936" s="255">
        <v>2</v>
      </c>
      <c r="F1936" s="256">
        <v>2.1</v>
      </c>
      <c r="G1936" s="257"/>
      <c r="H1936" s="256"/>
      <c r="I1936" s="151">
        <f>ROUND(PRODUCT(C1936:H1936),2)</f>
        <v>4.2</v>
      </c>
      <c r="J1936" s="221"/>
    </row>
    <row r="1937" spans="1:10" s="181" customFormat="1" ht="15.75" customHeight="1">
      <c r="A1937" s="276"/>
      <c r="B1937" s="255" t="s">
        <v>680</v>
      </c>
      <c r="C1937" s="260">
        <v>1</v>
      </c>
      <c r="D1937" s="255" t="s">
        <v>73</v>
      </c>
      <c r="E1937" s="255">
        <v>2</v>
      </c>
      <c r="F1937" s="256">
        <v>2.1</v>
      </c>
      <c r="G1937" s="257"/>
      <c r="H1937" s="256"/>
      <c r="I1937" s="151">
        <f>ROUND(PRODUCT(C1937:H1937),2)</f>
        <v>4.2</v>
      </c>
      <c r="J1937" s="180"/>
    </row>
    <row r="1938" spans="1:10" s="181" customFormat="1">
      <c r="A1938" s="276"/>
      <c r="B1938" s="255" t="s">
        <v>1569</v>
      </c>
      <c r="C1938" s="260">
        <v>1</v>
      </c>
      <c r="D1938" s="255" t="s">
        <v>73</v>
      </c>
      <c r="E1938" s="255">
        <v>2</v>
      </c>
      <c r="F1938" s="256">
        <v>1.5</v>
      </c>
      <c r="G1938" s="257"/>
      <c r="H1938" s="256"/>
      <c r="I1938" s="151">
        <f>ROUND(PRODUCT(C1938:H1938),2)</f>
        <v>3</v>
      </c>
      <c r="J1938" s="349"/>
    </row>
    <row r="1939" spans="1:10" s="181" customFormat="1" ht="21.75" customHeight="1">
      <c r="A1939" s="276"/>
      <c r="B1939" s="255" t="s">
        <v>127</v>
      </c>
      <c r="C1939" s="260">
        <v>1</v>
      </c>
      <c r="D1939" s="255" t="s">
        <v>73</v>
      </c>
      <c r="E1939" s="255">
        <v>6</v>
      </c>
      <c r="F1939" s="256">
        <v>1.5</v>
      </c>
      <c r="G1939" s="257"/>
      <c r="H1939" s="256"/>
      <c r="I1939" s="151">
        <f>ROUND(PRODUCT(C1939:H1939),2)</f>
        <v>9</v>
      </c>
      <c r="J1939" s="180"/>
    </row>
    <row r="1940" spans="1:10" s="181" customFormat="1" ht="21.75" customHeight="1">
      <c r="A1940" s="276"/>
      <c r="B1940" s="255"/>
      <c r="C1940" s="255"/>
      <c r="D1940" s="255"/>
      <c r="E1940" s="256"/>
      <c r="F1940" s="256"/>
      <c r="G1940" s="257"/>
      <c r="H1940" s="258"/>
      <c r="I1940" s="261">
        <f>SUM(I1935:I1939)</f>
        <v>24.9</v>
      </c>
      <c r="J1940" s="221"/>
    </row>
    <row r="1941" spans="1:10" s="181" customFormat="1">
      <c r="A1941" s="351"/>
      <c r="B1941" s="255"/>
      <c r="C1941" s="255"/>
      <c r="D1941" s="255"/>
      <c r="E1941" s="256"/>
      <c r="F1941" s="256"/>
      <c r="G1941" s="262"/>
      <c r="H1941" s="257" t="s">
        <v>74</v>
      </c>
      <c r="I1941" s="263">
        <f>ROUND(I1940,2)</f>
        <v>24.9</v>
      </c>
      <c r="J1941" s="180" t="s">
        <v>76</v>
      </c>
    </row>
    <row r="1942" spans="1:10" s="181" customFormat="1">
      <c r="A1942" s="351"/>
      <c r="B1942" s="255"/>
      <c r="C1942" s="255"/>
      <c r="D1942" s="255"/>
      <c r="E1942" s="256"/>
      <c r="F1942" s="256"/>
      <c r="G1942" s="262"/>
      <c r="H1942" s="257"/>
      <c r="I1942" s="263"/>
      <c r="J1942" s="180"/>
    </row>
    <row r="1943" spans="1:10" s="154" customFormat="1" ht="102" customHeight="1">
      <c r="A1943" s="169" t="s">
        <v>1470</v>
      </c>
      <c r="B1943" s="266" t="s">
        <v>690</v>
      </c>
      <c r="C1943" s="149">
        <v>1</v>
      </c>
      <c r="D1943" s="149" t="s">
        <v>73</v>
      </c>
      <c r="E1943" s="149">
        <v>3</v>
      </c>
      <c r="F1943" s="158"/>
      <c r="G1943" s="158"/>
      <c r="H1943" s="158"/>
      <c r="I1943" s="159">
        <f>PRODUCT(C1943:H1943)</f>
        <v>3</v>
      </c>
      <c r="J1943" s="180" t="s">
        <v>382</v>
      </c>
    </row>
    <row r="1944" spans="1:10" s="154" customFormat="1">
      <c r="A1944" s="169"/>
      <c r="B1944" s="266"/>
      <c r="C1944" s="149"/>
      <c r="D1944" s="149"/>
      <c r="E1944" s="149"/>
      <c r="F1944" s="158"/>
      <c r="G1944" s="158"/>
      <c r="H1944" s="158"/>
      <c r="I1944" s="159"/>
      <c r="J1944" s="180"/>
    </row>
    <row r="1945" spans="1:10" s="154" customFormat="1" ht="243.75">
      <c r="A1945" s="200">
        <v>944</v>
      </c>
      <c r="B1945" s="267" t="s">
        <v>691</v>
      </c>
      <c r="C1945" s="149">
        <v>1</v>
      </c>
      <c r="D1945" s="149" t="s">
        <v>73</v>
      </c>
      <c r="E1945" s="149">
        <v>2</v>
      </c>
      <c r="F1945" s="158"/>
      <c r="G1945" s="158"/>
      <c r="H1945" s="158"/>
      <c r="I1945" s="159">
        <f>PRODUCT(C1945:H1945)</f>
        <v>2</v>
      </c>
      <c r="J1945" s="180" t="s">
        <v>382</v>
      </c>
    </row>
    <row r="1946" spans="1:10" s="154" customFormat="1" ht="3" customHeight="1">
      <c r="A1946" s="169"/>
      <c r="C1946" s="235"/>
      <c r="E1946" s="235"/>
      <c r="F1946" s="236"/>
      <c r="G1946" s="236"/>
      <c r="H1946" s="236"/>
      <c r="I1946" s="237"/>
      <c r="J1946" s="180"/>
    </row>
    <row r="1947" spans="1:10" s="154" customFormat="1" ht="14.25" hidden="1" customHeight="1">
      <c r="A1947" s="169"/>
      <c r="C1947" s="235"/>
      <c r="E1947" s="235"/>
      <c r="F1947" s="236"/>
      <c r="G1947" s="236"/>
      <c r="H1947" s="236"/>
      <c r="I1947" s="237"/>
      <c r="J1947" s="180"/>
    </row>
    <row r="1948" spans="1:10" s="154" customFormat="1" ht="17.25" hidden="1" customHeight="1">
      <c r="A1948" s="169"/>
      <c r="C1948" s="235"/>
      <c r="E1948" s="235"/>
      <c r="F1948" s="236"/>
      <c r="G1948" s="236"/>
      <c r="H1948" s="236"/>
      <c r="I1948" s="237"/>
      <c r="J1948" s="349"/>
    </row>
    <row r="1949" spans="1:10" s="154" customFormat="1" ht="20.25" hidden="1" customHeight="1">
      <c r="A1949" s="169"/>
      <c r="C1949" s="235"/>
      <c r="E1949" s="235"/>
      <c r="F1949" s="236"/>
      <c r="G1949" s="236"/>
      <c r="H1949" s="236"/>
      <c r="I1949" s="237"/>
      <c r="J1949" s="180"/>
    </row>
    <row r="1950" spans="1:10" s="154" customFormat="1" hidden="1">
      <c r="A1950" s="169"/>
      <c r="C1950" s="235"/>
      <c r="E1950" s="235"/>
      <c r="F1950" s="236"/>
      <c r="G1950" s="236"/>
      <c r="H1950" s="236"/>
      <c r="I1950" s="237"/>
      <c r="J1950" s="349"/>
    </row>
    <row r="1951" spans="1:10" s="181" customFormat="1" ht="131.25">
      <c r="A1951" s="351">
        <v>961</v>
      </c>
      <c r="B1951" s="223" t="s">
        <v>681</v>
      </c>
      <c r="C1951" s="264"/>
      <c r="D1951" s="170"/>
      <c r="E1951" s="264"/>
      <c r="F1951" s="168"/>
      <c r="G1951" s="168"/>
      <c r="H1951" s="168"/>
      <c r="I1951" s="265"/>
      <c r="J1951" s="180"/>
    </row>
    <row r="1952" spans="1:10" s="181" customFormat="1">
      <c r="A1952" s="351"/>
      <c r="B1952" s="223" t="s">
        <v>682</v>
      </c>
      <c r="C1952" s="166">
        <v>1</v>
      </c>
      <c r="D1952" s="167" t="s">
        <v>73</v>
      </c>
      <c r="E1952" s="166">
        <v>1</v>
      </c>
      <c r="F1952" s="168"/>
      <c r="G1952" s="168"/>
      <c r="H1952" s="168"/>
      <c r="I1952" s="159">
        <f>ROUND(PRODUCT(C1952:H1952),2)</f>
        <v>1</v>
      </c>
      <c r="J1952" s="180" t="s">
        <v>382</v>
      </c>
    </row>
    <row r="1953" spans="1:10" s="181" customFormat="1">
      <c r="A1953" s="351"/>
      <c r="B1953" s="223"/>
      <c r="C1953" s="166"/>
      <c r="D1953" s="167"/>
      <c r="E1953" s="166"/>
      <c r="F1953" s="168"/>
      <c r="G1953" s="168"/>
      <c r="H1953" s="168"/>
      <c r="I1953" s="159"/>
      <c r="J1953" s="180"/>
    </row>
    <row r="1954" spans="1:10" s="181" customFormat="1" ht="131.25">
      <c r="A1954" s="351" t="s">
        <v>1466</v>
      </c>
      <c r="B1954" s="223" t="s">
        <v>683</v>
      </c>
      <c r="C1954" s="264"/>
      <c r="D1954" s="170"/>
      <c r="E1954" s="264"/>
      <c r="F1954" s="168"/>
      <c r="G1954" s="168"/>
      <c r="H1954" s="168"/>
      <c r="I1954" s="265"/>
      <c r="J1954" s="180"/>
    </row>
    <row r="1955" spans="1:10" s="154" customFormat="1">
      <c r="A1955" s="351"/>
      <c r="B1955" s="223" t="s">
        <v>684</v>
      </c>
      <c r="C1955" s="166">
        <v>1</v>
      </c>
      <c r="D1955" s="170" t="s">
        <v>73</v>
      </c>
      <c r="E1955" s="167">
        <v>20</v>
      </c>
      <c r="F1955" s="168"/>
      <c r="G1955" s="168"/>
      <c r="H1955" s="168"/>
      <c r="I1955" s="159">
        <f>ROUND(PRODUCT(C1955:H1955),2)</f>
        <v>20</v>
      </c>
      <c r="J1955" s="180" t="s">
        <v>382</v>
      </c>
    </row>
    <row r="1956" spans="1:10" s="154" customFormat="1">
      <c r="A1956" s="351"/>
      <c r="B1956" s="223"/>
      <c r="C1956" s="166"/>
      <c r="D1956" s="170"/>
      <c r="E1956" s="167"/>
      <c r="F1956" s="168"/>
      <c r="G1956" s="168"/>
      <c r="H1956" s="168"/>
      <c r="I1956" s="159"/>
      <c r="J1956" s="180"/>
    </row>
    <row r="1957" spans="1:10" s="154" customFormat="1" ht="131.25">
      <c r="A1957" s="351" t="s">
        <v>1467</v>
      </c>
      <c r="B1957" s="223" t="s">
        <v>685</v>
      </c>
      <c r="C1957" s="264"/>
      <c r="D1957" s="170"/>
      <c r="E1957" s="264"/>
      <c r="F1957" s="168"/>
      <c r="G1957" s="168"/>
      <c r="H1957" s="168"/>
      <c r="I1957" s="265"/>
      <c r="J1957" s="180"/>
    </row>
    <row r="1958" spans="1:10" s="154" customFormat="1">
      <c r="A1958" s="351"/>
      <c r="B1958" s="223" t="s">
        <v>686</v>
      </c>
      <c r="C1958" s="166">
        <v>1</v>
      </c>
      <c r="D1958" s="170" t="s">
        <v>73</v>
      </c>
      <c r="E1958" s="166">
        <v>15</v>
      </c>
      <c r="F1958" s="168"/>
      <c r="G1958" s="168"/>
      <c r="H1958" s="168"/>
      <c r="I1958" s="159">
        <f>ROUND(PRODUCT(C1958:H1958),2)</f>
        <v>15</v>
      </c>
      <c r="J1958" s="180" t="s">
        <v>382</v>
      </c>
    </row>
    <row r="1959" spans="1:10" s="154" customFormat="1" ht="21" customHeight="1">
      <c r="A1959" s="351"/>
      <c r="B1959" s="223"/>
      <c r="C1959" s="166"/>
      <c r="D1959" s="170"/>
      <c r="E1959" s="166"/>
      <c r="F1959" s="168"/>
      <c r="G1959" s="168"/>
      <c r="H1959" s="168"/>
      <c r="I1959" s="159"/>
      <c r="J1959" s="221"/>
    </row>
    <row r="1960" spans="1:10" s="154" customFormat="1" ht="75">
      <c r="A1960" s="351" t="s">
        <v>1468</v>
      </c>
      <c r="B1960" s="223" t="s">
        <v>687</v>
      </c>
      <c r="C1960" s="264"/>
      <c r="D1960" s="170"/>
      <c r="E1960" s="264"/>
      <c r="F1960" s="168"/>
      <c r="G1960" s="168"/>
      <c r="H1960" s="168"/>
      <c r="I1960" s="265"/>
      <c r="J1960" s="349"/>
    </row>
    <row r="1961" spans="1:10" s="154" customFormat="1" ht="21.75" customHeight="1">
      <c r="A1961" s="169"/>
      <c r="B1961" s="223" t="s">
        <v>492</v>
      </c>
      <c r="C1961" s="166">
        <v>1</v>
      </c>
      <c r="D1961" s="170" t="s">
        <v>73</v>
      </c>
      <c r="E1961" s="166">
        <v>3</v>
      </c>
      <c r="F1961" s="168"/>
      <c r="G1961" s="168"/>
      <c r="H1961" s="168"/>
      <c r="I1961" s="151">
        <f>ROUND(PRODUCT(C1961:H1961),2)</f>
        <v>3</v>
      </c>
      <c r="J1961" s="180"/>
    </row>
    <row r="1962" spans="1:10" s="154" customFormat="1" ht="15.75" customHeight="1">
      <c r="A1962" s="169"/>
      <c r="B1962" s="223" t="s">
        <v>171</v>
      </c>
      <c r="C1962" s="166">
        <v>1</v>
      </c>
      <c r="D1962" s="170" t="s">
        <v>73</v>
      </c>
      <c r="E1962" s="166">
        <v>10</v>
      </c>
      <c r="F1962" s="168"/>
      <c r="G1962" s="168"/>
      <c r="H1962" s="168"/>
      <c r="I1962" s="151">
        <f>ROUND(PRODUCT(C1962:H1962),2)</f>
        <v>10</v>
      </c>
      <c r="J1962" s="349"/>
    </row>
    <row r="1963" spans="1:10" s="154" customFormat="1" ht="20.25" customHeight="1">
      <c r="A1963" s="169"/>
      <c r="B1963" s="223" t="s">
        <v>157</v>
      </c>
      <c r="C1963" s="166">
        <v>1</v>
      </c>
      <c r="D1963" s="170" t="s">
        <v>73</v>
      </c>
      <c r="E1963" s="166">
        <v>10</v>
      </c>
      <c r="F1963" s="168"/>
      <c r="G1963" s="168"/>
      <c r="H1963" s="168"/>
      <c r="I1963" s="151">
        <f>ROUND(PRODUCT(C1963:H1963),2)</f>
        <v>10</v>
      </c>
      <c r="J1963" s="180"/>
    </row>
    <row r="1964" spans="1:10" s="154" customFormat="1" ht="20.25" customHeight="1">
      <c r="A1964" s="169"/>
      <c r="B1964" s="223" t="s">
        <v>123</v>
      </c>
      <c r="C1964" s="166">
        <v>1</v>
      </c>
      <c r="D1964" s="170" t="s">
        <v>73</v>
      </c>
      <c r="E1964" s="166">
        <v>6</v>
      </c>
      <c r="F1964" s="168"/>
      <c r="G1964" s="168"/>
      <c r="H1964" s="168"/>
      <c r="I1964" s="151">
        <f>ROUND(PRODUCT(C1964:H1964),2)</f>
        <v>6</v>
      </c>
      <c r="J1964" s="349"/>
    </row>
    <row r="1965" spans="1:10" s="154" customFormat="1" ht="52.5" customHeight="1">
      <c r="A1965" s="169"/>
      <c r="B1965" s="223"/>
      <c r="C1965" s="264"/>
      <c r="D1965" s="170"/>
      <c r="E1965" s="264"/>
      <c r="F1965" s="168"/>
      <c r="G1965" s="168"/>
      <c r="H1965" s="168"/>
      <c r="I1965" s="159">
        <f>SUM(I1961:I1964)</f>
        <v>29</v>
      </c>
      <c r="J1965" s="180" t="s">
        <v>382</v>
      </c>
    </row>
    <row r="1966" spans="1:10" s="154" customFormat="1">
      <c r="A1966" s="169"/>
      <c r="B1966" s="223"/>
      <c r="C1966" s="264"/>
      <c r="D1966" s="170"/>
      <c r="E1966" s="264"/>
      <c r="F1966" s="168"/>
      <c r="G1966" s="168"/>
      <c r="H1966" s="168"/>
      <c r="I1966" s="159"/>
      <c r="J1966" s="221"/>
    </row>
    <row r="1967" spans="1:10" s="154" customFormat="1" ht="75">
      <c r="A1967" s="169" t="s">
        <v>1469</v>
      </c>
      <c r="B1967" s="223" t="s">
        <v>688</v>
      </c>
      <c r="C1967" s="264"/>
      <c r="D1967" s="170"/>
      <c r="E1967" s="264"/>
      <c r="F1967" s="168"/>
      <c r="G1967" s="168"/>
      <c r="H1967" s="168"/>
      <c r="I1967" s="265"/>
      <c r="J1967" s="349"/>
    </row>
    <row r="1968" spans="1:10" s="154" customFormat="1" ht="97.5" customHeight="1">
      <c r="A1968" s="169"/>
      <c r="B1968" s="223" t="s">
        <v>689</v>
      </c>
      <c r="C1968" s="166">
        <v>1</v>
      </c>
      <c r="D1968" s="167" t="s">
        <v>73</v>
      </c>
      <c r="E1968" s="166">
        <v>1</v>
      </c>
      <c r="F1968" s="168"/>
      <c r="G1968" s="168"/>
      <c r="H1968" s="168"/>
      <c r="I1968" s="159">
        <f>ROUND(PRODUCT(C1968:H1968),2)</f>
        <v>1</v>
      </c>
      <c r="J1968" s="180" t="s">
        <v>382</v>
      </c>
    </row>
    <row r="1969" spans="1:10" s="154" customFormat="1" ht="15.75" customHeight="1">
      <c r="A1969" s="169"/>
      <c r="B1969" s="223"/>
      <c r="C1969" s="166"/>
      <c r="D1969" s="167"/>
      <c r="E1969" s="166"/>
      <c r="F1969" s="168"/>
      <c r="G1969" s="168"/>
      <c r="H1969" s="168"/>
      <c r="I1969" s="159"/>
      <c r="J1969" s="180"/>
    </row>
    <row r="1970" spans="1:10">
      <c r="A1970" s="169"/>
      <c r="B1970" s="154"/>
      <c r="C1970" s="235"/>
      <c r="D1970" s="154"/>
      <c r="E1970" s="235"/>
      <c r="F1970" s="236"/>
      <c r="G1970" s="236"/>
      <c r="H1970" s="236"/>
      <c r="I1970" s="237"/>
      <c r="J1970" s="180"/>
    </row>
    <row r="1971" spans="1:10">
      <c r="A1971" s="419"/>
      <c r="B1971" s="420" t="s">
        <v>1675</v>
      </c>
      <c r="C1971" s="421"/>
      <c r="D1971" s="154"/>
      <c r="E1971" s="421"/>
      <c r="F1971" s="421"/>
      <c r="G1971" s="422"/>
      <c r="H1971" s="422"/>
      <c r="I1971" s="423"/>
      <c r="J1971" s="418"/>
    </row>
    <row r="1972" spans="1:10">
      <c r="A1972" s="419">
        <v>1</v>
      </c>
      <c r="B1972" s="420" t="s">
        <v>1676</v>
      </c>
      <c r="C1972" s="421"/>
      <c r="D1972" s="154"/>
      <c r="E1972" s="421"/>
      <c r="F1972" s="421"/>
      <c r="G1972" s="422"/>
      <c r="H1972" s="422"/>
      <c r="I1972" s="423"/>
      <c r="J1972" s="418"/>
    </row>
    <row r="1973" spans="1:10">
      <c r="A1973" s="347"/>
      <c r="B1973" s="347" t="s">
        <v>1677</v>
      </c>
      <c r="C1973" s="430"/>
      <c r="D1973" s="154"/>
      <c r="E1973" s="421"/>
      <c r="F1973" s="421"/>
      <c r="G1973" s="422"/>
      <c r="H1973" s="422"/>
      <c r="I1973" s="423"/>
      <c r="J1973" s="418"/>
    </row>
    <row r="1974" spans="1:10">
      <c r="A1974" s="347"/>
      <c r="B1974" s="347" t="s">
        <v>1678</v>
      </c>
      <c r="C1974" s="424">
        <v>1</v>
      </c>
      <c r="D1974" s="235" t="s">
        <v>73</v>
      </c>
      <c r="E1974" s="424">
        <v>2</v>
      </c>
      <c r="F1974" s="424">
        <v>1.35</v>
      </c>
      <c r="G1974" s="424"/>
      <c r="H1974" s="424">
        <v>1.35</v>
      </c>
      <c r="I1974" s="425">
        <f t="shared" ref="I1974:I1978" si="203">PRODUCT(D1974:H1974)</f>
        <v>3.6450000000000005</v>
      </c>
      <c r="J1974" s="417"/>
    </row>
    <row r="1975" spans="1:10">
      <c r="A1975" s="347"/>
      <c r="B1975" s="347" t="s">
        <v>171</v>
      </c>
      <c r="C1975" s="424">
        <v>1</v>
      </c>
      <c r="D1975" s="235" t="s">
        <v>73</v>
      </c>
      <c r="E1975" s="424">
        <v>11</v>
      </c>
      <c r="F1975" s="424">
        <v>1.35</v>
      </c>
      <c r="G1975" s="424"/>
      <c r="H1975" s="424">
        <v>1.35</v>
      </c>
      <c r="I1975" s="425">
        <f t="shared" si="203"/>
        <v>20.047500000000003</v>
      </c>
      <c r="J1975" s="417"/>
    </row>
    <row r="1976" spans="1:10">
      <c r="A1976" s="347"/>
      <c r="B1976" s="347" t="s">
        <v>157</v>
      </c>
      <c r="C1976" s="424">
        <v>1</v>
      </c>
      <c r="D1976" s="235" t="s">
        <v>73</v>
      </c>
      <c r="E1976" s="424">
        <v>12</v>
      </c>
      <c r="F1976" s="424">
        <v>1.35</v>
      </c>
      <c r="G1976" s="424"/>
      <c r="H1976" s="424">
        <v>1.35</v>
      </c>
      <c r="I1976" s="425">
        <f t="shared" si="203"/>
        <v>21.870000000000005</v>
      </c>
      <c r="J1976" s="417"/>
    </row>
    <row r="1977" spans="1:10">
      <c r="A1977" s="347"/>
      <c r="B1977" s="347" t="s">
        <v>123</v>
      </c>
      <c r="C1977" s="424">
        <v>1</v>
      </c>
      <c r="D1977" s="235" t="s">
        <v>73</v>
      </c>
      <c r="E1977" s="424">
        <v>4</v>
      </c>
      <c r="F1977" s="424">
        <v>1.35</v>
      </c>
      <c r="G1977" s="424"/>
      <c r="H1977" s="424">
        <v>1.35</v>
      </c>
      <c r="I1977" s="425">
        <f t="shared" si="203"/>
        <v>7.2900000000000009</v>
      </c>
      <c r="J1977" s="417"/>
    </row>
    <row r="1978" spans="1:10">
      <c r="A1978" s="347"/>
      <c r="B1978" s="347" t="s">
        <v>1679</v>
      </c>
      <c r="C1978" s="424">
        <v>1</v>
      </c>
      <c r="D1978" s="235" t="s">
        <v>73</v>
      </c>
      <c r="E1978" s="424">
        <v>7</v>
      </c>
      <c r="F1978" s="424">
        <v>0.9</v>
      </c>
      <c r="G1978" s="424"/>
      <c r="H1978" s="424">
        <v>0.9</v>
      </c>
      <c r="I1978" s="425">
        <f t="shared" si="203"/>
        <v>5.67</v>
      </c>
      <c r="J1978" s="417"/>
    </row>
    <row r="1979" spans="1:10">
      <c r="A1979" s="419"/>
      <c r="B1979" s="420"/>
      <c r="C1979" s="424"/>
      <c r="D1979" s="235"/>
      <c r="E1979" s="424"/>
      <c r="F1979" s="424"/>
      <c r="G1979" s="424"/>
      <c r="H1979" s="424"/>
      <c r="I1979" s="426">
        <f>SUM(I1974:I1978)</f>
        <v>58.522500000000008</v>
      </c>
      <c r="J1979" s="431" t="s">
        <v>75</v>
      </c>
    </row>
    <row r="1980" spans="1:10">
      <c r="A1980" s="419"/>
      <c r="B1980" s="420"/>
      <c r="C1980" s="421"/>
      <c r="D1980" s="235"/>
      <c r="E1980" s="421"/>
      <c r="F1980" s="421"/>
      <c r="G1980" s="422"/>
      <c r="H1980" s="422"/>
      <c r="I1980" s="423"/>
      <c r="J1980" s="418"/>
    </row>
    <row r="1981" spans="1:10" ht="37.5">
      <c r="A1981" s="419">
        <v>2</v>
      </c>
      <c r="B1981" s="420" t="s">
        <v>1680</v>
      </c>
      <c r="C1981" s="421"/>
      <c r="D1981" s="235"/>
      <c r="E1981" s="421"/>
      <c r="F1981" s="421"/>
      <c r="G1981" s="422"/>
      <c r="H1981" s="422"/>
      <c r="I1981" s="423"/>
      <c r="J1981" s="418"/>
    </row>
    <row r="1982" spans="1:10">
      <c r="A1982" s="427"/>
      <c r="B1982" s="428" t="s">
        <v>1681</v>
      </c>
      <c r="C1982" s="430"/>
      <c r="D1982" s="235"/>
      <c r="E1982" s="421"/>
      <c r="F1982" s="421"/>
      <c r="G1982" s="422"/>
      <c r="H1982" s="422"/>
      <c r="I1982" s="423"/>
      <c r="J1982" s="418"/>
    </row>
    <row r="1983" spans="1:10">
      <c r="A1983" s="427"/>
      <c r="B1983" s="429" t="s">
        <v>171</v>
      </c>
      <c r="C1983" s="424">
        <v>1</v>
      </c>
      <c r="D1983" s="235" t="s">
        <v>73</v>
      </c>
      <c r="E1983" s="424">
        <v>3</v>
      </c>
      <c r="F1983" s="424">
        <v>0.75</v>
      </c>
      <c r="G1983" s="424"/>
      <c r="H1983" s="425">
        <v>0.6</v>
      </c>
      <c r="I1983" s="425">
        <f t="shared" ref="I1983:I1987" si="204">PRODUCT(D1983:H1983)</f>
        <v>1.3499999999999999</v>
      </c>
      <c r="J1983" s="417"/>
    </row>
    <row r="1984" spans="1:10">
      <c r="A1984" s="427"/>
      <c r="B1984" s="429" t="s">
        <v>1678</v>
      </c>
      <c r="C1984" s="424">
        <v>1</v>
      </c>
      <c r="D1984" s="235" t="s">
        <v>73</v>
      </c>
      <c r="E1984" s="424">
        <v>2</v>
      </c>
      <c r="F1984" s="424">
        <v>0.75</v>
      </c>
      <c r="G1984" s="424"/>
      <c r="H1984" s="425">
        <v>0.6</v>
      </c>
      <c r="I1984" s="425">
        <f t="shared" si="204"/>
        <v>0.89999999999999991</v>
      </c>
      <c r="J1984" s="417"/>
    </row>
    <row r="1985" spans="1:10">
      <c r="A1985" s="427"/>
      <c r="B1985" s="429" t="s">
        <v>171</v>
      </c>
      <c r="C1985" s="424">
        <v>1</v>
      </c>
      <c r="D1985" s="235" t="s">
        <v>73</v>
      </c>
      <c r="E1985" s="424">
        <v>1</v>
      </c>
      <c r="F1985" s="424">
        <v>0.75</v>
      </c>
      <c r="G1985" s="424"/>
      <c r="H1985" s="425">
        <v>0.6</v>
      </c>
      <c r="I1985" s="425">
        <f t="shared" si="204"/>
        <v>0.44999999999999996</v>
      </c>
      <c r="J1985" s="417"/>
    </row>
    <row r="1986" spans="1:10">
      <c r="A1986" s="427"/>
      <c r="B1986" s="429" t="s">
        <v>157</v>
      </c>
      <c r="C1986" s="424">
        <v>1</v>
      </c>
      <c r="D1986" s="235" t="s">
        <v>73</v>
      </c>
      <c r="E1986" s="424">
        <v>3</v>
      </c>
      <c r="F1986" s="424">
        <v>0.75</v>
      </c>
      <c r="G1986" s="424"/>
      <c r="H1986" s="425">
        <v>0.6</v>
      </c>
      <c r="I1986" s="425">
        <f t="shared" si="204"/>
        <v>1.3499999999999999</v>
      </c>
      <c r="J1986" s="417"/>
    </row>
    <row r="1987" spans="1:10">
      <c r="A1987" s="427"/>
      <c r="B1987" s="429" t="s">
        <v>123</v>
      </c>
      <c r="C1987" s="424">
        <v>1</v>
      </c>
      <c r="D1987" s="235" t="s">
        <v>73</v>
      </c>
      <c r="E1987" s="424">
        <v>8</v>
      </c>
      <c r="F1987" s="424">
        <v>0.75</v>
      </c>
      <c r="G1987" s="424"/>
      <c r="H1987" s="425">
        <v>0.6</v>
      </c>
      <c r="I1987" s="425">
        <f t="shared" si="204"/>
        <v>3.5999999999999996</v>
      </c>
      <c r="J1987" s="418"/>
    </row>
    <row r="1988" spans="1:10">
      <c r="A1988" s="419"/>
      <c r="B1988" s="420"/>
      <c r="C1988" s="421"/>
      <c r="D1988" s="235"/>
      <c r="E1988" s="421"/>
      <c r="F1988" s="421"/>
      <c r="G1988" s="422"/>
      <c r="H1988" s="422"/>
      <c r="I1988" s="423">
        <f>SUM(I1983:I1987)</f>
        <v>7.6499999999999995</v>
      </c>
      <c r="J1988" s="431" t="s">
        <v>75</v>
      </c>
    </row>
    <row r="1989" spans="1:10">
      <c r="A1989" s="419"/>
      <c r="B1989" s="420"/>
      <c r="C1989" s="421"/>
      <c r="D1989" s="235"/>
      <c r="E1989" s="421"/>
      <c r="F1989" s="421"/>
      <c r="G1989" s="422"/>
      <c r="H1989" s="422"/>
      <c r="I1989" s="423"/>
      <c r="J1989" s="418"/>
    </row>
    <row r="1990" spans="1:10">
      <c r="A1990" s="419">
        <v>3</v>
      </c>
      <c r="B1990" s="420" t="s">
        <v>1682</v>
      </c>
      <c r="C1990" s="421"/>
      <c r="D1990" s="235"/>
      <c r="E1990" s="421"/>
      <c r="F1990" s="421"/>
      <c r="G1990" s="422"/>
      <c r="H1990" s="422"/>
      <c r="I1990" s="423"/>
      <c r="J1990" s="418"/>
    </row>
    <row r="1991" spans="1:10">
      <c r="A1991" s="427"/>
      <c r="B1991" s="429" t="s">
        <v>1683</v>
      </c>
      <c r="C1991" s="424">
        <v>1</v>
      </c>
      <c r="D1991" s="235" t="s">
        <v>73</v>
      </c>
      <c r="E1991" s="424">
        <v>1</v>
      </c>
      <c r="F1991" s="424">
        <v>1052.25</v>
      </c>
      <c r="G1991" s="424"/>
      <c r="H1991" s="424">
        <v>0.9</v>
      </c>
      <c r="I1991" s="425">
        <f>PRODUCT(C1991:H1991)</f>
        <v>947.02499999999998</v>
      </c>
      <c r="J1991" s="417"/>
    </row>
    <row r="1992" spans="1:10">
      <c r="A1992" s="427"/>
      <c r="B1992" s="429" t="s">
        <v>1684</v>
      </c>
      <c r="C1992" s="424">
        <v>-1</v>
      </c>
      <c r="D1992" s="235" t="s">
        <v>73</v>
      </c>
      <c r="E1992" s="424">
        <v>1</v>
      </c>
      <c r="F1992" s="424">
        <v>14.7</v>
      </c>
      <c r="G1992" s="424">
        <v>10.37</v>
      </c>
      <c r="H1992" s="424">
        <v>0.9</v>
      </c>
      <c r="I1992" s="425">
        <f>PRODUCT(C1992:H1992)</f>
        <v>-137.1951</v>
      </c>
      <c r="J1992" s="417"/>
    </row>
    <row r="1993" spans="1:10">
      <c r="A1993" s="427"/>
      <c r="B1993" s="429" t="s">
        <v>1685</v>
      </c>
      <c r="C1993" s="424">
        <v>-0.25</v>
      </c>
      <c r="D1993" s="235" t="s">
        <v>73</v>
      </c>
      <c r="E1993" s="424">
        <v>3.14</v>
      </c>
      <c r="F1993" s="424">
        <v>3.96</v>
      </c>
      <c r="G1993" s="424">
        <v>3.96</v>
      </c>
      <c r="H1993" s="424">
        <v>0.9</v>
      </c>
      <c r="I1993" s="425">
        <f>PRODUCT(C1993:H1993)</f>
        <v>-11.0790504</v>
      </c>
      <c r="J1993" s="417"/>
    </row>
    <row r="1994" spans="1:10">
      <c r="A1994" s="427"/>
      <c r="B1994" s="429" t="s">
        <v>1686</v>
      </c>
      <c r="C1994" s="424">
        <v>-1</v>
      </c>
      <c r="D1994" s="235" t="s">
        <v>73</v>
      </c>
      <c r="E1994" s="424">
        <v>1</v>
      </c>
      <c r="F1994" s="424">
        <v>4.8600000000000003</v>
      </c>
      <c r="G1994" s="424">
        <v>2.2599999999999998</v>
      </c>
      <c r="H1994" s="424">
        <v>0.9</v>
      </c>
      <c r="I1994" s="425">
        <f>PRODUCT(C1994:H1994)</f>
        <v>-9.8852399999999996</v>
      </c>
      <c r="J1994" s="418"/>
    </row>
    <row r="1995" spans="1:10">
      <c r="A1995" s="419"/>
      <c r="B1995" s="420"/>
      <c r="C1995" s="421"/>
      <c r="D1995" s="154"/>
      <c r="E1995" s="421"/>
      <c r="F1995" s="421"/>
      <c r="G1995" s="422"/>
      <c r="H1995" s="422"/>
      <c r="I1995" s="423">
        <f>SUM(I1991:I1994)</f>
        <v>788.86560959999997</v>
      </c>
      <c r="J1995" s="421" t="s">
        <v>12</v>
      </c>
    </row>
    <row r="1996" spans="1:10">
      <c r="A1996" s="129"/>
      <c r="B1996" s="131"/>
      <c r="C1996" s="129"/>
    </row>
  </sheetData>
  <autoFilter ref="B1:B2000"/>
  <mergeCells count="7">
    <mergeCell ref="J3:J4"/>
    <mergeCell ref="A2:I2"/>
    <mergeCell ref="A3:A4"/>
    <mergeCell ref="B3:B4"/>
    <mergeCell ref="C3:E4"/>
    <mergeCell ref="F3:H3"/>
    <mergeCell ref="I3:I4"/>
  </mergeCells>
  <printOptions horizontalCentered="1"/>
  <pageMargins left="0.78740157480314998" right="0.25" top="0.41" bottom="0.46" header="0.47" footer="0.23"/>
  <pageSetup paperSize="9" scale="64" fitToHeight="0" orientation="portrait" verticalDpi="300" r:id="rId1"/>
  <headerFooter>
    <oddFooter>&amp;R&amp;P</oddFooter>
  </headerFooter>
  <drawing r:id="rId2"/>
</worksheet>
</file>

<file path=xl/worksheets/sheet3.xml><?xml version="1.0" encoding="utf-8"?>
<worksheet xmlns="http://schemas.openxmlformats.org/spreadsheetml/2006/main" xmlns:r="http://schemas.openxmlformats.org/officeDocument/2006/relationships">
  <sheetPr>
    <tabColor rgb="FFFF0000"/>
    <pageSetUpPr fitToPage="1"/>
  </sheetPr>
  <dimension ref="A1:AE229"/>
  <sheetViews>
    <sheetView view="pageBreakPreview" topLeftCell="B1" zoomScale="60" workbookViewId="0">
      <pane ySplit="8" topLeftCell="A9" activePane="bottomLeft" state="frozen"/>
      <selection pane="bottomLeft" activeCell="I9" sqref="I9"/>
    </sheetView>
  </sheetViews>
  <sheetFormatPr defaultColWidth="11.42578125" defaultRowHeight="15"/>
  <cols>
    <col min="1" max="1" width="15.42578125" style="3" bestFit="1" customWidth="1"/>
    <col min="2" max="2" width="11.85546875" style="3" customWidth="1"/>
    <col min="3" max="3" width="58.7109375" style="2" bestFit="1" customWidth="1"/>
    <col min="4" max="4" width="9.7109375" style="3" customWidth="1"/>
    <col min="5" max="6" width="18.85546875" style="3" bestFit="1" customWidth="1"/>
    <col min="7" max="7" width="18.85546875" style="3" customWidth="1"/>
    <col min="8" max="8" width="21.85546875" style="3" customWidth="1"/>
    <col min="9" max="9" width="12.140625" style="3" customWidth="1"/>
    <col min="10" max="10" width="16.7109375" style="3" customWidth="1"/>
    <col min="11" max="11" width="14.7109375" style="3" customWidth="1"/>
    <col min="12" max="12" width="19.7109375" style="3" bestFit="1" customWidth="1"/>
    <col min="13" max="13" width="17.28515625" style="3" bestFit="1" customWidth="1"/>
    <col min="14" max="14" width="17.42578125" style="3" bestFit="1" customWidth="1"/>
    <col min="15" max="15" width="17.42578125" style="3" customWidth="1"/>
    <col min="16" max="16" width="37.42578125" style="2" customWidth="1"/>
    <col min="17" max="17" width="16.42578125" style="1" customWidth="1"/>
    <col min="18" max="18" width="11.42578125" style="1" customWidth="1"/>
    <col min="19" max="19" width="22.5703125" style="1" customWidth="1"/>
    <col min="20" max="20" width="14.42578125" style="1" bestFit="1" customWidth="1"/>
    <col min="21" max="24" width="11.42578125" style="1"/>
    <col min="25" max="25" width="13" style="1" customWidth="1"/>
    <col min="26" max="26" width="11.42578125" style="1"/>
    <col min="27" max="27" width="16.140625" style="1" customWidth="1"/>
    <col min="28" max="28" width="11.42578125" style="1"/>
    <col min="29" max="30" width="12.85546875" style="1" customWidth="1"/>
    <col min="31" max="31" width="14.28515625" style="1" customWidth="1"/>
    <col min="32" max="34" width="11.42578125" style="1"/>
    <col min="35" max="35" width="16.28515625" style="1" customWidth="1"/>
    <col min="36" max="36" width="11.42578125" style="1"/>
    <col min="37" max="38" width="12.85546875" style="1" customWidth="1"/>
    <col min="39" max="39" width="16.140625" style="1" customWidth="1"/>
    <col min="40" max="41" width="11.42578125" style="1"/>
    <col min="42" max="42" width="12.5703125" style="1" customWidth="1"/>
    <col min="43" max="16384" width="11.42578125" style="1"/>
  </cols>
  <sheetData>
    <row r="1" spans="1:31" ht="53.25" customHeight="1">
      <c r="A1" s="487" t="s">
        <v>238</v>
      </c>
      <c r="B1" s="488"/>
      <c r="C1" s="488"/>
      <c r="D1" s="488"/>
      <c r="E1" s="488"/>
      <c r="F1" s="488"/>
      <c r="G1" s="488"/>
      <c r="H1" s="488"/>
      <c r="I1" s="488"/>
      <c r="J1" s="488"/>
      <c r="K1" s="488"/>
      <c r="L1" s="488"/>
      <c r="M1" s="488"/>
      <c r="N1" s="488"/>
      <c r="O1" s="488"/>
      <c r="P1" s="488"/>
    </row>
    <row r="2" spans="1:31" s="2" customFormat="1" ht="33.75" customHeight="1">
      <c r="A2" s="493" t="s">
        <v>35</v>
      </c>
      <c r="B2" s="493"/>
      <c r="C2" s="493"/>
      <c r="D2" s="493"/>
      <c r="E2" s="493"/>
      <c r="F2" s="493"/>
      <c r="G2" s="493"/>
      <c r="H2" s="493"/>
      <c r="I2" s="493"/>
      <c r="J2" s="493"/>
      <c r="K2" s="493"/>
      <c r="L2" s="493"/>
      <c r="M2" s="493"/>
      <c r="N2" s="493"/>
      <c r="O2" s="493"/>
      <c r="P2" s="493"/>
    </row>
    <row r="3" spans="1:31" s="2" customFormat="1" ht="33.75" customHeight="1">
      <c r="A3" s="489" t="s">
        <v>34</v>
      </c>
      <c r="B3" s="489"/>
      <c r="C3" s="22" t="s">
        <v>110</v>
      </c>
      <c r="D3" s="489" t="s">
        <v>33</v>
      </c>
      <c r="E3" s="489"/>
      <c r="F3" s="489"/>
      <c r="G3" s="489"/>
      <c r="H3" s="489"/>
      <c r="I3" s="489"/>
      <c r="J3" s="489" t="s">
        <v>112</v>
      </c>
      <c r="K3" s="489"/>
      <c r="L3" s="489"/>
      <c r="M3" s="489"/>
      <c r="N3" s="7" t="s">
        <v>32</v>
      </c>
      <c r="O3" s="7"/>
      <c r="P3" s="76" t="s">
        <v>113</v>
      </c>
    </row>
    <row r="4" spans="1:31" s="2" customFormat="1" ht="33.75" customHeight="1">
      <c r="A4" s="489" t="s">
        <v>116</v>
      </c>
      <c r="B4" s="489"/>
      <c r="C4" s="489"/>
      <c r="D4" s="489" t="s">
        <v>30</v>
      </c>
      <c r="E4" s="489"/>
      <c r="F4" s="489"/>
      <c r="G4" s="489"/>
      <c r="H4" s="489"/>
      <c r="I4" s="489"/>
      <c r="J4" s="489" t="s">
        <v>111</v>
      </c>
      <c r="K4" s="489"/>
      <c r="L4" s="489"/>
      <c r="M4" s="489"/>
      <c r="N4" s="7" t="s">
        <v>29</v>
      </c>
      <c r="O4" s="7"/>
      <c r="P4" s="76" t="s">
        <v>114</v>
      </c>
    </row>
    <row r="5" spans="1:31" s="2" customFormat="1" ht="33.75" customHeight="1">
      <c r="A5" s="489" t="s">
        <v>31</v>
      </c>
      <c r="B5" s="489"/>
      <c r="C5" s="22" t="s">
        <v>108</v>
      </c>
      <c r="D5" s="489" t="s">
        <v>27</v>
      </c>
      <c r="E5" s="489"/>
      <c r="F5" s="489"/>
      <c r="G5" s="489"/>
      <c r="H5" s="489"/>
      <c r="I5" s="489"/>
      <c r="J5" s="489" t="s">
        <v>119</v>
      </c>
      <c r="K5" s="489"/>
      <c r="L5" s="489"/>
      <c r="M5" s="489"/>
      <c r="N5" s="105"/>
      <c r="O5" s="105"/>
      <c r="P5" s="23"/>
    </row>
    <row r="6" spans="1:31" s="2" customFormat="1" ht="55.5" customHeight="1">
      <c r="A6" s="7" t="s">
        <v>28</v>
      </c>
      <c r="B6" s="7"/>
      <c r="C6" s="22" t="s">
        <v>109</v>
      </c>
      <c r="D6" s="489" t="s">
        <v>26</v>
      </c>
      <c r="E6" s="489"/>
      <c r="F6" s="489"/>
      <c r="G6" s="489"/>
      <c r="H6" s="489"/>
      <c r="I6" s="489"/>
      <c r="J6" s="489" t="s">
        <v>120</v>
      </c>
      <c r="K6" s="489"/>
      <c r="L6" s="489"/>
      <c r="M6" s="489"/>
      <c r="N6" s="496" t="s">
        <v>107</v>
      </c>
      <c r="O6" s="496"/>
      <c r="P6" s="489"/>
      <c r="Q6" s="489"/>
    </row>
    <row r="7" spans="1:31" ht="21.75" customHeight="1">
      <c r="A7" s="497" t="s">
        <v>25</v>
      </c>
      <c r="B7" s="486" t="s">
        <v>24</v>
      </c>
      <c r="C7" s="499" t="s">
        <v>23</v>
      </c>
      <c r="D7" s="486" t="s">
        <v>22</v>
      </c>
      <c r="E7" s="486"/>
      <c r="F7" s="486"/>
      <c r="G7" s="486" t="s">
        <v>203</v>
      </c>
      <c r="H7" s="486" t="s">
        <v>236</v>
      </c>
      <c r="I7" s="491" t="s">
        <v>67</v>
      </c>
      <c r="J7" s="491" t="s">
        <v>68</v>
      </c>
      <c r="K7" s="486" t="s">
        <v>11</v>
      </c>
      <c r="L7" s="486" t="s">
        <v>21</v>
      </c>
      <c r="M7" s="486" t="s">
        <v>20</v>
      </c>
      <c r="N7" s="486"/>
      <c r="O7" s="491" t="s">
        <v>237</v>
      </c>
      <c r="P7" s="494" t="s">
        <v>19</v>
      </c>
    </row>
    <row r="8" spans="1:31" s="21" customFormat="1" ht="33" customHeight="1">
      <c r="A8" s="498"/>
      <c r="B8" s="490"/>
      <c r="C8" s="500"/>
      <c r="D8" s="107" t="s">
        <v>18</v>
      </c>
      <c r="E8" s="107" t="s">
        <v>17</v>
      </c>
      <c r="F8" s="107" t="s">
        <v>16</v>
      </c>
      <c r="G8" s="490"/>
      <c r="H8" s="490"/>
      <c r="I8" s="492"/>
      <c r="J8" s="492"/>
      <c r="K8" s="490"/>
      <c r="L8" s="490"/>
      <c r="M8" s="107" t="s">
        <v>15</v>
      </c>
      <c r="N8" s="107" t="s">
        <v>14</v>
      </c>
      <c r="O8" s="492"/>
      <c r="P8" s="495"/>
    </row>
    <row r="9" spans="1:31" ht="49.5">
      <c r="A9" s="113">
        <v>1</v>
      </c>
      <c r="B9" s="28" t="s">
        <v>853</v>
      </c>
      <c r="C9" s="24" t="s">
        <v>692</v>
      </c>
      <c r="D9" s="28" t="s">
        <v>966</v>
      </c>
      <c r="E9" s="28" t="s">
        <v>946</v>
      </c>
      <c r="F9" s="27">
        <f>B9*E9</f>
        <v>45539</v>
      </c>
      <c r="G9" s="114">
        <v>195.54</v>
      </c>
      <c r="H9" s="29">
        <f t="shared" ref="H9" si="0">G9*B9</f>
        <v>68497.661999999997</v>
      </c>
      <c r="I9" s="77" t="str">
        <f>B9</f>
        <v>350.30</v>
      </c>
      <c r="J9" s="15"/>
      <c r="K9" s="15">
        <f t="shared" ref="K9" si="1">I9+J9</f>
        <v>350.3</v>
      </c>
      <c r="L9" s="15">
        <f t="shared" ref="L9" si="2">K9*E9</f>
        <v>45539</v>
      </c>
      <c r="M9" s="15" t="str">
        <f t="shared" ref="M9" si="3">IF(L9&gt;F9,(L9-F9),"")</f>
        <v/>
      </c>
      <c r="N9" s="14" t="str">
        <f t="shared" ref="N9" si="4">IF(F9&gt;L9,(F9-L9),"")</f>
        <v/>
      </c>
      <c r="O9" s="112">
        <f t="shared" ref="O9" si="5">((E9-G9)/G9)*100</f>
        <v>-33.517438887184205</v>
      </c>
      <c r="P9" s="115"/>
    </row>
    <row r="10" spans="1:31" ht="18.75">
      <c r="A10" s="113">
        <v>2</v>
      </c>
      <c r="B10" s="28" t="s">
        <v>854</v>
      </c>
      <c r="C10" s="24" t="s">
        <v>693</v>
      </c>
      <c r="D10" s="28" t="s">
        <v>966</v>
      </c>
      <c r="E10" s="28" t="s">
        <v>974</v>
      </c>
      <c r="F10" s="27">
        <f>B10*E10</f>
        <v>1523.1999999999998</v>
      </c>
      <c r="G10" s="114">
        <v>203.64</v>
      </c>
      <c r="H10" s="29">
        <f>G10*B10</f>
        <v>2280.7679999999996</v>
      </c>
      <c r="I10" s="77" t="str">
        <f t="shared" ref="I10:I73" si="6">B10</f>
        <v>11.20</v>
      </c>
      <c r="J10" s="16"/>
      <c r="K10" s="15">
        <f>I10+J10</f>
        <v>11.2</v>
      </c>
      <c r="L10" s="15">
        <f>K10*E10</f>
        <v>1523.1999999999998</v>
      </c>
      <c r="M10" s="15" t="str">
        <f>IF(L10&gt;F10,(L10-F10),"")</f>
        <v/>
      </c>
      <c r="N10" s="14" t="str">
        <f>IF(F10&gt;L10,(F10-L10),"")</f>
        <v/>
      </c>
      <c r="O10" s="112">
        <f>((E10-G10)/G10)*100</f>
        <v>-33.215478295030444</v>
      </c>
      <c r="P10" s="116"/>
      <c r="Q10" s="1">
        <v>61650</v>
      </c>
      <c r="S10" s="1" t="str">
        <f t="shared" ref="S10:S44" si="7">E10</f>
        <v>136.00</v>
      </c>
      <c r="T10" s="1">
        <f t="shared" ref="T10:T44" si="8">S10*I10</f>
        <v>1523.1999999999998</v>
      </c>
      <c r="X10" s="15">
        <v>109.59</v>
      </c>
      <c r="AE10" s="8"/>
    </row>
    <row r="11" spans="1:31" ht="49.5">
      <c r="A11" s="113">
        <v>3</v>
      </c>
      <c r="B11" s="28" t="s">
        <v>855</v>
      </c>
      <c r="C11" s="24" t="s">
        <v>694</v>
      </c>
      <c r="D11" s="28" t="s">
        <v>966</v>
      </c>
      <c r="E11" s="28" t="s">
        <v>975</v>
      </c>
      <c r="F11" s="27">
        <f t="shared" ref="F11:F74" si="9">B11*E11</f>
        <v>5032.5</v>
      </c>
      <c r="G11" s="114">
        <v>92.5</v>
      </c>
      <c r="H11" s="29">
        <f t="shared" ref="H11:H74" si="10">G11*B11</f>
        <v>7631.25</v>
      </c>
      <c r="I11" s="77" t="str">
        <f t="shared" si="6"/>
        <v>82.50</v>
      </c>
      <c r="J11" s="16"/>
      <c r="K11" s="15">
        <f t="shared" ref="K11:K74" si="11">I11+J11</f>
        <v>82.5</v>
      </c>
      <c r="L11" s="15">
        <f t="shared" ref="L11:L74" si="12">K11*E11</f>
        <v>5032.5</v>
      </c>
      <c r="M11" s="15" t="str">
        <f t="shared" ref="M11:M74" si="13">IF(L11&gt;F11,(L11-F11),"")</f>
        <v/>
      </c>
      <c r="N11" s="14" t="str">
        <f t="shared" ref="N11:N74" si="14">IF(F11&gt;L11,(F11-L11),"")</f>
        <v/>
      </c>
      <c r="O11" s="112">
        <f t="shared" ref="O11:O74" si="15">((E11-G11)/G11)*100</f>
        <v>-34.054054054054056</v>
      </c>
      <c r="P11" s="116"/>
      <c r="Q11" s="1">
        <v>61650</v>
      </c>
      <c r="S11" s="1" t="str">
        <f t="shared" si="7"/>
        <v>61.00</v>
      </c>
      <c r="T11" s="1">
        <f t="shared" si="8"/>
        <v>5032.5</v>
      </c>
      <c r="X11" s="15">
        <v>109.59</v>
      </c>
      <c r="AE11" s="8"/>
    </row>
    <row r="12" spans="1:31" ht="18.75">
      <c r="A12" s="113">
        <v>4</v>
      </c>
      <c r="B12" s="28" t="s">
        <v>856</v>
      </c>
      <c r="C12" s="24" t="s">
        <v>693</v>
      </c>
      <c r="D12" s="28" t="s">
        <v>966</v>
      </c>
      <c r="E12" s="28" t="s">
        <v>976</v>
      </c>
      <c r="F12" s="27">
        <f t="shared" si="9"/>
        <v>1092.1000000000001</v>
      </c>
      <c r="G12" s="114">
        <v>100.5</v>
      </c>
      <c r="H12" s="29">
        <f t="shared" si="10"/>
        <v>1638.15</v>
      </c>
      <c r="I12" s="77" t="str">
        <f t="shared" si="6"/>
        <v>16.30</v>
      </c>
      <c r="J12" s="16"/>
      <c r="K12" s="15">
        <f t="shared" si="11"/>
        <v>16.3</v>
      </c>
      <c r="L12" s="15">
        <f t="shared" si="12"/>
        <v>1092.1000000000001</v>
      </c>
      <c r="M12" s="15" t="str">
        <f t="shared" si="13"/>
        <v/>
      </c>
      <c r="N12" s="14" t="str">
        <f t="shared" si="14"/>
        <v/>
      </c>
      <c r="O12" s="112">
        <f t="shared" si="15"/>
        <v>-33.333333333333329</v>
      </c>
      <c r="P12" s="116"/>
      <c r="S12" s="1" t="str">
        <f t="shared" si="7"/>
        <v>67.00</v>
      </c>
      <c r="T12" s="1">
        <f t="shared" si="8"/>
        <v>1092.1000000000001</v>
      </c>
      <c r="X12" s="15"/>
      <c r="AE12" s="8"/>
    </row>
    <row r="13" spans="1:31" ht="33">
      <c r="A13" s="113">
        <v>5</v>
      </c>
      <c r="B13" s="28" t="s">
        <v>857</v>
      </c>
      <c r="C13" s="24" t="s">
        <v>695</v>
      </c>
      <c r="D13" s="28" t="s">
        <v>966</v>
      </c>
      <c r="E13" s="28" t="s">
        <v>977</v>
      </c>
      <c r="F13" s="27">
        <f t="shared" si="9"/>
        <v>2913.6</v>
      </c>
      <c r="G13" s="114">
        <v>806.23</v>
      </c>
      <c r="H13" s="29">
        <f t="shared" si="10"/>
        <v>3869.904</v>
      </c>
      <c r="I13" s="77" t="str">
        <f t="shared" si="6"/>
        <v>4.80</v>
      </c>
      <c r="J13" s="16"/>
      <c r="K13" s="15">
        <f t="shared" si="11"/>
        <v>4.8</v>
      </c>
      <c r="L13" s="15">
        <f t="shared" si="12"/>
        <v>2913.6</v>
      </c>
      <c r="M13" s="15" t="str">
        <f t="shared" si="13"/>
        <v/>
      </c>
      <c r="N13" s="14" t="str">
        <f t="shared" si="14"/>
        <v/>
      </c>
      <c r="O13" s="14">
        <f t="shared" si="15"/>
        <v>-24.711310668171617</v>
      </c>
      <c r="P13" s="116"/>
      <c r="Q13" s="1">
        <v>1600</v>
      </c>
      <c r="S13" s="1" t="str">
        <f t="shared" si="7"/>
        <v>607.00</v>
      </c>
      <c r="T13" s="1">
        <f t="shared" si="8"/>
        <v>2913.6</v>
      </c>
      <c r="X13" s="16"/>
      <c r="AE13" s="8"/>
    </row>
    <row r="14" spans="1:31" ht="33">
      <c r="A14" s="113">
        <v>6</v>
      </c>
      <c r="B14" s="28" t="s">
        <v>858</v>
      </c>
      <c r="C14" s="24" t="s">
        <v>696</v>
      </c>
      <c r="D14" s="28" t="s">
        <v>966</v>
      </c>
      <c r="E14" s="28" t="s">
        <v>978</v>
      </c>
      <c r="F14" s="27">
        <f t="shared" si="9"/>
        <v>1064</v>
      </c>
      <c r="G14" s="114">
        <v>883.23</v>
      </c>
      <c r="H14" s="29">
        <f t="shared" si="10"/>
        <v>1413.1680000000001</v>
      </c>
      <c r="I14" s="77" t="str">
        <f t="shared" si="6"/>
        <v>1.60</v>
      </c>
      <c r="J14" s="16"/>
      <c r="K14" s="15">
        <f t="shared" si="11"/>
        <v>1.6</v>
      </c>
      <c r="L14" s="15">
        <f t="shared" si="12"/>
        <v>1064</v>
      </c>
      <c r="M14" s="15" t="str">
        <f t="shared" si="13"/>
        <v/>
      </c>
      <c r="N14" s="14" t="str">
        <f t="shared" si="14"/>
        <v/>
      </c>
      <c r="O14" s="14">
        <f t="shared" si="15"/>
        <v>-24.708173408964822</v>
      </c>
      <c r="P14" s="116"/>
      <c r="Q14" s="1">
        <v>76800</v>
      </c>
      <c r="S14" s="1" t="str">
        <f t="shared" si="7"/>
        <v>665.00</v>
      </c>
      <c r="T14" s="1">
        <f t="shared" si="8"/>
        <v>1064</v>
      </c>
      <c r="X14" s="15">
        <v>0</v>
      </c>
      <c r="AE14" s="8"/>
    </row>
    <row r="15" spans="1:31" ht="18.75">
      <c r="A15" s="113">
        <v>7</v>
      </c>
      <c r="B15" s="28" t="s">
        <v>859</v>
      </c>
      <c r="C15" s="24" t="s">
        <v>697</v>
      </c>
      <c r="D15" s="28" t="s">
        <v>966</v>
      </c>
      <c r="E15" s="28" t="s">
        <v>979</v>
      </c>
      <c r="F15" s="27">
        <f t="shared" si="9"/>
        <v>149354</v>
      </c>
      <c r="G15" s="114">
        <v>3963.93</v>
      </c>
      <c r="H15" s="29">
        <f t="shared" si="10"/>
        <v>210088.28999999998</v>
      </c>
      <c r="I15" s="77" t="str">
        <f t="shared" si="6"/>
        <v>53.00</v>
      </c>
      <c r="J15" s="16"/>
      <c r="K15" s="15">
        <f t="shared" si="11"/>
        <v>53</v>
      </c>
      <c r="L15" s="15">
        <f t="shared" si="12"/>
        <v>149354</v>
      </c>
      <c r="M15" s="15" t="str">
        <f t="shared" si="13"/>
        <v/>
      </c>
      <c r="N15" s="14" t="str">
        <f t="shared" si="14"/>
        <v/>
      </c>
      <c r="O15" s="112">
        <f t="shared" si="15"/>
        <v>-28.908936333386308</v>
      </c>
      <c r="P15" s="116"/>
      <c r="Q15" s="1">
        <v>179100</v>
      </c>
      <c r="S15" s="1" t="str">
        <f t="shared" si="7"/>
        <v>2818.00</v>
      </c>
      <c r="T15" s="1">
        <f t="shared" si="8"/>
        <v>149354</v>
      </c>
      <c r="X15" s="15">
        <v>0</v>
      </c>
      <c r="AE15" s="8"/>
    </row>
    <row r="16" spans="1:31" ht="33">
      <c r="A16" s="113">
        <v>8</v>
      </c>
      <c r="B16" s="28" t="s">
        <v>860</v>
      </c>
      <c r="C16" s="24" t="s">
        <v>698</v>
      </c>
      <c r="D16" s="28" t="s">
        <v>966</v>
      </c>
      <c r="E16" s="28" t="s">
        <v>980</v>
      </c>
      <c r="F16" s="27">
        <f t="shared" si="9"/>
        <v>157480</v>
      </c>
      <c r="G16" s="114">
        <v>5446.05</v>
      </c>
      <c r="H16" s="29">
        <f t="shared" si="10"/>
        <v>217842</v>
      </c>
      <c r="I16" s="77" t="str">
        <f t="shared" si="6"/>
        <v>40.00</v>
      </c>
      <c r="J16" s="16"/>
      <c r="K16" s="15">
        <f t="shared" si="11"/>
        <v>40</v>
      </c>
      <c r="L16" s="15">
        <f t="shared" si="12"/>
        <v>157480</v>
      </c>
      <c r="M16" s="15" t="str">
        <f t="shared" si="13"/>
        <v/>
      </c>
      <c r="N16" s="14" t="str">
        <f t="shared" si="14"/>
        <v/>
      </c>
      <c r="O16" s="112">
        <f t="shared" si="15"/>
        <v>-27.709073548718798</v>
      </c>
      <c r="P16" s="116"/>
      <c r="Q16" s="1">
        <v>100000</v>
      </c>
      <c r="S16" s="1" t="str">
        <f t="shared" si="7"/>
        <v>3937.00</v>
      </c>
      <c r="T16" s="1">
        <f t="shared" si="8"/>
        <v>157480</v>
      </c>
      <c r="X16" s="16">
        <v>9.75</v>
      </c>
    </row>
    <row r="17" spans="1:24" ht="33">
      <c r="A17" s="113">
        <v>9</v>
      </c>
      <c r="B17" s="114">
        <v>0.2</v>
      </c>
      <c r="C17" s="24" t="s">
        <v>699</v>
      </c>
      <c r="D17" s="28" t="s">
        <v>966</v>
      </c>
      <c r="E17" s="28" t="s">
        <v>981</v>
      </c>
      <c r="F17" s="27">
        <f t="shared" si="9"/>
        <v>484.40000000000003</v>
      </c>
      <c r="G17" s="114">
        <v>3426.72</v>
      </c>
      <c r="H17" s="29">
        <f t="shared" si="10"/>
        <v>685.34400000000005</v>
      </c>
      <c r="I17" s="77">
        <f t="shared" si="6"/>
        <v>0.2</v>
      </c>
      <c r="J17" s="16"/>
      <c r="K17" s="15">
        <f t="shared" si="11"/>
        <v>0.2</v>
      </c>
      <c r="L17" s="15">
        <f t="shared" si="12"/>
        <v>484.40000000000003</v>
      </c>
      <c r="M17" s="15" t="str">
        <f t="shared" si="13"/>
        <v/>
      </c>
      <c r="N17" s="14" t="str">
        <f t="shared" si="14"/>
        <v/>
      </c>
      <c r="O17" s="112">
        <f t="shared" si="15"/>
        <v>-29.320166223093803</v>
      </c>
      <c r="P17" s="116"/>
      <c r="Q17" s="1">
        <v>320000</v>
      </c>
      <c r="S17" s="1" t="str">
        <f t="shared" si="7"/>
        <v>2422.00</v>
      </c>
      <c r="T17" s="1">
        <f t="shared" si="8"/>
        <v>484.40000000000003</v>
      </c>
      <c r="X17" s="16">
        <v>9.75</v>
      </c>
    </row>
    <row r="18" spans="1:24" s="3" customFormat="1" ht="49.5">
      <c r="A18" s="113">
        <v>10</v>
      </c>
      <c r="B18" s="28" t="s">
        <v>861</v>
      </c>
      <c r="C18" s="24" t="s">
        <v>700</v>
      </c>
      <c r="D18" s="28" t="s">
        <v>966</v>
      </c>
      <c r="E18" s="28" t="s">
        <v>982</v>
      </c>
      <c r="F18" s="27">
        <f t="shared" si="9"/>
        <v>273699</v>
      </c>
      <c r="G18" s="114">
        <v>5843.77</v>
      </c>
      <c r="H18" s="29">
        <f t="shared" si="10"/>
        <v>382182.55800000008</v>
      </c>
      <c r="I18" s="77" t="str">
        <f t="shared" si="6"/>
        <v>65.40</v>
      </c>
      <c r="J18" s="16"/>
      <c r="K18" s="15">
        <f t="shared" si="11"/>
        <v>65.400000000000006</v>
      </c>
      <c r="L18" s="15">
        <f t="shared" si="12"/>
        <v>273699</v>
      </c>
      <c r="M18" s="15" t="str">
        <f t="shared" si="13"/>
        <v/>
      </c>
      <c r="N18" s="14" t="str">
        <f t="shared" si="14"/>
        <v/>
      </c>
      <c r="O18" s="112">
        <f t="shared" si="15"/>
        <v>-28.385271836502813</v>
      </c>
      <c r="P18" s="116"/>
      <c r="Q18" s="3">
        <v>151700</v>
      </c>
      <c r="S18" s="1" t="str">
        <f t="shared" si="7"/>
        <v>4185.00</v>
      </c>
      <c r="T18" s="1">
        <f t="shared" si="8"/>
        <v>273699</v>
      </c>
      <c r="X18" s="16">
        <v>18.53</v>
      </c>
    </row>
    <row r="19" spans="1:24" s="3" customFormat="1" ht="33">
      <c r="A19" s="113">
        <v>11</v>
      </c>
      <c r="B19" s="28" t="s">
        <v>862</v>
      </c>
      <c r="C19" s="24" t="s">
        <v>701</v>
      </c>
      <c r="D19" s="28" t="s">
        <v>967</v>
      </c>
      <c r="E19" s="28" t="s">
        <v>983</v>
      </c>
      <c r="F19" s="27">
        <f t="shared" si="9"/>
        <v>9451.7999999999993</v>
      </c>
      <c r="G19" s="114">
        <v>705</v>
      </c>
      <c r="H19" s="29">
        <f t="shared" si="10"/>
        <v>12478.5</v>
      </c>
      <c r="I19" s="77" t="str">
        <f t="shared" si="6"/>
        <v>17.70</v>
      </c>
      <c r="J19" s="16"/>
      <c r="K19" s="15">
        <f t="shared" si="11"/>
        <v>17.7</v>
      </c>
      <c r="L19" s="15">
        <f t="shared" si="12"/>
        <v>9451.7999999999993</v>
      </c>
      <c r="M19" s="15" t="str">
        <f t="shared" si="13"/>
        <v/>
      </c>
      <c r="N19" s="14" t="str">
        <f t="shared" si="14"/>
        <v/>
      </c>
      <c r="O19" s="14">
        <f t="shared" si="15"/>
        <v>-24.25531914893617</v>
      </c>
      <c r="P19" s="116"/>
      <c r="Q19" s="3">
        <v>420000</v>
      </c>
      <c r="S19" s="1" t="str">
        <f t="shared" si="7"/>
        <v>534.00</v>
      </c>
      <c r="T19" s="1">
        <f t="shared" si="8"/>
        <v>9451.7999999999993</v>
      </c>
      <c r="X19" s="16"/>
    </row>
    <row r="20" spans="1:24" s="3" customFormat="1" ht="49.5">
      <c r="A20" s="113">
        <v>12</v>
      </c>
      <c r="B20" s="28" t="s">
        <v>863</v>
      </c>
      <c r="C20" s="24" t="s">
        <v>702</v>
      </c>
      <c r="D20" s="28" t="s">
        <v>966</v>
      </c>
      <c r="E20" s="28" t="s">
        <v>984</v>
      </c>
      <c r="F20" s="27">
        <f t="shared" si="9"/>
        <v>65301.599999999999</v>
      </c>
      <c r="G20" s="114">
        <v>5853.21</v>
      </c>
      <c r="H20" s="29">
        <f t="shared" si="10"/>
        <v>91310.076000000001</v>
      </c>
      <c r="I20" s="77" t="str">
        <f t="shared" si="6"/>
        <v>15.60</v>
      </c>
      <c r="J20" s="16"/>
      <c r="K20" s="15">
        <f t="shared" si="11"/>
        <v>15.6</v>
      </c>
      <c r="L20" s="15">
        <f t="shared" si="12"/>
        <v>65301.599999999999</v>
      </c>
      <c r="M20" s="15" t="str">
        <f t="shared" si="13"/>
        <v/>
      </c>
      <c r="N20" s="14" t="str">
        <f t="shared" si="14"/>
        <v/>
      </c>
      <c r="O20" s="112">
        <f t="shared" si="15"/>
        <v>-28.48368672916229</v>
      </c>
      <c r="P20" s="116"/>
      <c r="Q20" s="3">
        <v>430000</v>
      </c>
      <c r="S20" s="1" t="str">
        <f t="shared" si="7"/>
        <v>4186.00</v>
      </c>
      <c r="T20" s="1">
        <f t="shared" si="8"/>
        <v>65301.599999999999</v>
      </c>
      <c r="X20" s="16">
        <v>17.73</v>
      </c>
    </row>
    <row r="21" spans="1:24" s="3" customFormat="1" ht="18.75">
      <c r="A21" s="113">
        <v>13</v>
      </c>
      <c r="B21" s="28" t="s">
        <v>864</v>
      </c>
      <c r="C21" s="24" t="s">
        <v>36</v>
      </c>
      <c r="D21" s="28" t="s">
        <v>966</v>
      </c>
      <c r="E21" s="28" t="s">
        <v>985</v>
      </c>
      <c r="F21" s="27">
        <f t="shared" si="9"/>
        <v>136308.69999999998</v>
      </c>
      <c r="G21" s="114">
        <v>5984.44</v>
      </c>
      <c r="H21" s="29">
        <f t="shared" si="10"/>
        <v>190903.63599999997</v>
      </c>
      <c r="I21" s="77" t="str">
        <f t="shared" si="6"/>
        <v>31.90</v>
      </c>
      <c r="J21" s="16"/>
      <c r="K21" s="15">
        <f t="shared" si="11"/>
        <v>31.9</v>
      </c>
      <c r="L21" s="15">
        <f t="shared" si="12"/>
        <v>136308.69999999998</v>
      </c>
      <c r="M21" s="15" t="str">
        <f t="shared" si="13"/>
        <v/>
      </c>
      <c r="N21" s="14" t="str">
        <f t="shared" si="14"/>
        <v/>
      </c>
      <c r="O21" s="112">
        <f t="shared" si="15"/>
        <v>-28.598164573460505</v>
      </c>
      <c r="P21" s="116"/>
      <c r="S21" s="1" t="str">
        <f t="shared" si="7"/>
        <v>4273.00</v>
      </c>
      <c r="T21" s="1">
        <f t="shared" si="8"/>
        <v>136308.69999999998</v>
      </c>
      <c r="X21" s="16"/>
    </row>
    <row r="22" spans="1:24" s="3" customFormat="1" ht="18.75">
      <c r="A22" s="113">
        <v>14</v>
      </c>
      <c r="B22" s="28" t="s">
        <v>865</v>
      </c>
      <c r="C22" s="24" t="s">
        <v>37</v>
      </c>
      <c r="D22" s="28" t="s">
        <v>966</v>
      </c>
      <c r="E22" s="28" t="s">
        <v>986</v>
      </c>
      <c r="F22" s="27">
        <f t="shared" si="9"/>
        <v>203176</v>
      </c>
      <c r="G22" s="114">
        <v>6115.67</v>
      </c>
      <c r="H22" s="29">
        <f t="shared" si="10"/>
        <v>284990.22200000001</v>
      </c>
      <c r="I22" s="77" t="str">
        <f t="shared" si="6"/>
        <v>46.60</v>
      </c>
      <c r="J22" s="16"/>
      <c r="K22" s="15">
        <f t="shared" si="11"/>
        <v>46.6</v>
      </c>
      <c r="L22" s="15">
        <f t="shared" si="12"/>
        <v>203176</v>
      </c>
      <c r="M22" s="15" t="str">
        <f t="shared" si="13"/>
        <v/>
      </c>
      <c r="N22" s="14" t="str">
        <f t="shared" si="14"/>
        <v/>
      </c>
      <c r="O22" s="112">
        <f t="shared" si="15"/>
        <v>-28.707729488347152</v>
      </c>
      <c r="P22" s="116"/>
      <c r="Q22" s="3">
        <v>440000</v>
      </c>
      <c r="S22" s="1" t="str">
        <f t="shared" si="7"/>
        <v>4360.00</v>
      </c>
      <c r="T22" s="1">
        <f t="shared" si="8"/>
        <v>203176</v>
      </c>
      <c r="X22" s="16">
        <v>85.67</v>
      </c>
    </row>
    <row r="23" spans="1:24" s="3" customFormat="1" ht="18.75">
      <c r="A23" s="113">
        <v>15</v>
      </c>
      <c r="B23" s="28" t="s">
        <v>866</v>
      </c>
      <c r="C23" s="24" t="s">
        <v>38</v>
      </c>
      <c r="D23" s="28" t="s">
        <v>966</v>
      </c>
      <c r="E23" s="28" t="s">
        <v>987</v>
      </c>
      <c r="F23" s="27">
        <f t="shared" si="9"/>
        <v>174361.60000000001</v>
      </c>
      <c r="G23" s="114">
        <v>6246.9</v>
      </c>
      <c r="H23" s="29">
        <f t="shared" si="10"/>
        <v>244878.48</v>
      </c>
      <c r="I23" s="77" t="str">
        <f t="shared" si="6"/>
        <v>39.20</v>
      </c>
      <c r="J23" s="16"/>
      <c r="K23" s="15">
        <f t="shared" si="11"/>
        <v>39.200000000000003</v>
      </c>
      <c r="L23" s="15">
        <f t="shared" si="12"/>
        <v>174361.60000000001</v>
      </c>
      <c r="M23" s="15" t="str">
        <f t="shared" si="13"/>
        <v/>
      </c>
      <c r="N23" s="14" t="str">
        <f t="shared" si="14"/>
        <v/>
      </c>
      <c r="O23" s="112">
        <f t="shared" si="15"/>
        <v>-28.7966831548448</v>
      </c>
      <c r="P23" s="116"/>
      <c r="Q23" s="3">
        <v>450000</v>
      </c>
      <c r="S23" s="1" t="str">
        <f t="shared" si="7"/>
        <v>4448.00</v>
      </c>
      <c r="T23" s="1">
        <f t="shared" si="8"/>
        <v>174361.60000000001</v>
      </c>
      <c r="X23" s="16">
        <v>89.24</v>
      </c>
    </row>
    <row r="24" spans="1:24" s="3" customFormat="1" ht="66">
      <c r="A24" s="113">
        <v>16</v>
      </c>
      <c r="B24" s="28" t="s">
        <v>867</v>
      </c>
      <c r="C24" s="24" t="s">
        <v>703</v>
      </c>
      <c r="D24" s="28" t="s">
        <v>967</v>
      </c>
      <c r="E24" s="28" t="s">
        <v>988</v>
      </c>
      <c r="F24" s="27">
        <f t="shared" si="9"/>
        <v>4376.4000000000005</v>
      </c>
      <c r="G24" s="114">
        <v>737.17</v>
      </c>
      <c r="H24" s="29">
        <f t="shared" si="10"/>
        <v>6192.2280000000001</v>
      </c>
      <c r="I24" s="77" t="str">
        <f t="shared" si="6"/>
        <v>8.40</v>
      </c>
      <c r="J24" s="16"/>
      <c r="K24" s="15">
        <f t="shared" si="11"/>
        <v>8.4</v>
      </c>
      <c r="L24" s="15">
        <f t="shared" si="12"/>
        <v>4376.4000000000005</v>
      </c>
      <c r="M24" s="15" t="str">
        <f t="shared" si="13"/>
        <v/>
      </c>
      <c r="N24" s="14" t="str">
        <f t="shared" si="14"/>
        <v/>
      </c>
      <c r="O24" s="112">
        <f t="shared" si="15"/>
        <v>-29.324307825874623</v>
      </c>
      <c r="P24" s="116"/>
      <c r="Q24" s="3">
        <v>28100</v>
      </c>
      <c r="S24" s="1" t="str">
        <f t="shared" si="7"/>
        <v>521.00</v>
      </c>
      <c r="T24" s="1">
        <f t="shared" si="8"/>
        <v>4376.4000000000005</v>
      </c>
      <c r="X24" s="16">
        <v>63.67</v>
      </c>
    </row>
    <row r="25" spans="1:24" s="3" customFormat="1" ht="18.75">
      <c r="A25" s="113">
        <v>17</v>
      </c>
      <c r="B25" s="28" t="s">
        <v>868</v>
      </c>
      <c r="C25" s="24" t="s">
        <v>704</v>
      </c>
      <c r="D25" s="28" t="s">
        <v>967</v>
      </c>
      <c r="E25" s="28" t="s">
        <v>989</v>
      </c>
      <c r="F25" s="27">
        <f t="shared" si="9"/>
        <v>61384.200000000004</v>
      </c>
      <c r="G25" s="114">
        <v>744.59</v>
      </c>
      <c r="H25" s="29">
        <f t="shared" si="10"/>
        <v>86893.653000000006</v>
      </c>
      <c r="I25" s="77" t="str">
        <f t="shared" si="6"/>
        <v>116.70</v>
      </c>
      <c r="J25" s="16"/>
      <c r="K25" s="15">
        <f t="shared" si="11"/>
        <v>116.7</v>
      </c>
      <c r="L25" s="15">
        <f t="shared" si="12"/>
        <v>61384.200000000004</v>
      </c>
      <c r="M25" s="15" t="str">
        <f t="shared" si="13"/>
        <v/>
      </c>
      <c r="N25" s="14" t="str">
        <f t="shared" si="14"/>
        <v/>
      </c>
      <c r="O25" s="112">
        <f t="shared" si="15"/>
        <v>-29.357095851408161</v>
      </c>
      <c r="P25" s="116"/>
      <c r="Q25" s="3">
        <v>283750</v>
      </c>
      <c r="S25" s="1" t="str">
        <f t="shared" si="7"/>
        <v>526.00</v>
      </c>
      <c r="T25" s="1">
        <f t="shared" si="8"/>
        <v>61384.200000000004</v>
      </c>
      <c r="X25" s="16"/>
    </row>
    <row r="26" spans="1:24" s="3" customFormat="1" ht="18.75">
      <c r="A26" s="113">
        <v>18</v>
      </c>
      <c r="B26" s="28" t="s">
        <v>869</v>
      </c>
      <c r="C26" s="24" t="s">
        <v>39</v>
      </c>
      <c r="D26" s="28" t="s">
        <v>967</v>
      </c>
      <c r="E26" s="28" t="s">
        <v>990</v>
      </c>
      <c r="F26" s="27">
        <f t="shared" si="9"/>
        <v>52260</v>
      </c>
      <c r="G26" s="114">
        <v>759.55</v>
      </c>
      <c r="H26" s="29">
        <f t="shared" si="10"/>
        <v>74056.125</v>
      </c>
      <c r="I26" s="77" t="str">
        <f t="shared" si="6"/>
        <v>97.50</v>
      </c>
      <c r="J26" s="16"/>
      <c r="K26" s="15">
        <f t="shared" si="11"/>
        <v>97.5</v>
      </c>
      <c r="L26" s="15">
        <f t="shared" si="12"/>
        <v>52260</v>
      </c>
      <c r="M26" s="15" t="str">
        <f t="shared" si="13"/>
        <v/>
      </c>
      <c r="N26" s="14" t="str">
        <f t="shared" si="14"/>
        <v/>
      </c>
      <c r="O26" s="112">
        <f t="shared" si="15"/>
        <v>-29.431900467382</v>
      </c>
      <c r="P26" s="116"/>
      <c r="Q26" s="3">
        <v>283750</v>
      </c>
      <c r="S26" s="1" t="str">
        <f t="shared" si="7"/>
        <v>536.00</v>
      </c>
      <c r="T26" s="1">
        <f t="shared" si="8"/>
        <v>52260</v>
      </c>
      <c r="X26" s="16"/>
    </row>
    <row r="27" spans="1:24" s="3" customFormat="1" ht="18.75">
      <c r="A27" s="113">
        <v>19</v>
      </c>
      <c r="B27" s="28" t="s">
        <v>870</v>
      </c>
      <c r="C27" s="24" t="s">
        <v>40</v>
      </c>
      <c r="D27" s="28" t="s">
        <v>967</v>
      </c>
      <c r="E27" s="28" t="s">
        <v>991</v>
      </c>
      <c r="F27" s="27">
        <f t="shared" si="9"/>
        <v>42042</v>
      </c>
      <c r="G27" s="114">
        <v>774.51</v>
      </c>
      <c r="H27" s="29">
        <f t="shared" si="10"/>
        <v>59637.27</v>
      </c>
      <c r="I27" s="77" t="str">
        <f t="shared" si="6"/>
        <v>77.00</v>
      </c>
      <c r="J27" s="16"/>
      <c r="K27" s="15">
        <f t="shared" si="11"/>
        <v>77</v>
      </c>
      <c r="L27" s="15">
        <f t="shared" si="12"/>
        <v>42042</v>
      </c>
      <c r="M27" s="15" t="str">
        <f t="shared" si="13"/>
        <v/>
      </c>
      <c r="N27" s="14" t="str">
        <f t="shared" si="14"/>
        <v/>
      </c>
      <c r="O27" s="112">
        <f t="shared" si="15"/>
        <v>-29.503815315489796</v>
      </c>
      <c r="P27" s="116"/>
      <c r="Q27" s="3">
        <v>283750</v>
      </c>
      <c r="S27" s="1" t="str">
        <f t="shared" si="7"/>
        <v>546.00</v>
      </c>
      <c r="T27" s="1">
        <f t="shared" si="8"/>
        <v>42042</v>
      </c>
      <c r="X27" s="16">
        <v>57.63</v>
      </c>
    </row>
    <row r="28" spans="1:24" s="3" customFormat="1" ht="18.75">
      <c r="A28" s="113">
        <v>20</v>
      </c>
      <c r="B28" s="28" t="s">
        <v>871</v>
      </c>
      <c r="C28" s="24" t="s">
        <v>41</v>
      </c>
      <c r="D28" s="28" t="s">
        <v>967</v>
      </c>
      <c r="E28" s="28" t="s">
        <v>992</v>
      </c>
      <c r="F28" s="27">
        <f t="shared" si="9"/>
        <v>17291.600000000002</v>
      </c>
      <c r="G28" s="114">
        <v>789.47</v>
      </c>
      <c r="H28" s="29">
        <f t="shared" si="10"/>
        <v>24552.517000000003</v>
      </c>
      <c r="I28" s="77" t="str">
        <f t="shared" si="6"/>
        <v>31.10</v>
      </c>
      <c r="J28" s="16"/>
      <c r="K28" s="15">
        <f t="shared" si="11"/>
        <v>31.1</v>
      </c>
      <c r="L28" s="15">
        <f t="shared" si="12"/>
        <v>17291.600000000002</v>
      </c>
      <c r="M28" s="15" t="str">
        <f t="shared" si="13"/>
        <v/>
      </c>
      <c r="N28" s="14" t="str">
        <f t="shared" si="14"/>
        <v/>
      </c>
      <c r="O28" s="112">
        <f t="shared" si="15"/>
        <v>-29.573004674021814</v>
      </c>
      <c r="P28" s="116"/>
      <c r="Q28" s="3">
        <v>283750</v>
      </c>
      <c r="S28" s="1" t="str">
        <f t="shared" si="7"/>
        <v>556.00</v>
      </c>
      <c r="T28" s="1">
        <f t="shared" si="8"/>
        <v>17291.600000000002</v>
      </c>
      <c r="X28" s="16">
        <v>96.5</v>
      </c>
    </row>
    <row r="29" spans="1:24" s="3" customFormat="1" ht="66">
      <c r="A29" s="113">
        <v>21</v>
      </c>
      <c r="B29" s="28" t="s">
        <v>872</v>
      </c>
      <c r="C29" s="24" t="s">
        <v>705</v>
      </c>
      <c r="D29" s="28" t="s">
        <v>967</v>
      </c>
      <c r="E29" s="28" t="s">
        <v>993</v>
      </c>
      <c r="F29" s="27">
        <f t="shared" si="9"/>
        <v>949</v>
      </c>
      <c r="G29" s="114">
        <v>518.79999999999995</v>
      </c>
      <c r="H29" s="29">
        <f t="shared" si="10"/>
        <v>1348.8799999999999</v>
      </c>
      <c r="I29" s="77" t="str">
        <f t="shared" si="6"/>
        <v>2.60</v>
      </c>
      <c r="J29" s="16"/>
      <c r="K29" s="15">
        <f t="shared" si="11"/>
        <v>2.6</v>
      </c>
      <c r="L29" s="15">
        <f t="shared" si="12"/>
        <v>949</v>
      </c>
      <c r="M29" s="15" t="str">
        <f t="shared" si="13"/>
        <v/>
      </c>
      <c r="N29" s="14" t="str">
        <f t="shared" si="14"/>
        <v/>
      </c>
      <c r="O29" s="112">
        <f t="shared" si="15"/>
        <v>-29.645335389360056</v>
      </c>
      <c r="P29" s="116"/>
      <c r="Q29" s="3">
        <v>29050</v>
      </c>
      <c r="S29" s="1" t="str">
        <f t="shared" si="7"/>
        <v>365.00</v>
      </c>
      <c r="T29" s="1">
        <f t="shared" si="8"/>
        <v>949</v>
      </c>
      <c r="X29" s="16">
        <v>47.2</v>
      </c>
    </row>
    <row r="30" spans="1:24" s="3" customFormat="1" ht="18.75">
      <c r="A30" s="113">
        <v>22</v>
      </c>
      <c r="B30" s="28" t="s">
        <v>873</v>
      </c>
      <c r="C30" s="24" t="s">
        <v>36</v>
      </c>
      <c r="D30" s="28" t="s">
        <v>967</v>
      </c>
      <c r="E30" s="28" t="s">
        <v>221</v>
      </c>
      <c r="F30" s="27">
        <f t="shared" si="9"/>
        <v>6696</v>
      </c>
      <c r="G30" s="114">
        <v>528.64</v>
      </c>
      <c r="H30" s="29">
        <f t="shared" si="10"/>
        <v>9515.52</v>
      </c>
      <c r="I30" s="77" t="str">
        <f t="shared" si="6"/>
        <v>18.00</v>
      </c>
      <c r="J30" s="16"/>
      <c r="K30" s="15">
        <f t="shared" si="11"/>
        <v>18</v>
      </c>
      <c r="L30" s="15">
        <f t="shared" si="12"/>
        <v>6696</v>
      </c>
      <c r="M30" s="15" t="str">
        <f t="shared" si="13"/>
        <v/>
      </c>
      <c r="N30" s="14" t="str">
        <f t="shared" si="14"/>
        <v/>
      </c>
      <c r="O30" s="112">
        <f t="shared" si="15"/>
        <v>-29.630750605326874</v>
      </c>
      <c r="P30" s="116"/>
      <c r="Q30" s="3">
        <v>29050</v>
      </c>
      <c r="S30" s="1" t="str">
        <f t="shared" si="7"/>
        <v>372.00</v>
      </c>
      <c r="T30" s="1">
        <f t="shared" si="8"/>
        <v>6696</v>
      </c>
      <c r="X30" s="16"/>
    </row>
    <row r="31" spans="1:24" s="3" customFormat="1" ht="18.75">
      <c r="A31" s="113">
        <v>23</v>
      </c>
      <c r="B31" s="28" t="s">
        <v>874</v>
      </c>
      <c r="C31" s="24" t="s">
        <v>37</v>
      </c>
      <c r="D31" s="28" t="s">
        <v>967</v>
      </c>
      <c r="E31" s="28" t="s">
        <v>994</v>
      </c>
      <c r="F31" s="27">
        <f t="shared" si="9"/>
        <v>7635.5999999999995</v>
      </c>
      <c r="G31" s="114">
        <v>538.48</v>
      </c>
      <c r="H31" s="29">
        <f t="shared" si="10"/>
        <v>10877.296</v>
      </c>
      <c r="I31" s="77" t="str">
        <f t="shared" si="6"/>
        <v>20.20</v>
      </c>
      <c r="J31" s="16"/>
      <c r="K31" s="15">
        <f t="shared" si="11"/>
        <v>20.2</v>
      </c>
      <c r="L31" s="15">
        <f t="shared" si="12"/>
        <v>7635.5999999999995</v>
      </c>
      <c r="M31" s="15" t="str">
        <f t="shared" si="13"/>
        <v/>
      </c>
      <c r="N31" s="14" t="str">
        <f t="shared" si="14"/>
        <v/>
      </c>
      <c r="O31" s="112">
        <f t="shared" si="15"/>
        <v>-29.802406774624874</v>
      </c>
      <c r="P31" s="116"/>
      <c r="Q31" s="3">
        <v>283750</v>
      </c>
      <c r="S31" s="1" t="str">
        <f t="shared" si="7"/>
        <v>378.00</v>
      </c>
      <c r="T31" s="1">
        <f t="shared" si="8"/>
        <v>7635.5999999999995</v>
      </c>
      <c r="X31" s="16"/>
    </row>
    <row r="32" spans="1:24" s="3" customFormat="1" ht="18.75">
      <c r="A32" s="113">
        <v>24</v>
      </c>
      <c r="B32" s="28" t="s">
        <v>875</v>
      </c>
      <c r="C32" s="24" t="s">
        <v>38</v>
      </c>
      <c r="D32" s="28" t="s">
        <v>967</v>
      </c>
      <c r="E32" s="28" t="s">
        <v>995</v>
      </c>
      <c r="F32" s="27">
        <f t="shared" si="9"/>
        <v>3888.5</v>
      </c>
      <c r="G32" s="114">
        <v>548.32000000000005</v>
      </c>
      <c r="H32" s="29">
        <f t="shared" si="10"/>
        <v>5538.0320000000002</v>
      </c>
      <c r="I32" s="77" t="str">
        <f t="shared" si="6"/>
        <v>10.10</v>
      </c>
      <c r="J32" s="16"/>
      <c r="K32" s="15">
        <f t="shared" si="11"/>
        <v>10.1</v>
      </c>
      <c r="L32" s="15">
        <f t="shared" si="12"/>
        <v>3888.5</v>
      </c>
      <c r="M32" s="15" t="str">
        <f t="shared" si="13"/>
        <v/>
      </c>
      <c r="N32" s="14" t="str">
        <f t="shared" si="14"/>
        <v/>
      </c>
      <c r="O32" s="112">
        <f t="shared" si="15"/>
        <v>-29.785526699737385</v>
      </c>
      <c r="P32" s="116"/>
      <c r="Q32" s="3">
        <v>283750</v>
      </c>
      <c r="S32" s="1" t="str">
        <f t="shared" si="7"/>
        <v>385.00</v>
      </c>
      <c r="T32" s="1">
        <f t="shared" si="8"/>
        <v>3888.5</v>
      </c>
      <c r="X32" s="16">
        <v>57.63</v>
      </c>
    </row>
    <row r="33" spans="1:24" s="3" customFormat="1" ht="18.75">
      <c r="A33" s="113">
        <v>25</v>
      </c>
      <c r="B33" s="28" t="s">
        <v>876</v>
      </c>
      <c r="C33" s="24" t="s">
        <v>706</v>
      </c>
      <c r="D33" s="28" t="s">
        <v>966</v>
      </c>
      <c r="E33" s="28" t="s">
        <v>935</v>
      </c>
      <c r="F33" s="27">
        <f t="shared" si="9"/>
        <v>1717.8</v>
      </c>
      <c r="G33" s="114">
        <v>32.229999999999997</v>
      </c>
      <c r="H33" s="29">
        <f t="shared" si="10"/>
        <v>2636.4139999999998</v>
      </c>
      <c r="I33" s="77" t="str">
        <f t="shared" si="6"/>
        <v>81.80</v>
      </c>
      <c r="J33" s="16"/>
      <c r="K33" s="15">
        <f t="shared" si="11"/>
        <v>81.8</v>
      </c>
      <c r="L33" s="15">
        <f t="shared" si="12"/>
        <v>1717.8</v>
      </c>
      <c r="M33" s="15" t="str">
        <f t="shared" si="13"/>
        <v/>
      </c>
      <c r="N33" s="14" t="str">
        <f t="shared" si="14"/>
        <v/>
      </c>
      <c r="O33" s="112">
        <f t="shared" si="15"/>
        <v>-34.843313682904117</v>
      </c>
      <c r="P33" s="116"/>
      <c r="Q33" s="3">
        <v>283750</v>
      </c>
      <c r="S33" s="1" t="str">
        <f t="shared" si="7"/>
        <v>21.00</v>
      </c>
      <c r="T33" s="1">
        <f t="shared" si="8"/>
        <v>1717.8</v>
      </c>
      <c r="X33" s="16">
        <v>96.5</v>
      </c>
    </row>
    <row r="34" spans="1:24" ht="18.75">
      <c r="A34" s="113">
        <v>26</v>
      </c>
      <c r="B34" s="28" t="s">
        <v>877</v>
      </c>
      <c r="C34" s="24" t="s">
        <v>707</v>
      </c>
      <c r="D34" s="28" t="s">
        <v>64</v>
      </c>
      <c r="E34" s="28" t="s">
        <v>860</v>
      </c>
      <c r="F34" s="27">
        <f t="shared" si="9"/>
        <v>760</v>
      </c>
      <c r="G34" s="114">
        <v>52</v>
      </c>
      <c r="H34" s="29">
        <f t="shared" si="10"/>
        <v>988</v>
      </c>
      <c r="I34" s="77" t="str">
        <f t="shared" si="6"/>
        <v>19.00</v>
      </c>
      <c r="J34" s="16"/>
      <c r="K34" s="15">
        <f t="shared" si="11"/>
        <v>19</v>
      </c>
      <c r="L34" s="15">
        <f t="shared" si="12"/>
        <v>760</v>
      </c>
      <c r="M34" s="15" t="str">
        <f t="shared" si="13"/>
        <v/>
      </c>
      <c r="N34" s="14" t="str">
        <f t="shared" si="14"/>
        <v/>
      </c>
      <c r="O34" s="14">
        <f t="shared" si="15"/>
        <v>-23.076923076923077</v>
      </c>
      <c r="P34" s="116"/>
      <c r="Q34" s="1">
        <v>6000</v>
      </c>
      <c r="S34" s="1" t="str">
        <f>E34</f>
        <v>40.00</v>
      </c>
      <c r="T34" s="1">
        <f>S34*I34</f>
        <v>760</v>
      </c>
      <c r="X34" s="16">
        <v>18</v>
      </c>
    </row>
    <row r="35" spans="1:24" ht="33">
      <c r="A35" s="113">
        <v>27</v>
      </c>
      <c r="B35" s="28" t="s">
        <v>878</v>
      </c>
      <c r="C35" s="24" t="s">
        <v>708</v>
      </c>
      <c r="D35" s="28" t="s">
        <v>968</v>
      </c>
      <c r="E35" s="28" t="s">
        <v>996</v>
      </c>
      <c r="F35" s="27">
        <f t="shared" si="9"/>
        <v>95880</v>
      </c>
      <c r="G35" s="114">
        <v>61.5</v>
      </c>
      <c r="H35" s="29">
        <f t="shared" si="10"/>
        <v>125460</v>
      </c>
      <c r="I35" s="77" t="str">
        <f t="shared" si="6"/>
        <v>2040.00</v>
      </c>
      <c r="J35" s="16"/>
      <c r="K35" s="15">
        <f t="shared" si="11"/>
        <v>2040</v>
      </c>
      <c r="L35" s="15">
        <f t="shared" si="12"/>
        <v>95880</v>
      </c>
      <c r="M35" s="15" t="str">
        <f t="shared" si="13"/>
        <v/>
      </c>
      <c r="N35" s="14" t="str">
        <f t="shared" si="14"/>
        <v/>
      </c>
      <c r="O35" s="14">
        <f t="shared" si="15"/>
        <v>-23.577235772357724</v>
      </c>
      <c r="P35" s="116"/>
      <c r="Q35" s="1">
        <v>5400</v>
      </c>
      <c r="S35" s="1" t="str">
        <f>E35</f>
        <v>47.00</v>
      </c>
      <c r="T35" s="1">
        <f>S35*I35</f>
        <v>95880</v>
      </c>
      <c r="X35" s="16">
        <v>0</v>
      </c>
    </row>
    <row r="36" spans="1:24" ht="18.75">
      <c r="A36" s="113">
        <v>28</v>
      </c>
      <c r="B36" s="28" t="s">
        <v>879</v>
      </c>
      <c r="C36" s="24" t="s">
        <v>709</v>
      </c>
      <c r="D36" s="28" t="s">
        <v>64</v>
      </c>
      <c r="E36" s="28" t="s">
        <v>934</v>
      </c>
      <c r="F36" s="27">
        <f t="shared" si="9"/>
        <v>798</v>
      </c>
      <c r="G36" s="114">
        <v>9.6</v>
      </c>
      <c r="H36" s="29">
        <f t="shared" si="10"/>
        <v>1094.3999999999999</v>
      </c>
      <c r="I36" s="77" t="str">
        <f t="shared" si="6"/>
        <v>114.00</v>
      </c>
      <c r="J36" s="16"/>
      <c r="K36" s="15">
        <f t="shared" si="11"/>
        <v>114</v>
      </c>
      <c r="L36" s="15">
        <f t="shared" si="12"/>
        <v>798</v>
      </c>
      <c r="M36" s="15" t="str">
        <f t="shared" si="13"/>
        <v/>
      </c>
      <c r="N36" s="14" t="str">
        <f t="shared" si="14"/>
        <v/>
      </c>
      <c r="O36" s="112">
        <f t="shared" si="15"/>
        <v>-27.083333333333332</v>
      </c>
      <c r="P36" s="116"/>
      <c r="Q36" s="1">
        <v>5000</v>
      </c>
      <c r="S36" s="1" t="str">
        <f>E36</f>
        <v>7.00</v>
      </c>
      <c r="T36" s="1">
        <f>S36*I36</f>
        <v>798</v>
      </c>
      <c r="X36" s="16">
        <v>0</v>
      </c>
    </row>
    <row r="37" spans="1:24" s="3" customFormat="1" ht="18.75">
      <c r="A37" s="113">
        <v>29</v>
      </c>
      <c r="B37" s="28" t="s">
        <v>880</v>
      </c>
      <c r="C37" s="24" t="s">
        <v>710</v>
      </c>
      <c r="D37" s="28" t="s">
        <v>966</v>
      </c>
      <c r="E37" s="28" t="s">
        <v>979</v>
      </c>
      <c r="F37" s="27">
        <f t="shared" si="9"/>
        <v>38043</v>
      </c>
      <c r="G37" s="114">
        <v>3963.93</v>
      </c>
      <c r="H37" s="29">
        <f t="shared" si="10"/>
        <v>53513.055</v>
      </c>
      <c r="I37" s="77" t="str">
        <f t="shared" si="6"/>
        <v>13.50</v>
      </c>
      <c r="J37" s="16"/>
      <c r="K37" s="15">
        <f t="shared" si="11"/>
        <v>13.5</v>
      </c>
      <c r="L37" s="15">
        <f t="shared" si="12"/>
        <v>38043</v>
      </c>
      <c r="M37" s="15" t="str">
        <f t="shared" si="13"/>
        <v/>
      </c>
      <c r="N37" s="14" t="str">
        <f t="shared" si="14"/>
        <v/>
      </c>
      <c r="O37" s="112">
        <f t="shared" si="15"/>
        <v>-28.908936333386308</v>
      </c>
      <c r="P37" s="116"/>
      <c r="Q37" s="3">
        <v>29050</v>
      </c>
      <c r="S37" s="1" t="str">
        <f t="shared" si="7"/>
        <v>2818.00</v>
      </c>
      <c r="T37" s="1">
        <f t="shared" si="8"/>
        <v>38043</v>
      </c>
      <c r="X37" s="16">
        <v>47.2</v>
      </c>
    </row>
    <row r="38" spans="1:24" s="3" customFormat="1" ht="18.75">
      <c r="A38" s="113">
        <v>30</v>
      </c>
      <c r="B38" s="28" t="s">
        <v>881</v>
      </c>
      <c r="C38" s="24" t="s">
        <v>711</v>
      </c>
      <c r="D38" s="28" t="s">
        <v>967</v>
      </c>
      <c r="E38" s="28" t="s">
        <v>997</v>
      </c>
      <c r="F38" s="27">
        <f t="shared" si="9"/>
        <v>1267.2</v>
      </c>
      <c r="G38" s="114">
        <v>425.81</v>
      </c>
      <c r="H38" s="29">
        <f t="shared" si="10"/>
        <v>1873.5640000000001</v>
      </c>
      <c r="I38" s="77" t="str">
        <f t="shared" si="6"/>
        <v>4.40</v>
      </c>
      <c r="J38" s="16"/>
      <c r="K38" s="15">
        <f t="shared" si="11"/>
        <v>4.4000000000000004</v>
      </c>
      <c r="L38" s="15">
        <f t="shared" si="12"/>
        <v>1267.2</v>
      </c>
      <c r="M38" s="15" t="str">
        <f t="shared" si="13"/>
        <v/>
      </c>
      <c r="N38" s="14" t="str">
        <f t="shared" si="14"/>
        <v/>
      </c>
      <c r="O38" s="112">
        <f t="shared" si="15"/>
        <v>-32.364199995303075</v>
      </c>
      <c r="P38" s="116"/>
      <c r="Q38" s="3">
        <v>29050</v>
      </c>
      <c r="S38" s="1" t="str">
        <f t="shared" si="7"/>
        <v>288.00</v>
      </c>
      <c r="T38" s="1">
        <f t="shared" si="8"/>
        <v>1267.2</v>
      </c>
      <c r="X38" s="16"/>
    </row>
    <row r="39" spans="1:24" s="3" customFormat="1" ht="18.75">
      <c r="A39" s="113">
        <v>31</v>
      </c>
      <c r="B39" s="28" t="s">
        <v>882</v>
      </c>
      <c r="C39" s="24" t="s">
        <v>712</v>
      </c>
      <c r="D39" s="28" t="s">
        <v>967</v>
      </c>
      <c r="E39" s="28" t="s">
        <v>998</v>
      </c>
      <c r="F39" s="27">
        <f t="shared" si="9"/>
        <v>4272</v>
      </c>
      <c r="G39" s="114">
        <v>386.35</v>
      </c>
      <c r="H39" s="29">
        <f t="shared" si="10"/>
        <v>6181.6</v>
      </c>
      <c r="I39" s="77" t="str">
        <f t="shared" si="6"/>
        <v>16.00</v>
      </c>
      <c r="J39" s="16"/>
      <c r="K39" s="15">
        <f t="shared" si="11"/>
        <v>16</v>
      </c>
      <c r="L39" s="15">
        <f t="shared" si="12"/>
        <v>4272</v>
      </c>
      <c r="M39" s="15" t="str">
        <f t="shared" si="13"/>
        <v/>
      </c>
      <c r="N39" s="14" t="str">
        <f t="shared" si="14"/>
        <v/>
      </c>
      <c r="O39" s="112">
        <f t="shared" si="15"/>
        <v>-30.891678529830468</v>
      </c>
      <c r="P39" s="116"/>
      <c r="Q39" s="3">
        <v>283750</v>
      </c>
      <c r="S39" s="1" t="str">
        <f t="shared" si="7"/>
        <v>267.00</v>
      </c>
      <c r="T39" s="1">
        <f t="shared" si="8"/>
        <v>4272</v>
      </c>
      <c r="X39" s="16"/>
    </row>
    <row r="40" spans="1:24" s="3" customFormat="1" ht="18.75">
      <c r="A40" s="113">
        <v>32</v>
      </c>
      <c r="B40" s="28" t="s">
        <v>883</v>
      </c>
      <c r="C40" s="24" t="s">
        <v>713</v>
      </c>
      <c r="D40" s="28" t="s">
        <v>966</v>
      </c>
      <c r="E40" s="28" t="s">
        <v>999</v>
      </c>
      <c r="F40" s="27">
        <f t="shared" si="9"/>
        <v>19040</v>
      </c>
      <c r="G40" s="114">
        <v>3374.21</v>
      </c>
      <c r="H40" s="29">
        <f t="shared" si="10"/>
        <v>26993.68</v>
      </c>
      <c r="I40" s="77" t="str">
        <f t="shared" si="6"/>
        <v>8.00</v>
      </c>
      <c r="J40" s="16"/>
      <c r="K40" s="15">
        <f t="shared" si="11"/>
        <v>8</v>
      </c>
      <c r="L40" s="15">
        <f t="shared" si="12"/>
        <v>19040</v>
      </c>
      <c r="M40" s="15" t="str">
        <f t="shared" si="13"/>
        <v/>
      </c>
      <c r="N40" s="14" t="str">
        <f t="shared" si="14"/>
        <v/>
      </c>
      <c r="O40" s="112">
        <f t="shared" si="15"/>
        <v>-29.464971059892537</v>
      </c>
      <c r="P40" s="116"/>
      <c r="Q40" s="3">
        <v>283750</v>
      </c>
      <c r="S40" s="1" t="str">
        <f t="shared" si="7"/>
        <v>2380.00</v>
      </c>
      <c r="T40" s="1">
        <f t="shared" si="8"/>
        <v>19040</v>
      </c>
      <c r="X40" s="16">
        <v>57.63</v>
      </c>
    </row>
    <row r="41" spans="1:24" s="3" customFormat="1" ht="18.75">
      <c r="A41" s="113">
        <v>33</v>
      </c>
      <c r="B41" s="28" t="s">
        <v>884</v>
      </c>
      <c r="C41" s="24" t="s">
        <v>714</v>
      </c>
      <c r="D41" s="28" t="s">
        <v>967</v>
      </c>
      <c r="E41" s="28" t="s">
        <v>1000</v>
      </c>
      <c r="F41" s="27">
        <f t="shared" si="9"/>
        <v>386820</v>
      </c>
      <c r="G41" s="114">
        <v>207.35</v>
      </c>
      <c r="H41" s="29">
        <f t="shared" si="10"/>
        <v>572908.04999999993</v>
      </c>
      <c r="I41" s="77" t="str">
        <f t="shared" si="6"/>
        <v>2763.00</v>
      </c>
      <c r="J41" s="16"/>
      <c r="K41" s="15">
        <f t="shared" si="11"/>
        <v>2763</v>
      </c>
      <c r="L41" s="15">
        <f t="shared" si="12"/>
        <v>386820</v>
      </c>
      <c r="M41" s="15" t="str">
        <f t="shared" si="13"/>
        <v/>
      </c>
      <c r="N41" s="14" t="str">
        <f t="shared" si="14"/>
        <v/>
      </c>
      <c r="O41" s="112">
        <f t="shared" si="15"/>
        <v>-32.481311791656623</v>
      </c>
      <c r="P41" s="116"/>
      <c r="Q41" s="3">
        <v>283750</v>
      </c>
      <c r="S41" s="1" t="str">
        <f t="shared" si="7"/>
        <v>140.00</v>
      </c>
      <c r="T41" s="1">
        <f t="shared" si="8"/>
        <v>386820</v>
      </c>
      <c r="X41" s="16">
        <v>96.5</v>
      </c>
    </row>
    <row r="42" spans="1:24" s="3" customFormat="1" ht="18.75">
      <c r="A42" s="113">
        <v>34</v>
      </c>
      <c r="B42" s="28" t="s">
        <v>885</v>
      </c>
      <c r="C42" s="24" t="s">
        <v>715</v>
      </c>
      <c r="D42" s="28" t="s">
        <v>967</v>
      </c>
      <c r="E42" s="28" t="s">
        <v>1001</v>
      </c>
      <c r="F42" s="27">
        <f t="shared" si="9"/>
        <v>10195.199999999999</v>
      </c>
      <c r="G42" s="114">
        <v>213.2</v>
      </c>
      <c r="H42" s="29">
        <f t="shared" si="10"/>
        <v>15094.56</v>
      </c>
      <c r="I42" s="77" t="str">
        <f t="shared" si="6"/>
        <v>70.80</v>
      </c>
      <c r="J42" s="16"/>
      <c r="K42" s="15">
        <f t="shared" si="11"/>
        <v>70.8</v>
      </c>
      <c r="L42" s="15">
        <f t="shared" si="12"/>
        <v>10195.199999999999</v>
      </c>
      <c r="M42" s="15" t="str">
        <f t="shared" si="13"/>
        <v/>
      </c>
      <c r="N42" s="14" t="str">
        <f t="shared" si="14"/>
        <v/>
      </c>
      <c r="O42" s="112">
        <f t="shared" si="15"/>
        <v>-32.457786116322694</v>
      </c>
      <c r="P42" s="116"/>
      <c r="Q42" s="3">
        <v>29050</v>
      </c>
      <c r="S42" s="1" t="str">
        <f t="shared" si="7"/>
        <v>144.00</v>
      </c>
      <c r="T42" s="1">
        <f t="shared" si="8"/>
        <v>10195.199999999999</v>
      </c>
      <c r="X42" s="16">
        <v>47.2</v>
      </c>
    </row>
    <row r="43" spans="1:24" s="3" customFormat="1" ht="18.75">
      <c r="A43" s="113">
        <v>35</v>
      </c>
      <c r="B43" s="28" t="s">
        <v>886</v>
      </c>
      <c r="C43" s="24" t="s">
        <v>716</v>
      </c>
      <c r="D43" s="28" t="s">
        <v>967</v>
      </c>
      <c r="E43" s="28" t="s">
        <v>1002</v>
      </c>
      <c r="F43" s="27">
        <f t="shared" si="9"/>
        <v>96390</v>
      </c>
      <c r="G43" s="114">
        <v>241.09</v>
      </c>
      <c r="H43" s="29">
        <f t="shared" si="10"/>
        <v>143448.54999999999</v>
      </c>
      <c r="I43" s="77" t="str">
        <f t="shared" si="6"/>
        <v>595.00</v>
      </c>
      <c r="J43" s="16"/>
      <c r="K43" s="15">
        <f t="shared" si="11"/>
        <v>595</v>
      </c>
      <c r="L43" s="15">
        <f t="shared" si="12"/>
        <v>96390</v>
      </c>
      <c r="M43" s="15" t="str">
        <f t="shared" si="13"/>
        <v/>
      </c>
      <c r="N43" s="14" t="str">
        <f t="shared" si="14"/>
        <v/>
      </c>
      <c r="O43" s="112">
        <f t="shared" si="15"/>
        <v>-32.805176490107428</v>
      </c>
      <c r="P43" s="116"/>
      <c r="Q43" s="3">
        <v>29050</v>
      </c>
      <c r="S43" s="1" t="str">
        <f t="shared" si="7"/>
        <v>162.00</v>
      </c>
      <c r="T43" s="1">
        <f t="shared" si="8"/>
        <v>96390</v>
      </c>
      <c r="X43" s="16"/>
    </row>
    <row r="44" spans="1:24" s="3" customFormat="1" ht="33">
      <c r="A44" s="113">
        <v>36</v>
      </c>
      <c r="B44" s="28" t="s">
        <v>887</v>
      </c>
      <c r="C44" s="24" t="s">
        <v>717</v>
      </c>
      <c r="D44" s="28" t="s">
        <v>65</v>
      </c>
      <c r="E44" s="28" t="s">
        <v>1003</v>
      </c>
      <c r="F44" s="27">
        <f t="shared" si="9"/>
        <v>3656.3999999999996</v>
      </c>
      <c r="G44" s="114">
        <v>67.400000000000006</v>
      </c>
      <c r="H44" s="29">
        <f t="shared" si="10"/>
        <v>5600.9400000000005</v>
      </c>
      <c r="I44" s="77" t="str">
        <f t="shared" si="6"/>
        <v>83.10</v>
      </c>
      <c r="J44" s="16"/>
      <c r="K44" s="15">
        <f t="shared" si="11"/>
        <v>83.1</v>
      </c>
      <c r="L44" s="15">
        <f t="shared" si="12"/>
        <v>3656.3999999999996</v>
      </c>
      <c r="M44" s="15" t="str">
        <f t="shared" si="13"/>
        <v/>
      </c>
      <c r="N44" s="14" t="str">
        <f t="shared" si="14"/>
        <v/>
      </c>
      <c r="O44" s="112">
        <f t="shared" si="15"/>
        <v>-34.718100890207722</v>
      </c>
      <c r="P44" s="116"/>
      <c r="Q44" s="3">
        <v>29050</v>
      </c>
      <c r="S44" s="1" t="str">
        <f t="shared" si="7"/>
        <v>44.00</v>
      </c>
      <c r="T44" s="1">
        <f t="shared" si="8"/>
        <v>3656.3999999999996</v>
      </c>
      <c r="X44" s="16">
        <v>12.6</v>
      </c>
    </row>
    <row r="45" spans="1:24" s="3" customFormat="1" ht="18.75">
      <c r="A45" s="113">
        <v>37</v>
      </c>
      <c r="B45" s="28" t="s">
        <v>887</v>
      </c>
      <c r="C45" s="24" t="s">
        <v>42</v>
      </c>
      <c r="D45" s="28" t="s">
        <v>65</v>
      </c>
      <c r="E45" s="28" t="s">
        <v>964</v>
      </c>
      <c r="F45" s="27">
        <f t="shared" si="9"/>
        <v>2409.8999999999996</v>
      </c>
      <c r="G45" s="114">
        <v>44.02</v>
      </c>
      <c r="H45" s="29">
        <f t="shared" si="10"/>
        <v>3658.0619999999999</v>
      </c>
      <c r="I45" s="77" t="str">
        <f t="shared" si="6"/>
        <v>83.10</v>
      </c>
      <c r="J45" s="16"/>
      <c r="K45" s="15">
        <f t="shared" si="11"/>
        <v>83.1</v>
      </c>
      <c r="L45" s="15">
        <f t="shared" si="12"/>
        <v>2409.8999999999996</v>
      </c>
      <c r="M45" s="15" t="str">
        <f t="shared" si="13"/>
        <v/>
      </c>
      <c r="N45" s="14" t="str">
        <f t="shared" si="14"/>
        <v/>
      </c>
      <c r="O45" s="112">
        <f t="shared" si="15"/>
        <v>-34.120854157201272</v>
      </c>
      <c r="P45" s="116"/>
      <c r="Q45" s="3">
        <v>3720</v>
      </c>
      <c r="S45" s="1" t="str">
        <f t="shared" ref="S45:S98" si="16">E45</f>
        <v>29.00</v>
      </c>
      <c r="T45" s="1">
        <f t="shared" ref="T45:T101" si="17">S45*I45</f>
        <v>2409.8999999999996</v>
      </c>
      <c r="X45" s="16">
        <v>15.12</v>
      </c>
    </row>
    <row r="46" spans="1:24" s="3" customFormat="1" ht="18.75">
      <c r="A46" s="113">
        <v>38</v>
      </c>
      <c r="B46" s="28" t="s">
        <v>888</v>
      </c>
      <c r="C46" s="24" t="s">
        <v>43</v>
      </c>
      <c r="D46" s="28" t="s">
        <v>65</v>
      </c>
      <c r="E46" s="28" t="s">
        <v>935</v>
      </c>
      <c r="F46" s="27">
        <f t="shared" si="9"/>
        <v>2614.5</v>
      </c>
      <c r="G46" s="114">
        <v>32.81</v>
      </c>
      <c r="H46" s="29">
        <f t="shared" si="10"/>
        <v>4084.8450000000003</v>
      </c>
      <c r="I46" s="77" t="str">
        <f t="shared" si="6"/>
        <v>124.50</v>
      </c>
      <c r="J46" s="16"/>
      <c r="K46" s="15">
        <f t="shared" si="11"/>
        <v>124.5</v>
      </c>
      <c r="L46" s="15">
        <f t="shared" si="12"/>
        <v>2614.5</v>
      </c>
      <c r="M46" s="15" t="str">
        <f t="shared" si="13"/>
        <v/>
      </c>
      <c r="N46" s="14" t="str">
        <f t="shared" si="14"/>
        <v/>
      </c>
      <c r="O46" s="112">
        <f t="shared" si="15"/>
        <v>-35.995123437976225</v>
      </c>
      <c r="P46" s="116"/>
      <c r="S46" s="1" t="str">
        <f t="shared" si="16"/>
        <v>21.00</v>
      </c>
      <c r="T46" s="1">
        <f t="shared" si="17"/>
        <v>2614.5</v>
      </c>
      <c r="X46" s="16"/>
    </row>
    <row r="47" spans="1:24" s="3" customFormat="1" ht="18.75">
      <c r="A47" s="113">
        <v>39</v>
      </c>
      <c r="B47" s="28" t="s">
        <v>886</v>
      </c>
      <c r="C47" s="24" t="s">
        <v>718</v>
      </c>
      <c r="D47" s="28" t="s">
        <v>967</v>
      </c>
      <c r="E47" s="28" t="s">
        <v>899</v>
      </c>
      <c r="F47" s="27">
        <f t="shared" si="9"/>
        <v>15470</v>
      </c>
      <c r="G47" s="114">
        <v>38.54</v>
      </c>
      <c r="H47" s="29">
        <f t="shared" si="10"/>
        <v>22931.3</v>
      </c>
      <c r="I47" s="77" t="str">
        <f t="shared" si="6"/>
        <v>595.00</v>
      </c>
      <c r="J47" s="16"/>
      <c r="K47" s="15">
        <f t="shared" si="11"/>
        <v>595</v>
      </c>
      <c r="L47" s="15">
        <f t="shared" si="12"/>
        <v>15470</v>
      </c>
      <c r="M47" s="15" t="str">
        <f t="shared" si="13"/>
        <v/>
      </c>
      <c r="N47" s="14" t="str">
        <f t="shared" si="14"/>
        <v/>
      </c>
      <c r="O47" s="112">
        <f t="shared" si="15"/>
        <v>-32.537623248572913</v>
      </c>
      <c r="P47" s="116"/>
      <c r="Q47" s="3">
        <v>3720</v>
      </c>
      <c r="S47" s="1" t="str">
        <f t="shared" si="16"/>
        <v>26.00</v>
      </c>
      <c r="T47" s="1">
        <f t="shared" si="17"/>
        <v>15470</v>
      </c>
      <c r="X47" s="16"/>
    </row>
    <row r="48" spans="1:24" ht="18.75">
      <c r="A48" s="113">
        <v>40</v>
      </c>
      <c r="B48" s="28" t="s">
        <v>227</v>
      </c>
      <c r="C48" s="24" t="s">
        <v>719</v>
      </c>
      <c r="D48" s="28" t="s">
        <v>968</v>
      </c>
      <c r="E48" s="28" t="s">
        <v>901</v>
      </c>
      <c r="F48" s="27">
        <f t="shared" si="9"/>
        <v>74592</v>
      </c>
      <c r="G48" s="114">
        <v>54.5</v>
      </c>
      <c r="H48" s="29">
        <f t="shared" si="10"/>
        <v>96792</v>
      </c>
      <c r="I48" s="77" t="str">
        <f t="shared" si="6"/>
        <v>1776.00</v>
      </c>
      <c r="J48" s="16"/>
      <c r="K48" s="15">
        <f t="shared" si="11"/>
        <v>1776</v>
      </c>
      <c r="L48" s="15">
        <f t="shared" si="12"/>
        <v>74592</v>
      </c>
      <c r="M48" s="15" t="str">
        <f t="shared" si="13"/>
        <v/>
      </c>
      <c r="N48" s="14" t="str">
        <f t="shared" si="14"/>
        <v/>
      </c>
      <c r="O48" s="14">
        <f t="shared" si="15"/>
        <v>-22.935779816513762</v>
      </c>
      <c r="P48" s="116"/>
      <c r="Q48" s="1">
        <v>10000</v>
      </c>
      <c r="S48" s="1" t="str">
        <f t="shared" ref="S48:S66" si="18">E48</f>
        <v>42.00</v>
      </c>
      <c r="T48" s="1">
        <f t="shared" ref="T48:T73" si="19">S48*I48</f>
        <v>74592</v>
      </c>
      <c r="X48" s="16">
        <v>0</v>
      </c>
    </row>
    <row r="49" spans="1:24" ht="18.75">
      <c r="A49" s="113">
        <v>41</v>
      </c>
      <c r="B49" s="28" t="s">
        <v>889</v>
      </c>
      <c r="C49" s="24" t="s">
        <v>720</v>
      </c>
      <c r="D49" s="28" t="s">
        <v>967</v>
      </c>
      <c r="E49" s="28" t="s">
        <v>1004</v>
      </c>
      <c r="F49" s="27">
        <f t="shared" si="9"/>
        <v>15602</v>
      </c>
      <c r="G49" s="114">
        <v>209.27</v>
      </c>
      <c r="H49" s="29">
        <f t="shared" si="10"/>
        <v>22517.452000000001</v>
      </c>
      <c r="I49" s="77" t="str">
        <f t="shared" si="6"/>
        <v>107.60</v>
      </c>
      <c r="J49" s="16"/>
      <c r="K49" s="15">
        <f t="shared" si="11"/>
        <v>107.6</v>
      </c>
      <c r="L49" s="15">
        <f t="shared" si="12"/>
        <v>15602</v>
      </c>
      <c r="M49" s="15" t="str">
        <f t="shared" si="13"/>
        <v/>
      </c>
      <c r="N49" s="14" t="str">
        <f t="shared" si="14"/>
        <v/>
      </c>
      <c r="O49" s="112">
        <f t="shared" si="15"/>
        <v>-30.711521001576912</v>
      </c>
      <c r="P49" s="116"/>
      <c r="Q49" s="1">
        <v>10000</v>
      </c>
      <c r="S49" s="1" t="str">
        <f t="shared" si="18"/>
        <v>145.00</v>
      </c>
      <c r="T49" s="1">
        <f t="shared" si="19"/>
        <v>15602</v>
      </c>
      <c r="X49" s="16">
        <v>242.6</v>
      </c>
    </row>
    <row r="50" spans="1:24" ht="18.75">
      <c r="A50" s="113">
        <v>42</v>
      </c>
      <c r="B50" s="28" t="s">
        <v>890</v>
      </c>
      <c r="C50" s="24" t="s">
        <v>721</v>
      </c>
      <c r="D50" s="28" t="s">
        <v>967</v>
      </c>
      <c r="E50" s="28" t="s">
        <v>1005</v>
      </c>
      <c r="F50" s="27">
        <f t="shared" si="9"/>
        <v>24234.799999999999</v>
      </c>
      <c r="G50" s="114">
        <v>124.12</v>
      </c>
      <c r="H50" s="29">
        <f t="shared" si="10"/>
        <v>34977.016000000003</v>
      </c>
      <c r="I50" s="77" t="str">
        <f t="shared" si="6"/>
        <v>281.80</v>
      </c>
      <c r="J50" s="16"/>
      <c r="K50" s="15">
        <f t="shared" si="11"/>
        <v>281.8</v>
      </c>
      <c r="L50" s="15">
        <f t="shared" si="12"/>
        <v>24234.799999999999</v>
      </c>
      <c r="M50" s="15" t="str">
        <f t="shared" si="13"/>
        <v/>
      </c>
      <c r="N50" s="14" t="str">
        <f t="shared" si="14"/>
        <v/>
      </c>
      <c r="O50" s="112">
        <f t="shared" si="15"/>
        <v>-30.712213986464715</v>
      </c>
      <c r="P50" s="116"/>
      <c r="Q50" s="1">
        <v>224000</v>
      </c>
      <c r="S50" s="1" t="str">
        <f t="shared" si="18"/>
        <v>86.00</v>
      </c>
      <c r="T50" s="1">
        <f t="shared" si="19"/>
        <v>24234.799999999999</v>
      </c>
      <c r="X50" s="16">
        <v>11</v>
      </c>
    </row>
    <row r="51" spans="1:24" ht="18.75">
      <c r="A51" s="113">
        <v>43</v>
      </c>
      <c r="B51" s="28" t="s">
        <v>891</v>
      </c>
      <c r="C51" s="24" t="s">
        <v>722</v>
      </c>
      <c r="D51" s="28" t="s">
        <v>65</v>
      </c>
      <c r="E51" s="28" t="s">
        <v>1003</v>
      </c>
      <c r="F51" s="27">
        <f t="shared" si="9"/>
        <v>528</v>
      </c>
      <c r="G51" s="114" t="s">
        <v>204</v>
      </c>
      <c r="H51" s="29">
        <f t="shared" si="10"/>
        <v>696</v>
      </c>
      <c r="I51" s="77" t="str">
        <f t="shared" si="6"/>
        <v>12.00</v>
      </c>
      <c r="J51" s="16"/>
      <c r="K51" s="15">
        <f t="shared" si="11"/>
        <v>12</v>
      </c>
      <c r="L51" s="15">
        <f t="shared" si="12"/>
        <v>528</v>
      </c>
      <c r="M51" s="15" t="str">
        <f t="shared" si="13"/>
        <v/>
      </c>
      <c r="N51" s="14" t="str">
        <f t="shared" si="14"/>
        <v/>
      </c>
      <c r="O51" s="14">
        <f t="shared" si="15"/>
        <v>-24.137931034482758</v>
      </c>
      <c r="P51" s="116"/>
      <c r="Q51" s="1">
        <v>747855</v>
      </c>
      <c r="S51" s="1" t="str">
        <f t="shared" si="18"/>
        <v>44.00</v>
      </c>
      <c r="T51" s="1">
        <f t="shared" si="19"/>
        <v>528</v>
      </c>
      <c r="X51" s="20">
        <v>44.372999999999998</v>
      </c>
    </row>
    <row r="52" spans="1:24" ht="33">
      <c r="A52" s="113">
        <v>44</v>
      </c>
      <c r="B52" s="28" t="s">
        <v>882</v>
      </c>
      <c r="C52" s="24" t="s">
        <v>723</v>
      </c>
      <c r="D52" s="28" t="s">
        <v>64</v>
      </c>
      <c r="E52" s="28" t="s">
        <v>1006</v>
      </c>
      <c r="F52" s="27">
        <f t="shared" si="9"/>
        <v>1168</v>
      </c>
      <c r="G52" s="114" t="s">
        <v>205</v>
      </c>
      <c r="H52" s="29">
        <f t="shared" si="10"/>
        <v>1520</v>
      </c>
      <c r="I52" s="77" t="str">
        <f t="shared" si="6"/>
        <v>16.00</v>
      </c>
      <c r="J52" s="16"/>
      <c r="K52" s="15">
        <f t="shared" si="11"/>
        <v>16</v>
      </c>
      <c r="L52" s="15">
        <f t="shared" si="12"/>
        <v>1168</v>
      </c>
      <c r="M52" s="15" t="str">
        <f t="shared" si="13"/>
        <v/>
      </c>
      <c r="N52" s="14" t="str">
        <f t="shared" si="14"/>
        <v/>
      </c>
      <c r="O52" s="14">
        <f t="shared" si="15"/>
        <v>-23.157894736842106</v>
      </c>
      <c r="P52" s="116"/>
      <c r="Q52" s="1">
        <v>60000</v>
      </c>
      <c r="S52" s="1" t="str">
        <f t="shared" si="18"/>
        <v>73.00</v>
      </c>
      <c r="T52" s="1">
        <f t="shared" si="19"/>
        <v>1168</v>
      </c>
      <c r="X52" s="16"/>
    </row>
    <row r="53" spans="1:24" ht="18.75">
      <c r="A53" s="113">
        <v>45</v>
      </c>
      <c r="B53" s="28" t="s">
        <v>892</v>
      </c>
      <c r="C53" s="24" t="s">
        <v>724</v>
      </c>
      <c r="D53" s="28" t="s">
        <v>64</v>
      </c>
      <c r="E53" s="28" t="s">
        <v>901</v>
      </c>
      <c r="F53" s="27">
        <f t="shared" si="9"/>
        <v>1344</v>
      </c>
      <c r="G53" s="114" t="s">
        <v>206</v>
      </c>
      <c r="H53" s="29">
        <f t="shared" si="10"/>
        <v>1760</v>
      </c>
      <c r="I53" s="77" t="str">
        <f t="shared" si="6"/>
        <v>32.00</v>
      </c>
      <c r="J53" s="16"/>
      <c r="K53" s="15">
        <f t="shared" si="11"/>
        <v>32</v>
      </c>
      <c r="L53" s="15">
        <f t="shared" si="12"/>
        <v>1344</v>
      </c>
      <c r="M53" s="15" t="str">
        <f t="shared" si="13"/>
        <v/>
      </c>
      <c r="N53" s="14" t="str">
        <f t="shared" si="14"/>
        <v/>
      </c>
      <c r="O53" s="14">
        <f t="shared" si="15"/>
        <v>-23.636363636363637</v>
      </c>
      <c r="P53" s="116"/>
      <c r="Q53" s="1">
        <v>400000</v>
      </c>
      <c r="S53" s="1" t="str">
        <f t="shared" si="18"/>
        <v>42.00</v>
      </c>
      <c r="T53" s="1">
        <f t="shared" si="19"/>
        <v>1344</v>
      </c>
      <c r="X53" s="16">
        <v>596.57000000000005</v>
      </c>
    </row>
    <row r="54" spans="1:24" ht="18.75">
      <c r="A54" s="113">
        <v>46</v>
      </c>
      <c r="B54" s="28" t="s">
        <v>209</v>
      </c>
      <c r="C54" s="24" t="s">
        <v>725</v>
      </c>
      <c r="D54" s="28" t="s">
        <v>64</v>
      </c>
      <c r="E54" s="28" t="s">
        <v>895</v>
      </c>
      <c r="F54" s="27">
        <f t="shared" si="9"/>
        <v>128</v>
      </c>
      <c r="G54" s="114" t="s">
        <v>207</v>
      </c>
      <c r="H54" s="29">
        <f t="shared" si="10"/>
        <v>192</v>
      </c>
      <c r="I54" s="77" t="str">
        <f t="shared" si="6"/>
        <v>128.00</v>
      </c>
      <c r="J54" s="16"/>
      <c r="K54" s="15">
        <f t="shared" si="11"/>
        <v>128</v>
      </c>
      <c r="L54" s="15">
        <f t="shared" si="12"/>
        <v>128</v>
      </c>
      <c r="M54" s="15" t="str">
        <f t="shared" si="13"/>
        <v/>
      </c>
      <c r="N54" s="14" t="str">
        <f t="shared" si="14"/>
        <v/>
      </c>
      <c r="O54" s="112">
        <f t="shared" si="15"/>
        <v>-33.333333333333329</v>
      </c>
      <c r="P54" s="116"/>
      <c r="Q54" s="1">
        <v>11200</v>
      </c>
      <c r="S54" s="1" t="str">
        <f t="shared" si="18"/>
        <v>1.00</v>
      </c>
      <c r="T54" s="1">
        <f t="shared" si="19"/>
        <v>128</v>
      </c>
      <c r="X54" s="16"/>
    </row>
    <row r="55" spans="1:24" ht="33">
      <c r="A55" s="113">
        <v>47</v>
      </c>
      <c r="B55" s="28" t="s">
        <v>893</v>
      </c>
      <c r="C55" s="24" t="s">
        <v>726</v>
      </c>
      <c r="D55" s="28" t="s">
        <v>65</v>
      </c>
      <c r="E55" s="28" t="s">
        <v>1007</v>
      </c>
      <c r="F55" s="27">
        <f t="shared" si="9"/>
        <v>21376</v>
      </c>
      <c r="G55" s="114">
        <v>222.3</v>
      </c>
      <c r="H55" s="29">
        <f t="shared" si="10"/>
        <v>29699.279999999999</v>
      </c>
      <c r="I55" s="77" t="str">
        <f t="shared" si="6"/>
        <v>133.60</v>
      </c>
      <c r="J55" s="16"/>
      <c r="K55" s="15">
        <f t="shared" si="11"/>
        <v>133.6</v>
      </c>
      <c r="L55" s="15">
        <f t="shared" si="12"/>
        <v>21376</v>
      </c>
      <c r="M55" s="15" t="str">
        <f t="shared" si="13"/>
        <v/>
      </c>
      <c r="N55" s="14" t="str">
        <f t="shared" si="14"/>
        <v/>
      </c>
      <c r="O55" s="112">
        <f t="shared" si="15"/>
        <v>-28.025191183085923</v>
      </c>
      <c r="P55" s="116"/>
      <c r="Q55" s="1">
        <v>48120</v>
      </c>
      <c r="S55" s="1" t="str">
        <f t="shared" si="18"/>
        <v>160.00</v>
      </c>
      <c r="T55" s="1">
        <f t="shared" si="19"/>
        <v>21376</v>
      </c>
      <c r="X55" s="16">
        <v>42</v>
      </c>
    </row>
    <row r="56" spans="1:24" s="3" customFormat="1" ht="18.75">
      <c r="A56" s="113">
        <v>48</v>
      </c>
      <c r="B56" s="28" t="s">
        <v>894</v>
      </c>
      <c r="C56" s="24" t="s">
        <v>727</v>
      </c>
      <c r="D56" s="28" t="s">
        <v>64</v>
      </c>
      <c r="E56" s="28" t="s">
        <v>1008</v>
      </c>
      <c r="F56" s="27">
        <f t="shared" si="9"/>
        <v>1190</v>
      </c>
      <c r="G56" s="114">
        <v>315.79000000000002</v>
      </c>
      <c r="H56" s="29">
        <f t="shared" si="10"/>
        <v>1578.95</v>
      </c>
      <c r="I56" s="77" t="str">
        <f t="shared" si="6"/>
        <v>5.00</v>
      </c>
      <c r="J56" s="16"/>
      <c r="K56" s="15">
        <f t="shared" si="11"/>
        <v>5</v>
      </c>
      <c r="L56" s="15">
        <f t="shared" si="12"/>
        <v>1190</v>
      </c>
      <c r="M56" s="15" t="str">
        <f t="shared" si="13"/>
        <v/>
      </c>
      <c r="N56" s="14" t="str">
        <f t="shared" si="14"/>
        <v/>
      </c>
      <c r="O56" s="14">
        <f t="shared" si="15"/>
        <v>-24.633458944235098</v>
      </c>
      <c r="P56" s="116"/>
      <c r="Q56" s="3">
        <v>3720</v>
      </c>
      <c r="S56" s="1" t="str">
        <f t="shared" si="18"/>
        <v>238.00</v>
      </c>
      <c r="T56" s="1">
        <f t="shared" si="19"/>
        <v>1190</v>
      </c>
      <c r="X56" s="16">
        <v>5.56</v>
      </c>
    </row>
    <row r="57" spans="1:24" ht="18.75">
      <c r="A57" s="113">
        <v>49</v>
      </c>
      <c r="B57" s="28" t="s">
        <v>894</v>
      </c>
      <c r="C57" s="24" t="s">
        <v>728</v>
      </c>
      <c r="D57" s="28" t="s">
        <v>64</v>
      </c>
      <c r="E57" s="28" t="s">
        <v>1009</v>
      </c>
      <c r="F57" s="27">
        <f t="shared" si="9"/>
        <v>2815</v>
      </c>
      <c r="G57" s="114">
        <v>790.6</v>
      </c>
      <c r="H57" s="29">
        <f t="shared" si="10"/>
        <v>3953</v>
      </c>
      <c r="I57" s="77" t="str">
        <f t="shared" si="6"/>
        <v>5.00</v>
      </c>
      <c r="J57" s="16"/>
      <c r="K57" s="15">
        <f t="shared" si="11"/>
        <v>5</v>
      </c>
      <c r="L57" s="15">
        <f t="shared" si="12"/>
        <v>2815</v>
      </c>
      <c r="M57" s="15" t="str">
        <f t="shared" si="13"/>
        <v/>
      </c>
      <c r="N57" s="14" t="str">
        <f t="shared" si="14"/>
        <v/>
      </c>
      <c r="O57" s="112">
        <f t="shared" si="15"/>
        <v>-28.788262079433345</v>
      </c>
      <c r="P57" s="116"/>
      <c r="S57" s="1" t="str">
        <f t="shared" si="18"/>
        <v>563.00</v>
      </c>
      <c r="T57" s="1">
        <f t="shared" si="19"/>
        <v>2815</v>
      </c>
      <c r="X57" s="16"/>
    </row>
    <row r="58" spans="1:24" ht="33">
      <c r="A58" s="113">
        <v>50</v>
      </c>
      <c r="B58" s="28" t="s">
        <v>895</v>
      </c>
      <c r="C58" s="24" t="s">
        <v>729</v>
      </c>
      <c r="D58" s="28" t="s">
        <v>64</v>
      </c>
      <c r="E58" s="28" t="s">
        <v>1010</v>
      </c>
      <c r="F58" s="27">
        <f t="shared" si="9"/>
        <v>11086</v>
      </c>
      <c r="G58" s="114">
        <v>15357.62</v>
      </c>
      <c r="H58" s="29">
        <f t="shared" si="10"/>
        <v>15357.62</v>
      </c>
      <c r="I58" s="77" t="str">
        <f t="shared" si="6"/>
        <v>1.00</v>
      </c>
      <c r="J58" s="16"/>
      <c r="K58" s="15">
        <f t="shared" si="11"/>
        <v>1</v>
      </c>
      <c r="L58" s="15">
        <f t="shared" si="12"/>
        <v>11086</v>
      </c>
      <c r="M58" s="15" t="str">
        <f t="shared" si="13"/>
        <v/>
      </c>
      <c r="N58" s="14" t="str">
        <f t="shared" si="14"/>
        <v/>
      </c>
      <c r="O58" s="112">
        <f t="shared" si="15"/>
        <v>-27.81433581505468</v>
      </c>
      <c r="P58" s="116"/>
      <c r="Q58" s="1">
        <v>60000</v>
      </c>
      <c r="S58" s="1" t="str">
        <f t="shared" si="18"/>
        <v>11086.00</v>
      </c>
      <c r="T58" s="1">
        <f t="shared" si="19"/>
        <v>11086</v>
      </c>
      <c r="X58" s="16"/>
    </row>
    <row r="59" spans="1:24" s="3" customFormat="1" ht="33">
      <c r="A59" s="113">
        <v>51</v>
      </c>
      <c r="B59" s="28" t="s">
        <v>896</v>
      </c>
      <c r="C59" s="24" t="s">
        <v>730</v>
      </c>
      <c r="D59" s="28" t="s">
        <v>65</v>
      </c>
      <c r="E59" s="28" t="s">
        <v>1011</v>
      </c>
      <c r="F59" s="27">
        <f t="shared" si="9"/>
        <v>20489.600000000002</v>
      </c>
      <c r="G59" s="114">
        <v>222.3</v>
      </c>
      <c r="H59" s="29">
        <f t="shared" si="10"/>
        <v>29966.040000000005</v>
      </c>
      <c r="I59" s="77" t="str">
        <f t="shared" si="6"/>
        <v>134.80</v>
      </c>
      <c r="J59" s="16"/>
      <c r="K59" s="15">
        <f t="shared" si="11"/>
        <v>134.80000000000001</v>
      </c>
      <c r="L59" s="15">
        <f t="shared" si="12"/>
        <v>20489.600000000002</v>
      </c>
      <c r="M59" s="15" t="str">
        <f t="shared" si="13"/>
        <v/>
      </c>
      <c r="N59" s="14" t="str">
        <f t="shared" si="14"/>
        <v/>
      </c>
      <c r="O59" s="112">
        <f t="shared" si="15"/>
        <v>-31.623931623931629</v>
      </c>
      <c r="P59" s="116"/>
      <c r="Q59" s="3">
        <v>3720</v>
      </c>
      <c r="S59" s="1" t="str">
        <f t="shared" si="18"/>
        <v>152.00</v>
      </c>
      <c r="T59" s="1">
        <f t="shared" si="19"/>
        <v>20489.600000000002</v>
      </c>
      <c r="X59" s="16">
        <v>5.36</v>
      </c>
    </row>
    <row r="60" spans="1:24" ht="18.75">
      <c r="A60" s="113">
        <v>52</v>
      </c>
      <c r="B60" s="28" t="s">
        <v>208</v>
      </c>
      <c r="C60" s="24" t="s">
        <v>50</v>
      </c>
      <c r="D60" s="28" t="s">
        <v>65</v>
      </c>
      <c r="E60" s="28" t="s">
        <v>1000</v>
      </c>
      <c r="F60" s="27">
        <f t="shared" si="9"/>
        <v>25620</v>
      </c>
      <c r="G60" s="114">
        <v>205.54</v>
      </c>
      <c r="H60" s="29">
        <f t="shared" si="10"/>
        <v>37613.82</v>
      </c>
      <c r="I60" s="77" t="str">
        <f t="shared" si="6"/>
        <v>183.00</v>
      </c>
      <c r="J60" s="16"/>
      <c r="K60" s="15">
        <f t="shared" si="11"/>
        <v>183</v>
      </c>
      <c r="L60" s="15">
        <f t="shared" si="12"/>
        <v>25620</v>
      </c>
      <c r="M60" s="15" t="str">
        <f t="shared" si="13"/>
        <v/>
      </c>
      <c r="N60" s="14" t="str">
        <f t="shared" si="14"/>
        <v/>
      </c>
      <c r="O60" s="112">
        <f t="shared" si="15"/>
        <v>-31.886737374720248</v>
      </c>
      <c r="P60" s="116"/>
      <c r="Q60" s="1">
        <v>400000</v>
      </c>
      <c r="S60" s="1" t="str">
        <f t="shared" si="18"/>
        <v>140.00</v>
      </c>
      <c r="T60" s="1">
        <f t="shared" si="19"/>
        <v>25620</v>
      </c>
      <c r="X60" s="16">
        <v>596.57000000000005</v>
      </c>
    </row>
    <row r="61" spans="1:24" ht="33">
      <c r="A61" s="113">
        <v>53</v>
      </c>
      <c r="B61" s="28" t="s">
        <v>897</v>
      </c>
      <c r="C61" s="24" t="s">
        <v>731</v>
      </c>
      <c r="D61" s="28" t="s">
        <v>65</v>
      </c>
      <c r="E61" s="28" t="s">
        <v>1012</v>
      </c>
      <c r="F61" s="27">
        <f t="shared" si="9"/>
        <v>4728</v>
      </c>
      <c r="G61" s="114">
        <v>281.14</v>
      </c>
      <c r="H61" s="29">
        <f t="shared" si="10"/>
        <v>6747.36</v>
      </c>
      <c r="I61" s="77" t="str">
        <f t="shared" si="6"/>
        <v>24.00</v>
      </c>
      <c r="J61" s="16"/>
      <c r="K61" s="15">
        <f t="shared" si="11"/>
        <v>24</v>
      </c>
      <c r="L61" s="15">
        <f t="shared" si="12"/>
        <v>4728</v>
      </c>
      <c r="M61" s="15" t="str">
        <f t="shared" si="13"/>
        <v/>
      </c>
      <c r="N61" s="14" t="str">
        <f t="shared" si="14"/>
        <v/>
      </c>
      <c r="O61" s="112">
        <f t="shared" si="15"/>
        <v>-29.928149676317844</v>
      </c>
      <c r="P61" s="116"/>
      <c r="Q61" s="1">
        <v>11200</v>
      </c>
      <c r="S61" s="1" t="str">
        <f t="shared" si="18"/>
        <v>197.00</v>
      </c>
      <c r="T61" s="1">
        <f t="shared" si="19"/>
        <v>4728</v>
      </c>
      <c r="X61" s="16"/>
    </row>
    <row r="62" spans="1:24" ht="18.75">
      <c r="A62" s="113">
        <v>54</v>
      </c>
      <c r="B62" s="28" t="s">
        <v>883</v>
      </c>
      <c r="C62" s="24" t="s">
        <v>732</v>
      </c>
      <c r="D62" s="28" t="s">
        <v>64</v>
      </c>
      <c r="E62" s="28" t="s">
        <v>1013</v>
      </c>
      <c r="F62" s="27">
        <f t="shared" si="9"/>
        <v>184</v>
      </c>
      <c r="G62" s="114">
        <v>30</v>
      </c>
      <c r="H62" s="29">
        <f t="shared" si="10"/>
        <v>240</v>
      </c>
      <c r="I62" s="77" t="str">
        <f t="shared" si="6"/>
        <v>8.00</v>
      </c>
      <c r="J62" s="16"/>
      <c r="K62" s="15">
        <f t="shared" si="11"/>
        <v>8</v>
      </c>
      <c r="L62" s="15">
        <f t="shared" si="12"/>
        <v>184</v>
      </c>
      <c r="M62" s="15" t="str">
        <f t="shared" si="13"/>
        <v/>
      </c>
      <c r="N62" s="14" t="str">
        <f t="shared" si="14"/>
        <v/>
      </c>
      <c r="O62" s="14">
        <f t="shared" si="15"/>
        <v>-23.333333333333332</v>
      </c>
      <c r="P62" s="116"/>
      <c r="Q62" s="1">
        <v>800</v>
      </c>
      <c r="S62" s="1" t="str">
        <f t="shared" si="18"/>
        <v>23.00</v>
      </c>
      <c r="T62" s="1">
        <f t="shared" si="19"/>
        <v>184</v>
      </c>
      <c r="X62" s="16"/>
    </row>
    <row r="63" spans="1:24" ht="33">
      <c r="A63" s="113">
        <v>55</v>
      </c>
      <c r="B63" s="28" t="s">
        <v>898</v>
      </c>
      <c r="C63" s="24" t="s">
        <v>733</v>
      </c>
      <c r="D63" s="28" t="s">
        <v>64</v>
      </c>
      <c r="E63" s="28" t="s">
        <v>1014</v>
      </c>
      <c r="F63" s="27">
        <f t="shared" si="9"/>
        <v>10359</v>
      </c>
      <c r="G63" s="114">
        <v>1707.76</v>
      </c>
      <c r="H63" s="29">
        <f t="shared" si="10"/>
        <v>15369.84</v>
      </c>
      <c r="I63" s="77" t="str">
        <f t="shared" si="6"/>
        <v>9.00</v>
      </c>
      <c r="J63" s="16"/>
      <c r="K63" s="15">
        <f t="shared" si="11"/>
        <v>9</v>
      </c>
      <c r="L63" s="15">
        <f t="shared" si="12"/>
        <v>10359</v>
      </c>
      <c r="M63" s="15" t="str">
        <f t="shared" si="13"/>
        <v/>
      </c>
      <c r="N63" s="14" t="str">
        <f t="shared" si="14"/>
        <v/>
      </c>
      <c r="O63" s="112">
        <f t="shared" si="15"/>
        <v>-32.601770740619287</v>
      </c>
      <c r="P63" s="116"/>
      <c r="S63" s="1" t="str">
        <f t="shared" si="18"/>
        <v>1151.00</v>
      </c>
      <c r="T63" s="1">
        <f t="shared" si="19"/>
        <v>10359</v>
      </c>
      <c r="X63" s="16"/>
    </row>
    <row r="64" spans="1:24" ht="18.75">
      <c r="A64" s="113">
        <v>56</v>
      </c>
      <c r="B64" s="28" t="s">
        <v>899</v>
      </c>
      <c r="C64" s="24" t="s">
        <v>734</v>
      </c>
      <c r="D64" s="28" t="s">
        <v>64</v>
      </c>
      <c r="E64" s="28" t="s">
        <v>1015</v>
      </c>
      <c r="F64" s="27">
        <f t="shared" si="9"/>
        <v>2704</v>
      </c>
      <c r="G64" s="114">
        <v>136.69999999999999</v>
      </c>
      <c r="H64" s="29">
        <f t="shared" si="10"/>
        <v>3554.2</v>
      </c>
      <c r="I64" s="77" t="str">
        <f t="shared" si="6"/>
        <v>26.00</v>
      </c>
      <c r="J64" s="16"/>
      <c r="K64" s="15">
        <f t="shared" si="11"/>
        <v>26</v>
      </c>
      <c r="L64" s="15">
        <f t="shared" si="12"/>
        <v>2704</v>
      </c>
      <c r="M64" s="15" t="str">
        <f t="shared" si="13"/>
        <v/>
      </c>
      <c r="N64" s="14" t="str">
        <f t="shared" si="14"/>
        <v/>
      </c>
      <c r="O64" s="14">
        <f t="shared" si="15"/>
        <v>-23.920994879297726</v>
      </c>
      <c r="P64" s="116"/>
      <c r="Q64" s="1">
        <v>1200</v>
      </c>
      <c r="S64" s="1" t="str">
        <f t="shared" si="18"/>
        <v>104.00</v>
      </c>
      <c r="T64" s="1">
        <f t="shared" si="19"/>
        <v>2704</v>
      </c>
      <c r="X64" s="16">
        <v>1</v>
      </c>
    </row>
    <row r="65" spans="1:24" ht="33">
      <c r="A65" s="113">
        <v>57</v>
      </c>
      <c r="B65" s="28" t="s">
        <v>882</v>
      </c>
      <c r="C65" s="24" t="s">
        <v>735</v>
      </c>
      <c r="D65" s="28" t="s">
        <v>65</v>
      </c>
      <c r="E65" s="28" t="s">
        <v>1016</v>
      </c>
      <c r="F65" s="27">
        <f t="shared" si="9"/>
        <v>2464</v>
      </c>
      <c r="G65" s="114">
        <v>219.48</v>
      </c>
      <c r="H65" s="29">
        <f t="shared" si="10"/>
        <v>3511.68</v>
      </c>
      <c r="I65" s="77" t="str">
        <f t="shared" si="6"/>
        <v>16.00</v>
      </c>
      <c r="J65" s="16"/>
      <c r="K65" s="15">
        <f t="shared" si="11"/>
        <v>16</v>
      </c>
      <c r="L65" s="15">
        <f t="shared" si="12"/>
        <v>2464</v>
      </c>
      <c r="M65" s="15" t="str">
        <f t="shared" si="13"/>
        <v/>
      </c>
      <c r="N65" s="14" t="str">
        <f t="shared" si="14"/>
        <v/>
      </c>
      <c r="O65" s="112">
        <f t="shared" si="15"/>
        <v>-29.834153453617638</v>
      </c>
      <c r="P65" s="116"/>
      <c r="Q65" s="1">
        <v>30150</v>
      </c>
      <c r="S65" s="1" t="str">
        <f t="shared" si="18"/>
        <v>154.00</v>
      </c>
      <c r="T65" s="1">
        <f t="shared" si="19"/>
        <v>2464</v>
      </c>
      <c r="X65" s="16">
        <v>20.12</v>
      </c>
    </row>
    <row r="66" spans="1:24" ht="33">
      <c r="A66" s="113">
        <v>58</v>
      </c>
      <c r="B66" s="28" t="s">
        <v>900</v>
      </c>
      <c r="C66" s="24" t="s">
        <v>736</v>
      </c>
      <c r="D66" s="28" t="s">
        <v>64</v>
      </c>
      <c r="E66" s="28" t="s">
        <v>1017</v>
      </c>
      <c r="F66" s="27">
        <f t="shared" si="9"/>
        <v>3724</v>
      </c>
      <c r="G66" s="114">
        <v>129</v>
      </c>
      <c r="H66" s="29">
        <f t="shared" si="10"/>
        <v>4902</v>
      </c>
      <c r="I66" s="77" t="str">
        <f t="shared" si="6"/>
        <v>38.00</v>
      </c>
      <c r="J66" s="16"/>
      <c r="K66" s="15">
        <f t="shared" si="11"/>
        <v>38</v>
      </c>
      <c r="L66" s="15">
        <f t="shared" si="12"/>
        <v>3724</v>
      </c>
      <c r="M66" s="15" t="str">
        <f t="shared" si="13"/>
        <v/>
      </c>
      <c r="N66" s="14" t="str">
        <f t="shared" si="14"/>
        <v/>
      </c>
      <c r="O66" s="14">
        <f t="shared" si="15"/>
        <v>-24.031007751937985</v>
      </c>
      <c r="P66" s="116"/>
      <c r="Q66" s="1">
        <v>11500</v>
      </c>
      <c r="S66" s="1" t="str">
        <f t="shared" si="18"/>
        <v>98.00</v>
      </c>
      <c r="T66" s="1">
        <f t="shared" si="19"/>
        <v>3724</v>
      </c>
      <c r="X66" s="16"/>
    </row>
    <row r="67" spans="1:24" ht="18.75">
      <c r="A67" s="113">
        <v>59</v>
      </c>
      <c r="B67" s="28" t="s">
        <v>901</v>
      </c>
      <c r="C67" s="24" t="s">
        <v>737</v>
      </c>
      <c r="D67" s="28" t="s">
        <v>64</v>
      </c>
      <c r="E67" s="28" t="s">
        <v>899</v>
      </c>
      <c r="F67" s="27">
        <f t="shared" si="9"/>
        <v>1092</v>
      </c>
      <c r="G67" s="114" t="s">
        <v>210</v>
      </c>
      <c r="H67" s="29">
        <f t="shared" si="10"/>
        <v>1423.8</v>
      </c>
      <c r="I67" s="77" t="str">
        <f t="shared" si="6"/>
        <v>42.00</v>
      </c>
      <c r="J67" s="16"/>
      <c r="K67" s="15">
        <f t="shared" si="11"/>
        <v>42</v>
      </c>
      <c r="L67" s="15">
        <f t="shared" si="12"/>
        <v>1092</v>
      </c>
      <c r="M67" s="15" t="str">
        <f t="shared" si="13"/>
        <v/>
      </c>
      <c r="N67" s="14" t="str">
        <f t="shared" si="14"/>
        <v/>
      </c>
      <c r="O67" s="14">
        <f t="shared" si="15"/>
        <v>-23.303834808259584</v>
      </c>
      <c r="P67" s="116"/>
      <c r="Q67" s="1">
        <v>61050</v>
      </c>
      <c r="S67" s="1">
        <v>2000</v>
      </c>
      <c r="T67" s="1">
        <f t="shared" si="19"/>
        <v>84000</v>
      </c>
      <c r="X67" s="16">
        <v>55.39</v>
      </c>
    </row>
    <row r="68" spans="1:24" ht="18.75">
      <c r="A68" s="113">
        <v>60</v>
      </c>
      <c r="B68" s="28" t="s">
        <v>901</v>
      </c>
      <c r="C68" s="24" t="s">
        <v>738</v>
      </c>
      <c r="D68" s="28" t="s">
        <v>64</v>
      </c>
      <c r="E68" s="28" t="s">
        <v>1018</v>
      </c>
      <c r="F68" s="27">
        <f t="shared" si="9"/>
        <v>12978</v>
      </c>
      <c r="G68" s="114">
        <v>467</v>
      </c>
      <c r="H68" s="29">
        <f t="shared" si="10"/>
        <v>19614</v>
      </c>
      <c r="I68" s="77" t="str">
        <f t="shared" si="6"/>
        <v>42.00</v>
      </c>
      <c r="J68" s="16"/>
      <c r="K68" s="15">
        <f t="shared" si="11"/>
        <v>42</v>
      </c>
      <c r="L68" s="15">
        <f t="shared" si="12"/>
        <v>12978</v>
      </c>
      <c r="M68" s="15" t="str">
        <f t="shared" si="13"/>
        <v/>
      </c>
      <c r="N68" s="14" t="str">
        <f t="shared" si="14"/>
        <v/>
      </c>
      <c r="O68" s="112">
        <f t="shared" si="15"/>
        <v>-33.832976445396149</v>
      </c>
      <c r="P68" s="116"/>
      <c r="Q68" s="1">
        <v>1200</v>
      </c>
      <c r="S68" s="1" t="str">
        <f>E68</f>
        <v>309.00</v>
      </c>
      <c r="T68" s="1">
        <f t="shared" si="19"/>
        <v>12978</v>
      </c>
      <c r="X68" s="16">
        <v>55.57</v>
      </c>
    </row>
    <row r="69" spans="1:24" ht="18.75">
      <c r="A69" s="113">
        <v>61</v>
      </c>
      <c r="B69" s="28" t="s">
        <v>902</v>
      </c>
      <c r="C69" s="24" t="s">
        <v>739</v>
      </c>
      <c r="D69" s="28" t="s">
        <v>65</v>
      </c>
      <c r="E69" s="28" t="s">
        <v>963</v>
      </c>
      <c r="F69" s="27">
        <f t="shared" si="9"/>
        <v>450</v>
      </c>
      <c r="G69" s="114">
        <v>21</v>
      </c>
      <c r="H69" s="29">
        <f t="shared" si="10"/>
        <v>630</v>
      </c>
      <c r="I69" s="77" t="str">
        <f t="shared" si="6"/>
        <v>30.00</v>
      </c>
      <c r="J69" s="16"/>
      <c r="K69" s="15">
        <f t="shared" si="11"/>
        <v>30</v>
      </c>
      <c r="L69" s="15">
        <f t="shared" si="12"/>
        <v>450</v>
      </c>
      <c r="M69" s="15" t="str">
        <f t="shared" si="13"/>
        <v/>
      </c>
      <c r="N69" s="14" t="str">
        <f t="shared" si="14"/>
        <v/>
      </c>
      <c r="O69" s="112">
        <f t="shared" si="15"/>
        <v>-28.571428571428569</v>
      </c>
      <c r="P69" s="116"/>
      <c r="S69" s="1">
        <v>1500</v>
      </c>
      <c r="T69" s="1">
        <f t="shared" si="19"/>
        <v>45000</v>
      </c>
      <c r="X69" s="16"/>
    </row>
    <row r="70" spans="1:24" ht="18.75">
      <c r="A70" s="113">
        <v>62</v>
      </c>
      <c r="B70" s="28" t="s">
        <v>903</v>
      </c>
      <c r="C70" s="24" t="s">
        <v>740</v>
      </c>
      <c r="D70" s="28" t="s">
        <v>64</v>
      </c>
      <c r="E70" s="28" t="s">
        <v>204</v>
      </c>
      <c r="F70" s="27">
        <f t="shared" si="9"/>
        <v>1160</v>
      </c>
      <c r="G70" s="114">
        <v>76</v>
      </c>
      <c r="H70" s="29">
        <f t="shared" si="10"/>
        <v>1520</v>
      </c>
      <c r="I70" s="77" t="str">
        <f t="shared" si="6"/>
        <v>20.00</v>
      </c>
      <c r="J70" s="16"/>
      <c r="K70" s="15">
        <f t="shared" si="11"/>
        <v>20</v>
      </c>
      <c r="L70" s="15">
        <f t="shared" si="12"/>
        <v>1160</v>
      </c>
      <c r="M70" s="15" t="str">
        <f t="shared" si="13"/>
        <v/>
      </c>
      <c r="N70" s="14" t="str">
        <f t="shared" si="14"/>
        <v/>
      </c>
      <c r="O70" s="14">
        <f t="shared" si="15"/>
        <v>-23.684210526315788</v>
      </c>
      <c r="P70" s="116"/>
      <c r="Q70" s="1">
        <v>15150</v>
      </c>
      <c r="S70" s="1">
        <v>1500</v>
      </c>
      <c r="T70" s="1">
        <f t="shared" si="19"/>
        <v>30000</v>
      </c>
      <c r="X70" s="16">
        <v>34.92</v>
      </c>
    </row>
    <row r="71" spans="1:24" ht="33">
      <c r="A71" s="113">
        <v>63</v>
      </c>
      <c r="B71" s="28" t="s">
        <v>223</v>
      </c>
      <c r="C71" s="24" t="s">
        <v>741</v>
      </c>
      <c r="D71" s="28" t="s">
        <v>65</v>
      </c>
      <c r="E71" s="28" t="s">
        <v>1019</v>
      </c>
      <c r="F71" s="27">
        <f t="shared" si="9"/>
        <v>3060</v>
      </c>
      <c r="G71" s="114">
        <v>73.599999999999994</v>
      </c>
      <c r="H71" s="29">
        <f t="shared" si="10"/>
        <v>4416</v>
      </c>
      <c r="I71" s="77" t="str">
        <f t="shared" si="6"/>
        <v>60.00</v>
      </c>
      <c r="J71" s="16"/>
      <c r="K71" s="15">
        <f t="shared" si="11"/>
        <v>60</v>
      </c>
      <c r="L71" s="15">
        <f t="shared" si="12"/>
        <v>3060</v>
      </c>
      <c r="M71" s="15" t="str">
        <f t="shared" si="13"/>
        <v/>
      </c>
      <c r="N71" s="14" t="str">
        <f t="shared" si="14"/>
        <v/>
      </c>
      <c r="O71" s="112">
        <f t="shared" si="15"/>
        <v>-30.706521739130427</v>
      </c>
      <c r="P71" s="116"/>
      <c r="Q71" s="1">
        <v>15000</v>
      </c>
      <c r="S71" s="1" t="str">
        <f>E71</f>
        <v>51.00</v>
      </c>
      <c r="T71" s="1">
        <f t="shared" si="19"/>
        <v>3060</v>
      </c>
      <c r="X71" s="16"/>
    </row>
    <row r="72" spans="1:24" ht="18.75">
      <c r="A72" s="113">
        <v>64</v>
      </c>
      <c r="B72" s="28" t="s">
        <v>895</v>
      </c>
      <c r="C72" s="24" t="s">
        <v>742</v>
      </c>
      <c r="D72" s="28" t="s">
        <v>64</v>
      </c>
      <c r="E72" s="28" t="s">
        <v>1020</v>
      </c>
      <c r="F72" s="27">
        <f t="shared" si="9"/>
        <v>1685</v>
      </c>
      <c r="G72" s="114">
        <v>2588</v>
      </c>
      <c r="H72" s="29">
        <f t="shared" si="10"/>
        <v>2588</v>
      </c>
      <c r="I72" s="77" t="str">
        <f t="shared" si="6"/>
        <v>1.00</v>
      </c>
      <c r="J72" s="16"/>
      <c r="K72" s="15">
        <f t="shared" si="11"/>
        <v>1</v>
      </c>
      <c r="L72" s="15">
        <f t="shared" si="12"/>
        <v>1685</v>
      </c>
      <c r="M72" s="15" t="str">
        <f t="shared" si="13"/>
        <v/>
      </c>
      <c r="N72" s="14" t="str">
        <f t="shared" si="14"/>
        <v/>
      </c>
      <c r="O72" s="112">
        <f t="shared" si="15"/>
        <v>-34.891808346213296</v>
      </c>
      <c r="P72" s="116"/>
      <c r="Q72" s="1">
        <v>15000</v>
      </c>
      <c r="S72" s="1" t="str">
        <f>E72</f>
        <v>1685.00</v>
      </c>
      <c r="T72" s="1">
        <f t="shared" si="19"/>
        <v>1685</v>
      </c>
      <c r="X72" s="16"/>
    </row>
    <row r="73" spans="1:24" ht="18.75">
      <c r="A73" s="113">
        <v>65</v>
      </c>
      <c r="B73" s="28" t="s">
        <v>895</v>
      </c>
      <c r="C73" s="24" t="s">
        <v>743</v>
      </c>
      <c r="D73" s="28" t="s">
        <v>63</v>
      </c>
      <c r="E73" s="28" t="s">
        <v>216</v>
      </c>
      <c r="F73" s="27">
        <f t="shared" si="9"/>
        <v>1664</v>
      </c>
      <c r="G73" s="114">
        <v>2292.0700000000002</v>
      </c>
      <c r="H73" s="29">
        <f t="shared" si="10"/>
        <v>2292.0700000000002</v>
      </c>
      <c r="I73" s="77" t="str">
        <f t="shared" si="6"/>
        <v>1.00</v>
      </c>
      <c r="J73" s="16"/>
      <c r="K73" s="15">
        <f t="shared" si="11"/>
        <v>1</v>
      </c>
      <c r="L73" s="15">
        <f t="shared" si="12"/>
        <v>1664</v>
      </c>
      <c r="M73" s="15" t="str">
        <f t="shared" si="13"/>
        <v/>
      </c>
      <c r="N73" s="14" t="str">
        <f t="shared" si="14"/>
        <v/>
      </c>
      <c r="O73" s="112">
        <f t="shared" si="15"/>
        <v>-27.401868180291185</v>
      </c>
      <c r="P73" s="116"/>
      <c r="S73" s="1">
        <v>1500</v>
      </c>
      <c r="T73" s="1">
        <f t="shared" si="19"/>
        <v>1500</v>
      </c>
      <c r="X73" s="16"/>
    </row>
    <row r="74" spans="1:24" s="3" customFormat="1" ht="18.75">
      <c r="A74" s="113">
        <v>66</v>
      </c>
      <c r="B74" s="28" t="s">
        <v>218</v>
      </c>
      <c r="C74" s="24" t="s">
        <v>744</v>
      </c>
      <c r="D74" s="28" t="s">
        <v>967</v>
      </c>
      <c r="E74" s="28" t="s">
        <v>899</v>
      </c>
      <c r="F74" s="27">
        <f t="shared" si="9"/>
        <v>3900</v>
      </c>
      <c r="G74" s="114" t="s">
        <v>211</v>
      </c>
      <c r="H74" s="29">
        <f t="shared" si="10"/>
        <v>5100</v>
      </c>
      <c r="I74" s="77" t="str">
        <f t="shared" ref="I74:I137" si="20">B74</f>
        <v>150.00</v>
      </c>
      <c r="J74" s="16"/>
      <c r="K74" s="15">
        <f t="shared" si="11"/>
        <v>150</v>
      </c>
      <c r="L74" s="15">
        <f t="shared" si="12"/>
        <v>3900</v>
      </c>
      <c r="M74" s="15" t="str">
        <f t="shared" si="13"/>
        <v/>
      </c>
      <c r="N74" s="14" t="str">
        <f t="shared" si="14"/>
        <v/>
      </c>
      <c r="O74" s="14">
        <f t="shared" si="15"/>
        <v>-23.52941176470588</v>
      </c>
      <c r="P74" s="116"/>
      <c r="Q74" s="3">
        <v>3720</v>
      </c>
      <c r="S74" s="1" t="str">
        <f t="shared" si="16"/>
        <v>26.00</v>
      </c>
      <c r="T74" s="1">
        <f t="shared" si="17"/>
        <v>3900</v>
      </c>
      <c r="X74" s="16">
        <v>5.36</v>
      </c>
    </row>
    <row r="75" spans="1:24" s="3" customFormat="1" ht="18.75">
      <c r="A75" s="113">
        <v>67</v>
      </c>
      <c r="B75" s="28">
        <v>30.815999999999999</v>
      </c>
      <c r="C75" s="24" t="s">
        <v>745</v>
      </c>
      <c r="D75" s="28" t="s">
        <v>66</v>
      </c>
      <c r="E75" s="28" t="s">
        <v>1021</v>
      </c>
      <c r="F75" s="27">
        <f t="shared" ref="F75:F138" si="21">B75*E75</f>
        <v>96977.95199999999</v>
      </c>
      <c r="G75" s="114">
        <v>4366.75</v>
      </c>
      <c r="H75" s="29">
        <f t="shared" ref="H75:H138" si="22">G75*B75</f>
        <v>134565.76799999998</v>
      </c>
      <c r="I75" s="77">
        <f t="shared" si="20"/>
        <v>30.815999999999999</v>
      </c>
      <c r="J75" s="16"/>
      <c r="K75" s="15">
        <f t="shared" ref="K75:K138" si="23">I75+J75</f>
        <v>30.815999999999999</v>
      </c>
      <c r="L75" s="15">
        <f t="shared" ref="L75:L138" si="24">K75*E75</f>
        <v>96977.95199999999</v>
      </c>
      <c r="M75" s="15" t="str">
        <f t="shared" ref="M75:M138" si="25">IF(L75&gt;F75,(L75-F75),"")</f>
        <v/>
      </c>
      <c r="N75" s="14" t="str">
        <f t="shared" ref="N75:N138" si="26">IF(F75&gt;L75,(F75-L75),"")</f>
        <v/>
      </c>
      <c r="O75" s="112">
        <f t="shared" ref="O75:O138" si="27">((E75-G75)/G75)*100</f>
        <v>-27.932673040590828</v>
      </c>
      <c r="P75" s="116"/>
      <c r="Q75" s="3">
        <v>2540</v>
      </c>
      <c r="S75" s="1" t="str">
        <f t="shared" si="16"/>
        <v>3147.00</v>
      </c>
      <c r="T75" s="1">
        <f t="shared" si="17"/>
        <v>96977.95199999999</v>
      </c>
      <c r="X75" s="16">
        <v>5.36</v>
      </c>
    </row>
    <row r="76" spans="1:24" s="3" customFormat="1" ht="33">
      <c r="A76" s="113">
        <v>68</v>
      </c>
      <c r="B76" s="28" t="s">
        <v>904</v>
      </c>
      <c r="C76" s="24" t="s">
        <v>746</v>
      </c>
      <c r="D76" s="28" t="s">
        <v>966</v>
      </c>
      <c r="E76" s="28" t="s">
        <v>1022</v>
      </c>
      <c r="F76" s="27">
        <f t="shared" si="21"/>
        <v>109746.00000000001</v>
      </c>
      <c r="G76" s="114">
        <v>242.09</v>
      </c>
      <c r="H76" s="29">
        <f t="shared" si="22"/>
        <v>147602.27300000002</v>
      </c>
      <c r="I76" s="77" t="str">
        <f t="shared" si="20"/>
        <v>609.70</v>
      </c>
      <c r="J76" s="16"/>
      <c r="K76" s="15">
        <f t="shared" si="23"/>
        <v>609.70000000000005</v>
      </c>
      <c r="L76" s="15">
        <f t="shared" si="24"/>
        <v>109746.00000000001</v>
      </c>
      <c r="M76" s="15" t="str">
        <f t="shared" si="25"/>
        <v/>
      </c>
      <c r="N76" s="14" t="str">
        <f t="shared" si="26"/>
        <v/>
      </c>
      <c r="O76" s="112">
        <f t="shared" si="27"/>
        <v>-25.647486471973235</v>
      </c>
      <c r="P76" s="116"/>
      <c r="Q76" s="3">
        <v>2540</v>
      </c>
      <c r="S76" s="1" t="str">
        <f t="shared" si="16"/>
        <v>180.00</v>
      </c>
      <c r="T76" s="1">
        <f t="shared" si="17"/>
        <v>109746.00000000001</v>
      </c>
      <c r="X76" s="16">
        <v>5.36</v>
      </c>
    </row>
    <row r="77" spans="1:24" s="3" customFormat="1" ht="18.75">
      <c r="A77" s="113">
        <v>69</v>
      </c>
      <c r="B77" s="28" t="s">
        <v>854</v>
      </c>
      <c r="C77" s="24" t="s">
        <v>747</v>
      </c>
      <c r="D77" s="28" t="s">
        <v>62</v>
      </c>
      <c r="E77" s="28" t="s">
        <v>1023</v>
      </c>
      <c r="F77" s="27">
        <f t="shared" si="21"/>
        <v>33163.199999999997</v>
      </c>
      <c r="G77" s="114">
        <v>4151.8500000000004</v>
      </c>
      <c r="H77" s="29">
        <f t="shared" si="22"/>
        <v>46500.72</v>
      </c>
      <c r="I77" s="77" t="str">
        <f t="shared" si="20"/>
        <v>11.20</v>
      </c>
      <c r="J77" s="16"/>
      <c r="K77" s="15">
        <f t="shared" si="23"/>
        <v>11.2</v>
      </c>
      <c r="L77" s="15">
        <f t="shared" si="24"/>
        <v>33163.199999999997</v>
      </c>
      <c r="M77" s="15" t="str">
        <f t="shared" si="25"/>
        <v/>
      </c>
      <c r="N77" s="14" t="str">
        <f t="shared" si="26"/>
        <v/>
      </c>
      <c r="O77" s="112">
        <f t="shared" si="27"/>
        <v>-28.682394595180465</v>
      </c>
      <c r="P77" s="116"/>
      <c r="Q77" s="3">
        <v>38600</v>
      </c>
      <c r="S77" s="1" t="str">
        <f t="shared" si="16"/>
        <v>2961.00</v>
      </c>
      <c r="T77" s="1">
        <f t="shared" si="17"/>
        <v>33163.199999999997</v>
      </c>
      <c r="X77" s="16">
        <v>83.65</v>
      </c>
    </row>
    <row r="78" spans="1:24" s="3" customFormat="1" ht="49.5">
      <c r="A78" s="113">
        <v>70</v>
      </c>
      <c r="B78" s="28" t="s">
        <v>905</v>
      </c>
      <c r="C78" s="24" t="s">
        <v>748</v>
      </c>
      <c r="D78" s="28" t="s">
        <v>62</v>
      </c>
      <c r="E78" s="28" t="s">
        <v>1024</v>
      </c>
      <c r="F78" s="27">
        <f t="shared" si="21"/>
        <v>595051</v>
      </c>
      <c r="G78" s="114">
        <v>6899.97</v>
      </c>
      <c r="H78" s="29">
        <f t="shared" si="22"/>
        <v>832826.37900000007</v>
      </c>
      <c r="I78" s="77" t="str">
        <f t="shared" si="20"/>
        <v>120.70</v>
      </c>
      <c r="J78" s="16"/>
      <c r="K78" s="15">
        <f t="shared" si="23"/>
        <v>120.7</v>
      </c>
      <c r="L78" s="15">
        <f t="shared" si="24"/>
        <v>595051</v>
      </c>
      <c r="M78" s="15" t="str">
        <f t="shared" si="25"/>
        <v/>
      </c>
      <c r="N78" s="14" t="str">
        <f t="shared" si="26"/>
        <v/>
      </c>
      <c r="O78" s="112">
        <f t="shared" si="27"/>
        <v>-28.550413987307195</v>
      </c>
      <c r="P78" s="116"/>
      <c r="Q78" s="3">
        <v>38600</v>
      </c>
      <c r="S78" s="1" t="str">
        <f t="shared" si="16"/>
        <v>4930.00</v>
      </c>
      <c r="T78" s="1">
        <f t="shared" si="17"/>
        <v>595051</v>
      </c>
      <c r="X78" s="16"/>
    </row>
    <row r="79" spans="1:24" s="3" customFormat="1" ht="18.75">
      <c r="A79" s="113">
        <v>71</v>
      </c>
      <c r="B79" s="28" t="s">
        <v>906</v>
      </c>
      <c r="C79" s="24" t="s">
        <v>704</v>
      </c>
      <c r="D79" s="28" t="s">
        <v>62</v>
      </c>
      <c r="E79" s="28" t="s">
        <v>1025</v>
      </c>
      <c r="F79" s="27">
        <f t="shared" si="21"/>
        <v>193806</v>
      </c>
      <c r="G79" s="114">
        <v>6998.86</v>
      </c>
      <c r="H79" s="29">
        <f t="shared" si="22"/>
        <v>271555.76799999998</v>
      </c>
      <c r="I79" s="77" t="str">
        <f t="shared" si="20"/>
        <v>38.80</v>
      </c>
      <c r="J79" s="16"/>
      <c r="K79" s="15">
        <f t="shared" si="23"/>
        <v>38.799999999999997</v>
      </c>
      <c r="L79" s="15">
        <f t="shared" si="24"/>
        <v>193806</v>
      </c>
      <c r="M79" s="15" t="str">
        <f t="shared" si="25"/>
        <v/>
      </c>
      <c r="N79" s="14" t="str">
        <f t="shared" si="26"/>
        <v/>
      </c>
      <c r="O79" s="112">
        <f t="shared" si="27"/>
        <v>-28.631234229574527</v>
      </c>
      <c r="P79" s="116"/>
      <c r="Q79" s="3">
        <v>38600</v>
      </c>
      <c r="S79" s="1" t="str">
        <f t="shared" si="16"/>
        <v>4995.00</v>
      </c>
      <c r="T79" s="1">
        <f t="shared" si="17"/>
        <v>193806</v>
      </c>
      <c r="X79" s="16">
        <v>0</v>
      </c>
    </row>
    <row r="80" spans="1:24" s="3" customFormat="1" ht="18.75">
      <c r="A80" s="113">
        <v>72</v>
      </c>
      <c r="B80" s="28" t="s">
        <v>907</v>
      </c>
      <c r="C80" s="24" t="s">
        <v>39</v>
      </c>
      <c r="D80" s="28" t="s">
        <v>62</v>
      </c>
      <c r="E80" s="28" t="s">
        <v>1026</v>
      </c>
      <c r="F80" s="27">
        <f t="shared" si="21"/>
        <v>185525.00000000003</v>
      </c>
      <c r="G80" s="114">
        <v>7193.56</v>
      </c>
      <c r="H80" s="29">
        <f t="shared" si="22"/>
        <v>260406.87200000003</v>
      </c>
      <c r="I80" s="77" t="str">
        <f t="shared" si="20"/>
        <v>36.20</v>
      </c>
      <c r="J80" s="16"/>
      <c r="K80" s="15">
        <f t="shared" si="23"/>
        <v>36.200000000000003</v>
      </c>
      <c r="L80" s="15">
        <f t="shared" si="24"/>
        <v>185525.00000000003</v>
      </c>
      <c r="M80" s="15" t="str">
        <f t="shared" si="25"/>
        <v/>
      </c>
      <c r="N80" s="14" t="str">
        <f t="shared" si="26"/>
        <v/>
      </c>
      <c r="O80" s="112">
        <f t="shared" si="27"/>
        <v>-28.755720394352728</v>
      </c>
      <c r="P80" s="116"/>
      <c r="Q80" s="3">
        <v>38600</v>
      </c>
      <c r="S80" s="1" t="str">
        <f t="shared" si="16"/>
        <v>5125.00</v>
      </c>
      <c r="T80" s="1">
        <f t="shared" si="17"/>
        <v>185525.00000000003</v>
      </c>
      <c r="X80" s="16">
        <v>0</v>
      </c>
    </row>
    <row r="81" spans="1:24" s="3" customFormat="1" ht="18.75">
      <c r="A81" s="113">
        <v>73</v>
      </c>
      <c r="B81" s="28" t="s">
        <v>908</v>
      </c>
      <c r="C81" s="24" t="s">
        <v>40</v>
      </c>
      <c r="D81" s="28" t="s">
        <v>62</v>
      </c>
      <c r="E81" s="28" t="s">
        <v>1027</v>
      </c>
      <c r="F81" s="27">
        <f t="shared" si="21"/>
        <v>195448.80000000002</v>
      </c>
      <c r="G81" s="114">
        <v>7388.26</v>
      </c>
      <c r="H81" s="29">
        <f t="shared" si="22"/>
        <v>274843.27200000006</v>
      </c>
      <c r="I81" s="77" t="str">
        <f t="shared" si="20"/>
        <v>37.20</v>
      </c>
      <c r="J81" s="16"/>
      <c r="K81" s="15">
        <f t="shared" si="23"/>
        <v>37.200000000000003</v>
      </c>
      <c r="L81" s="15">
        <f t="shared" si="24"/>
        <v>195448.80000000002</v>
      </c>
      <c r="M81" s="15" t="str">
        <f t="shared" si="25"/>
        <v/>
      </c>
      <c r="N81" s="14" t="str">
        <f t="shared" si="26"/>
        <v/>
      </c>
      <c r="O81" s="112">
        <f t="shared" si="27"/>
        <v>-28.887180472804154</v>
      </c>
      <c r="P81" s="116"/>
      <c r="Q81" s="3">
        <v>6100</v>
      </c>
      <c r="S81" s="1" t="str">
        <f t="shared" si="16"/>
        <v>5254.00</v>
      </c>
      <c r="T81" s="1">
        <f t="shared" si="17"/>
        <v>195448.80000000002</v>
      </c>
      <c r="X81" s="16">
        <v>0</v>
      </c>
    </row>
    <row r="82" spans="1:24" s="3" customFormat="1" ht="18.75">
      <c r="A82" s="113">
        <v>74</v>
      </c>
      <c r="B82" s="28" t="s">
        <v>909</v>
      </c>
      <c r="C82" s="24" t="s">
        <v>44</v>
      </c>
      <c r="D82" s="28" t="s">
        <v>62</v>
      </c>
      <c r="E82" s="28" t="s">
        <v>1028</v>
      </c>
      <c r="F82" s="27">
        <f t="shared" si="21"/>
        <v>165288.79999999999</v>
      </c>
      <c r="G82" s="114">
        <v>7582.96</v>
      </c>
      <c r="H82" s="29">
        <f t="shared" si="22"/>
        <v>232796.872</v>
      </c>
      <c r="I82" s="77" t="str">
        <f t="shared" si="20"/>
        <v>30.70</v>
      </c>
      <c r="J82" s="16"/>
      <c r="K82" s="15">
        <f t="shared" si="23"/>
        <v>30.7</v>
      </c>
      <c r="L82" s="15">
        <f t="shared" si="24"/>
        <v>165288.79999999999</v>
      </c>
      <c r="M82" s="15" t="str">
        <f t="shared" si="25"/>
        <v/>
      </c>
      <c r="N82" s="14" t="str">
        <f t="shared" si="26"/>
        <v/>
      </c>
      <c r="O82" s="112">
        <f t="shared" si="27"/>
        <v>-28.998702353698292</v>
      </c>
      <c r="P82" s="116"/>
      <c r="S82" s="1" t="str">
        <f t="shared" si="16"/>
        <v>5384.00</v>
      </c>
      <c r="T82" s="1">
        <f t="shared" si="17"/>
        <v>165288.79999999999</v>
      </c>
      <c r="X82" s="16"/>
    </row>
    <row r="83" spans="1:24" ht="49.5">
      <c r="A83" s="113">
        <v>75</v>
      </c>
      <c r="B83" s="28" t="s">
        <v>910</v>
      </c>
      <c r="C83" s="24" t="s">
        <v>749</v>
      </c>
      <c r="D83" s="28" t="s">
        <v>967</v>
      </c>
      <c r="E83" s="28" t="s">
        <v>1029</v>
      </c>
      <c r="F83" s="27">
        <f t="shared" si="21"/>
        <v>2386.6999999999998</v>
      </c>
      <c r="G83" s="114">
        <v>1256.8900000000001</v>
      </c>
      <c r="H83" s="29">
        <f t="shared" si="22"/>
        <v>3644.9810000000002</v>
      </c>
      <c r="I83" s="77" t="str">
        <f t="shared" si="20"/>
        <v>2.90</v>
      </c>
      <c r="J83" s="16"/>
      <c r="K83" s="15">
        <f t="shared" si="23"/>
        <v>2.9</v>
      </c>
      <c r="L83" s="15">
        <f t="shared" si="24"/>
        <v>2386.6999999999998</v>
      </c>
      <c r="M83" s="15" t="str">
        <f t="shared" si="25"/>
        <v/>
      </c>
      <c r="N83" s="14" t="str">
        <f t="shared" si="26"/>
        <v/>
      </c>
      <c r="O83" s="112">
        <f t="shared" si="27"/>
        <v>-34.520920685183277</v>
      </c>
      <c r="P83" s="116"/>
      <c r="Q83" s="1">
        <v>5500</v>
      </c>
      <c r="S83" s="1" t="str">
        <f t="shared" si="16"/>
        <v>823.00</v>
      </c>
      <c r="T83" s="1">
        <f t="shared" si="17"/>
        <v>2386.6999999999998</v>
      </c>
      <c r="X83" s="16">
        <v>126</v>
      </c>
    </row>
    <row r="84" spans="1:24" ht="18.75">
      <c r="A84" s="113">
        <v>76</v>
      </c>
      <c r="B84" s="28" t="s">
        <v>911</v>
      </c>
      <c r="C84" s="24" t="s">
        <v>750</v>
      </c>
      <c r="D84" s="28" t="s">
        <v>967</v>
      </c>
      <c r="E84" s="28" t="s">
        <v>1030</v>
      </c>
      <c r="F84" s="27">
        <f t="shared" si="21"/>
        <v>19080.600000000002</v>
      </c>
      <c r="G84" s="114">
        <v>1260.82</v>
      </c>
      <c r="H84" s="29">
        <f t="shared" si="22"/>
        <v>29124.941999999999</v>
      </c>
      <c r="I84" s="77" t="str">
        <f t="shared" si="20"/>
        <v>23.10</v>
      </c>
      <c r="J84" s="16"/>
      <c r="K84" s="15">
        <f t="shared" si="23"/>
        <v>23.1</v>
      </c>
      <c r="L84" s="15">
        <f t="shared" si="24"/>
        <v>19080.600000000002</v>
      </c>
      <c r="M84" s="15" t="str">
        <f t="shared" si="25"/>
        <v/>
      </c>
      <c r="N84" s="14" t="str">
        <f t="shared" si="26"/>
        <v/>
      </c>
      <c r="O84" s="112">
        <f t="shared" si="27"/>
        <v>-34.487079836931514</v>
      </c>
      <c r="P84" s="116"/>
      <c r="Q84" s="1">
        <v>5500</v>
      </c>
      <c r="S84" s="1" t="str">
        <f t="shared" si="16"/>
        <v>826.00</v>
      </c>
      <c r="T84" s="1">
        <f t="shared" si="17"/>
        <v>19080.600000000002</v>
      </c>
      <c r="X84" s="16">
        <v>20.12</v>
      </c>
    </row>
    <row r="85" spans="1:24" ht="18.75">
      <c r="A85" s="113">
        <v>77</v>
      </c>
      <c r="B85" s="28" t="s">
        <v>899</v>
      </c>
      <c r="C85" s="24" t="s">
        <v>751</v>
      </c>
      <c r="D85" s="28" t="s">
        <v>967</v>
      </c>
      <c r="E85" s="28" t="s">
        <v>1031</v>
      </c>
      <c r="F85" s="27">
        <f t="shared" si="21"/>
        <v>21554</v>
      </c>
      <c r="G85" s="114">
        <v>1264.75</v>
      </c>
      <c r="H85" s="29">
        <f t="shared" si="22"/>
        <v>32883.5</v>
      </c>
      <c r="I85" s="77" t="str">
        <f t="shared" si="20"/>
        <v>26.00</v>
      </c>
      <c r="J85" s="16"/>
      <c r="K85" s="15">
        <f t="shared" si="23"/>
        <v>26</v>
      </c>
      <c r="L85" s="15">
        <f t="shared" si="24"/>
        <v>21554</v>
      </c>
      <c r="M85" s="15" t="str">
        <f t="shared" si="25"/>
        <v/>
      </c>
      <c r="N85" s="14" t="str">
        <f t="shared" si="26"/>
        <v/>
      </c>
      <c r="O85" s="112">
        <f t="shared" si="27"/>
        <v>-34.45344929828029</v>
      </c>
      <c r="P85" s="116"/>
      <c r="Q85" s="1">
        <v>5500</v>
      </c>
      <c r="S85" s="1" t="str">
        <f t="shared" si="16"/>
        <v>829.00</v>
      </c>
      <c r="T85" s="1">
        <f t="shared" si="17"/>
        <v>21554</v>
      </c>
      <c r="X85" s="16">
        <v>0</v>
      </c>
    </row>
    <row r="86" spans="1:24" ht="18.75">
      <c r="A86" s="113">
        <v>78</v>
      </c>
      <c r="B86" s="28" t="s">
        <v>912</v>
      </c>
      <c r="C86" s="24" t="s">
        <v>752</v>
      </c>
      <c r="D86" s="28" t="s">
        <v>967</v>
      </c>
      <c r="E86" s="28" t="s">
        <v>1032</v>
      </c>
      <c r="F86" s="27">
        <f t="shared" si="21"/>
        <v>9639.6</v>
      </c>
      <c r="G86" s="114">
        <v>1268.68</v>
      </c>
      <c r="H86" s="29">
        <f t="shared" si="22"/>
        <v>14716.688</v>
      </c>
      <c r="I86" s="77" t="str">
        <f t="shared" si="20"/>
        <v>11.60</v>
      </c>
      <c r="J86" s="16"/>
      <c r="K86" s="15">
        <f t="shared" si="23"/>
        <v>11.6</v>
      </c>
      <c r="L86" s="15">
        <f t="shared" si="24"/>
        <v>9639.6</v>
      </c>
      <c r="M86" s="15" t="str">
        <f t="shared" si="25"/>
        <v/>
      </c>
      <c r="N86" s="14" t="str">
        <f t="shared" si="26"/>
        <v/>
      </c>
      <c r="O86" s="112">
        <f t="shared" si="27"/>
        <v>-34.498849197591205</v>
      </c>
      <c r="P86" s="116"/>
      <c r="Q86" s="1">
        <f>K86-3335</f>
        <v>-3323.4</v>
      </c>
      <c r="S86" s="1" t="str">
        <f t="shared" si="16"/>
        <v>831.00</v>
      </c>
      <c r="T86" s="1">
        <f t="shared" si="17"/>
        <v>9639.6</v>
      </c>
      <c r="X86" s="16">
        <v>0</v>
      </c>
    </row>
    <row r="87" spans="1:24" ht="49.5">
      <c r="A87" s="113">
        <v>79</v>
      </c>
      <c r="B87" s="28" t="s">
        <v>913</v>
      </c>
      <c r="C87" s="24" t="s">
        <v>753</v>
      </c>
      <c r="D87" s="28" t="s">
        <v>967</v>
      </c>
      <c r="E87" s="28" t="s">
        <v>1033</v>
      </c>
      <c r="F87" s="27">
        <f t="shared" si="21"/>
        <v>732.80000000000007</v>
      </c>
      <c r="G87" s="114">
        <v>1387.13</v>
      </c>
      <c r="H87" s="29">
        <f t="shared" si="22"/>
        <v>1109.7040000000002</v>
      </c>
      <c r="I87" s="77" t="str">
        <f t="shared" si="20"/>
        <v>.80</v>
      </c>
      <c r="J87" s="16"/>
      <c r="K87" s="15">
        <f t="shared" si="23"/>
        <v>0.8</v>
      </c>
      <c r="L87" s="15">
        <f t="shared" si="24"/>
        <v>732.80000000000007</v>
      </c>
      <c r="M87" s="15" t="str">
        <f t="shared" si="25"/>
        <v/>
      </c>
      <c r="N87" s="14" t="str">
        <f t="shared" si="26"/>
        <v/>
      </c>
      <c r="O87" s="112">
        <f t="shared" si="27"/>
        <v>-33.964372481310335</v>
      </c>
      <c r="P87" s="116"/>
      <c r="Q87" s="1">
        <v>5500</v>
      </c>
      <c r="S87" s="1" t="str">
        <f t="shared" si="16"/>
        <v>916.00</v>
      </c>
      <c r="T87" s="1">
        <f t="shared" si="17"/>
        <v>732.80000000000007</v>
      </c>
      <c r="X87" s="16">
        <v>8.25</v>
      </c>
    </row>
    <row r="88" spans="1:24" ht="18.75">
      <c r="A88" s="113">
        <v>80</v>
      </c>
      <c r="B88" s="28" t="s">
        <v>914</v>
      </c>
      <c r="C88" s="24" t="s">
        <v>45</v>
      </c>
      <c r="D88" s="28" t="s">
        <v>967</v>
      </c>
      <c r="E88" s="28" t="s">
        <v>1034</v>
      </c>
      <c r="F88" s="27">
        <f t="shared" si="21"/>
        <v>5341.8</v>
      </c>
      <c r="G88" s="114">
        <v>1394.99</v>
      </c>
      <c r="H88" s="29">
        <f t="shared" si="22"/>
        <v>8090.942</v>
      </c>
      <c r="I88" s="77" t="str">
        <f t="shared" si="20"/>
        <v>5.80</v>
      </c>
      <c r="J88" s="16"/>
      <c r="K88" s="15">
        <f t="shared" si="23"/>
        <v>5.8</v>
      </c>
      <c r="L88" s="15">
        <f t="shared" si="24"/>
        <v>5341.8</v>
      </c>
      <c r="M88" s="15" t="str">
        <f t="shared" si="25"/>
        <v/>
      </c>
      <c r="N88" s="14" t="str">
        <f t="shared" si="26"/>
        <v/>
      </c>
      <c r="O88" s="112">
        <f t="shared" si="27"/>
        <v>-33.978021347823287</v>
      </c>
      <c r="P88" s="116"/>
      <c r="Q88" s="1">
        <v>11200</v>
      </c>
      <c r="S88" s="1" t="str">
        <f t="shared" si="16"/>
        <v>921.00</v>
      </c>
      <c r="T88" s="1">
        <f t="shared" si="17"/>
        <v>5341.8</v>
      </c>
      <c r="X88" s="16">
        <v>3507.24</v>
      </c>
    </row>
    <row r="89" spans="1:24" ht="18.75">
      <c r="A89" s="113">
        <v>81</v>
      </c>
      <c r="B89" s="28" t="s">
        <v>915</v>
      </c>
      <c r="C89" s="24" t="s">
        <v>46</v>
      </c>
      <c r="D89" s="28" t="s">
        <v>967</v>
      </c>
      <c r="E89" s="28" t="s">
        <v>1035</v>
      </c>
      <c r="F89" s="27">
        <f t="shared" si="21"/>
        <v>6674.4000000000005</v>
      </c>
      <c r="G89" s="114">
        <v>1402.85</v>
      </c>
      <c r="H89" s="29">
        <f t="shared" si="22"/>
        <v>10100.52</v>
      </c>
      <c r="I89" s="77" t="str">
        <f t="shared" si="20"/>
        <v>7.20</v>
      </c>
      <c r="J89" s="16"/>
      <c r="K89" s="15">
        <f t="shared" si="23"/>
        <v>7.2</v>
      </c>
      <c r="L89" s="15">
        <f t="shared" si="24"/>
        <v>6674.4000000000005</v>
      </c>
      <c r="M89" s="15" t="str">
        <f t="shared" si="25"/>
        <v/>
      </c>
      <c r="N89" s="14" t="str">
        <f t="shared" si="26"/>
        <v/>
      </c>
      <c r="O89" s="112">
        <f t="shared" si="27"/>
        <v>-33.920233809744445</v>
      </c>
      <c r="P89" s="116"/>
      <c r="Q89" s="1">
        <v>16960</v>
      </c>
      <c r="S89" s="1" t="str">
        <f t="shared" si="16"/>
        <v>927.00</v>
      </c>
      <c r="T89" s="1">
        <f t="shared" si="17"/>
        <v>6674.4000000000005</v>
      </c>
      <c r="X89" s="16">
        <v>0</v>
      </c>
    </row>
    <row r="90" spans="1:24" ht="18.75">
      <c r="A90" s="113">
        <v>82</v>
      </c>
      <c r="B90" s="28" t="s">
        <v>914</v>
      </c>
      <c r="C90" s="24" t="s">
        <v>44</v>
      </c>
      <c r="D90" s="28" t="s">
        <v>967</v>
      </c>
      <c r="E90" s="28" t="s">
        <v>1036</v>
      </c>
      <c r="F90" s="27">
        <f t="shared" si="21"/>
        <v>5405.5999999999995</v>
      </c>
      <c r="G90" s="114">
        <v>1410.71</v>
      </c>
      <c r="H90" s="29">
        <f t="shared" si="22"/>
        <v>8182.1180000000004</v>
      </c>
      <c r="I90" s="77" t="str">
        <f t="shared" si="20"/>
        <v>5.80</v>
      </c>
      <c r="J90" s="16"/>
      <c r="K90" s="15">
        <f t="shared" si="23"/>
        <v>5.8</v>
      </c>
      <c r="L90" s="15">
        <f t="shared" si="24"/>
        <v>5405.5999999999995</v>
      </c>
      <c r="M90" s="15" t="str">
        <f t="shared" si="25"/>
        <v/>
      </c>
      <c r="N90" s="14" t="str">
        <f t="shared" si="26"/>
        <v/>
      </c>
      <c r="O90" s="112">
        <f t="shared" si="27"/>
        <v>-33.933976508283067</v>
      </c>
      <c r="P90" s="116"/>
      <c r="Q90" s="1">
        <v>16960</v>
      </c>
      <c r="S90" s="1" t="str">
        <f t="shared" si="16"/>
        <v>932.00</v>
      </c>
      <c r="T90" s="1">
        <f t="shared" si="17"/>
        <v>5405.5999999999995</v>
      </c>
      <c r="X90" s="16">
        <v>934.07</v>
      </c>
    </row>
    <row r="91" spans="1:24" ht="66">
      <c r="A91" s="113">
        <v>83</v>
      </c>
      <c r="B91" s="28" t="s">
        <v>916</v>
      </c>
      <c r="C91" s="24" t="s">
        <v>754</v>
      </c>
      <c r="D91" s="28" t="s">
        <v>967</v>
      </c>
      <c r="E91" s="28" t="s">
        <v>1037</v>
      </c>
      <c r="F91" s="27">
        <f t="shared" si="21"/>
        <v>3658.6000000000004</v>
      </c>
      <c r="G91" s="114">
        <v>2537.0500000000002</v>
      </c>
      <c r="H91" s="29">
        <f t="shared" si="22"/>
        <v>5581.5100000000011</v>
      </c>
      <c r="I91" s="77" t="str">
        <f t="shared" si="20"/>
        <v>2.20</v>
      </c>
      <c r="J91" s="16"/>
      <c r="K91" s="15">
        <f t="shared" si="23"/>
        <v>2.2000000000000002</v>
      </c>
      <c r="L91" s="15">
        <f t="shared" si="24"/>
        <v>3658.6000000000004</v>
      </c>
      <c r="M91" s="15" t="str">
        <f t="shared" si="25"/>
        <v/>
      </c>
      <c r="N91" s="14" t="str">
        <f t="shared" si="26"/>
        <v/>
      </c>
      <c r="O91" s="112">
        <f t="shared" si="27"/>
        <v>-34.451429810212652</v>
      </c>
      <c r="P91" s="116"/>
      <c r="Q91" s="1">
        <v>16960</v>
      </c>
      <c r="S91" s="1" t="str">
        <f t="shared" si="16"/>
        <v>1663.00</v>
      </c>
      <c r="T91" s="1">
        <f t="shared" si="17"/>
        <v>3658.6000000000004</v>
      </c>
      <c r="X91" s="16"/>
    </row>
    <row r="92" spans="1:24" ht="49.5">
      <c r="A92" s="113">
        <v>84</v>
      </c>
      <c r="B92" s="28" t="s">
        <v>917</v>
      </c>
      <c r="C92" s="24" t="s">
        <v>755</v>
      </c>
      <c r="D92" s="28" t="s">
        <v>63</v>
      </c>
      <c r="E92" s="28" t="s">
        <v>1038</v>
      </c>
      <c r="F92" s="27">
        <f t="shared" si="21"/>
        <v>162185.4</v>
      </c>
      <c r="G92" s="114">
        <v>722.82</v>
      </c>
      <c r="H92" s="29">
        <f t="shared" si="22"/>
        <v>245252.82600000003</v>
      </c>
      <c r="I92" s="77" t="str">
        <f t="shared" si="20"/>
        <v>339.30</v>
      </c>
      <c r="J92" s="16"/>
      <c r="K92" s="15">
        <f t="shared" si="23"/>
        <v>339.3</v>
      </c>
      <c r="L92" s="15">
        <f t="shared" si="24"/>
        <v>162185.4</v>
      </c>
      <c r="M92" s="15" t="str">
        <f t="shared" si="25"/>
        <v/>
      </c>
      <c r="N92" s="14" t="str">
        <f t="shared" si="26"/>
        <v/>
      </c>
      <c r="O92" s="112">
        <f t="shared" si="27"/>
        <v>-33.870119808527718</v>
      </c>
      <c r="P92" s="116"/>
      <c r="Q92" s="1">
        <v>16960</v>
      </c>
      <c r="S92" s="1" t="str">
        <f t="shared" si="16"/>
        <v>478.00</v>
      </c>
      <c r="T92" s="1">
        <f t="shared" si="17"/>
        <v>162185.4</v>
      </c>
      <c r="X92" s="16">
        <v>67.58</v>
      </c>
    </row>
    <row r="93" spans="1:24" ht="49.5">
      <c r="A93" s="113">
        <v>85</v>
      </c>
      <c r="B93" s="28" t="s">
        <v>918</v>
      </c>
      <c r="C93" s="24" t="s">
        <v>47</v>
      </c>
      <c r="D93" s="28" t="s">
        <v>63</v>
      </c>
      <c r="E93" s="28" t="s">
        <v>1039</v>
      </c>
      <c r="F93" s="27">
        <f t="shared" si="21"/>
        <v>555706.19999999995</v>
      </c>
      <c r="G93" s="114">
        <v>813.94</v>
      </c>
      <c r="H93" s="29">
        <f t="shared" si="22"/>
        <v>832986.196</v>
      </c>
      <c r="I93" s="77" t="str">
        <f t="shared" si="20"/>
        <v>1023.40</v>
      </c>
      <c r="J93" s="16"/>
      <c r="K93" s="15">
        <f t="shared" si="23"/>
        <v>1023.4</v>
      </c>
      <c r="L93" s="15">
        <f t="shared" si="24"/>
        <v>555706.19999999995</v>
      </c>
      <c r="M93" s="15" t="str">
        <f t="shared" si="25"/>
        <v/>
      </c>
      <c r="N93" s="14" t="str">
        <f t="shared" si="26"/>
        <v/>
      </c>
      <c r="O93" s="112">
        <f t="shared" si="27"/>
        <v>-33.287465906577886</v>
      </c>
      <c r="P93" s="116"/>
      <c r="Q93" s="1">
        <v>315000</v>
      </c>
      <c r="S93" s="1" t="str">
        <f t="shared" si="16"/>
        <v>543.00</v>
      </c>
      <c r="T93" s="1">
        <f t="shared" si="17"/>
        <v>555706.19999999995</v>
      </c>
      <c r="X93" s="16">
        <v>67.58</v>
      </c>
    </row>
    <row r="94" spans="1:24" ht="33">
      <c r="A94" s="113">
        <v>86</v>
      </c>
      <c r="B94" s="28" t="s">
        <v>919</v>
      </c>
      <c r="C94" s="24" t="s">
        <v>48</v>
      </c>
      <c r="D94" s="28" t="s">
        <v>63</v>
      </c>
      <c r="E94" s="28" t="s">
        <v>1040</v>
      </c>
      <c r="F94" s="27">
        <f t="shared" si="21"/>
        <v>322896</v>
      </c>
      <c r="G94" s="114">
        <v>976.73</v>
      </c>
      <c r="H94" s="29">
        <f t="shared" si="22"/>
        <v>484458.08</v>
      </c>
      <c r="I94" s="77" t="str">
        <f t="shared" si="20"/>
        <v>496.00</v>
      </c>
      <c r="J94" s="16"/>
      <c r="K94" s="15">
        <f t="shared" si="23"/>
        <v>496</v>
      </c>
      <c r="L94" s="15">
        <f t="shared" si="24"/>
        <v>322896</v>
      </c>
      <c r="M94" s="15" t="str">
        <f t="shared" si="25"/>
        <v/>
      </c>
      <c r="N94" s="14" t="str">
        <f t="shared" si="26"/>
        <v/>
      </c>
      <c r="O94" s="112">
        <f t="shared" si="27"/>
        <v>-33.349031974035817</v>
      </c>
      <c r="P94" s="116"/>
      <c r="Q94" s="1">
        <v>118750</v>
      </c>
      <c r="S94" s="1" t="str">
        <f t="shared" si="16"/>
        <v>651.00</v>
      </c>
      <c r="T94" s="1">
        <f t="shared" si="17"/>
        <v>322896</v>
      </c>
      <c r="X94" s="16">
        <v>67.58</v>
      </c>
    </row>
    <row r="95" spans="1:24" ht="18.75">
      <c r="A95" s="113">
        <v>87</v>
      </c>
      <c r="B95" s="28" t="s">
        <v>920</v>
      </c>
      <c r="C95" s="24" t="s">
        <v>49</v>
      </c>
      <c r="D95" s="28" t="s">
        <v>63</v>
      </c>
      <c r="E95" s="28" t="s">
        <v>1041</v>
      </c>
      <c r="F95" s="27">
        <f t="shared" si="21"/>
        <v>16596.600000000002</v>
      </c>
      <c r="G95" s="114">
        <v>895.33</v>
      </c>
      <c r="H95" s="29">
        <f t="shared" si="22"/>
        <v>24890.174000000003</v>
      </c>
      <c r="I95" s="77" t="str">
        <f t="shared" si="20"/>
        <v>27.80</v>
      </c>
      <c r="J95" s="16"/>
      <c r="K95" s="15">
        <f t="shared" si="23"/>
        <v>27.8</v>
      </c>
      <c r="L95" s="15">
        <f t="shared" si="24"/>
        <v>16596.600000000002</v>
      </c>
      <c r="M95" s="15" t="str">
        <f t="shared" si="25"/>
        <v/>
      </c>
      <c r="N95" s="14" t="str">
        <f t="shared" si="26"/>
        <v/>
      </c>
      <c r="O95" s="112">
        <f t="shared" si="27"/>
        <v>-33.320675058358376</v>
      </c>
      <c r="P95" s="116"/>
      <c r="Q95" s="1">
        <v>12120</v>
      </c>
      <c r="S95" s="1" t="str">
        <f t="shared" si="16"/>
        <v>597.00</v>
      </c>
      <c r="T95" s="1">
        <f t="shared" si="17"/>
        <v>16596.600000000002</v>
      </c>
      <c r="X95" s="16">
        <v>868.53</v>
      </c>
    </row>
    <row r="96" spans="1:24" ht="18.75">
      <c r="A96" s="113">
        <v>88</v>
      </c>
      <c r="B96" s="28" t="s">
        <v>921</v>
      </c>
      <c r="C96" s="24" t="s">
        <v>756</v>
      </c>
      <c r="D96" s="28" t="s">
        <v>63</v>
      </c>
      <c r="E96" s="28" t="s">
        <v>1042</v>
      </c>
      <c r="F96" s="27">
        <f t="shared" si="21"/>
        <v>59910.399999999994</v>
      </c>
      <c r="G96" s="114">
        <v>1220.9100000000001</v>
      </c>
      <c r="H96" s="29">
        <f t="shared" si="22"/>
        <v>89858.975999999995</v>
      </c>
      <c r="I96" s="77" t="str">
        <f t="shared" si="20"/>
        <v>73.60</v>
      </c>
      <c r="J96" s="16"/>
      <c r="K96" s="15">
        <f t="shared" si="23"/>
        <v>73.599999999999994</v>
      </c>
      <c r="L96" s="15">
        <f t="shared" si="24"/>
        <v>59910.399999999994</v>
      </c>
      <c r="M96" s="15" t="str">
        <f t="shared" si="25"/>
        <v/>
      </c>
      <c r="N96" s="14" t="str">
        <f t="shared" si="26"/>
        <v/>
      </c>
      <c r="O96" s="112">
        <f t="shared" si="27"/>
        <v>-33.328418966180969</v>
      </c>
      <c r="P96" s="116"/>
      <c r="Q96" s="1">
        <v>1796640</v>
      </c>
      <c r="S96" s="1" t="str">
        <f t="shared" si="16"/>
        <v>814.00</v>
      </c>
      <c r="T96" s="1">
        <f t="shared" si="17"/>
        <v>59910.399999999994</v>
      </c>
      <c r="X96" s="16">
        <v>2556.9</v>
      </c>
    </row>
    <row r="97" spans="1:24" ht="33">
      <c r="A97" s="113">
        <v>89</v>
      </c>
      <c r="B97" s="28" t="s">
        <v>922</v>
      </c>
      <c r="C97" s="24" t="s">
        <v>757</v>
      </c>
      <c r="D97" s="28" t="s">
        <v>63</v>
      </c>
      <c r="E97" s="28" t="s">
        <v>1043</v>
      </c>
      <c r="F97" s="27">
        <f t="shared" si="21"/>
        <v>39394.399999999994</v>
      </c>
      <c r="G97" s="114">
        <v>2828</v>
      </c>
      <c r="H97" s="29">
        <f t="shared" si="22"/>
        <v>52035.199999999997</v>
      </c>
      <c r="I97" s="77" t="str">
        <f t="shared" si="20"/>
        <v>18.40</v>
      </c>
      <c r="J97" s="16"/>
      <c r="K97" s="15">
        <f t="shared" si="23"/>
        <v>18.399999999999999</v>
      </c>
      <c r="L97" s="15">
        <f t="shared" si="24"/>
        <v>39394.399999999994</v>
      </c>
      <c r="M97" s="15" t="str">
        <f t="shared" si="25"/>
        <v/>
      </c>
      <c r="N97" s="14" t="str">
        <f t="shared" si="26"/>
        <v/>
      </c>
      <c r="O97" s="14">
        <f t="shared" si="27"/>
        <v>-24.292786421499294</v>
      </c>
      <c r="P97" s="116"/>
      <c r="Q97" s="1">
        <v>18180</v>
      </c>
      <c r="S97" s="1" t="str">
        <f t="shared" si="16"/>
        <v>2141.00</v>
      </c>
      <c r="T97" s="1">
        <f t="shared" si="17"/>
        <v>39394.399999999994</v>
      </c>
      <c r="X97" s="16">
        <v>100.73</v>
      </c>
    </row>
    <row r="98" spans="1:24" ht="66">
      <c r="A98" s="113">
        <v>90</v>
      </c>
      <c r="B98" s="28" t="s">
        <v>923</v>
      </c>
      <c r="C98" s="24" t="s">
        <v>758</v>
      </c>
      <c r="D98" s="28" t="s">
        <v>64</v>
      </c>
      <c r="E98" s="28" t="s">
        <v>1044</v>
      </c>
      <c r="F98" s="27">
        <f t="shared" si="21"/>
        <v>4776</v>
      </c>
      <c r="G98" s="114">
        <v>2347.2800000000002</v>
      </c>
      <c r="H98" s="29">
        <f t="shared" si="22"/>
        <v>7041.84</v>
      </c>
      <c r="I98" s="77" t="str">
        <f t="shared" si="20"/>
        <v>3.00</v>
      </c>
      <c r="J98" s="16"/>
      <c r="K98" s="15">
        <f t="shared" si="23"/>
        <v>3</v>
      </c>
      <c r="L98" s="15">
        <f t="shared" si="24"/>
        <v>4776</v>
      </c>
      <c r="M98" s="15" t="str">
        <f t="shared" si="25"/>
        <v/>
      </c>
      <c r="N98" s="14" t="str">
        <f t="shared" si="26"/>
        <v/>
      </c>
      <c r="O98" s="112">
        <f t="shared" si="27"/>
        <v>-32.176817422719068</v>
      </c>
      <c r="P98" s="116"/>
      <c r="Q98" s="1">
        <v>119000</v>
      </c>
      <c r="S98" s="1" t="str">
        <f t="shared" si="16"/>
        <v>1592.00</v>
      </c>
      <c r="T98" s="1">
        <f t="shared" si="17"/>
        <v>4776</v>
      </c>
      <c r="X98" s="16">
        <v>126.07</v>
      </c>
    </row>
    <row r="99" spans="1:24" ht="18.75">
      <c r="A99" s="113">
        <v>91</v>
      </c>
      <c r="B99" s="28" t="s">
        <v>924</v>
      </c>
      <c r="C99" s="24" t="s">
        <v>759</v>
      </c>
      <c r="D99" s="28" t="s">
        <v>64</v>
      </c>
      <c r="E99" s="28" t="s">
        <v>1045</v>
      </c>
      <c r="F99" s="27">
        <f t="shared" si="21"/>
        <v>27285</v>
      </c>
      <c r="G99" s="114">
        <v>2365.02</v>
      </c>
      <c r="H99" s="29">
        <f t="shared" si="22"/>
        <v>40205.339999999997</v>
      </c>
      <c r="I99" s="77" t="str">
        <f t="shared" si="20"/>
        <v>17.00</v>
      </c>
      <c r="J99" s="16"/>
      <c r="K99" s="15">
        <f t="shared" si="23"/>
        <v>17</v>
      </c>
      <c r="L99" s="15">
        <f t="shared" si="24"/>
        <v>27285</v>
      </c>
      <c r="M99" s="15" t="str">
        <f t="shared" si="25"/>
        <v/>
      </c>
      <c r="N99" s="14" t="str">
        <f t="shared" si="26"/>
        <v/>
      </c>
      <c r="O99" s="112">
        <f t="shared" si="27"/>
        <v>-32.135880457670545</v>
      </c>
      <c r="P99" s="116"/>
      <c r="Q99" s="1">
        <v>193500</v>
      </c>
      <c r="S99" s="1">
        <v>1400</v>
      </c>
      <c r="T99" s="1">
        <f t="shared" si="17"/>
        <v>23800</v>
      </c>
      <c r="X99" s="16">
        <v>0</v>
      </c>
    </row>
    <row r="100" spans="1:24" ht="49.5">
      <c r="A100" s="113">
        <v>92</v>
      </c>
      <c r="B100" s="28" t="s">
        <v>920</v>
      </c>
      <c r="C100" s="24" t="s">
        <v>760</v>
      </c>
      <c r="D100" s="28" t="s">
        <v>63</v>
      </c>
      <c r="E100" s="28" t="s">
        <v>1046</v>
      </c>
      <c r="F100" s="27">
        <f t="shared" si="21"/>
        <v>80508.800000000003</v>
      </c>
      <c r="G100" s="114">
        <v>3966.1</v>
      </c>
      <c r="H100" s="29">
        <f t="shared" si="22"/>
        <v>110257.58</v>
      </c>
      <c r="I100" s="77" t="str">
        <f t="shared" si="20"/>
        <v>27.80</v>
      </c>
      <c r="J100" s="16"/>
      <c r="K100" s="15">
        <f t="shared" si="23"/>
        <v>27.8</v>
      </c>
      <c r="L100" s="15">
        <f t="shared" si="24"/>
        <v>80508.800000000003</v>
      </c>
      <c r="M100" s="15" t="str">
        <f t="shared" si="25"/>
        <v/>
      </c>
      <c r="N100" s="14" t="str">
        <f t="shared" si="26"/>
        <v/>
      </c>
      <c r="O100" s="112">
        <f t="shared" si="27"/>
        <v>-26.981165376566395</v>
      </c>
      <c r="P100" s="116"/>
      <c r="Q100" s="1">
        <v>19590</v>
      </c>
      <c r="S100" s="1" t="str">
        <f>E100</f>
        <v>2896.00</v>
      </c>
      <c r="T100" s="1">
        <f>S100*I100</f>
        <v>80508.800000000003</v>
      </c>
      <c r="X100" s="16">
        <v>23.76</v>
      </c>
    </row>
    <row r="101" spans="1:24" ht="49.5">
      <c r="A101" s="113">
        <v>93</v>
      </c>
      <c r="B101" s="28" t="s">
        <v>925</v>
      </c>
      <c r="C101" s="24" t="s">
        <v>761</v>
      </c>
      <c r="D101" s="28" t="s">
        <v>63</v>
      </c>
      <c r="E101" s="28" t="s">
        <v>1047</v>
      </c>
      <c r="F101" s="27">
        <f t="shared" si="21"/>
        <v>35015.4</v>
      </c>
      <c r="G101" s="114">
        <v>3635.52</v>
      </c>
      <c r="H101" s="29">
        <f t="shared" si="22"/>
        <v>45807.551999999996</v>
      </c>
      <c r="I101" s="77" t="str">
        <f t="shared" si="20"/>
        <v>12.60</v>
      </c>
      <c r="J101" s="16"/>
      <c r="K101" s="15">
        <f t="shared" si="23"/>
        <v>12.6</v>
      </c>
      <c r="L101" s="15">
        <f t="shared" si="24"/>
        <v>35015.4</v>
      </c>
      <c r="M101" s="15" t="str">
        <f t="shared" si="25"/>
        <v/>
      </c>
      <c r="N101" s="14" t="str">
        <f t="shared" si="26"/>
        <v/>
      </c>
      <c r="O101" s="14">
        <f t="shared" si="27"/>
        <v>-23.559765865680838</v>
      </c>
      <c r="P101" s="116"/>
      <c r="Q101" s="1">
        <v>239200</v>
      </c>
      <c r="S101" s="1" t="str">
        <f t="shared" ref="S101:S180" si="28">E101</f>
        <v>2779.00</v>
      </c>
      <c r="T101" s="1">
        <f t="shared" si="17"/>
        <v>35015.4</v>
      </c>
      <c r="X101" s="16">
        <v>10</v>
      </c>
    </row>
    <row r="102" spans="1:24" ht="49.5">
      <c r="A102" s="113">
        <v>94</v>
      </c>
      <c r="B102" s="28" t="s">
        <v>926</v>
      </c>
      <c r="C102" s="24" t="s">
        <v>762</v>
      </c>
      <c r="D102" s="28" t="s">
        <v>63</v>
      </c>
      <c r="E102" s="28" t="s">
        <v>1048</v>
      </c>
      <c r="F102" s="27">
        <f t="shared" si="21"/>
        <v>73625</v>
      </c>
      <c r="G102" s="114">
        <v>3247.17</v>
      </c>
      <c r="H102" s="29">
        <f t="shared" si="22"/>
        <v>100662.27</v>
      </c>
      <c r="I102" s="77" t="str">
        <f t="shared" si="20"/>
        <v>31.00</v>
      </c>
      <c r="J102" s="16"/>
      <c r="K102" s="15">
        <f t="shared" si="23"/>
        <v>31</v>
      </c>
      <c r="L102" s="15">
        <f t="shared" si="24"/>
        <v>73625</v>
      </c>
      <c r="M102" s="15" t="str">
        <f t="shared" si="25"/>
        <v/>
      </c>
      <c r="N102" s="14" t="str">
        <f t="shared" si="26"/>
        <v/>
      </c>
      <c r="O102" s="112">
        <f t="shared" si="27"/>
        <v>-26.8593883289141</v>
      </c>
      <c r="P102" s="116"/>
      <c r="Q102" s="1">
        <f>10*0.88*2.1</f>
        <v>18.480000000000004</v>
      </c>
      <c r="S102" s="1" t="str">
        <f t="shared" si="28"/>
        <v>2375.00</v>
      </c>
      <c r="T102" s="1">
        <f t="shared" ref="T102:T180" si="29">S102*I102</f>
        <v>73625</v>
      </c>
      <c r="X102" s="16">
        <v>10</v>
      </c>
    </row>
    <row r="103" spans="1:24" ht="18.75">
      <c r="A103" s="113">
        <v>95</v>
      </c>
      <c r="B103" s="28" t="s">
        <v>927</v>
      </c>
      <c r="C103" s="24" t="s">
        <v>763</v>
      </c>
      <c r="D103" s="28" t="s">
        <v>63</v>
      </c>
      <c r="E103" s="28" t="s">
        <v>1049</v>
      </c>
      <c r="F103" s="27">
        <f t="shared" si="21"/>
        <v>12058.900000000001</v>
      </c>
      <c r="G103" s="114">
        <v>3359.98</v>
      </c>
      <c r="H103" s="29">
        <f t="shared" si="22"/>
        <v>16463.902000000002</v>
      </c>
      <c r="I103" s="77" t="str">
        <f t="shared" si="20"/>
        <v>4.90</v>
      </c>
      <c r="J103" s="16"/>
      <c r="K103" s="15">
        <f t="shared" si="23"/>
        <v>4.9000000000000004</v>
      </c>
      <c r="L103" s="15">
        <f t="shared" si="24"/>
        <v>12058.900000000001</v>
      </c>
      <c r="M103" s="15" t="str">
        <f t="shared" si="25"/>
        <v/>
      </c>
      <c r="N103" s="14" t="str">
        <f t="shared" si="26"/>
        <v/>
      </c>
      <c r="O103" s="112">
        <f t="shared" si="27"/>
        <v>-26.755516401883344</v>
      </c>
      <c r="P103" s="116"/>
      <c r="S103" s="1" t="str">
        <f t="shared" si="28"/>
        <v>2461.00</v>
      </c>
      <c r="T103" s="1">
        <f t="shared" si="29"/>
        <v>12058.900000000001</v>
      </c>
      <c r="X103" s="16"/>
    </row>
    <row r="104" spans="1:24" ht="33">
      <c r="A104" s="113">
        <v>96</v>
      </c>
      <c r="B104" s="28" t="s">
        <v>928</v>
      </c>
      <c r="C104" s="24" t="s">
        <v>764</v>
      </c>
      <c r="D104" s="28" t="s">
        <v>63</v>
      </c>
      <c r="E104" s="28" t="s">
        <v>1050</v>
      </c>
      <c r="F104" s="27">
        <f t="shared" si="21"/>
        <v>30303</v>
      </c>
      <c r="G104" s="114">
        <v>704.8</v>
      </c>
      <c r="H104" s="29">
        <f t="shared" si="22"/>
        <v>41230.799999999996</v>
      </c>
      <c r="I104" s="77" t="str">
        <f t="shared" si="20"/>
        <v>58.50</v>
      </c>
      <c r="J104" s="16"/>
      <c r="K104" s="15">
        <f t="shared" si="23"/>
        <v>58.5</v>
      </c>
      <c r="L104" s="15">
        <f t="shared" si="24"/>
        <v>30303</v>
      </c>
      <c r="M104" s="15" t="str">
        <f t="shared" si="25"/>
        <v/>
      </c>
      <c r="N104" s="14" t="str">
        <f t="shared" si="26"/>
        <v/>
      </c>
      <c r="O104" s="112">
        <f t="shared" si="27"/>
        <v>-26.503972758229281</v>
      </c>
      <c r="P104" s="116"/>
      <c r="Q104" s="1">
        <v>19590</v>
      </c>
      <c r="S104" s="1" t="str">
        <f>E104</f>
        <v>518.00</v>
      </c>
      <c r="T104" s="1">
        <f t="shared" ref="T104:T119" si="30">S104*I104</f>
        <v>30303</v>
      </c>
      <c r="X104" s="16">
        <v>23.76</v>
      </c>
    </row>
    <row r="105" spans="1:24" ht="33">
      <c r="A105" s="113">
        <v>97</v>
      </c>
      <c r="B105" s="28" t="s">
        <v>895</v>
      </c>
      <c r="C105" s="24" t="s">
        <v>765</v>
      </c>
      <c r="D105" s="28" t="s">
        <v>64</v>
      </c>
      <c r="E105" s="28" t="s">
        <v>1051</v>
      </c>
      <c r="F105" s="27">
        <f t="shared" si="21"/>
        <v>5706</v>
      </c>
      <c r="G105" s="114" t="s">
        <v>212</v>
      </c>
      <c r="H105" s="29">
        <f t="shared" si="22"/>
        <v>7463.7</v>
      </c>
      <c r="I105" s="77" t="str">
        <f t="shared" si="20"/>
        <v>1.00</v>
      </c>
      <c r="J105" s="16"/>
      <c r="K105" s="15">
        <f t="shared" si="23"/>
        <v>1</v>
      </c>
      <c r="L105" s="15">
        <f t="shared" si="24"/>
        <v>5706</v>
      </c>
      <c r="M105" s="15" t="str">
        <f t="shared" si="25"/>
        <v/>
      </c>
      <c r="N105" s="14" t="str">
        <f t="shared" si="26"/>
        <v/>
      </c>
      <c r="O105" s="14">
        <f t="shared" si="27"/>
        <v>-23.549981912456285</v>
      </c>
      <c r="P105" s="116"/>
      <c r="Q105" s="1">
        <v>101000</v>
      </c>
      <c r="S105" s="1" t="str">
        <f>E105</f>
        <v>5706.00</v>
      </c>
      <c r="T105" s="1">
        <f t="shared" si="30"/>
        <v>5706</v>
      </c>
      <c r="X105" s="16">
        <v>20.88</v>
      </c>
    </row>
    <row r="106" spans="1:24" ht="49.5">
      <c r="A106" s="113">
        <v>98</v>
      </c>
      <c r="B106" s="28" t="s">
        <v>929</v>
      </c>
      <c r="C106" s="24" t="s">
        <v>766</v>
      </c>
      <c r="D106" s="28" t="s">
        <v>63</v>
      </c>
      <c r="E106" s="28" t="s">
        <v>1052</v>
      </c>
      <c r="F106" s="27">
        <f t="shared" si="21"/>
        <v>2305.8000000000002</v>
      </c>
      <c r="G106" s="114" t="s">
        <v>971</v>
      </c>
      <c r="H106" s="29">
        <f t="shared" si="22"/>
        <v>3016.404</v>
      </c>
      <c r="I106" s="77" t="str">
        <f t="shared" si="20"/>
        <v>.90</v>
      </c>
      <c r="J106" s="16"/>
      <c r="K106" s="15">
        <f t="shared" si="23"/>
        <v>0.9</v>
      </c>
      <c r="L106" s="15">
        <f t="shared" si="24"/>
        <v>2305.8000000000002</v>
      </c>
      <c r="M106" s="15" t="str">
        <f t="shared" si="25"/>
        <v/>
      </c>
      <c r="N106" s="14" t="str">
        <f t="shared" si="26"/>
        <v/>
      </c>
      <c r="O106" s="14">
        <f t="shared" si="27"/>
        <v>-23.557984938357063</v>
      </c>
      <c r="P106" s="116"/>
      <c r="Q106" s="1">
        <v>103000</v>
      </c>
      <c r="S106" s="1">
        <v>600</v>
      </c>
      <c r="T106" s="1">
        <f t="shared" si="30"/>
        <v>540</v>
      </c>
      <c r="X106" s="16">
        <v>14.4</v>
      </c>
    </row>
    <row r="107" spans="1:24" ht="18.75">
      <c r="A107" s="113">
        <v>99</v>
      </c>
      <c r="B107" s="28" t="s">
        <v>930</v>
      </c>
      <c r="C107" s="24" t="s">
        <v>767</v>
      </c>
      <c r="D107" s="28" t="s">
        <v>63</v>
      </c>
      <c r="E107" s="28" t="s">
        <v>1031</v>
      </c>
      <c r="F107" s="27">
        <f t="shared" si="21"/>
        <v>87210.8</v>
      </c>
      <c r="G107" s="114">
        <v>1199.67</v>
      </c>
      <c r="H107" s="29">
        <f t="shared" si="22"/>
        <v>126205.28400000001</v>
      </c>
      <c r="I107" s="77" t="str">
        <f t="shared" si="20"/>
        <v>105.20</v>
      </c>
      <c r="J107" s="16"/>
      <c r="K107" s="15">
        <f t="shared" si="23"/>
        <v>105.2</v>
      </c>
      <c r="L107" s="15">
        <f t="shared" si="24"/>
        <v>87210.8</v>
      </c>
      <c r="M107" s="15" t="str">
        <f t="shared" si="25"/>
        <v/>
      </c>
      <c r="N107" s="14" t="str">
        <f t="shared" si="26"/>
        <v/>
      </c>
      <c r="O107" s="112">
        <f t="shared" si="27"/>
        <v>-30.897663524135808</v>
      </c>
      <c r="P107" s="116"/>
      <c r="Q107" s="1">
        <v>592800</v>
      </c>
      <c r="S107" s="1">
        <v>700</v>
      </c>
      <c r="T107" s="1">
        <f t="shared" si="30"/>
        <v>73640</v>
      </c>
      <c r="X107" s="16"/>
    </row>
    <row r="108" spans="1:24" ht="33">
      <c r="A108" s="113">
        <v>100</v>
      </c>
      <c r="B108" s="28" t="s">
        <v>931</v>
      </c>
      <c r="C108" s="24" t="s">
        <v>768</v>
      </c>
      <c r="D108" s="28" t="s">
        <v>63</v>
      </c>
      <c r="E108" s="28" t="s">
        <v>1053</v>
      </c>
      <c r="F108" s="27">
        <f t="shared" si="21"/>
        <v>19872</v>
      </c>
      <c r="G108" s="114">
        <v>1048.55</v>
      </c>
      <c r="H108" s="29">
        <f t="shared" si="22"/>
        <v>28310.85</v>
      </c>
      <c r="I108" s="77" t="str">
        <f t="shared" si="20"/>
        <v>27.00</v>
      </c>
      <c r="J108" s="16"/>
      <c r="K108" s="15">
        <f t="shared" si="23"/>
        <v>27</v>
      </c>
      <c r="L108" s="15">
        <f t="shared" si="24"/>
        <v>19872</v>
      </c>
      <c r="M108" s="15" t="str">
        <f t="shared" si="25"/>
        <v/>
      </c>
      <c r="N108" s="14" t="str">
        <f t="shared" si="26"/>
        <v/>
      </c>
      <c r="O108" s="112">
        <f t="shared" si="27"/>
        <v>-29.807829860283245</v>
      </c>
      <c r="P108" s="116"/>
      <c r="S108" s="1">
        <v>30</v>
      </c>
      <c r="T108" s="1">
        <f t="shared" si="30"/>
        <v>810</v>
      </c>
      <c r="X108" s="16">
        <v>7.18</v>
      </c>
    </row>
    <row r="109" spans="1:24" ht="49.5">
      <c r="A109" s="113">
        <v>101</v>
      </c>
      <c r="B109" s="28" t="s">
        <v>932</v>
      </c>
      <c r="C109" s="24" t="s">
        <v>769</v>
      </c>
      <c r="D109" s="28" t="s">
        <v>967</v>
      </c>
      <c r="E109" s="28" t="s">
        <v>1054</v>
      </c>
      <c r="F109" s="27">
        <f t="shared" si="21"/>
        <v>130378</v>
      </c>
      <c r="G109" s="114">
        <v>1268.22</v>
      </c>
      <c r="H109" s="29">
        <f t="shared" si="22"/>
        <v>185160.12</v>
      </c>
      <c r="I109" s="77" t="str">
        <f t="shared" si="20"/>
        <v>146.00</v>
      </c>
      <c r="J109" s="16"/>
      <c r="K109" s="15">
        <f t="shared" si="23"/>
        <v>146</v>
      </c>
      <c r="L109" s="15">
        <f t="shared" si="24"/>
        <v>130378</v>
      </c>
      <c r="M109" s="15" t="str">
        <f t="shared" si="25"/>
        <v/>
      </c>
      <c r="N109" s="14" t="str">
        <f t="shared" si="26"/>
        <v/>
      </c>
      <c r="O109" s="112">
        <f t="shared" si="27"/>
        <v>-29.586349371560139</v>
      </c>
      <c r="P109" s="116"/>
      <c r="Q109" s="1">
        <f>I109/8</f>
        <v>18.25</v>
      </c>
      <c r="S109" s="1" t="str">
        <f t="shared" ref="S109:S119" si="31">E109</f>
        <v>893.00</v>
      </c>
      <c r="T109" s="1">
        <f t="shared" si="30"/>
        <v>130378</v>
      </c>
      <c r="X109" s="16">
        <v>6.48</v>
      </c>
    </row>
    <row r="110" spans="1:24" ht="33">
      <c r="A110" s="113">
        <v>102</v>
      </c>
      <c r="B110" s="28" t="s">
        <v>933</v>
      </c>
      <c r="C110" s="24" t="s">
        <v>770</v>
      </c>
      <c r="D110" s="28" t="s">
        <v>63</v>
      </c>
      <c r="E110" s="28" t="s">
        <v>961</v>
      </c>
      <c r="F110" s="27">
        <f t="shared" si="21"/>
        <v>61285</v>
      </c>
      <c r="G110" s="114">
        <v>52.84</v>
      </c>
      <c r="H110" s="29">
        <f t="shared" si="22"/>
        <v>92522.840000000011</v>
      </c>
      <c r="I110" s="77" t="str">
        <f t="shared" si="20"/>
        <v>1751.00</v>
      </c>
      <c r="J110" s="16"/>
      <c r="K110" s="15">
        <f t="shared" si="23"/>
        <v>1751</v>
      </c>
      <c r="L110" s="15">
        <f t="shared" si="24"/>
        <v>61285</v>
      </c>
      <c r="M110" s="15" t="str">
        <f t="shared" si="25"/>
        <v/>
      </c>
      <c r="N110" s="14" t="str">
        <f t="shared" si="26"/>
        <v/>
      </c>
      <c r="O110" s="112">
        <f t="shared" si="27"/>
        <v>-33.76230128690387</v>
      </c>
      <c r="P110" s="116"/>
      <c r="Q110" s="1">
        <v>20000</v>
      </c>
      <c r="S110" s="1" t="str">
        <f t="shared" si="31"/>
        <v>35.00</v>
      </c>
      <c r="T110" s="1">
        <f t="shared" si="30"/>
        <v>61285</v>
      </c>
      <c r="X110" s="16">
        <v>2.88</v>
      </c>
    </row>
    <row r="111" spans="1:24" ht="33">
      <c r="A111" s="113">
        <v>103</v>
      </c>
      <c r="B111" s="28" t="s">
        <v>933</v>
      </c>
      <c r="C111" s="24" t="s">
        <v>771</v>
      </c>
      <c r="D111" s="28" t="s">
        <v>63</v>
      </c>
      <c r="E111" s="28" t="s">
        <v>937</v>
      </c>
      <c r="F111" s="27">
        <f t="shared" si="21"/>
        <v>126072</v>
      </c>
      <c r="G111" s="114">
        <v>107.65</v>
      </c>
      <c r="H111" s="29">
        <f t="shared" si="22"/>
        <v>188495.15000000002</v>
      </c>
      <c r="I111" s="77" t="str">
        <f t="shared" si="20"/>
        <v>1751.00</v>
      </c>
      <c r="J111" s="16"/>
      <c r="K111" s="15">
        <f t="shared" si="23"/>
        <v>1751</v>
      </c>
      <c r="L111" s="15">
        <f t="shared" si="24"/>
        <v>126072</v>
      </c>
      <c r="M111" s="15" t="str">
        <f t="shared" si="25"/>
        <v/>
      </c>
      <c r="N111" s="14" t="str">
        <f t="shared" si="26"/>
        <v/>
      </c>
      <c r="O111" s="112">
        <f t="shared" si="27"/>
        <v>-33.116581514166285</v>
      </c>
      <c r="P111" s="116"/>
      <c r="Q111" s="1">
        <v>70000</v>
      </c>
      <c r="S111" s="1" t="str">
        <f t="shared" si="31"/>
        <v>72.00</v>
      </c>
      <c r="T111" s="1">
        <f t="shared" si="30"/>
        <v>126072</v>
      </c>
      <c r="X111" s="16"/>
    </row>
    <row r="112" spans="1:24" ht="49.5">
      <c r="A112" s="113">
        <v>104</v>
      </c>
      <c r="B112" s="28">
        <v>30.815999999999999</v>
      </c>
      <c r="C112" s="24" t="s">
        <v>772</v>
      </c>
      <c r="D112" s="28" t="s">
        <v>66</v>
      </c>
      <c r="E112" s="28" t="s">
        <v>1055</v>
      </c>
      <c r="F112" s="27">
        <f t="shared" si="21"/>
        <v>1583819.1359999999</v>
      </c>
      <c r="G112" s="114">
        <v>71117</v>
      </c>
      <c r="H112" s="29">
        <f t="shared" si="22"/>
        <v>2191541.4720000001</v>
      </c>
      <c r="I112" s="77">
        <f t="shared" si="20"/>
        <v>30.815999999999999</v>
      </c>
      <c r="J112" s="16"/>
      <c r="K112" s="15">
        <f t="shared" si="23"/>
        <v>30.815999999999999</v>
      </c>
      <c r="L112" s="15">
        <f t="shared" si="24"/>
        <v>1583819.1359999999</v>
      </c>
      <c r="M112" s="15" t="str">
        <f t="shared" si="25"/>
        <v/>
      </c>
      <c r="N112" s="14" t="str">
        <f t="shared" si="26"/>
        <v/>
      </c>
      <c r="O112" s="112">
        <f t="shared" si="27"/>
        <v>-27.730359829576614</v>
      </c>
      <c r="P112" s="116"/>
      <c r="S112" s="1" t="str">
        <f t="shared" si="31"/>
        <v>51396.00</v>
      </c>
      <c r="T112" s="1">
        <f t="shared" si="30"/>
        <v>1583819.1359999999</v>
      </c>
      <c r="X112" s="16"/>
    </row>
    <row r="113" spans="1:24" ht="66">
      <c r="A113" s="113">
        <v>105</v>
      </c>
      <c r="B113" s="28" t="s">
        <v>934</v>
      </c>
      <c r="C113" s="24" t="s">
        <v>773</v>
      </c>
      <c r="D113" s="28" t="s">
        <v>64</v>
      </c>
      <c r="E113" s="28" t="s">
        <v>1056</v>
      </c>
      <c r="F113" s="27">
        <f t="shared" si="21"/>
        <v>7980</v>
      </c>
      <c r="G113" s="114">
        <v>3020.44</v>
      </c>
      <c r="H113" s="29">
        <f t="shared" si="22"/>
        <v>21143.08</v>
      </c>
      <c r="I113" s="77" t="str">
        <f t="shared" si="20"/>
        <v>7.00</v>
      </c>
      <c r="J113" s="16"/>
      <c r="K113" s="15">
        <f t="shared" si="23"/>
        <v>7</v>
      </c>
      <c r="L113" s="15">
        <f t="shared" si="24"/>
        <v>7980</v>
      </c>
      <c r="M113" s="15" t="str">
        <f t="shared" si="25"/>
        <v/>
      </c>
      <c r="N113" s="14" t="str">
        <f t="shared" si="26"/>
        <v/>
      </c>
      <c r="O113" s="112">
        <f t="shared" si="27"/>
        <v>-62.257154586748953</v>
      </c>
      <c r="P113" s="116"/>
      <c r="Q113" s="1">
        <v>67800</v>
      </c>
      <c r="S113" s="1" t="str">
        <f t="shared" si="31"/>
        <v>1140.00</v>
      </c>
      <c r="T113" s="1">
        <f t="shared" si="30"/>
        <v>7980</v>
      </c>
      <c r="X113" s="16">
        <v>0</v>
      </c>
    </row>
    <row r="114" spans="1:24" ht="18.75">
      <c r="A114" s="113">
        <v>106</v>
      </c>
      <c r="B114" s="28" t="s">
        <v>935</v>
      </c>
      <c r="C114" s="24" t="s">
        <v>13</v>
      </c>
      <c r="D114" s="28" t="s">
        <v>65</v>
      </c>
      <c r="E114" s="28" t="s">
        <v>1057</v>
      </c>
      <c r="F114" s="27">
        <f t="shared" si="21"/>
        <v>5859</v>
      </c>
      <c r="G114" s="114">
        <v>418.52</v>
      </c>
      <c r="H114" s="29">
        <f t="shared" si="22"/>
        <v>8788.92</v>
      </c>
      <c r="I114" s="77" t="str">
        <f t="shared" si="20"/>
        <v>21.00</v>
      </c>
      <c r="J114" s="16"/>
      <c r="K114" s="15">
        <f t="shared" si="23"/>
        <v>21</v>
      </c>
      <c r="L114" s="15">
        <f t="shared" si="24"/>
        <v>5859</v>
      </c>
      <c r="M114" s="15" t="str">
        <f t="shared" si="25"/>
        <v/>
      </c>
      <c r="N114" s="14" t="str">
        <f t="shared" si="26"/>
        <v/>
      </c>
      <c r="O114" s="112">
        <f t="shared" si="27"/>
        <v>-33.33651916276402</v>
      </c>
      <c r="P114" s="116"/>
      <c r="Q114" s="1">
        <v>3828720</v>
      </c>
      <c r="S114" s="1" t="str">
        <f t="shared" si="31"/>
        <v>279.00</v>
      </c>
      <c r="T114" s="1">
        <f t="shared" si="30"/>
        <v>5859</v>
      </c>
      <c r="X114" s="16">
        <v>66</v>
      </c>
    </row>
    <row r="115" spans="1:24" ht="49.5">
      <c r="A115" s="113">
        <v>107</v>
      </c>
      <c r="B115" s="28" t="s">
        <v>934</v>
      </c>
      <c r="C115" s="24" t="s">
        <v>774</v>
      </c>
      <c r="D115" s="28" t="s">
        <v>64</v>
      </c>
      <c r="E115" s="28" t="s">
        <v>1058</v>
      </c>
      <c r="F115" s="27">
        <f t="shared" si="21"/>
        <v>5964</v>
      </c>
      <c r="G115" s="114" t="s">
        <v>972</v>
      </c>
      <c r="H115" s="29">
        <f t="shared" si="22"/>
        <v>7798</v>
      </c>
      <c r="I115" s="77" t="str">
        <f t="shared" si="20"/>
        <v>7.00</v>
      </c>
      <c r="J115" s="16"/>
      <c r="K115" s="15">
        <f t="shared" si="23"/>
        <v>7</v>
      </c>
      <c r="L115" s="15">
        <f t="shared" si="24"/>
        <v>5964</v>
      </c>
      <c r="M115" s="15" t="str">
        <f t="shared" si="25"/>
        <v/>
      </c>
      <c r="N115" s="14" t="str">
        <f t="shared" si="26"/>
        <v/>
      </c>
      <c r="O115" s="14">
        <f t="shared" si="27"/>
        <v>-23.518850987432675</v>
      </c>
      <c r="P115" s="116"/>
      <c r="Q115" s="1">
        <v>70738</v>
      </c>
      <c r="S115" s="1" t="str">
        <f t="shared" si="31"/>
        <v>852.00</v>
      </c>
      <c r="T115" s="1">
        <f t="shared" si="30"/>
        <v>5964</v>
      </c>
      <c r="X115" s="16">
        <v>0</v>
      </c>
    </row>
    <row r="116" spans="1:24" ht="33">
      <c r="A116" s="113">
        <v>108</v>
      </c>
      <c r="B116" s="28" t="s">
        <v>936</v>
      </c>
      <c r="C116" s="24" t="s">
        <v>775</v>
      </c>
      <c r="D116" s="28" t="s">
        <v>65</v>
      </c>
      <c r="E116" s="28" t="s">
        <v>1059</v>
      </c>
      <c r="F116" s="27">
        <f t="shared" si="21"/>
        <v>19038</v>
      </c>
      <c r="G116" s="114">
        <v>316.45999999999998</v>
      </c>
      <c r="H116" s="29">
        <f t="shared" si="22"/>
        <v>26424.41</v>
      </c>
      <c r="I116" s="77" t="str">
        <f t="shared" si="20"/>
        <v>83.50</v>
      </c>
      <c r="J116" s="16"/>
      <c r="K116" s="15">
        <f t="shared" si="23"/>
        <v>83.5</v>
      </c>
      <c r="L116" s="15">
        <f t="shared" si="24"/>
        <v>19038</v>
      </c>
      <c r="M116" s="15" t="str">
        <f t="shared" si="25"/>
        <v/>
      </c>
      <c r="N116" s="14" t="str">
        <f t="shared" si="26"/>
        <v/>
      </c>
      <c r="O116" s="112">
        <f t="shared" si="27"/>
        <v>-27.952979839474178</v>
      </c>
      <c r="P116" s="116"/>
      <c r="Q116" s="1">
        <v>70738</v>
      </c>
      <c r="S116" s="1" t="str">
        <f t="shared" si="31"/>
        <v>228.00</v>
      </c>
      <c r="T116" s="1">
        <f t="shared" si="30"/>
        <v>19038</v>
      </c>
      <c r="X116" s="16">
        <v>0</v>
      </c>
    </row>
    <row r="117" spans="1:24" ht="18.75">
      <c r="A117" s="113">
        <v>109</v>
      </c>
      <c r="B117" s="28" t="s">
        <v>875</v>
      </c>
      <c r="C117" s="24" t="s">
        <v>776</v>
      </c>
      <c r="D117" s="28" t="s">
        <v>63</v>
      </c>
      <c r="E117" s="28" t="s">
        <v>1060</v>
      </c>
      <c r="F117" s="27">
        <f t="shared" si="21"/>
        <v>2494.6999999999998</v>
      </c>
      <c r="G117" s="114">
        <v>347.44</v>
      </c>
      <c r="H117" s="29">
        <f t="shared" si="22"/>
        <v>3509.1439999999998</v>
      </c>
      <c r="I117" s="77" t="str">
        <f t="shared" si="20"/>
        <v>10.10</v>
      </c>
      <c r="J117" s="16"/>
      <c r="K117" s="15">
        <f t="shared" si="23"/>
        <v>10.1</v>
      </c>
      <c r="L117" s="15">
        <f t="shared" si="24"/>
        <v>2494.6999999999998</v>
      </c>
      <c r="M117" s="15" t="str">
        <f t="shared" si="25"/>
        <v/>
      </c>
      <c r="N117" s="14" t="str">
        <f t="shared" si="26"/>
        <v/>
      </c>
      <c r="O117" s="112">
        <f t="shared" si="27"/>
        <v>-28.908588533271935</v>
      </c>
      <c r="P117" s="116"/>
      <c r="Q117" s="1">
        <v>70738</v>
      </c>
      <c r="S117" s="1" t="str">
        <f t="shared" si="31"/>
        <v>247.00</v>
      </c>
      <c r="T117" s="1">
        <f t="shared" si="30"/>
        <v>2494.6999999999998</v>
      </c>
      <c r="X117" s="16">
        <v>0</v>
      </c>
    </row>
    <row r="118" spans="1:24" ht="33">
      <c r="A118" s="113">
        <v>110</v>
      </c>
      <c r="B118" s="28" t="s">
        <v>937</v>
      </c>
      <c r="C118" s="24" t="s">
        <v>777</v>
      </c>
      <c r="D118" s="28" t="s">
        <v>65</v>
      </c>
      <c r="E118" s="28" t="s">
        <v>1061</v>
      </c>
      <c r="F118" s="27">
        <f t="shared" si="21"/>
        <v>9936</v>
      </c>
      <c r="G118" s="114">
        <v>202.75</v>
      </c>
      <c r="H118" s="29">
        <f t="shared" si="22"/>
        <v>14598</v>
      </c>
      <c r="I118" s="77" t="str">
        <f t="shared" si="20"/>
        <v>72.00</v>
      </c>
      <c r="J118" s="16"/>
      <c r="K118" s="15">
        <f t="shared" si="23"/>
        <v>72</v>
      </c>
      <c r="L118" s="15">
        <f t="shared" si="24"/>
        <v>9936</v>
      </c>
      <c r="M118" s="15" t="str">
        <f t="shared" si="25"/>
        <v/>
      </c>
      <c r="N118" s="14" t="str">
        <f t="shared" si="26"/>
        <v/>
      </c>
      <c r="O118" s="112">
        <f t="shared" si="27"/>
        <v>-31.935881627620223</v>
      </c>
      <c r="P118" s="116"/>
      <c r="Q118" s="1">
        <v>1013840</v>
      </c>
      <c r="S118" s="1" t="str">
        <f t="shared" si="31"/>
        <v>138.00</v>
      </c>
      <c r="T118" s="1">
        <f t="shared" si="30"/>
        <v>9936</v>
      </c>
      <c r="X118" s="16">
        <v>0</v>
      </c>
    </row>
    <row r="119" spans="1:24" ht="49.5">
      <c r="A119" s="113">
        <v>111</v>
      </c>
      <c r="B119" s="28" t="s">
        <v>895</v>
      </c>
      <c r="C119" s="24" t="s">
        <v>778</v>
      </c>
      <c r="D119" s="28" t="s">
        <v>64</v>
      </c>
      <c r="E119" s="28" t="s">
        <v>946</v>
      </c>
      <c r="F119" s="27">
        <f t="shared" si="21"/>
        <v>130</v>
      </c>
      <c r="G119" s="114">
        <v>178.5</v>
      </c>
      <c r="H119" s="29">
        <f t="shared" si="22"/>
        <v>178.5</v>
      </c>
      <c r="I119" s="77" t="str">
        <f t="shared" si="20"/>
        <v>1.00</v>
      </c>
      <c r="J119" s="16"/>
      <c r="K119" s="15">
        <f t="shared" si="23"/>
        <v>1</v>
      </c>
      <c r="L119" s="15">
        <f t="shared" si="24"/>
        <v>130</v>
      </c>
      <c r="M119" s="15" t="str">
        <f t="shared" si="25"/>
        <v/>
      </c>
      <c r="N119" s="14" t="str">
        <f t="shared" si="26"/>
        <v/>
      </c>
      <c r="O119" s="112">
        <f t="shared" si="27"/>
        <v>-27.170868347338935</v>
      </c>
      <c r="P119" s="116"/>
      <c r="Q119" s="1">
        <v>6800</v>
      </c>
      <c r="S119" s="1" t="str">
        <f t="shared" si="31"/>
        <v>130.00</v>
      </c>
      <c r="T119" s="1">
        <f t="shared" si="30"/>
        <v>130</v>
      </c>
      <c r="X119" s="16">
        <v>1</v>
      </c>
    </row>
    <row r="120" spans="1:24" ht="33">
      <c r="A120" s="113">
        <v>112</v>
      </c>
      <c r="B120" s="28" t="s">
        <v>923</v>
      </c>
      <c r="C120" s="24" t="s">
        <v>779</v>
      </c>
      <c r="D120" s="28" t="s">
        <v>64</v>
      </c>
      <c r="E120" s="28" t="s">
        <v>1062</v>
      </c>
      <c r="F120" s="27">
        <f t="shared" si="21"/>
        <v>4152</v>
      </c>
      <c r="G120" s="114">
        <v>1828</v>
      </c>
      <c r="H120" s="29">
        <f t="shared" si="22"/>
        <v>5484</v>
      </c>
      <c r="I120" s="77" t="str">
        <f t="shared" si="20"/>
        <v>3.00</v>
      </c>
      <c r="J120" s="16"/>
      <c r="K120" s="15">
        <f t="shared" si="23"/>
        <v>3</v>
      </c>
      <c r="L120" s="15">
        <f t="shared" si="24"/>
        <v>4152</v>
      </c>
      <c r="M120" s="15" t="str">
        <f t="shared" si="25"/>
        <v/>
      </c>
      <c r="N120" s="14" t="str">
        <f t="shared" si="26"/>
        <v/>
      </c>
      <c r="O120" s="14">
        <f t="shared" si="27"/>
        <v>-24.288840262582056</v>
      </c>
      <c r="P120" s="116"/>
      <c r="X120" s="16"/>
    </row>
    <row r="121" spans="1:24" ht="18.75">
      <c r="A121" s="113">
        <v>113</v>
      </c>
      <c r="B121" s="28" t="s">
        <v>934</v>
      </c>
      <c r="C121" s="24" t="s">
        <v>780</v>
      </c>
      <c r="D121" s="28" t="s">
        <v>64</v>
      </c>
      <c r="E121" s="28" t="s">
        <v>1063</v>
      </c>
      <c r="F121" s="27">
        <f t="shared" si="21"/>
        <v>15246</v>
      </c>
      <c r="G121" s="114">
        <v>3399.82</v>
      </c>
      <c r="H121" s="29">
        <f t="shared" si="22"/>
        <v>23798.74</v>
      </c>
      <c r="I121" s="77" t="str">
        <f t="shared" si="20"/>
        <v>7.00</v>
      </c>
      <c r="J121" s="16"/>
      <c r="K121" s="15">
        <f t="shared" si="23"/>
        <v>7</v>
      </c>
      <c r="L121" s="15">
        <f t="shared" si="24"/>
        <v>15246</v>
      </c>
      <c r="M121" s="15" t="str">
        <f t="shared" si="25"/>
        <v/>
      </c>
      <c r="N121" s="14" t="str">
        <f t="shared" si="26"/>
        <v/>
      </c>
      <c r="O121" s="112">
        <f t="shared" si="27"/>
        <v>-35.937784941555734</v>
      </c>
      <c r="P121" s="116"/>
      <c r="Q121" s="1">
        <v>1064250</v>
      </c>
      <c r="S121" s="1">
        <v>200</v>
      </c>
      <c r="T121" s="1">
        <f t="shared" ref="T121:T128" si="32">S121*I121</f>
        <v>1400</v>
      </c>
      <c r="X121" s="16">
        <v>0</v>
      </c>
    </row>
    <row r="122" spans="1:24" ht="33">
      <c r="A122" s="113">
        <v>114</v>
      </c>
      <c r="B122" s="28" t="s">
        <v>924</v>
      </c>
      <c r="C122" s="24" t="s">
        <v>781</v>
      </c>
      <c r="D122" s="28" t="s">
        <v>64</v>
      </c>
      <c r="E122" s="28" t="s">
        <v>1064</v>
      </c>
      <c r="F122" s="27">
        <f t="shared" si="21"/>
        <v>5780</v>
      </c>
      <c r="G122" s="114">
        <v>464</v>
      </c>
      <c r="H122" s="29">
        <f t="shared" si="22"/>
        <v>7888</v>
      </c>
      <c r="I122" s="77" t="str">
        <f t="shared" si="20"/>
        <v>17.00</v>
      </c>
      <c r="J122" s="16"/>
      <c r="K122" s="15">
        <f t="shared" si="23"/>
        <v>17</v>
      </c>
      <c r="L122" s="15">
        <f t="shared" si="24"/>
        <v>5780</v>
      </c>
      <c r="M122" s="15" t="str">
        <f t="shared" si="25"/>
        <v/>
      </c>
      <c r="N122" s="14" t="str">
        <f t="shared" si="26"/>
        <v/>
      </c>
      <c r="O122" s="112">
        <f t="shared" si="27"/>
        <v>-26.72413793103448</v>
      </c>
      <c r="P122" s="116"/>
      <c r="Q122" s="1">
        <v>1026375</v>
      </c>
      <c r="S122" s="1" t="str">
        <f>E122</f>
        <v>340.00</v>
      </c>
      <c r="T122" s="1">
        <f t="shared" si="32"/>
        <v>5780</v>
      </c>
      <c r="X122" s="16">
        <v>0</v>
      </c>
    </row>
    <row r="123" spans="1:24" ht="33">
      <c r="A123" s="113">
        <v>115</v>
      </c>
      <c r="B123" s="28" t="s">
        <v>873</v>
      </c>
      <c r="C123" s="24" t="s">
        <v>782</v>
      </c>
      <c r="D123" s="28" t="s">
        <v>64</v>
      </c>
      <c r="E123" s="28" t="s">
        <v>1065</v>
      </c>
      <c r="F123" s="27">
        <f t="shared" si="21"/>
        <v>5472</v>
      </c>
      <c r="G123" s="114">
        <v>416</v>
      </c>
      <c r="H123" s="29">
        <f t="shared" si="22"/>
        <v>7488</v>
      </c>
      <c r="I123" s="77" t="str">
        <f t="shared" si="20"/>
        <v>18.00</v>
      </c>
      <c r="J123" s="16"/>
      <c r="K123" s="15">
        <f t="shared" si="23"/>
        <v>18</v>
      </c>
      <c r="L123" s="15">
        <f t="shared" si="24"/>
        <v>5472</v>
      </c>
      <c r="M123" s="15" t="str">
        <f t="shared" si="25"/>
        <v/>
      </c>
      <c r="N123" s="14" t="str">
        <f t="shared" si="26"/>
        <v/>
      </c>
      <c r="O123" s="112">
        <f t="shared" si="27"/>
        <v>-26.923076923076923</v>
      </c>
      <c r="P123" s="116"/>
      <c r="S123" s="1">
        <v>100</v>
      </c>
      <c r="T123" s="1">
        <f t="shared" si="32"/>
        <v>1800</v>
      </c>
      <c r="X123" s="16"/>
    </row>
    <row r="124" spans="1:24" ht="49.5">
      <c r="A124" s="113">
        <v>116</v>
      </c>
      <c r="B124" s="28" t="s">
        <v>895</v>
      </c>
      <c r="C124" s="24" t="s">
        <v>783</v>
      </c>
      <c r="D124" s="28" t="s">
        <v>64</v>
      </c>
      <c r="E124" s="28" t="s">
        <v>1066</v>
      </c>
      <c r="F124" s="27">
        <f t="shared" si="21"/>
        <v>2067</v>
      </c>
      <c r="G124" s="114">
        <v>2965.56</v>
      </c>
      <c r="H124" s="29">
        <f t="shared" si="22"/>
        <v>2965.56</v>
      </c>
      <c r="I124" s="77" t="str">
        <f t="shared" si="20"/>
        <v>1.00</v>
      </c>
      <c r="J124" s="16"/>
      <c r="K124" s="15">
        <f t="shared" si="23"/>
        <v>1</v>
      </c>
      <c r="L124" s="15">
        <f t="shared" si="24"/>
        <v>2067</v>
      </c>
      <c r="M124" s="15" t="str">
        <f t="shared" si="25"/>
        <v/>
      </c>
      <c r="N124" s="14" t="str">
        <f t="shared" si="26"/>
        <v/>
      </c>
      <c r="O124" s="112">
        <f t="shared" si="27"/>
        <v>-30.299842188321936</v>
      </c>
      <c r="P124" s="116"/>
      <c r="Q124" s="1">
        <v>1026375</v>
      </c>
      <c r="S124" s="1">
        <v>80</v>
      </c>
      <c r="T124" s="1">
        <f t="shared" si="32"/>
        <v>80</v>
      </c>
      <c r="X124" s="16">
        <v>0</v>
      </c>
    </row>
    <row r="125" spans="1:24" ht="49.5">
      <c r="A125" s="113">
        <v>117</v>
      </c>
      <c r="B125" s="28" t="s">
        <v>895</v>
      </c>
      <c r="C125" s="24" t="s">
        <v>784</v>
      </c>
      <c r="D125" s="28" t="s">
        <v>64</v>
      </c>
      <c r="E125" s="28" t="s">
        <v>1067</v>
      </c>
      <c r="F125" s="27">
        <f t="shared" si="21"/>
        <v>3238</v>
      </c>
      <c r="G125" s="114">
        <v>4630.97</v>
      </c>
      <c r="H125" s="29">
        <f t="shared" si="22"/>
        <v>4630.97</v>
      </c>
      <c r="I125" s="77" t="str">
        <f t="shared" si="20"/>
        <v>1.00</v>
      </c>
      <c r="J125" s="16"/>
      <c r="K125" s="15">
        <f t="shared" si="23"/>
        <v>1</v>
      </c>
      <c r="L125" s="15">
        <f t="shared" si="24"/>
        <v>3238</v>
      </c>
      <c r="M125" s="15" t="str">
        <f t="shared" si="25"/>
        <v/>
      </c>
      <c r="N125" s="14" t="str">
        <f t="shared" si="26"/>
        <v/>
      </c>
      <c r="O125" s="112">
        <f t="shared" si="27"/>
        <v>-30.079443399546967</v>
      </c>
      <c r="P125" s="116"/>
      <c r="Q125" s="1">
        <v>1036150</v>
      </c>
      <c r="S125" s="1" t="str">
        <f>E125</f>
        <v>3238.00</v>
      </c>
      <c r="T125" s="1">
        <f t="shared" si="32"/>
        <v>3238</v>
      </c>
      <c r="X125" s="16">
        <v>0</v>
      </c>
    </row>
    <row r="126" spans="1:24" ht="33">
      <c r="A126" s="113">
        <v>118</v>
      </c>
      <c r="B126" s="28" t="s">
        <v>934</v>
      </c>
      <c r="C126" s="24" t="s">
        <v>785</v>
      </c>
      <c r="D126" s="28" t="s">
        <v>64</v>
      </c>
      <c r="E126" s="28" t="s">
        <v>1068</v>
      </c>
      <c r="F126" s="27">
        <f t="shared" si="21"/>
        <v>31486</v>
      </c>
      <c r="G126" s="114">
        <v>6410.25</v>
      </c>
      <c r="H126" s="29">
        <f t="shared" si="22"/>
        <v>44871.75</v>
      </c>
      <c r="I126" s="77" t="str">
        <f t="shared" si="20"/>
        <v>7.00</v>
      </c>
      <c r="J126" s="16"/>
      <c r="K126" s="15">
        <f t="shared" si="23"/>
        <v>7</v>
      </c>
      <c r="L126" s="15">
        <f t="shared" si="24"/>
        <v>31486</v>
      </c>
      <c r="M126" s="15" t="str">
        <f t="shared" si="25"/>
        <v/>
      </c>
      <c r="N126" s="14" t="str">
        <f t="shared" si="26"/>
        <v/>
      </c>
      <c r="O126" s="112">
        <f t="shared" si="27"/>
        <v>-29.831129831129832</v>
      </c>
      <c r="P126" s="116"/>
      <c r="Q126" s="1">
        <v>1045925</v>
      </c>
      <c r="S126" s="1" t="str">
        <f>E126</f>
        <v>4498.00</v>
      </c>
      <c r="T126" s="1">
        <f t="shared" si="32"/>
        <v>31486</v>
      </c>
      <c r="X126" s="16"/>
    </row>
    <row r="127" spans="1:24" ht="49.5">
      <c r="A127" s="113">
        <v>119</v>
      </c>
      <c r="B127" s="28" t="s">
        <v>938</v>
      </c>
      <c r="C127" s="24" t="s">
        <v>786</v>
      </c>
      <c r="D127" s="28" t="s">
        <v>65</v>
      </c>
      <c r="E127" s="28" t="s">
        <v>1069</v>
      </c>
      <c r="F127" s="27">
        <f t="shared" si="21"/>
        <v>36982</v>
      </c>
      <c r="G127" s="114">
        <v>641.9</v>
      </c>
      <c r="H127" s="29">
        <f t="shared" si="22"/>
        <v>52635.799999999996</v>
      </c>
      <c r="I127" s="77" t="str">
        <f t="shared" si="20"/>
        <v>82.00</v>
      </c>
      <c r="J127" s="16"/>
      <c r="K127" s="15">
        <f t="shared" si="23"/>
        <v>82</v>
      </c>
      <c r="L127" s="15">
        <f t="shared" si="24"/>
        <v>36982</v>
      </c>
      <c r="M127" s="15" t="str">
        <f t="shared" si="25"/>
        <v/>
      </c>
      <c r="N127" s="14" t="str">
        <f t="shared" si="26"/>
        <v/>
      </c>
      <c r="O127" s="112">
        <f t="shared" si="27"/>
        <v>-29.739834865243804</v>
      </c>
      <c r="P127" s="116"/>
      <c r="Q127" s="1">
        <v>1045925</v>
      </c>
      <c r="S127" s="1" t="str">
        <f>E127</f>
        <v>451.00</v>
      </c>
      <c r="T127" s="1">
        <f t="shared" si="32"/>
        <v>36982</v>
      </c>
      <c r="X127" s="16"/>
    </row>
    <row r="128" spans="1:24" ht="18.75">
      <c r="A128" s="113">
        <v>120</v>
      </c>
      <c r="B128" s="28" t="s">
        <v>939</v>
      </c>
      <c r="C128" s="24" t="s">
        <v>51</v>
      </c>
      <c r="D128" s="28" t="s">
        <v>65</v>
      </c>
      <c r="E128" s="28" t="s">
        <v>1070</v>
      </c>
      <c r="F128" s="27">
        <f t="shared" si="21"/>
        <v>39093.599999999999</v>
      </c>
      <c r="G128" s="114">
        <v>529.1</v>
      </c>
      <c r="H128" s="29">
        <f t="shared" si="22"/>
        <v>56825.340000000004</v>
      </c>
      <c r="I128" s="77" t="str">
        <f t="shared" si="20"/>
        <v>107.40</v>
      </c>
      <c r="J128" s="16"/>
      <c r="K128" s="15">
        <f t="shared" si="23"/>
        <v>107.4</v>
      </c>
      <c r="L128" s="15">
        <f t="shared" si="24"/>
        <v>39093.599999999999</v>
      </c>
      <c r="M128" s="15" t="str">
        <f t="shared" si="25"/>
        <v/>
      </c>
      <c r="N128" s="14" t="str">
        <f t="shared" si="26"/>
        <v/>
      </c>
      <c r="O128" s="112">
        <f t="shared" si="27"/>
        <v>-31.203931203931205</v>
      </c>
      <c r="P128" s="116"/>
      <c r="Q128" s="1">
        <v>1055700</v>
      </c>
      <c r="S128" s="1">
        <v>1700</v>
      </c>
      <c r="T128" s="1">
        <f t="shared" si="32"/>
        <v>182580</v>
      </c>
      <c r="X128" s="16">
        <v>285.86</v>
      </c>
    </row>
    <row r="129" spans="1:24" ht="49.5">
      <c r="A129" s="113">
        <v>121</v>
      </c>
      <c r="B129" s="28" t="s">
        <v>902</v>
      </c>
      <c r="C129" s="24" t="s">
        <v>787</v>
      </c>
      <c r="D129" s="28" t="s">
        <v>65</v>
      </c>
      <c r="E129" s="28" t="s">
        <v>959</v>
      </c>
      <c r="F129" s="27">
        <f t="shared" si="21"/>
        <v>1860</v>
      </c>
      <c r="G129" s="114">
        <v>81.2</v>
      </c>
      <c r="H129" s="29">
        <f t="shared" si="22"/>
        <v>2436</v>
      </c>
      <c r="I129" s="77" t="str">
        <f t="shared" si="20"/>
        <v>30.00</v>
      </c>
      <c r="J129" s="16"/>
      <c r="K129" s="15">
        <f t="shared" si="23"/>
        <v>30</v>
      </c>
      <c r="L129" s="15">
        <f t="shared" si="24"/>
        <v>1860</v>
      </c>
      <c r="M129" s="15" t="str">
        <f t="shared" si="25"/>
        <v/>
      </c>
      <c r="N129" s="14" t="str">
        <f t="shared" si="26"/>
        <v/>
      </c>
      <c r="O129" s="14">
        <f t="shared" si="27"/>
        <v>-23.645320197044338</v>
      </c>
      <c r="P129" s="116"/>
      <c r="Q129" s="1">
        <v>1065475</v>
      </c>
      <c r="S129" s="1" t="str">
        <f>E129</f>
        <v>62.00</v>
      </c>
      <c r="T129" s="1">
        <f t="shared" ref="T129:T147" si="33">S129*I129</f>
        <v>1860</v>
      </c>
      <c r="X129" s="16">
        <v>1497.41</v>
      </c>
    </row>
    <row r="130" spans="1:24" ht="33">
      <c r="A130" s="113">
        <v>122</v>
      </c>
      <c r="B130" s="28" t="s">
        <v>895</v>
      </c>
      <c r="C130" s="24" t="s">
        <v>788</v>
      </c>
      <c r="D130" s="28" t="s">
        <v>64</v>
      </c>
      <c r="E130" s="28" t="s">
        <v>1071</v>
      </c>
      <c r="F130" s="27">
        <f t="shared" si="21"/>
        <v>338</v>
      </c>
      <c r="G130" s="114">
        <v>441.7</v>
      </c>
      <c r="H130" s="29">
        <f t="shared" si="22"/>
        <v>441.7</v>
      </c>
      <c r="I130" s="77" t="str">
        <f t="shared" si="20"/>
        <v>1.00</v>
      </c>
      <c r="J130" s="16"/>
      <c r="K130" s="15">
        <f t="shared" si="23"/>
        <v>1</v>
      </c>
      <c r="L130" s="15">
        <f t="shared" si="24"/>
        <v>338</v>
      </c>
      <c r="M130" s="15" t="str">
        <f t="shared" si="25"/>
        <v/>
      </c>
      <c r="N130" s="14" t="str">
        <f t="shared" si="26"/>
        <v/>
      </c>
      <c r="O130" s="14">
        <f t="shared" si="27"/>
        <v>-23.477473398234096</v>
      </c>
      <c r="P130" s="116"/>
      <c r="Q130" s="1">
        <v>1075250</v>
      </c>
      <c r="S130" s="1" t="str">
        <f>E130</f>
        <v>338.00</v>
      </c>
      <c r="T130" s="1">
        <f t="shared" si="33"/>
        <v>338</v>
      </c>
      <c r="X130" s="16">
        <v>382.05</v>
      </c>
    </row>
    <row r="131" spans="1:24" ht="49.5">
      <c r="A131" s="113">
        <v>123</v>
      </c>
      <c r="B131" s="28" t="s">
        <v>940</v>
      </c>
      <c r="C131" s="24" t="s">
        <v>789</v>
      </c>
      <c r="D131" s="28" t="s">
        <v>65</v>
      </c>
      <c r="E131" s="28" t="s">
        <v>1072</v>
      </c>
      <c r="F131" s="27">
        <f t="shared" si="21"/>
        <v>11340</v>
      </c>
      <c r="G131" s="114">
        <v>359.93</v>
      </c>
      <c r="H131" s="29">
        <f t="shared" si="22"/>
        <v>16196.85</v>
      </c>
      <c r="I131" s="77" t="str">
        <f t="shared" si="20"/>
        <v>45.00</v>
      </c>
      <c r="J131" s="16"/>
      <c r="K131" s="15">
        <f t="shared" si="23"/>
        <v>45</v>
      </c>
      <c r="L131" s="15">
        <f t="shared" si="24"/>
        <v>11340</v>
      </c>
      <c r="M131" s="15" t="str">
        <f t="shared" si="25"/>
        <v/>
      </c>
      <c r="N131" s="14" t="str">
        <f t="shared" si="26"/>
        <v/>
      </c>
      <c r="O131" s="112">
        <f t="shared" si="27"/>
        <v>-29.986386241769235</v>
      </c>
      <c r="P131" s="116"/>
      <c r="Q131" s="1">
        <v>1085025</v>
      </c>
      <c r="S131" s="1">
        <v>2200</v>
      </c>
      <c r="T131" s="1">
        <f t="shared" si="33"/>
        <v>99000</v>
      </c>
      <c r="X131" s="16">
        <v>0</v>
      </c>
    </row>
    <row r="132" spans="1:24" ht="18.75">
      <c r="A132" s="113">
        <v>124</v>
      </c>
      <c r="B132" s="28" t="s">
        <v>873</v>
      </c>
      <c r="C132" s="24" t="s">
        <v>52</v>
      </c>
      <c r="D132" s="28" t="s">
        <v>65</v>
      </c>
      <c r="E132" s="28" t="s">
        <v>1073</v>
      </c>
      <c r="F132" s="27">
        <f t="shared" si="21"/>
        <v>7506</v>
      </c>
      <c r="G132" s="114">
        <v>587.20000000000005</v>
      </c>
      <c r="H132" s="29">
        <f t="shared" si="22"/>
        <v>10569.6</v>
      </c>
      <c r="I132" s="77" t="str">
        <f t="shared" si="20"/>
        <v>18.00</v>
      </c>
      <c r="J132" s="16"/>
      <c r="K132" s="15">
        <f t="shared" si="23"/>
        <v>18</v>
      </c>
      <c r="L132" s="15">
        <f t="shared" si="24"/>
        <v>7506</v>
      </c>
      <c r="M132" s="15" t="str">
        <f t="shared" si="25"/>
        <v/>
      </c>
      <c r="N132" s="14" t="str">
        <f t="shared" si="26"/>
        <v/>
      </c>
      <c r="O132" s="112">
        <f t="shared" si="27"/>
        <v>-28.985013623978205</v>
      </c>
      <c r="P132" s="116"/>
      <c r="Q132" s="1">
        <v>1094800</v>
      </c>
      <c r="S132" s="1">
        <v>2900</v>
      </c>
      <c r="T132" s="1">
        <f t="shared" si="33"/>
        <v>52200</v>
      </c>
      <c r="X132" s="16">
        <v>18.899999999999999</v>
      </c>
    </row>
    <row r="133" spans="1:24" ht="33">
      <c r="A133" s="113">
        <v>125</v>
      </c>
      <c r="B133" s="28" t="s">
        <v>941</v>
      </c>
      <c r="C133" s="24" t="s">
        <v>790</v>
      </c>
      <c r="D133" s="28" t="s">
        <v>64</v>
      </c>
      <c r="E133" s="28" t="s">
        <v>1074</v>
      </c>
      <c r="F133" s="27">
        <f t="shared" si="21"/>
        <v>238</v>
      </c>
      <c r="G133" s="114">
        <v>160</v>
      </c>
      <c r="H133" s="29">
        <f t="shared" si="22"/>
        <v>320</v>
      </c>
      <c r="I133" s="77" t="str">
        <f t="shared" si="20"/>
        <v>2.00</v>
      </c>
      <c r="J133" s="16"/>
      <c r="K133" s="15">
        <f t="shared" si="23"/>
        <v>2</v>
      </c>
      <c r="L133" s="15">
        <f t="shared" si="24"/>
        <v>238</v>
      </c>
      <c r="M133" s="15" t="str">
        <f t="shared" si="25"/>
        <v/>
      </c>
      <c r="N133" s="14" t="str">
        <f t="shared" si="26"/>
        <v/>
      </c>
      <c r="O133" s="112">
        <f t="shared" si="27"/>
        <v>-25.624999999999996</v>
      </c>
      <c r="P133" s="116"/>
      <c r="Q133" s="1">
        <v>1104575</v>
      </c>
      <c r="S133" s="1">
        <v>3900</v>
      </c>
      <c r="T133" s="1">
        <f t="shared" si="33"/>
        <v>7800</v>
      </c>
      <c r="X133" s="16"/>
    </row>
    <row r="134" spans="1:24" ht="18.75">
      <c r="A134" s="113">
        <v>126</v>
      </c>
      <c r="B134" s="28" t="s">
        <v>941</v>
      </c>
      <c r="C134" s="24" t="s">
        <v>791</v>
      </c>
      <c r="D134" s="28" t="s">
        <v>64</v>
      </c>
      <c r="E134" s="28" t="s">
        <v>1075</v>
      </c>
      <c r="F134" s="27">
        <f t="shared" si="21"/>
        <v>760</v>
      </c>
      <c r="G134" s="114">
        <v>510</v>
      </c>
      <c r="H134" s="29">
        <f t="shared" si="22"/>
        <v>1020</v>
      </c>
      <c r="I134" s="77" t="str">
        <f t="shared" si="20"/>
        <v>2.00</v>
      </c>
      <c r="J134" s="16"/>
      <c r="K134" s="15">
        <f t="shared" si="23"/>
        <v>2</v>
      </c>
      <c r="L134" s="15">
        <f t="shared" si="24"/>
        <v>760</v>
      </c>
      <c r="M134" s="15" t="str">
        <f t="shared" si="25"/>
        <v/>
      </c>
      <c r="N134" s="14" t="str">
        <f t="shared" si="26"/>
        <v/>
      </c>
      <c r="O134" s="112">
        <f t="shared" si="27"/>
        <v>-25.490196078431371</v>
      </c>
      <c r="P134" s="116"/>
      <c r="S134" s="1" t="str">
        <f>E134</f>
        <v>380.00</v>
      </c>
      <c r="T134" s="1">
        <f t="shared" si="33"/>
        <v>760</v>
      </c>
      <c r="X134" s="16"/>
    </row>
    <row r="135" spans="1:24" ht="33">
      <c r="A135" s="113">
        <v>127</v>
      </c>
      <c r="B135" s="28" t="s">
        <v>941</v>
      </c>
      <c r="C135" s="24" t="s">
        <v>792</v>
      </c>
      <c r="D135" s="28" t="s">
        <v>64</v>
      </c>
      <c r="E135" s="28" t="s">
        <v>1076</v>
      </c>
      <c r="F135" s="27">
        <f t="shared" si="21"/>
        <v>284</v>
      </c>
      <c r="G135" s="114">
        <v>237</v>
      </c>
      <c r="H135" s="29">
        <f t="shared" si="22"/>
        <v>474</v>
      </c>
      <c r="I135" s="77" t="str">
        <f t="shared" si="20"/>
        <v>2.00</v>
      </c>
      <c r="J135" s="16"/>
      <c r="K135" s="15">
        <f t="shared" si="23"/>
        <v>2</v>
      </c>
      <c r="L135" s="15">
        <f t="shared" si="24"/>
        <v>284</v>
      </c>
      <c r="M135" s="15" t="str">
        <f t="shared" si="25"/>
        <v/>
      </c>
      <c r="N135" s="14" t="str">
        <f t="shared" si="26"/>
        <v/>
      </c>
      <c r="O135" s="112">
        <f t="shared" si="27"/>
        <v>-40.084388185654007</v>
      </c>
      <c r="P135" s="116"/>
      <c r="Q135" s="1">
        <v>1114350</v>
      </c>
      <c r="S135" s="1">
        <v>350</v>
      </c>
      <c r="T135" s="1">
        <f t="shared" si="33"/>
        <v>700</v>
      </c>
      <c r="X135" s="16">
        <v>21</v>
      </c>
    </row>
    <row r="136" spans="1:24" ht="18.75">
      <c r="A136" s="113">
        <v>128</v>
      </c>
      <c r="B136" s="28" t="s">
        <v>941</v>
      </c>
      <c r="C136" s="24" t="s">
        <v>793</v>
      </c>
      <c r="D136" s="28" t="s">
        <v>64</v>
      </c>
      <c r="E136" s="28" t="s">
        <v>1077</v>
      </c>
      <c r="F136" s="27">
        <f t="shared" si="21"/>
        <v>502</v>
      </c>
      <c r="G136" s="114">
        <v>464</v>
      </c>
      <c r="H136" s="29">
        <f t="shared" si="22"/>
        <v>928</v>
      </c>
      <c r="I136" s="77" t="str">
        <f t="shared" si="20"/>
        <v>2.00</v>
      </c>
      <c r="J136" s="16"/>
      <c r="K136" s="15">
        <f t="shared" si="23"/>
        <v>2</v>
      </c>
      <c r="L136" s="15">
        <f t="shared" si="24"/>
        <v>502</v>
      </c>
      <c r="M136" s="15" t="str">
        <f t="shared" si="25"/>
        <v/>
      </c>
      <c r="N136" s="14" t="str">
        <f t="shared" si="26"/>
        <v/>
      </c>
      <c r="O136" s="112">
        <f t="shared" si="27"/>
        <v>-45.905172413793103</v>
      </c>
      <c r="P136" s="116"/>
      <c r="Q136" s="1">
        <v>1124125</v>
      </c>
      <c r="S136" s="1">
        <v>250</v>
      </c>
      <c r="T136" s="1">
        <f t="shared" si="33"/>
        <v>500</v>
      </c>
      <c r="X136" s="16">
        <v>63</v>
      </c>
    </row>
    <row r="137" spans="1:24" ht="66">
      <c r="A137" s="113">
        <v>129</v>
      </c>
      <c r="B137" s="28" t="s">
        <v>942</v>
      </c>
      <c r="C137" s="24" t="s">
        <v>794</v>
      </c>
      <c r="D137" s="28" t="s">
        <v>64</v>
      </c>
      <c r="E137" s="28" t="s">
        <v>1078</v>
      </c>
      <c r="F137" s="27">
        <f t="shared" si="21"/>
        <v>69000</v>
      </c>
      <c r="G137" s="114">
        <v>1340</v>
      </c>
      <c r="H137" s="29">
        <f t="shared" si="22"/>
        <v>100500</v>
      </c>
      <c r="I137" s="77" t="str">
        <f t="shared" si="20"/>
        <v>75.00</v>
      </c>
      <c r="J137" s="16"/>
      <c r="K137" s="15">
        <f t="shared" si="23"/>
        <v>75</v>
      </c>
      <c r="L137" s="15">
        <f t="shared" si="24"/>
        <v>69000</v>
      </c>
      <c r="M137" s="15" t="str">
        <f t="shared" si="25"/>
        <v/>
      </c>
      <c r="N137" s="14" t="str">
        <f t="shared" si="26"/>
        <v/>
      </c>
      <c r="O137" s="112">
        <f t="shared" si="27"/>
        <v>-31.343283582089555</v>
      </c>
      <c r="P137" s="116"/>
      <c r="S137" s="1" t="str">
        <f>E137</f>
        <v>920.00</v>
      </c>
      <c r="T137" s="1">
        <f t="shared" si="33"/>
        <v>69000</v>
      </c>
      <c r="X137" s="16"/>
    </row>
    <row r="138" spans="1:24" ht="18.75">
      <c r="A138" s="113">
        <v>130</v>
      </c>
      <c r="B138" s="28" t="s">
        <v>860</v>
      </c>
      <c r="C138" s="24" t="s">
        <v>53</v>
      </c>
      <c r="D138" s="28" t="s">
        <v>64</v>
      </c>
      <c r="E138" s="28" t="s">
        <v>1079</v>
      </c>
      <c r="F138" s="27">
        <f t="shared" si="21"/>
        <v>36920</v>
      </c>
      <c r="G138" s="114">
        <v>1344</v>
      </c>
      <c r="H138" s="29">
        <f t="shared" si="22"/>
        <v>53760</v>
      </c>
      <c r="I138" s="77" t="str">
        <f t="shared" ref="I138:I196" si="34">B138</f>
        <v>40.00</v>
      </c>
      <c r="J138" s="16"/>
      <c r="K138" s="15">
        <f t="shared" si="23"/>
        <v>40</v>
      </c>
      <c r="L138" s="15">
        <f t="shared" si="24"/>
        <v>36920</v>
      </c>
      <c r="M138" s="15" t="str">
        <f t="shared" si="25"/>
        <v/>
      </c>
      <c r="N138" s="14" t="str">
        <f t="shared" si="26"/>
        <v/>
      </c>
      <c r="O138" s="112">
        <f t="shared" si="27"/>
        <v>-31.324404761904763</v>
      </c>
      <c r="P138" s="116"/>
      <c r="S138" s="1" t="str">
        <f>E138</f>
        <v>923.00</v>
      </c>
      <c r="T138" s="1">
        <f t="shared" si="33"/>
        <v>36920</v>
      </c>
      <c r="X138" s="16"/>
    </row>
    <row r="139" spans="1:24" ht="18.75">
      <c r="A139" s="113">
        <v>131</v>
      </c>
      <c r="B139" s="28" t="s">
        <v>943</v>
      </c>
      <c r="C139" s="24" t="s">
        <v>795</v>
      </c>
      <c r="D139" s="28" t="s">
        <v>64</v>
      </c>
      <c r="E139" s="28" t="s">
        <v>1080</v>
      </c>
      <c r="F139" s="27">
        <f t="shared" ref="F139:F196" si="35">B139*E139</f>
        <v>3776</v>
      </c>
      <c r="G139" s="114">
        <v>1372</v>
      </c>
      <c r="H139" s="29">
        <f t="shared" ref="H139:H195" si="36">G139*B139</f>
        <v>5488</v>
      </c>
      <c r="I139" s="77" t="str">
        <f t="shared" si="34"/>
        <v>4.00</v>
      </c>
      <c r="J139" s="16"/>
      <c r="K139" s="15">
        <f t="shared" ref="K139:K196" si="37">I139+J139</f>
        <v>4</v>
      </c>
      <c r="L139" s="15">
        <f t="shared" ref="L139:L196" si="38">K139*E139</f>
        <v>3776</v>
      </c>
      <c r="M139" s="15" t="str">
        <f t="shared" ref="M139:M196" si="39">IF(L139&gt;F139,(L139-F139),"")</f>
        <v/>
      </c>
      <c r="N139" s="14" t="str">
        <f t="shared" ref="N139:N196" si="40">IF(F139&gt;L139,(F139-L139),"")</f>
        <v/>
      </c>
      <c r="O139" s="112">
        <f t="shared" ref="O139:O196" si="41">((E139-G139)/G139)*100</f>
        <v>-31.195335276967928</v>
      </c>
      <c r="P139" s="116"/>
      <c r="Q139" s="1">
        <v>1133900</v>
      </c>
      <c r="S139" s="1">
        <v>250</v>
      </c>
      <c r="T139" s="1">
        <f t="shared" si="33"/>
        <v>1000</v>
      </c>
      <c r="X139" s="16"/>
    </row>
    <row r="140" spans="1:24" ht="49.5">
      <c r="A140" s="113">
        <v>132</v>
      </c>
      <c r="B140" s="28" t="s">
        <v>902</v>
      </c>
      <c r="C140" s="24" t="s">
        <v>796</v>
      </c>
      <c r="D140" s="28" t="s">
        <v>64</v>
      </c>
      <c r="E140" s="28" t="s">
        <v>1081</v>
      </c>
      <c r="F140" s="27">
        <f t="shared" si="35"/>
        <v>28920</v>
      </c>
      <c r="G140" s="114">
        <v>1398</v>
      </c>
      <c r="H140" s="29">
        <f t="shared" si="36"/>
        <v>41940</v>
      </c>
      <c r="I140" s="77" t="str">
        <f t="shared" si="34"/>
        <v>30.00</v>
      </c>
      <c r="J140" s="16"/>
      <c r="K140" s="15">
        <f t="shared" si="37"/>
        <v>30</v>
      </c>
      <c r="L140" s="15">
        <f t="shared" si="38"/>
        <v>28920</v>
      </c>
      <c r="M140" s="15" t="str">
        <f t="shared" si="39"/>
        <v/>
      </c>
      <c r="N140" s="14" t="str">
        <f t="shared" si="40"/>
        <v/>
      </c>
      <c r="O140" s="112">
        <f t="shared" si="41"/>
        <v>-31.044349070100139</v>
      </c>
      <c r="P140" s="116"/>
      <c r="Q140" s="1">
        <v>1001520</v>
      </c>
      <c r="S140" s="1">
        <v>400</v>
      </c>
      <c r="T140" s="1">
        <f t="shared" si="33"/>
        <v>12000</v>
      </c>
      <c r="X140" s="16">
        <v>38.75</v>
      </c>
    </row>
    <row r="141" spans="1:24" ht="66">
      <c r="A141" s="113">
        <v>133</v>
      </c>
      <c r="B141" s="28" t="s">
        <v>943</v>
      </c>
      <c r="C141" s="24" t="s">
        <v>797</v>
      </c>
      <c r="D141" s="28" t="s">
        <v>64</v>
      </c>
      <c r="E141" s="28" t="s">
        <v>1082</v>
      </c>
      <c r="F141" s="27">
        <f t="shared" si="35"/>
        <v>6824</v>
      </c>
      <c r="G141" s="114">
        <v>2506</v>
      </c>
      <c r="H141" s="29">
        <f t="shared" si="36"/>
        <v>10024</v>
      </c>
      <c r="I141" s="77" t="str">
        <f t="shared" si="34"/>
        <v>4.00</v>
      </c>
      <c r="J141" s="16"/>
      <c r="K141" s="15">
        <f t="shared" si="37"/>
        <v>4</v>
      </c>
      <c r="L141" s="15">
        <f t="shared" si="38"/>
        <v>6824</v>
      </c>
      <c r="M141" s="15" t="str">
        <f t="shared" si="39"/>
        <v/>
      </c>
      <c r="N141" s="14" t="str">
        <f t="shared" si="40"/>
        <v/>
      </c>
      <c r="O141" s="112">
        <f t="shared" si="41"/>
        <v>-31.923383878691141</v>
      </c>
      <c r="P141" s="116"/>
      <c r="S141" s="1" t="str">
        <f>E141</f>
        <v>1706.00</v>
      </c>
      <c r="T141" s="1">
        <f t="shared" si="33"/>
        <v>6824</v>
      </c>
      <c r="X141" s="16"/>
    </row>
    <row r="142" spans="1:24" ht="66">
      <c r="A142" s="113">
        <v>134</v>
      </c>
      <c r="B142" s="28" t="s">
        <v>944</v>
      </c>
      <c r="C142" s="24" t="s">
        <v>798</v>
      </c>
      <c r="D142" s="28" t="s">
        <v>64</v>
      </c>
      <c r="E142" s="28" t="s">
        <v>1083</v>
      </c>
      <c r="F142" s="27">
        <f t="shared" si="35"/>
        <v>13104</v>
      </c>
      <c r="G142" s="114">
        <v>688</v>
      </c>
      <c r="H142" s="29">
        <f t="shared" si="36"/>
        <v>19264</v>
      </c>
      <c r="I142" s="77" t="str">
        <f t="shared" si="34"/>
        <v>28.00</v>
      </c>
      <c r="J142" s="16"/>
      <c r="K142" s="15">
        <f t="shared" si="37"/>
        <v>28</v>
      </c>
      <c r="L142" s="15">
        <f t="shared" si="38"/>
        <v>13104</v>
      </c>
      <c r="M142" s="15" t="str">
        <f t="shared" si="39"/>
        <v/>
      </c>
      <c r="N142" s="14" t="str">
        <f t="shared" si="40"/>
        <v/>
      </c>
      <c r="O142" s="112">
        <f t="shared" si="41"/>
        <v>-31.976744186046513</v>
      </c>
      <c r="P142" s="116"/>
      <c r="Q142" s="1">
        <v>1133900</v>
      </c>
      <c r="S142" s="1">
        <v>250</v>
      </c>
      <c r="T142" s="1">
        <f t="shared" si="33"/>
        <v>7000</v>
      </c>
      <c r="X142" s="16"/>
    </row>
    <row r="143" spans="1:24" ht="66">
      <c r="A143" s="113">
        <v>135</v>
      </c>
      <c r="B143" s="28" t="s">
        <v>940</v>
      </c>
      <c r="C143" s="24" t="s">
        <v>799</v>
      </c>
      <c r="D143" s="28" t="s">
        <v>64</v>
      </c>
      <c r="E143" s="28" t="s">
        <v>1084</v>
      </c>
      <c r="F143" s="27">
        <f t="shared" si="35"/>
        <v>28980</v>
      </c>
      <c r="G143" s="114">
        <v>932</v>
      </c>
      <c r="H143" s="29">
        <f t="shared" si="36"/>
        <v>41940</v>
      </c>
      <c r="I143" s="77" t="str">
        <f t="shared" si="34"/>
        <v>45.00</v>
      </c>
      <c r="J143" s="16"/>
      <c r="K143" s="15">
        <f t="shared" si="37"/>
        <v>45</v>
      </c>
      <c r="L143" s="15">
        <f t="shared" si="38"/>
        <v>28980</v>
      </c>
      <c r="M143" s="15" t="str">
        <f t="shared" si="39"/>
        <v/>
      </c>
      <c r="N143" s="14" t="str">
        <f t="shared" si="40"/>
        <v/>
      </c>
      <c r="O143" s="112">
        <f t="shared" si="41"/>
        <v>-30.901287553648071</v>
      </c>
      <c r="P143" s="116"/>
      <c r="S143" s="1" t="str">
        <f>E143</f>
        <v>644.00</v>
      </c>
      <c r="T143" s="1">
        <f t="shared" si="33"/>
        <v>28980</v>
      </c>
      <c r="X143" s="16"/>
    </row>
    <row r="144" spans="1:24" ht="33">
      <c r="A144" s="113">
        <v>136</v>
      </c>
      <c r="B144" s="28" t="s">
        <v>902</v>
      </c>
      <c r="C144" s="24" t="s">
        <v>800</v>
      </c>
      <c r="D144" s="28" t="s">
        <v>64</v>
      </c>
      <c r="E144" s="28" t="s">
        <v>1085</v>
      </c>
      <c r="F144" s="27">
        <f t="shared" si="35"/>
        <v>29160</v>
      </c>
      <c r="G144" s="114">
        <v>1284.5</v>
      </c>
      <c r="H144" s="29">
        <f t="shared" si="36"/>
        <v>38535</v>
      </c>
      <c r="I144" s="77" t="str">
        <f t="shared" si="34"/>
        <v>30.00</v>
      </c>
      <c r="J144" s="16"/>
      <c r="K144" s="15">
        <f t="shared" si="37"/>
        <v>30</v>
      </c>
      <c r="L144" s="15">
        <f t="shared" si="38"/>
        <v>29160</v>
      </c>
      <c r="M144" s="15" t="str">
        <f t="shared" si="39"/>
        <v/>
      </c>
      <c r="N144" s="14" t="str">
        <f t="shared" si="40"/>
        <v/>
      </c>
      <c r="O144" s="14">
        <f t="shared" si="41"/>
        <v>-24.328532502919423</v>
      </c>
      <c r="P144" s="116"/>
      <c r="Q144" s="1">
        <v>1133900</v>
      </c>
      <c r="S144" s="1">
        <v>250</v>
      </c>
      <c r="T144" s="1">
        <f t="shared" si="33"/>
        <v>7500</v>
      </c>
      <c r="X144" s="16"/>
    </row>
    <row r="145" spans="1:24" ht="49.5">
      <c r="A145" s="113">
        <v>137</v>
      </c>
      <c r="B145" s="28" t="s">
        <v>945</v>
      </c>
      <c r="C145" s="24" t="s">
        <v>801</v>
      </c>
      <c r="D145" s="28" t="s">
        <v>65</v>
      </c>
      <c r="E145" s="28" t="s">
        <v>1086</v>
      </c>
      <c r="F145" s="27">
        <f t="shared" si="35"/>
        <v>96285</v>
      </c>
      <c r="G145" s="114">
        <v>187</v>
      </c>
      <c r="H145" s="29">
        <f t="shared" si="36"/>
        <v>137445</v>
      </c>
      <c r="I145" s="77" t="str">
        <f t="shared" si="34"/>
        <v>735.00</v>
      </c>
      <c r="J145" s="16"/>
      <c r="K145" s="15">
        <f t="shared" si="37"/>
        <v>735</v>
      </c>
      <c r="L145" s="15">
        <f t="shared" si="38"/>
        <v>96285</v>
      </c>
      <c r="M145" s="15" t="str">
        <f t="shared" si="39"/>
        <v/>
      </c>
      <c r="N145" s="14" t="str">
        <f t="shared" si="40"/>
        <v/>
      </c>
      <c r="O145" s="112">
        <f t="shared" si="41"/>
        <v>-29.946524064171122</v>
      </c>
      <c r="P145" s="116"/>
      <c r="S145" s="1" t="str">
        <f>E145</f>
        <v>131.00</v>
      </c>
      <c r="T145" s="1">
        <f t="shared" si="33"/>
        <v>96285</v>
      </c>
      <c r="X145" s="16"/>
    </row>
    <row r="146" spans="1:24" ht="18.75">
      <c r="A146" s="113">
        <v>138</v>
      </c>
      <c r="B146" s="28" t="s">
        <v>895</v>
      </c>
      <c r="C146" s="24" t="s">
        <v>802</v>
      </c>
      <c r="D146" s="28" t="s">
        <v>64</v>
      </c>
      <c r="E146" s="28" t="s">
        <v>1032</v>
      </c>
      <c r="F146" s="27">
        <f t="shared" si="35"/>
        <v>831</v>
      </c>
      <c r="G146" s="114">
        <v>1170</v>
      </c>
      <c r="H146" s="29">
        <f t="shared" si="36"/>
        <v>1170</v>
      </c>
      <c r="I146" s="77" t="str">
        <f t="shared" si="34"/>
        <v>1.00</v>
      </c>
      <c r="J146" s="16"/>
      <c r="K146" s="15">
        <f t="shared" si="37"/>
        <v>1</v>
      </c>
      <c r="L146" s="15">
        <f t="shared" si="38"/>
        <v>831</v>
      </c>
      <c r="M146" s="15" t="str">
        <f t="shared" si="39"/>
        <v/>
      </c>
      <c r="N146" s="14" t="str">
        <f t="shared" si="40"/>
        <v/>
      </c>
      <c r="O146" s="112">
        <f t="shared" si="41"/>
        <v>-28.974358974358978</v>
      </c>
      <c r="P146" s="116"/>
      <c r="Q146" s="1">
        <v>513890</v>
      </c>
      <c r="S146" s="1">
        <v>750</v>
      </c>
      <c r="T146" s="1">
        <f t="shared" si="33"/>
        <v>750</v>
      </c>
      <c r="X146" s="16"/>
    </row>
    <row r="147" spans="1:24" ht="33">
      <c r="A147" s="113">
        <v>139</v>
      </c>
      <c r="B147" s="28" t="s">
        <v>883</v>
      </c>
      <c r="C147" s="24" t="s">
        <v>803</v>
      </c>
      <c r="D147" s="28" t="s">
        <v>64</v>
      </c>
      <c r="E147" s="28" t="s">
        <v>1087</v>
      </c>
      <c r="F147" s="27">
        <f t="shared" si="35"/>
        <v>17000</v>
      </c>
      <c r="G147" s="114">
        <v>2993.1</v>
      </c>
      <c r="H147" s="29">
        <f t="shared" si="36"/>
        <v>23944.799999999999</v>
      </c>
      <c r="I147" s="77" t="str">
        <f t="shared" si="34"/>
        <v>8.00</v>
      </c>
      <c r="J147" s="16"/>
      <c r="K147" s="15">
        <f t="shared" si="37"/>
        <v>8</v>
      </c>
      <c r="L147" s="15">
        <f t="shared" si="38"/>
        <v>17000</v>
      </c>
      <c r="M147" s="15" t="str">
        <f t="shared" si="39"/>
        <v/>
      </c>
      <c r="N147" s="14" t="str">
        <f t="shared" si="40"/>
        <v/>
      </c>
      <c r="O147" s="112">
        <f t="shared" si="41"/>
        <v>-29.003374427850719</v>
      </c>
      <c r="P147" s="116"/>
      <c r="Q147" s="1">
        <v>87465</v>
      </c>
      <c r="S147" s="1">
        <v>750</v>
      </c>
      <c r="T147" s="1">
        <f t="shared" si="33"/>
        <v>6000</v>
      </c>
      <c r="X147" s="16">
        <v>2</v>
      </c>
    </row>
    <row r="148" spans="1:24" ht="49.5">
      <c r="A148" s="113">
        <v>140</v>
      </c>
      <c r="B148" s="28" t="s">
        <v>946</v>
      </c>
      <c r="C148" s="24" t="s">
        <v>804</v>
      </c>
      <c r="D148" s="28" t="s">
        <v>65</v>
      </c>
      <c r="E148" s="28" t="s">
        <v>1088</v>
      </c>
      <c r="F148" s="27">
        <f t="shared" si="35"/>
        <v>20150</v>
      </c>
      <c r="G148" s="114">
        <v>219</v>
      </c>
      <c r="H148" s="29">
        <f t="shared" si="36"/>
        <v>28470</v>
      </c>
      <c r="I148" s="77" t="str">
        <f t="shared" si="34"/>
        <v>130.00</v>
      </c>
      <c r="J148" s="16"/>
      <c r="K148" s="15">
        <f t="shared" si="37"/>
        <v>130</v>
      </c>
      <c r="L148" s="15">
        <f t="shared" si="38"/>
        <v>20150</v>
      </c>
      <c r="M148" s="15" t="str">
        <f t="shared" si="39"/>
        <v/>
      </c>
      <c r="N148" s="14" t="str">
        <f t="shared" si="40"/>
        <v/>
      </c>
      <c r="O148" s="112">
        <f t="shared" si="41"/>
        <v>-29.223744292237441</v>
      </c>
      <c r="P148" s="116"/>
      <c r="X148" s="16"/>
    </row>
    <row r="149" spans="1:24" ht="18.75">
      <c r="A149" s="113">
        <v>141</v>
      </c>
      <c r="B149" s="28" t="s">
        <v>947</v>
      </c>
      <c r="C149" s="24" t="s">
        <v>805</v>
      </c>
      <c r="D149" s="28" t="s">
        <v>65</v>
      </c>
      <c r="E149" s="28" t="s">
        <v>1089</v>
      </c>
      <c r="F149" s="27">
        <f t="shared" si="35"/>
        <v>1240</v>
      </c>
      <c r="G149" s="114">
        <v>165</v>
      </c>
      <c r="H149" s="29">
        <f t="shared" si="36"/>
        <v>1650</v>
      </c>
      <c r="I149" s="77" t="str">
        <f t="shared" si="34"/>
        <v>10.00</v>
      </c>
      <c r="J149" s="16"/>
      <c r="K149" s="15">
        <f t="shared" si="37"/>
        <v>10</v>
      </c>
      <c r="L149" s="15">
        <f t="shared" si="38"/>
        <v>1240</v>
      </c>
      <c r="M149" s="15" t="str">
        <f t="shared" si="39"/>
        <v/>
      </c>
      <c r="N149" s="14" t="str">
        <f t="shared" si="40"/>
        <v/>
      </c>
      <c r="O149" s="14">
        <f t="shared" si="41"/>
        <v>-24.848484848484848</v>
      </c>
      <c r="P149" s="116"/>
      <c r="Q149" s="1">
        <v>460000</v>
      </c>
      <c r="S149" s="1">
        <v>750</v>
      </c>
      <c r="T149" s="1">
        <f t="shared" ref="T149:T167" si="42">S149*I149</f>
        <v>7500</v>
      </c>
      <c r="X149" s="16">
        <v>122.85</v>
      </c>
    </row>
    <row r="150" spans="1:24" ht="18.75">
      <c r="A150" s="113">
        <v>142</v>
      </c>
      <c r="B150" s="28" t="s">
        <v>948</v>
      </c>
      <c r="C150" s="24" t="s">
        <v>806</v>
      </c>
      <c r="D150" s="28" t="s">
        <v>63</v>
      </c>
      <c r="E150" s="28" t="s">
        <v>1090</v>
      </c>
      <c r="F150" s="27">
        <f t="shared" si="35"/>
        <v>3112.6</v>
      </c>
      <c r="G150" s="114">
        <v>231.32</v>
      </c>
      <c r="H150" s="29">
        <f t="shared" si="36"/>
        <v>4557.0039999999999</v>
      </c>
      <c r="I150" s="77" t="str">
        <f t="shared" si="34"/>
        <v>19.70</v>
      </c>
      <c r="J150" s="16"/>
      <c r="K150" s="15">
        <f t="shared" si="37"/>
        <v>19.7</v>
      </c>
      <c r="L150" s="15">
        <f t="shared" si="38"/>
        <v>3112.6</v>
      </c>
      <c r="M150" s="15" t="str">
        <f t="shared" si="39"/>
        <v/>
      </c>
      <c r="N150" s="14" t="str">
        <f t="shared" si="40"/>
        <v/>
      </c>
      <c r="O150" s="112">
        <f t="shared" si="41"/>
        <v>-31.696351374719001</v>
      </c>
      <c r="P150" s="116"/>
      <c r="Q150" s="1">
        <v>470000</v>
      </c>
      <c r="S150" s="1">
        <v>1200</v>
      </c>
      <c r="T150" s="1">
        <f t="shared" si="42"/>
        <v>23640</v>
      </c>
      <c r="X150" s="16">
        <v>30.54</v>
      </c>
    </row>
    <row r="151" spans="1:24" ht="49.5">
      <c r="A151" s="113">
        <v>143</v>
      </c>
      <c r="B151" s="28" t="s">
        <v>949</v>
      </c>
      <c r="C151" s="24" t="s">
        <v>807</v>
      </c>
      <c r="D151" s="28" t="s">
        <v>65</v>
      </c>
      <c r="E151" s="28" t="s">
        <v>1091</v>
      </c>
      <c r="F151" s="27">
        <f t="shared" si="35"/>
        <v>19740</v>
      </c>
      <c r="G151" s="114">
        <v>403</v>
      </c>
      <c r="H151" s="29">
        <f t="shared" si="36"/>
        <v>28210</v>
      </c>
      <c r="I151" s="77" t="str">
        <f t="shared" si="34"/>
        <v>70.00</v>
      </c>
      <c r="J151" s="16"/>
      <c r="K151" s="15">
        <f t="shared" si="37"/>
        <v>70</v>
      </c>
      <c r="L151" s="15">
        <f t="shared" si="38"/>
        <v>19740</v>
      </c>
      <c r="M151" s="14" t="str">
        <f t="shared" si="39"/>
        <v/>
      </c>
      <c r="N151" s="14" t="str">
        <f t="shared" si="40"/>
        <v/>
      </c>
      <c r="O151" s="112">
        <f t="shared" si="41"/>
        <v>-30.024813895781637</v>
      </c>
      <c r="P151" s="116"/>
      <c r="Q151" s="1">
        <v>480000</v>
      </c>
      <c r="S151" s="1">
        <v>450</v>
      </c>
      <c r="T151" s="1">
        <f t="shared" si="42"/>
        <v>31500</v>
      </c>
      <c r="X151" s="16">
        <v>200.84</v>
      </c>
    </row>
    <row r="152" spans="1:24" ht="18.75">
      <c r="A152" s="113">
        <v>144</v>
      </c>
      <c r="B152" s="28" t="s">
        <v>950</v>
      </c>
      <c r="C152" s="24" t="s">
        <v>808</v>
      </c>
      <c r="D152" s="28" t="s">
        <v>64</v>
      </c>
      <c r="E152" s="28" t="s">
        <v>215</v>
      </c>
      <c r="F152" s="27">
        <f t="shared" si="35"/>
        <v>13992</v>
      </c>
      <c r="G152" s="114">
        <v>1768</v>
      </c>
      <c r="H152" s="29">
        <f t="shared" si="36"/>
        <v>19448</v>
      </c>
      <c r="I152" s="77" t="str">
        <f t="shared" si="34"/>
        <v>11.00</v>
      </c>
      <c r="J152" s="16"/>
      <c r="K152" s="15">
        <f t="shared" si="37"/>
        <v>11</v>
      </c>
      <c r="L152" s="15">
        <f t="shared" si="38"/>
        <v>13992</v>
      </c>
      <c r="M152" s="15" t="str">
        <f t="shared" si="39"/>
        <v/>
      </c>
      <c r="N152" s="14" t="str">
        <f t="shared" si="40"/>
        <v/>
      </c>
      <c r="O152" s="112">
        <f t="shared" si="41"/>
        <v>-28.054298642533936</v>
      </c>
      <c r="P152" s="116"/>
      <c r="Q152" s="1">
        <v>490000</v>
      </c>
      <c r="S152" s="1">
        <v>450</v>
      </c>
      <c r="T152" s="1">
        <f t="shared" si="42"/>
        <v>4950</v>
      </c>
      <c r="X152" s="16">
        <v>0</v>
      </c>
    </row>
    <row r="153" spans="1:24" ht="33">
      <c r="A153" s="113">
        <v>145</v>
      </c>
      <c r="B153" s="28" t="s">
        <v>943</v>
      </c>
      <c r="C153" s="24" t="s">
        <v>809</v>
      </c>
      <c r="D153" s="28" t="s">
        <v>64</v>
      </c>
      <c r="E153" s="28" t="s">
        <v>1092</v>
      </c>
      <c r="F153" s="27">
        <f t="shared" si="35"/>
        <v>25268</v>
      </c>
      <c r="G153" s="114">
        <v>8462</v>
      </c>
      <c r="H153" s="29">
        <f t="shared" si="36"/>
        <v>33848</v>
      </c>
      <c r="I153" s="77" t="str">
        <f t="shared" si="34"/>
        <v>4.00</v>
      </c>
      <c r="J153" s="16"/>
      <c r="K153" s="15">
        <f t="shared" si="37"/>
        <v>4</v>
      </c>
      <c r="L153" s="15">
        <f t="shared" si="38"/>
        <v>25268</v>
      </c>
      <c r="M153" s="15" t="str">
        <f t="shared" si="39"/>
        <v/>
      </c>
      <c r="N153" s="14" t="str">
        <f t="shared" si="40"/>
        <v/>
      </c>
      <c r="O153" s="112">
        <f t="shared" si="41"/>
        <v>-25.348617348144646</v>
      </c>
      <c r="P153" s="116"/>
      <c r="Q153" s="1">
        <v>500000</v>
      </c>
      <c r="S153" s="1">
        <f>13*15</f>
        <v>195</v>
      </c>
      <c r="T153" s="1">
        <f t="shared" si="42"/>
        <v>780</v>
      </c>
      <c r="X153" s="16">
        <v>2289.09</v>
      </c>
    </row>
    <row r="154" spans="1:24" s="13" customFormat="1" ht="33">
      <c r="A154" s="113">
        <v>146</v>
      </c>
      <c r="B154" s="28" t="s">
        <v>895</v>
      </c>
      <c r="C154" s="24" t="s">
        <v>810</v>
      </c>
      <c r="D154" s="28" t="s">
        <v>64</v>
      </c>
      <c r="E154" s="28" t="s">
        <v>1093</v>
      </c>
      <c r="F154" s="27">
        <f t="shared" si="35"/>
        <v>6544</v>
      </c>
      <c r="G154" s="114">
        <v>9758.34</v>
      </c>
      <c r="H154" s="29">
        <f t="shared" si="36"/>
        <v>9758.34</v>
      </c>
      <c r="I154" s="77" t="str">
        <f t="shared" si="34"/>
        <v>1.00</v>
      </c>
      <c r="J154" s="16"/>
      <c r="K154" s="15">
        <f t="shared" si="37"/>
        <v>1</v>
      </c>
      <c r="L154" s="15">
        <f t="shared" si="38"/>
        <v>6544</v>
      </c>
      <c r="M154" s="15" t="str">
        <f t="shared" si="39"/>
        <v/>
      </c>
      <c r="N154" s="14" t="str">
        <f t="shared" si="40"/>
        <v/>
      </c>
      <c r="O154" s="112">
        <f t="shared" si="41"/>
        <v>-32.939413875720668</v>
      </c>
      <c r="P154" s="116"/>
      <c r="Q154" s="13">
        <v>520000</v>
      </c>
      <c r="S154" s="1">
        <v>1000</v>
      </c>
      <c r="T154" s="1">
        <f t="shared" si="42"/>
        <v>1000</v>
      </c>
      <c r="X154" s="20">
        <v>44.375999999999998</v>
      </c>
    </row>
    <row r="155" spans="1:24" s="13" customFormat="1" ht="49.5">
      <c r="A155" s="113">
        <v>147</v>
      </c>
      <c r="B155" s="28" t="s">
        <v>895</v>
      </c>
      <c r="C155" s="24" t="s">
        <v>811</v>
      </c>
      <c r="D155" s="28" t="s">
        <v>64</v>
      </c>
      <c r="E155" s="28" t="s">
        <v>1094</v>
      </c>
      <c r="F155" s="27">
        <f t="shared" si="35"/>
        <v>21287</v>
      </c>
      <c r="G155" s="114">
        <v>28679</v>
      </c>
      <c r="H155" s="29">
        <f t="shared" si="36"/>
        <v>28679</v>
      </c>
      <c r="I155" s="77" t="str">
        <f t="shared" si="34"/>
        <v>1.00</v>
      </c>
      <c r="J155" s="16"/>
      <c r="K155" s="15">
        <f t="shared" si="37"/>
        <v>1</v>
      </c>
      <c r="L155" s="15">
        <f t="shared" si="38"/>
        <v>21287</v>
      </c>
      <c r="M155" s="15" t="str">
        <f t="shared" si="39"/>
        <v/>
      </c>
      <c r="N155" s="14" t="str">
        <f t="shared" si="40"/>
        <v/>
      </c>
      <c r="O155" s="112">
        <f t="shared" si="41"/>
        <v>-25.774957285818889</v>
      </c>
      <c r="P155" s="116"/>
      <c r="Q155" s="13">
        <v>530000</v>
      </c>
      <c r="S155" s="1" t="str">
        <f t="shared" ref="S155:S167" si="43">E155</f>
        <v>21287.00</v>
      </c>
      <c r="T155" s="1">
        <f t="shared" si="42"/>
        <v>21287</v>
      </c>
      <c r="X155" s="16"/>
    </row>
    <row r="156" spans="1:24" s="13" customFormat="1" ht="82.5">
      <c r="A156" s="113">
        <v>148</v>
      </c>
      <c r="B156" s="28" t="s">
        <v>943</v>
      </c>
      <c r="C156" s="24" t="s">
        <v>812</v>
      </c>
      <c r="D156" s="28" t="s">
        <v>64</v>
      </c>
      <c r="E156" s="28" t="s">
        <v>1095</v>
      </c>
      <c r="F156" s="27">
        <f t="shared" si="35"/>
        <v>23064</v>
      </c>
      <c r="G156" s="114" t="s">
        <v>217</v>
      </c>
      <c r="H156" s="29">
        <f t="shared" si="36"/>
        <v>30168</v>
      </c>
      <c r="I156" s="77" t="str">
        <f t="shared" si="34"/>
        <v>4.00</v>
      </c>
      <c r="J156" s="16"/>
      <c r="K156" s="15">
        <f t="shared" si="37"/>
        <v>4</v>
      </c>
      <c r="L156" s="15">
        <f t="shared" si="38"/>
        <v>23064</v>
      </c>
      <c r="M156" s="15" t="str">
        <f t="shared" si="39"/>
        <v/>
      </c>
      <c r="N156" s="14" t="str">
        <f t="shared" si="40"/>
        <v/>
      </c>
      <c r="O156" s="14">
        <f t="shared" si="41"/>
        <v>-23.548130469371522</v>
      </c>
      <c r="P156" s="116"/>
      <c r="Q156" s="13">
        <v>329400</v>
      </c>
      <c r="S156" s="1" t="str">
        <f t="shared" si="43"/>
        <v>5766.00</v>
      </c>
      <c r="T156" s="1">
        <f t="shared" si="42"/>
        <v>23064</v>
      </c>
      <c r="X156" s="16">
        <v>0</v>
      </c>
    </row>
    <row r="157" spans="1:24" s="13" customFormat="1" ht="33">
      <c r="A157" s="113">
        <v>149</v>
      </c>
      <c r="B157" s="28" t="s">
        <v>883</v>
      </c>
      <c r="C157" s="24" t="s">
        <v>813</v>
      </c>
      <c r="D157" s="28" t="s">
        <v>969</v>
      </c>
      <c r="E157" s="28" t="s">
        <v>1096</v>
      </c>
      <c r="F157" s="27">
        <f t="shared" si="35"/>
        <v>592</v>
      </c>
      <c r="G157" s="114">
        <v>100</v>
      </c>
      <c r="H157" s="29">
        <f t="shared" si="36"/>
        <v>800</v>
      </c>
      <c r="I157" s="77" t="str">
        <f t="shared" si="34"/>
        <v>8.00</v>
      </c>
      <c r="J157" s="16"/>
      <c r="K157" s="15">
        <f t="shared" si="37"/>
        <v>8</v>
      </c>
      <c r="L157" s="15">
        <f t="shared" si="38"/>
        <v>592</v>
      </c>
      <c r="M157" s="15" t="str">
        <f t="shared" si="39"/>
        <v/>
      </c>
      <c r="N157" s="14" t="str">
        <f t="shared" si="40"/>
        <v/>
      </c>
      <c r="O157" s="112">
        <f t="shared" si="41"/>
        <v>-26</v>
      </c>
      <c r="P157" s="116"/>
      <c r="Q157" s="13">
        <v>81200</v>
      </c>
      <c r="S157" s="1" t="str">
        <f t="shared" si="43"/>
        <v>74.00</v>
      </c>
      <c r="T157" s="1">
        <f t="shared" si="42"/>
        <v>592</v>
      </c>
      <c r="X157" s="16">
        <v>62.8</v>
      </c>
    </row>
    <row r="158" spans="1:24" ht="33">
      <c r="A158" s="113">
        <v>150</v>
      </c>
      <c r="B158" s="28" t="s">
        <v>947</v>
      </c>
      <c r="C158" s="24" t="s">
        <v>814</v>
      </c>
      <c r="D158" s="28" t="s">
        <v>969</v>
      </c>
      <c r="E158" s="28" t="s">
        <v>1097</v>
      </c>
      <c r="F158" s="27">
        <f t="shared" si="35"/>
        <v>1150</v>
      </c>
      <c r="G158" s="114">
        <v>155</v>
      </c>
      <c r="H158" s="29">
        <f t="shared" si="36"/>
        <v>1550</v>
      </c>
      <c r="I158" s="77" t="str">
        <f t="shared" si="34"/>
        <v>10.00</v>
      </c>
      <c r="J158" s="16"/>
      <c r="K158" s="15">
        <f t="shared" si="37"/>
        <v>10</v>
      </c>
      <c r="L158" s="15">
        <f t="shared" si="38"/>
        <v>1150</v>
      </c>
      <c r="M158" s="15" t="str">
        <f t="shared" si="39"/>
        <v/>
      </c>
      <c r="N158" s="14" t="str">
        <f t="shared" si="40"/>
        <v/>
      </c>
      <c r="O158" s="112">
        <f t="shared" si="41"/>
        <v>-25.806451612903224</v>
      </c>
      <c r="P158" s="116"/>
      <c r="Q158" s="1">
        <v>17000</v>
      </c>
      <c r="S158" s="1" t="str">
        <f t="shared" si="43"/>
        <v>115.00</v>
      </c>
      <c r="T158" s="1">
        <f t="shared" si="42"/>
        <v>1150</v>
      </c>
      <c r="X158" s="16">
        <v>22.7</v>
      </c>
    </row>
    <row r="159" spans="1:24" s="13" customFormat="1" ht="33">
      <c r="A159" s="113">
        <v>151</v>
      </c>
      <c r="B159" s="28" t="s">
        <v>951</v>
      </c>
      <c r="C159" s="24" t="s">
        <v>815</v>
      </c>
      <c r="D159" s="28" t="s">
        <v>63</v>
      </c>
      <c r="E159" s="28" t="s">
        <v>1061</v>
      </c>
      <c r="F159" s="27">
        <f t="shared" si="35"/>
        <v>150088.79999999999</v>
      </c>
      <c r="G159" s="114">
        <v>203.84</v>
      </c>
      <c r="H159" s="29">
        <f t="shared" si="36"/>
        <v>221696.38399999999</v>
      </c>
      <c r="I159" s="77" t="str">
        <f t="shared" si="34"/>
        <v>1087.60</v>
      </c>
      <c r="J159" s="16"/>
      <c r="K159" s="15">
        <f t="shared" si="37"/>
        <v>1087.5999999999999</v>
      </c>
      <c r="L159" s="15">
        <f t="shared" si="38"/>
        <v>150088.79999999999</v>
      </c>
      <c r="M159" s="15" t="str">
        <f t="shared" si="39"/>
        <v/>
      </c>
      <c r="N159" s="14" t="str">
        <f t="shared" si="40"/>
        <v/>
      </c>
      <c r="O159" s="112">
        <f t="shared" si="41"/>
        <v>-32.299843014128733</v>
      </c>
      <c r="P159" s="116"/>
      <c r="Q159" s="13">
        <v>283750</v>
      </c>
      <c r="S159" s="1" t="str">
        <f t="shared" si="43"/>
        <v>138.00</v>
      </c>
      <c r="T159" s="1">
        <f t="shared" si="42"/>
        <v>150088.79999999999</v>
      </c>
      <c r="X159" s="16">
        <v>0</v>
      </c>
    </row>
    <row r="160" spans="1:24" s="13" customFormat="1" ht="33">
      <c r="A160" s="113">
        <v>152</v>
      </c>
      <c r="B160" s="28" t="s">
        <v>952</v>
      </c>
      <c r="C160" s="24" t="s">
        <v>816</v>
      </c>
      <c r="D160" s="28" t="s">
        <v>64</v>
      </c>
      <c r="E160" s="28" t="s">
        <v>1098</v>
      </c>
      <c r="F160" s="27">
        <f t="shared" si="35"/>
        <v>26091</v>
      </c>
      <c r="G160" s="114">
        <v>2650</v>
      </c>
      <c r="H160" s="29">
        <f t="shared" si="36"/>
        <v>34450</v>
      </c>
      <c r="I160" s="77" t="str">
        <f t="shared" si="34"/>
        <v>13.00</v>
      </c>
      <c r="J160" s="16"/>
      <c r="K160" s="15">
        <f t="shared" si="37"/>
        <v>13</v>
      </c>
      <c r="L160" s="15">
        <f t="shared" si="38"/>
        <v>26091</v>
      </c>
      <c r="M160" s="15" t="str">
        <f t="shared" si="39"/>
        <v/>
      </c>
      <c r="N160" s="14" t="str">
        <f t="shared" si="40"/>
        <v/>
      </c>
      <c r="O160" s="14">
        <f t="shared" si="41"/>
        <v>-24.264150943396228</v>
      </c>
      <c r="P160" s="116"/>
      <c r="Q160" s="13">
        <v>283750</v>
      </c>
      <c r="S160" s="1" t="str">
        <f t="shared" si="43"/>
        <v>2007.00</v>
      </c>
      <c r="T160" s="1">
        <f t="shared" si="42"/>
        <v>26091</v>
      </c>
      <c r="X160" s="16">
        <v>0</v>
      </c>
    </row>
    <row r="161" spans="1:24" s="13" customFormat="1" ht="18.75">
      <c r="A161" s="113">
        <v>153</v>
      </c>
      <c r="B161" s="28" t="s">
        <v>898</v>
      </c>
      <c r="C161" s="24" t="s">
        <v>817</v>
      </c>
      <c r="D161" s="28" t="s">
        <v>64</v>
      </c>
      <c r="E161" s="28" t="s">
        <v>1099</v>
      </c>
      <c r="F161" s="27">
        <f t="shared" si="35"/>
        <v>3069</v>
      </c>
      <c r="G161" s="114" t="s">
        <v>973</v>
      </c>
      <c r="H161" s="29">
        <f t="shared" si="36"/>
        <v>4014</v>
      </c>
      <c r="I161" s="77" t="str">
        <f t="shared" si="34"/>
        <v>9.00</v>
      </c>
      <c r="J161" s="16"/>
      <c r="K161" s="15">
        <f t="shared" si="37"/>
        <v>9</v>
      </c>
      <c r="L161" s="15">
        <f t="shared" si="38"/>
        <v>3069</v>
      </c>
      <c r="M161" s="15" t="str">
        <f t="shared" si="39"/>
        <v/>
      </c>
      <c r="N161" s="14" t="str">
        <f t="shared" si="40"/>
        <v/>
      </c>
      <c r="O161" s="14">
        <f t="shared" si="41"/>
        <v>-23.542600896860989</v>
      </c>
      <c r="P161" s="116"/>
      <c r="S161" s="1" t="str">
        <f t="shared" si="43"/>
        <v>341.00</v>
      </c>
      <c r="T161" s="1">
        <f t="shared" si="42"/>
        <v>3069</v>
      </c>
      <c r="X161" s="16"/>
    </row>
    <row r="162" spans="1:24" s="13" customFormat="1" ht="18.75">
      <c r="A162" s="113">
        <v>154</v>
      </c>
      <c r="B162" s="28" t="s">
        <v>953</v>
      </c>
      <c r="C162" s="24" t="s">
        <v>818</v>
      </c>
      <c r="D162" s="28" t="s">
        <v>66</v>
      </c>
      <c r="E162" s="28" t="s">
        <v>1100</v>
      </c>
      <c r="F162" s="27">
        <f t="shared" si="35"/>
        <v>6749.94</v>
      </c>
      <c r="G162" s="114">
        <v>2566.5</v>
      </c>
      <c r="H162" s="29">
        <f t="shared" si="36"/>
        <v>9804.0299999999988</v>
      </c>
      <c r="I162" s="77" t="str">
        <f t="shared" si="34"/>
        <v>3.82</v>
      </c>
      <c r="J162" s="16"/>
      <c r="K162" s="15">
        <f t="shared" si="37"/>
        <v>3.82</v>
      </c>
      <c r="L162" s="15">
        <f t="shared" si="38"/>
        <v>6749.94</v>
      </c>
      <c r="M162" s="15" t="str">
        <f t="shared" si="39"/>
        <v/>
      </c>
      <c r="N162" s="14" t="str">
        <f t="shared" si="40"/>
        <v/>
      </c>
      <c r="O162" s="112">
        <f t="shared" si="41"/>
        <v>-31.151373465809467</v>
      </c>
      <c r="P162" s="116"/>
      <c r="Q162" s="13">
        <v>283750</v>
      </c>
      <c r="S162" s="1" t="str">
        <f t="shared" si="43"/>
        <v>1767.00</v>
      </c>
      <c r="T162" s="1">
        <f t="shared" si="42"/>
        <v>6749.94</v>
      </c>
      <c r="X162" s="16"/>
    </row>
    <row r="163" spans="1:24" s="13" customFormat="1" ht="33">
      <c r="A163" s="113">
        <v>155</v>
      </c>
      <c r="B163" s="28" t="s">
        <v>894</v>
      </c>
      <c r="C163" s="24" t="s">
        <v>819</v>
      </c>
      <c r="D163" s="28" t="s">
        <v>64</v>
      </c>
      <c r="E163" s="28" t="s">
        <v>1101</v>
      </c>
      <c r="F163" s="27">
        <f t="shared" si="35"/>
        <v>1645</v>
      </c>
      <c r="G163" s="114" t="s">
        <v>219</v>
      </c>
      <c r="H163" s="29">
        <f t="shared" si="36"/>
        <v>2155</v>
      </c>
      <c r="I163" s="77" t="str">
        <f t="shared" si="34"/>
        <v>5.00</v>
      </c>
      <c r="J163" s="16"/>
      <c r="K163" s="15">
        <f t="shared" si="37"/>
        <v>5</v>
      </c>
      <c r="L163" s="15">
        <f t="shared" si="38"/>
        <v>1645</v>
      </c>
      <c r="M163" s="15" t="str">
        <f t="shared" si="39"/>
        <v/>
      </c>
      <c r="N163" s="14" t="str">
        <f t="shared" si="40"/>
        <v/>
      </c>
      <c r="O163" s="14">
        <f t="shared" si="41"/>
        <v>-23.665893271461716</v>
      </c>
      <c r="P163" s="116"/>
      <c r="Q163" s="13">
        <v>283750</v>
      </c>
      <c r="S163" s="1" t="str">
        <f t="shared" si="43"/>
        <v>329.00</v>
      </c>
      <c r="T163" s="1">
        <f t="shared" si="42"/>
        <v>1645</v>
      </c>
      <c r="X163" s="16">
        <v>132</v>
      </c>
    </row>
    <row r="164" spans="1:24" s="13" customFormat="1" ht="49.5">
      <c r="A164" s="113">
        <v>156</v>
      </c>
      <c r="B164" s="28" t="s">
        <v>954</v>
      </c>
      <c r="C164" s="24" t="s">
        <v>820</v>
      </c>
      <c r="D164" s="28" t="s">
        <v>64</v>
      </c>
      <c r="E164" s="28" t="s">
        <v>959</v>
      </c>
      <c r="F164" s="27">
        <f t="shared" si="35"/>
        <v>2418</v>
      </c>
      <c r="G164" s="114" t="s">
        <v>220</v>
      </c>
      <c r="H164" s="29">
        <f t="shared" si="36"/>
        <v>3159</v>
      </c>
      <c r="I164" s="77" t="str">
        <f t="shared" si="34"/>
        <v>39.00</v>
      </c>
      <c r="J164" s="16"/>
      <c r="K164" s="15">
        <f t="shared" si="37"/>
        <v>39</v>
      </c>
      <c r="L164" s="15">
        <f t="shared" si="38"/>
        <v>2418</v>
      </c>
      <c r="M164" s="15" t="str">
        <f t="shared" si="39"/>
        <v/>
      </c>
      <c r="N164" s="14" t="str">
        <f t="shared" si="40"/>
        <v/>
      </c>
      <c r="O164" s="14">
        <f t="shared" si="41"/>
        <v>-23.456790123456788</v>
      </c>
      <c r="P164" s="116"/>
      <c r="Q164" s="13">
        <v>283750</v>
      </c>
      <c r="S164" s="1" t="str">
        <f t="shared" si="43"/>
        <v>62.00</v>
      </c>
      <c r="T164" s="1">
        <f t="shared" si="42"/>
        <v>2418</v>
      </c>
      <c r="X164" s="16"/>
    </row>
    <row r="165" spans="1:24" s="13" customFormat="1" ht="18.75">
      <c r="A165" s="113">
        <v>157</v>
      </c>
      <c r="B165" s="28" t="s">
        <v>894</v>
      </c>
      <c r="C165" s="24" t="s">
        <v>821</v>
      </c>
      <c r="D165" s="28" t="s">
        <v>64</v>
      </c>
      <c r="E165" s="28" t="s">
        <v>946</v>
      </c>
      <c r="F165" s="27">
        <f t="shared" si="35"/>
        <v>650</v>
      </c>
      <c r="G165" s="114" t="s">
        <v>213</v>
      </c>
      <c r="H165" s="29">
        <f t="shared" si="36"/>
        <v>850</v>
      </c>
      <c r="I165" s="77" t="str">
        <f t="shared" si="34"/>
        <v>5.00</v>
      </c>
      <c r="J165" s="16"/>
      <c r="K165" s="15">
        <f t="shared" si="37"/>
        <v>5</v>
      </c>
      <c r="L165" s="15">
        <f t="shared" si="38"/>
        <v>650</v>
      </c>
      <c r="M165" s="15" t="str">
        <f t="shared" si="39"/>
        <v/>
      </c>
      <c r="N165" s="14" t="str">
        <f t="shared" si="40"/>
        <v/>
      </c>
      <c r="O165" s="14">
        <f t="shared" si="41"/>
        <v>-23.52941176470588</v>
      </c>
      <c r="P165" s="116"/>
      <c r="Q165" s="13">
        <v>283750</v>
      </c>
      <c r="S165" s="1" t="str">
        <f t="shared" si="43"/>
        <v>130.00</v>
      </c>
      <c r="T165" s="1">
        <f t="shared" si="42"/>
        <v>650</v>
      </c>
      <c r="X165" s="16">
        <v>90</v>
      </c>
    </row>
    <row r="166" spans="1:24" s="13" customFormat="1" ht="33">
      <c r="A166" s="113">
        <v>158</v>
      </c>
      <c r="B166" s="28" t="s">
        <v>934</v>
      </c>
      <c r="C166" s="24" t="s">
        <v>822</v>
      </c>
      <c r="D166" s="28" t="s">
        <v>64</v>
      </c>
      <c r="E166" s="28" t="s">
        <v>1102</v>
      </c>
      <c r="F166" s="27">
        <f t="shared" si="35"/>
        <v>1988</v>
      </c>
      <c r="G166" s="114">
        <v>375.7</v>
      </c>
      <c r="H166" s="29">
        <f t="shared" si="36"/>
        <v>2629.9</v>
      </c>
      <c r="I166" s="77" t="str">
        <f t="shared" si="34"/>
        <v>7.00</v>
      </c>
      <c r="J166" s="16"/>
      <c r="K166" s="15">
        <f t="shared" si="37"/>
        <v>7</v>
      </c>
      <c r="L166" s="15">
        <f t="shared" si="38"/>
        <v>1988</v>
      </c>
      <c r="M166" s="15" t="str">
        <f t="shared" si="39"/>
        <v/>
      </c>
      <c r="N166" s="14" t="str">
        <f t="shared" si="40"/>
        <v/>
      </c>
      <c r="O166" s="14">
        <f t="shared" si="41"/>
        <v>-24.407772158637208</v>
      </c>
      <c r="P166" s="116"/>
      <c r="Q166" s="13">
        <v>283750</v>
      </c>
      <c r="S166" s="1" t="str">
        <f t="shared" si="43"/>
        <v>284.00</v>
      </c>
      <c r="T166" s="1">
        <f t="shared" si="42"/>
        <v>1988</v>
      </c>
      <c r="X166" s="16">
        <v>90</v>
      </c>
    </row>
    <row r="167" spans="1:24" s="13" customFormat="1" ht="18.75">
      <c r="A167" s="113">
        <v>159</v>
      </c>
      <c r="B167" s="28" t="s">
        <v>955</v>
      </c>
      <c r="C167" s="24" t="s">
        <v>823</v>
      </c>
      <c r="D167" s="28" t="s">
        <v>63</v>
      </c>
      <c r="E167" s="28" t="s">
        <v>1103</v>
      </c>
      <c r="F167" s="27">
        <f t="shared" si="35"/>
        <v>68764.799999999988</v>
      </c>
      <c r="G167" s="114">
        <v>1299.55</v>
      </c>
      <c r="H167" s="29">
        <f t="shared" si="36"/>
        <v>96296.654999999984</v>
      </c>
      <c r="I167" s="77" t="str">
        <f t="shared" si="34"/>
        <v>74.10</v>
      </c>
      <c r="J167" s="16"/>
      <c r="K167" s="15">
        <f t="shared" si="37"/>
        <v>74.099999999999994</v>
      </c>
      <c r="L167" s="15">
        <f t="shared" si="38"/>
        <v>68764.799999999988</v>
      </c>
      <c r="M167" s="15" t="str">
        <f t="shared" si="39"/>
        <v/>
      </c>
      <c r="N167" s="14" t="str">
        <f t="shared" si="40"/>
        <v/>
      </c>
      <c r="O167" s="112">
        <f t="shared" si="41"/>
        <v>-28.590665999769151</v>
      </c>
      <c r="P167" s="116"/>
      <c r="S167" s="1" t="str">
        <f t="shared" si="43"/>
        <v>928.00</v>
      </c>
      <c r="T167" s="1">
        <f t="shared" si="42"/>
        <v>68764.799999999988</v>
      </c>
      <c r="X167" s="16"/>
    </row>
    <row r="168" spans="1:24" ht="18.75">
      <c r="A168" s="113">
        <v>160</v>
      </c>
      <c r="B168" s="28" t="s">
        <v>956</v>
      </c>
      <c r="C168" s="24" t="s">
        <v>824</v>
      </c>
      <c r="D168" s="28" t="s">
        <v>63</v>
      </c>
      <c r="E168" s="28" t="s">
        <v>1104</v>
      </c>
      <c r="F168" s="27">
        <f t="shared" si="35"/>
        <v>167481.59999999998</v>
      </c>
      <c r="G168" s="114">
        <v>1123.71</v>
      </c>
      <c r="H168" s="29">
        <f t="shared" si="36"/>
        <v>237327.552</v>
      </c>
      <c r="I168" s="77" t="str">
        <f t="shared" si="34"/>
        <v>211.20</v>
      </c>
      <c r="J168" s="16"/>
      <c r="K168" s="15">
        <f t="shared" si="37"/>
        <v>211.2</v>
      </c>
      <c r="L168" s="15">
        <f t="shared" si="38"/>
        <v>167481.59999999998</v>
      </c>
      <c r="M168" s="15" t="str">
        <f t="shared" si="39"/>
        <v/>
      </c>
      <c r="N168" s="14" t="str">
        <f t="shared" si="40"/>
        <v/>
      </c>
      <c r="O168" s="112">
        <f t="shared" si="41"/>
        <v>-29.430191063530632</v>
      </c>
      <c r="P168" s="116"/>
      <c r="Q168" s="1">
        <v>16600</v>
      </c>
      <c r="S168" s="1" t="str">
        <f t="shared" si="28"/>
        <v>793.00</v>
      </c>
      <c r="T168" s="1">
        <f t="shared" si="29"/>
        <v>167481.59999999998</v>
      </c>
      <c r="X168" s="16">
        <v>0</v>
      </c>
    </row>
    <row r="169" spans="1:24" s="13" customFormat="1" ht="49.5">
      <c r="A169" s="113">
        <v>161</v>
      </c>
      <c r="B169" s="28" t="s">
        <v>957</v>
      </c>
      <c r="C169" s="24" t="s">
        <v>825</v>
      </c>
      <c r="D169" s="28" t="s">
        <v>65</v>
      </c>
      <c r="E169" s="28" t="s">
        <v>1105</v>
      </c>
      <c r="F169" s="27">
        <f t="shared" si="35"/>
        <v>1324.8</v>
      </c>
      <c r="G169" s="114" t="s">
        <v>222</v>
      </c>
      <c r="H169" s="29">
        <f t="shared" si="36"/>
        <v>1728</v>
      </c>
      <c r="I169" s="77" t="str">
        <f t="shared" si="34"/>
        <v>19.20</v>
      </c>
      <c r="J169" s="16"/>
      <c r="K169" s="15">
        <f t="shared" si="37"/>
        <v>19.2</v>
      </c>
      <c r="L169" s="15">
        <f t="shared" si="38"/>
        <v>1324.8</v>
      </c>
      <c r="M169" s="15" t="str">
        <f t="shared" si="39"/>
        <v/>
      </c>
      <c r="N169" s="14" t="str">
        <f t="shared" si="40"/>
        <v/>
      </c>
      <c r="O169" s="14">
        <f t="shared" si="41"/>
        <v>-23.333333333333332</v>
      </c>
      <c r="P169" s="116"/>
      <c r="S169" s="1" t="str">
        <f>E169</f>
        <v>69.00</v>
      </c>
      <c r="T169" s="1">
        <f>S169*I169</f>
        <v>1324.8</v>
      </c>
      <c r="X169" s="16"/>
    </row>
    <row r="170" spans="1:24" s="13" customFormat="1" ht="33">
      <c r="A170" s="113">
        <v>162</v>
      </c>
      <c r="B170" s="28" t="s">
        <v>958</v>
      </c>
      <c r="C170" s="24" t="s">
        <v>826</v>
      </c>
      <c r="D170" s="28" t="s">
        <v>63</v>
      </c>
      <c r="E170" s="28" t="s">
        <v>1106</v>
      </c>
      <c r="F170" s="27">
        <f t="shared" si="35"/>
        <v>83920</v>
      </c>
      <c r="G170" s="114">
        <v>1458.41</v>
      </c>
      <c r="H170" s="29">
        <f t="shared" si="36"/>
        <v>116672.8</v>
      </c>
      <c r="I170" s="77" t="str">
        <f t="shared" si="34"/>
        <v>80.00</v>
      </c>
      <c r="J170" s="16"/>
      <c r="K170" s="15">
        <f t="shared" si="37"/>
        <v>80</v>
      </c>
      <c r="L170" s="15">
        <f t="shared" si="38"/>
        <v>83920</v>
      </c>
      <c r="M170" s="15" t="str">
        <f t="shared" si="39"/>
        <v/>
      </c>
      <c r="N170" s="14" t="str">
        <f t="shared" si="40"/>
        <v/>
      </c>
      <c r="O170" s="112">
        <f t="shared" si="41"/>
        <v>-28.072352767740217</v>
      </c>
      <c r="P170" s="116"/>
      <c r="S170" s="1" t="str">
        <f>E170</f>
        <v>1049.00</v>
      </c>
      <c r="T170" s="1">
        <f>S170*I170</f>
        <v>83920</v>
      </c>
      <c r="X170" s="16"/>
    </row>
    <row r="171" spans="1:24" ht="18.75">
      <c r="A171" s="113">
        <v>163</v>
      </c>
      <c r="B171" s="28" t="s">
        <v>934</v>
      </c>
      <c r="C171" s="24" t="s">
        <v>827</v>
      </c>
      <c r="D171" s="28" t="s">
        <v>64</v>
      </c>
      <c r="E171" s="28" t="s">
        <v>958</v>
      </c>
      <c r="F171" s="27">
        <f t="shared" si="35"/>
        <v>560</v>
      </c>
      <c r="G171" s="114">
        <v>118.08</v>
      </c>
      <c r="H171" s="29">
        <f t="shared" si="36"/>
        <v>826.56</v>
      </c>
      <c r="I171" s="77" t="str">
        <f t="shared" si="34"/>
        <v>7.00</v>
      </c>
      <c r="J171" s="20"/>
      <c r="K171" s="15">
        <f t="shared" si="37"/>
        <v>7</v>
      </c>
      <c r="L171" s="15">
        <f t="shared" si="38"/>
        <v>560</v>
      </c>
      <c r="M171" s="15" t="str">
        <f t="shared" si="39"/>
        <v/>
      </c>
      <c r="N171" s="14" t="str">
        <f t="shared" si="40"/>
        <v/>
      </c>
      <c r="O171" s="112">
        <f t="shared" si="41"/>
        <v>-32.24932249322493</v>
      </c>
      <c r="P171" s="116"/>
      <c r="Q171" s="1">
        <v>106860</v>
      </c>
      <c r="S171" s="1" t="str">
        <f t="shared" si="28"/>
        <v>80.00</v>
      </c>
      <c r="T171" s="1">
        <f t="shared" si="29"/>
        <v>560</v>
      </c>
      <c r="X171" s="16">
        <v>7</v>
      </c>
    </row>
    <row r="172" spans="1:24" s="13" customFormat="1" ht="33">
      <c r="A172" s="113">
        <v>164</v>
      </c>
      <c r="B172" s="28" t="s">
        <v>895</v>
      </c>
      <c r="C172" s="24" t="s">
        <v>828</v>
      </c>
      <c r="D172" s="28" t="s">
        <v>64</v>
      </c>
      <c r="E172" s="28" t="s">
        <v>949</v>
      </c>
      <c r="F172" s="27">
        <f t="shared" si="35"/>
        <v>70</v>
      </c>
      <c r="G172" s="114">
        <v>97</v>
      </c>
      <c r="H172" s="29">
        <f t="shared" si="36"/>
        <v>97</v>
      </c>
      <c r="I172" s="77" t="str">
        <f t="shared" si="34"/>
        <v>1.00</v>
      </c>
      <c r="J172" s="16"/>
      <c r="K172" s="15">
        <f t="shared" si="37"/>
        <v>1</v>
      </c>
      <c r="L172" s="15">
        <f t="shared" si="38"/>
        <v>70</v>
      </c>
      <c r="M172" s="15" t="str">
        <f t="shared" si="39"/>
        <v/>
      </c>
      <c r="N172" s="14" t="str">
        <f t="shared" si="40"/>
        <v/>
      </c>
      <c r="O172" s="112">
        <f t="shared" si="41"/>
        <v>-27.835051546391753</v>
      </c>
      <c r="P172" s="116"/>
      <c r="S172" s="1" t="str">
        <f>E172</f>
        <v>70.00</v>
      </c>
      <c r="T172" s="1">
        <f>S172*I172</f>
        <v>70</v>
      </c>
      <c r="X172" s="16"/>
    </row>
    <row r="173" spans="1:24" s="13" customFormat="1" ht="18.75">
      <c r="A173" s="113">
        <v>165</v>
      </c>
      <c r="B173" s="28" t="s">
        <v>959</v>
      </c>
      <c r="C173" s="24" t="s">
        <v>829</v>
      </c>
      <c r="D173" s="28" t="s">
        <v>969</v>
      </c>
      <c r="E173" s="28" t="s">
        <v>1107</v>
      </c>
      <c r="F173" s="27">
        <f t="shared" si="35"/>
        <v>2852</v>
      </c>
      <c r="G173" s="114">
        <v>60.6</v>
      </c>
      <c r="H173" s="29">
        <f t="shared" si="36"/>
        <v>3757.2000000000003</v>
      </c>
      <c r="I173" s="77" t="str">
        <f t="shared" si="34"/>
        <v>62.00</v>
      </c>
      <c r="J173" s="16"/>
      <c r="K173" s="15">
        <f t="shared" si="37"/>
        <v>62</v>
      </c>
      <c r="L173" s="15">
        <f t="shared" si="38"/>
        <v>2852</v>
      </c>
      <c r="M173" s="15" t="str">
        <f t="shared" si="39"/>
        <v/>
      </c>
      <c r="N173" s="14" t="str">
        <f t="shared" si="40"/>
        <v/>
      </c>
      <c r="O173" s="14">
        <f t="shared" si="41"/>
        <v>-24.092409240924095</v>
      </c>
      <c r="P173" s="116"/>
      <c r="S173" s="1" t="str">
        <f>E173</f>
        <v>46.00</v>
      </c>
      <c r="T173" s="1">
        <f>S173*I173</f>
        <v>2852</v>
      </c>
      <c r="X173" s="16"/>
    </row>
    <row r="174" spans="1:24" s="13" customFormat="1" ht="49.5">
      <c r="A174" s="113">
        <v>166</v>
      </c>
      <c r="B174" s="28" t="s">
        <v>960</v>
      </c>
      <c r="C174" s="24" t="s">
        <v>830</v>
      </c>
      <c r="D174" s="28" t="s">
        <v>65</v>
      </c>
      <c r="E174" s="28" t="s">
        <v>1108</v>
      </c>
      <c r="F174" s="27">
        <f t="shared" si="35"/>
        <v>8050</v>
      </c>
      <c r="G174" s="114">
        <v>442</v>
      </c>
      <c r="H174" s="29">
        <f t="shared" si="36"/>
        <v>11050</v>
      </c>
      <c r="I174" s="77" t="str">
        <f t="shared" si="34"/>
        <v>25.00</v>
      </c>
      <c r="J174" s="16"/>
      <c r="K174" s="15">
        <f t="shared" si="37"/>
        <v>25</v>
      </c>
      <c r="L174" s="15">
        <f t="shared" si="38"/>
        <v>8050</v>
      </c>
      <c r="M174" s="15" t="str">
        <f t="shared" si="39"/>
        <v/>
      </c>
      <c r="N174" s="14" t="str">
        <f t="shared" si="40"/>
        <v/>
      </c>
      <c r="O174" s="112">
        <f t="shared" si="41"/>
        <v>-27.149321266968325</v>
      </c>
      <c r="P174" s="116"/>
      <c r="Q174" s="13">
        <v>283750</v>
      </c>
      <c r="S174" s="1" t="str">
        <f>E174</f>
        <v>322.00</v>
      </c>
      <c r="T174" s="1">
        <f>S174*I174</f>
        <v>8050</v>
      </c>
      <c r="X174" s="16">
        <v>90</v>
      </c>
    </row>
    <row r="175" spans="1:24" s="13" customFormat="1" ht="66">
      <c r="A175" s="113">
        <v>167</v>
      </c>
      <c r="B175" s="28" t="s">
        <v>961</v>
      </c>
      <c r="C175" s="24" t="s">
        <v>831</v>
      </c>
      <c r="D175" s="28" t="s">
        <v>65</v>
      </c>
      <c r="E175" s="28" t="s">
        <v>1109</v>
      </c>
      <c r="F175" s="27">
        <f t="shared" si="35"/>
        <v>19320</v>
      </c>
      <c r="G175" s="114" t="s">
        <v>224</v>
      </c>
      <c r="H175" s="29">
        <f t="shared" si="36"/>
        <v>25270</v>
      </c>
      <c r="I175" s="77" t="str">
        <f t="shared" si="34"/>
        <v>35.00</v>
      </c>
      <c r="J175" s="16"/>
      <c r="K175" s="15">
        <f t="shared" si="37"/>
        <v>35</v>
      </c>
      <c r="L175" s="15">
        <f t="shared" si="38"/>
        <v>19320</v>
      </c>
      <c r="M175" s="15" t="str">
        <f t="shared" si="39"/>
        <v/>
      </c>
      <c r="N175" s="14" t="str">
        <f t="shared" si="40"/>
        <v/>
      </c>
      <c r="O175" s="14">
        <f t="shared" si="41"/>
        <v>-23.545706371191137</v>
      </c>
      <c r="P175" s="116"/>
      <c r="Q175" s="13">
        <v>283750</v>
      </c>
      <c r="S175" s="1" t="str">
        <f>E175</f>
        <v>552.00</v>
      </c>
      <c r="T175" s="1">
        <f>S175*I175</f>
        <v>19320</v>
      </c>
      <c r="X175" s="16">
        <v>3</v>
      </c>
    </row>
    <row r="176" spans="1:24" s="13" customFormat="1" ht="49.5">
      <c r="A176" s="113">
        <v>168</v>
      </c>
      <c r="B176" s="28" t="s">
        <v>223</v>
      </c>
      <c r="C176" s="24" t="s">
        <v>832</v>
      </c>
      <c r="D176" s="28" t="s">
        <v>969</v>
      </c>
      <c r="E176" s="28" t="s">
        <v>1110</v>
      </c>
      <c r="F176" s="27">
        <f t="shared" si="35"/>
        <v>13140</v>
      </c>
      <c r="G176" s="114">
        <v>325.89999999999998</v>
      </c>
      <c r="H176" s="29">
        <f t="shared" si="36"/>
        <v>19554</v>
      </c>
      <c r="I176" s="77" t="str">
        <f t="shared" si="34"/>
        <v>60.00</v>
      </c>
      <c r="J176" s="16"/>
      <c r="K176" s="15">
        <f t="shared" si="37"/>
        <v>60</v>
      </c>
      <c r="L176" s="15">
        <f t="shared" si="38"/>
        <v>13140</v>
      </c>
      <c r="M176" s="15" t="str">
        <f t="shared" si="39"/>
        <v/>
      </c>
      <c r="N176" s="14" t="str">
        <f t="shared" si="40"/>
        <v/>
      </c>
      <c r="O176" s="112">
        <f t="shared" si="41"/>
        <v>-32.801472844430805</v>
      </c>
      <c r="P176" s="116"/>
      <c r="Q176" s="13">
        <v>283750</v>
      </c>
      <c r="S176" s="1" t="str">
        <f>E176</f>
        <v>219.00</v>
      </c>
      <c r="T176" s="1">
        <f>S176*I176</f>
        <v>13140</v>
      </c>
      <c r="X176" s="16">
        <v>3</v>
      </c>
    </row>
    <row r="177" spans="1:24" ht="33">
      <c r="A177" s="113">
        <v>169</v>
      </c>
      <c r="B177" s="28" t="s">
        <v>895</v>
      </c>
      <c r="C177" s="24" t="s">
        <v>833</v>
      </c>
      <c r="D177" s="28" t="s">
        <v>64</v>
      </c>
      <c r="E177" s="28" t="s">
        <v>1111</v>
      </c>
      <c r="F177" s="27">
        <f t="shared" si="35"/>
        <v>4205</v>
      </c>
      <c r="G177" s="114">
        <v>5544</v>
      </c>
      <c r="H177" s="29">
        <f t="shared" si="36"/>
        <v>5544</v>
      </c>
      <c r="I177" s="77" t="str">
        <f t="shared" si="34"/>
        <v>1.00</v>
      </c>
      <c r="J177" s="16"/>
      <c r="K177" s="15">
        <f t="shared" si="37"/>
        <v>1</v>
      </c>
      <c r="L177" s="15">
        <f t="shared" si="38"/>
        <v>4205</v>
      </c>
      <c r="M177" s="15" t="str">
        <f t="shared" si="39"/>
        <v/>
      </c>
      <c r="N177" s="14" t="str">
        <f t="shared" si="40"/>
        <v/>
      </c>
      <c r="O177" s="14">
        <f t="shared" si="41"/>
        <v>-24.152236652236653</v>
      </c>
      <c r="P177" s="116"/>
      <c r="Q177" s="1">
        <v>130130</v>
      </c>
      <c r="S177" s="1" t="str">
        <f t="shared" si="28"/>
        <v>4205.00</v>
      </c>
      <c r="T177" s="1">
        <f t="shared" si="29"/>
        <v>4205</v>
      </c>
      <c r="X177" s="16">
        <v>50</v>
      </c>
    </row>
    <row r="178" spans="1:24" ht="33">
      <c r="A178" s="113">
        <v>170</v>
      </c>
      <c r="B178" s="28" t="s">
        <v>962</v>
      </c>
      <c r="C178" s="24" t="s">
        <v>834</v>
      </c>
      <c r="D178" s="28" t="s">
        <v>969</v>
      </c>
      <c r="E178" s="28" t="s">
        <v>1112</v>
      </c>
      <c r="F178" s="27">
        <f t="shared" si="35"/>
        <v>2800</v>
      </c>
      <c r="G178" s="114" t="s">
        <v>225</v>
      </c>
      <c r="H178" s="29">
        <f t="shared" si="36"/>
        <v>3695.0000000000005</v>
      </c>
      <c r="I178" s="77" t="str">
        <f t="shared" si="34"/>
        <v>50.00</v>
      </c>
      <c r="J178" s="16"/>
      <c r="K178" s="15">
        <f t="shared" si="37"/>
        <v>50</v>
      </c>
      <c r="L178" s="15">
        <f t="shared" si="38"/>
        <v>2800</v>
      </c>
      <c r="M178" s="15" t="str">
        <f t="shared" si="39"/>
        <v/>
      </c>
      <c r="N178" s="14" t="str">
        <f t="shared" si="40"/>
        <v/>
      </c>
      <c r="O178" s="14">
        <f t="shared" si="41"/>
        <v>-24.221921515561576</v>
      </c>
      <c r="P178" s="116"/>
      <c r="Q178" s="1">
        <f>83.697-78.055</f>
        <v>5.6419999999999959</v>
      </c>
      <c r="S178" s="1" t="str">
        <f t="shared" si="28"/>
        <v>56.00</v>
      </c>
      <c r="T178" s="1">
        <f t="shared" si="29"/>
        <v>2800</v>
      </c>
      <c r="X178" s="16">
        <v>0</v>
      </c>
    </row>
    <row r="179" spans="1:24" ht="49.5">
      <c r="A179" s="113">
        <v>171</v>
      </c>
      <c r="B179" s="28" t="s">
        <v>895</v>
      </c>
      <c r="C179" s="24" t="s">
        <v>835</v>
      </c>
      <c r="D179" s="28" t="s">
        <v>64</v>
      </c>
      <c r="E179" s="28" t="s">
        <v>1113</v>
      </c>
      <c r="F179" s="27">
        <f t="shared" si="35"/>
        <v>647</v>
      </c>
      <c r="G179" s="114">
        <v>746</v>
      </c>
      <c r="H179" s="29">
        <f t="shared" si="36"/>
        <v>746</v>
      </c>
      <c r="I179" s="77" t="str">
        <f t="shared" si="34"/>
        <v>1.00</v>
      </c>
      <c r="J179" s="16"/>
      <c r="K179" s="15">
        <f t="shared" si="37"/>
        <v>1</v>
      </c>
      <c r="L179" s="15">
        <f t="shared" si="38"/>
        <v>647</v>
      </c>
      <c r="M179" s="15" t="str">
        <f t="shared" si="39"/>
        <v/>
      </c>
      <c r="N179" s="14" t="str">
        <f t="shared" si="40"/>
        <v/>
      </c>
      <c r="O179" s="14">
        <f t="shared" si="41"/>
        <v>-13.270777479892763</v>
      </c>
      <c r="P179" s="116"/>
      <c r="S179" s="1" t="str">
        <f t="shared" si="28"/>
        <v>647.00</v>
      </c>
      <c r="T179" s="1">
        <f t="shared" si="29"/>
        <v>647</v>
      </c>
      <c r="X179" s="16"/>
    </row>
    <row r="180" spans="1:24" ht="33">
      <c r="A180" s="113">
        <v>172</v>
      </c>
      <c r="B180" s="28" t="s">
        <v>223</v>
      </c>
      <c r="C180" s="24" t="s">
        <v>836</v>
      </c>
      <c r="D180" s="28" t="s">
        <v>65</v>
      </c>
      <c r="E180" s="28" t="s">
        <v>1114</v>
      </c>
      <c r="F180" s="27">
        <f t="shared" si="35"/>
        <v>4980</v>
      </c>
      <c r="G180" s="114">
        <v>111</v>
      </c>
      <c r="H180" s="29">
        <f t="shared" si="36"/>
        <v>6660</v>
      </c>
      <c r="I180" s="77" t="str">
        <f t="shared" si="34"/>
        <v>60.00</v>
      </c>
      <c r="J180" s="16"/>
      <c r="K180" s="15">
        <f t="shared" si="37"/>
        <v>60</v>
      </c>
      <c r="L180" s="15">
        <f t="shared" si="38"/>
        <v>4980</v>
      </c>
      <c r="M180" s="15" t="str">
        <f t="shared" si="39"/>
        <v/>
      </c>
      <c r="N180" s="14" t="str">
        <f t="shared" si="40"/>
        <v/>
      </c>
      <c r="O180" s="112">
        <f t="shared" si="41"/>
        <v>-25.225225225225223</v>
      </c>
      <c r="P180" s="116"/>
      <c r="Q180" s="1">
        <v>10000</v>
      </c>
      <c r="S180" s="1" t="str">
        <f t="shared" si="28"/>
        <v>83.00</v>
      </c>
      <c r="T180" s="1">
        <f t="shared" si="29"/>
        <v>4980</v>
      </c>
      <c r="X180" s="16">
        <v>0</v>
      </c>
    </row>
    <row r="181" spans="1:24" ht="33">
      <c r="A181" s="113">
        <v>173</v>
      </c>
      <c r="B181" s="28" t="s">
        <v>942</v>
      </c>
      <c r="C181" s="24" t="s">
        <v>837</v>
      </c>
      <c r="D181" s="28" t="s">
        <v>65</v>
      </c>
      <c r="E181" s="28" t="s">
        <v>1115</v>
      </c>
      <c r="F181" s="27">
        <f t="shared" si="35"/>
        <v>27525</v>
      </c>
      <c r="G181" s="114" t="s">
        <v>226</v>
      </c>
      <c r="H181" s="29">
        <f t="shared" si="36"/>
        <v>36000</v>
      </c>
      <c r="I181" s="77" t="str">
        <f t="shared" si="34"/>
        <v>75.00</v>
      </c>
      <c r="J181" s="16"/>
      <c r="K181" s="15">
        <f t="shared" si="37"/>
        <v>75</v>
      </c>
      <c r="L181" s="15">
        <f t="shared" si="38"/>
        <v>27525</v>
      </c>
      <c r="M181" s="15" t="str">
        <f t="shared" si="39"/>
        <v/>
      </c>
      <c r="N181" s="14" t="str">
        <f t="shared" si="40"/>
        <v/>
      </c>
      <c r="O181" s="14">
        <f t="shared" si="41"/>
        <v>-23.541666666666668</v>
      </c>
      <c r="P181" s="116"/>
      <c r="Q181" s="1">
        <v>15150</v>
      </c>
      <c r="S181" s="1">
        <v>1500</v>
      </c>
      <c r="T181" s="1">
        <f t="shared" ref="T181" si="44">S181*I181</f>
        <v>112500</v>
      </c>
      <c r="X181" s="16">
        <v>34.92</v>
      </c>
    </row>
    <row r="182" spans="1:24" s="13" customFormat="1" ht="66">
      <c r="A182" s="113">
        <v>174</v>
      </c>
      <c r="B182" s="28" t="s">
        <v>943</v>
      </c>
      <c r="C182" s="24" t="s">
        <v>838</v>
      </c>
      <c r="D182" s="28" t="s">
        <v>64</v>
      </c>
      <c r="E182" s="28" t="s">
        <v>1116</v>
      </c>
      <c r="F182" s="27">
        <f t="shared" si="35"/>
        <v>5432</v>
      </c>
      <c r="G182" s="114">
        <v>1830</v>
      </c>
      <c r="H182" s="29">
        <f t="shared" si="36"/>
        <v>7320</v>
      </c>
      <c r="I182" s="77" t="str">
        <f t="shared" si="34"/>
        <v>4.00</v>
      </c>
      <c r="J182" s="16"/>
      <c r="K182" s="15">
        <f t="shared" si="37"/>
        <v>4</v>
      </c>
      <c r="L182" s="15">
        <f t="shared" si="38"/>
        <v>5432</v>
      </c>
      <c r="M182" s="15" t="str">
        <f t="shared" si="39"/>
        <v/>
      </c>
      <c r="N182" s="14" t="str">
        <f t="shared" si="40"/>
        <v/>
      </c>
      <c r="O182" s="112">
        <f t="shared" si="41"/>
        <v>-25.792349726775953</v>
      </c>
      <c r="P182" s="116"/>
      <c r="Q182" s="13">
        <v>283750</v>
      </c>
      <c r="S182" s="1" t="str">
        <f t="shared" ref="S182" si="45">E182</f>
        <v>1358.00</v>
      </c>
      <c r="T182" s="1">
        <f t="shared" ref="T182" si="46">S182*I182</f>
        <v>5432</v>
      </c>
      <c r="X182" s="16">
        <v>3</v>
      </c>
    </row>
    <row r="183" spans="1:24" s="13" customFormat="1" ht="82.5">
      <c r="A183" s="113">
        <v>175</v>
      </c>
      <c r="B183" s="28" t="s">
        <v>223</v>
      </c>
      <c r="C183" s="24" t="s">
        <v>839</v>
      </c>
      <c r="D183" s="28" t="s">
        <v>969</v>
      </c>
      <c r="E183" s="28" t="s">
        <v>1117</v>
      </c>
      <c r="F183" s="27">
        <f t="shared" si="35"/>
        <v>43740</v>
      </c>
      <c r="G183" s="114">
        <v>1491.39</v>
      </c>
      <c r="H183" s="29">
        <f t="shared" si="36"/>
        <v>89483.400000000009</v>
      </c>
      <c r="I183" s="77" t="str">
        <f t="shared" si="34"/>
        <v>60.00</v>
      </c>
      <c r="J183" s="16"/>
      <c r="K183" s="15">
        <f t="shared" si="37"/>
        <v>60</v>
      </c>
      <c r="L183" s="15">
        <f t="shared" si="38"/>
        <v>43740</v>
      </c>
      <c r="M183" s="15" t="str">
        <f t="shared" si="39"/>
        <v/>
      </c>
      <c r="N183" s="14" t="str">
        <f t="shared" si="40"/>
        <v/>
      </c>
      <c r="O183" s="112">
        <f t="shared" si="41"/>
        <v>-51.119425502383685</v>
      </c>
      <c r="P183" s="116"/>
      <c r="S183" s="1"/>
      <c r="T183" s="1"/>
      <c r="X183" s="16"/>
    </row>
    <row r="184" spans="1:24" s="13" customFormat="1" ht="66">
      <c r="A184" s="113">
        <v>176</v>
      </c>
      <c r="B184" s="28" t="s">
        <v>223</v>
      </c>
      <c r="C184" s="24" t="s">
        <v>840</v>
      </c>
      <c r="D184" s="28" t="s">
        <v>65</v>
      </c>
      <c r="E184" s="28" t="s">
        <v>1118</v>
      </c>
      <c r="F184" s="27">
        <f t="shared" si="35"/>
        <v>12360</v>
      </c>
      <c r="G184" s="114">
        <v>374.5</v>
      </c>
      <c r="H184" s="29">
        <f t="shared" si="36"/>
        <v>22470</v>
      </c>
      <c r="I184" s="77" t="str">
        <f t="shared" si="34"/>
        <v>60.00</v>
      </c>
      <c r="J184" s="16"/>
      <c r="K184" s="15">
        <f t="shared" si="37"/>
        <v>60</v>
      </c>
      <c r="L184" s="15">
        <f t="shared" si="38"/>
        <v>12360</v>
      </c>
      <c r="M184" s="15" t="str">
        <f t="shared" si="39"/>
        <v/>
      </c>
      <c r="N184" s="14" t="str">
        <f t="shared" si="40"/>
        <v/>
      </c>
      <c r="O184" s="112">
        <f t="shared" si="41"/>
        <v>-44.99332443257677</v>
      </c>
      <c r="P184" s="116"/>
      <c r="S184" s="1"/>
      <c r="T184" s="1"/>
      <c r="X184" s="16"/>
    </row>
    <row r="185" spans="1:24" s="13" customFormat="1" ht="49.5">
      <c r="A185" s="113">
        <v>177</v>
      </c>
      <c r="B185" s="28" t="s">
        <v>883</v>
      </c>
      <c r="C185" s="24" t="s">
        <v>841</v>
      </c>
      <c r="D185" s="28" t="s">
        <v>970</v>
      </c>
      <c r="E185" s="28" t="s">
        <v>1119</v>
      </c>
      <c r="F185" s="27">
        <f t="shared" si="35"/>
        <v>9168</v>
      </c>
      <c r="G185" s="114">
        <v>1909.45</v>
      </c>
      <c r="H185" s="29">
        <f t="shared" si="36"/>
        <v>15275.6</v>
      </c>
      <c r="I185" s="77" t="str">
        <f t="shared" si="34"/>
        <v>8.00</v>
      </c>
      <c r="J185" s="16"/>
      <c r="K185" s="15">
        <f t="shared" si="37"/>
        <v>8</v>
      </c>
      <c r="L185" s="15">
        <f t="shared" si="38"/>
        <v>9168</v>
      </c>
      <c r="M185" s="15" t="str">
        <f t="shared" si="39"/>
        <v/>
      </c>
      <c r="N185" s="14" t="str">
        <f t="shared" si="40"/>
        <v/>
      </c>
      <c r="O185" s="112">
        <f t="shared" si="41"/>
        <v>-39.982717536463383</v>
      </c>
      <c r="P185" s="116"/>
      <c r="Q185" s="13">
        <v>140000</v>
      </c>
      <c r="S185" s="1" t="str">
        <f>E185</f>
        <v>1146.00</v>
      </c>
      <c r="T185" s="1">
        <f t="shared" ref="T185:T190" si="47">S185*I185</f>
        <v>9168</v>
      </c>
      <c r="X185" s="16">
        <v>13</v>
      </c>
    </row>
    <row r="186" spans="1:24" s="13" customFormat="1" ht="66">
      <c r="A186" s="113">
        <v>178</v>
      </c>
      <c r="B186" s="28" t="s">
        <v>895</v>
      </c>
      <c r="C186" s="24" t="s">
        <v>842</v>
      </c>
      <c r="D186" s="28" t="s">
        <v>64</v>
      </c>
      <c r="E186" s="28" t="s">
        <v>1120</v>
      </c>
      <c r="F186" s="27">
        <f t="shared" si="35"/>
        <v>25300</v>
      </c>
      <c r="G186" s="114">
        <v>39046</v>
      </c>
      <c r="H186" s="29">
        <f t="shared" si="36"/>
        <v>39046</v>
      </c>
      <c r="I186" s="77" t="str">
        <f t="shared" si="34"/>
        <v>1.00</v>
      </c>
      <c r="J186" s="16"/>
      <c r="K186" s="15">
        <f t="shared" si="37"/>
        <v>1</v>
      </c>
      <c r="L186" s="15">
        <f t="shared" si="38"/>
        <v>25300</v>
      </c>
      <c r="M186" s="15" t="str">
        <f t="shared" si="39"/>
        <v/>
      </c>
      <c r="N186" s="14" t="str">
        <f t="shared" si="40"/>
        <v/>
      </c>
      <c r="O186" s="112">
        <f t="shared" si="41"/>
        <v>-35.204630435896121</v>
      </c>
      <c r="P186" s="116"/>
      <c r="Q186" s="13">
        <v>29050</v>
      </c>
      <c r="S186" s="1" t="str">
        <f>E186</f>
        <v>25300.00</v>
      </c>
      <c r="T186" s="1">
        <f t="shared" si="47"/>
        <v>25300</v>
      </c>
      <c r="X186" s="16">
        <v>16</v>
      </c>
    </row>
    <row r="187" spans="1:24" s="13" customFormat="1" ht="82.5">
      <c r="A187" s="113">
        <v>179</v>
      </c>
      <c r="B187" s="28" t="s">
        <v>923</v>
      </c>
      <c r="C187" s="24" t="s">
        <v>843</v>
      </c>
      <c r="D187" s="28" t="s">
        <v>64</v>
      </c>
      <c r="E187" s="28" t="s">
        <v>1121</v>
      </c>
      <c r="F187" s="27">
        <f t="shared" si="35"/>
        <v>4242</v>
      </c>
      <c r="G187" s="114" t="s">
        <v>228</v>
      </c>
      <c r="H187" s="29">
        <f t="shared" si="36"/>
        <v>5550</v>
      </c>
      <c r="I187" s="77" t="str">
        <f t="shared" si="34"/>
        <v>3.00</v>
      </c>
      <c r="J187" s="16"/>
      <c r="K187" s="15">
        <f t="shared" si="37"/>
        <v>3</v>
      </c>
      <c r="L187" s="15">
        <f t="shared" si="38"/>
        <v>4242</v>
      </c>
      <c r="M187" s="15" t="str">
        <f t="shared" si="39"/>
        <v/>
      </c>
      <c r="N187" s="14" t="str">
        <f t="shared" si="40"/>
        <v/>
      </c>
      <c r="O187" s="14">
        <f t="shared" si="41"/>
        <v>-23.567567567567568</v>
      </c>
      <c r="P187" s="116"/>
      <c r="Q187" s="13">
        <v>29050</v>
      </c>
      <c r="S187" s="1">
        <v>600</v>
      </c>
      <c r="T187" s="1">
        <f t="shared" si="47"/>
        <v>1800</v>
      </c>
      <c r="X187" s="16">
        <v>15</v>
      </c>
    </row>
    <row r="188" spans="1:24" s="13" customFormat="1" ht="66">
      <c r="A188" s="113">
        <v>180</v>
      </c>
      <c r="B188" s="28" t="s">
        <v>941</v>
      </c>
      <c r="C188" s="24" t="s">
        <v>844</v>
      </c>
      <c r="D188" s="28" t="s">
        <v>64</v>
      </c>
      <c r="E188" s="28" t="s">
        <v>1122</v>
      </c>
      <c r="F188" s="27">
        <f t="shared" si="35"/>
        <v>8792</v>
      </c>
      <c r="G188" s="114" t="s">
        <v>229</v>
      </c>
      <c r="H188" s="29">
        <f t="shared" si="36"/>
        <v>11500</v>
      </c>
      <c r="I188" s="77" t="str">
        <f t="shared" si="34"/>
        <v>2.00</v>
      </c>
      <c r="J188" s="16"/>
      <c r="K188" s="15">
        <f t="shared" si="37"/>
        <v>2</v>
      </c>
      <c r="L188" s="15">
        <f t="shared" si="38"/>
        <v>8792</v>
      </c>
      <c r="M188" s="15" t="str">
        <f t="shared" si="39"/>
        <v/>
      </c>
      <c r="N188" s="14" t="str">
        <f t="shared" si="40"/>
        <v/>
      </c>
      <c r="O188" s="14">
        <f t="shared" si="41"/>
        <v>-23.547826086956523</v>
      </c>
      <c r="P188" s="116"/>
      <c r="Q188" s="13">
        <v>29050</v>
      </c>
      <c r="S188" s="1">
        <v>900</v>
      </c>
      <c r="T188" s="1">
        <f t="shared" si="47"/>
        <v>1800</v>
      </c>
      <c r="X188" s="16">
        <v>7</v>
      </c>
    </row>
    <row r="189" spans="1:24" s="13" customFormat="1" ht="49.5">
      <c r="A189" s="113">
        <v>181</v>
      </c>
      <c r="B189" s="28" t="s">
        <v>223</v>
      </c>
      <c r="C189" s="24" t="s">
        <v>845</v>
      </c>
      <c r="D189" s="28" t="s">
        <v>64</v>
      </c>
      <c r="E189" s="28" t="s">
        <v>1123</v>
      </c>
      <c r="F189" s="27">
        <f t="shared" si="35"/>
        <v>27540</v>
      </c>
      <c r="G189" s="114" t="s">
        <v>230</v>
      </c>
      <c r="H189" s="29">
        <f t="shared" si="36"/>
        <v>36000</v>
      </c>
      <c r="I189" s="77" t="str">
        <f t="shared" si="34"/>
        <v>60.00</v>
      </c>
      <c r="J189" s="16"/>
      <c r="K189" s="15">
        <f t="shared" si="37"/>
        <v>60</v>
      </c>
      <c r="L189" s="15">
        <f t="shared" si="38"/>
        <v>27540</v>
      </c>
      <c r="M189" s="15" t="str">
        <f t="shared" si="39"/>
        <v/>
      </c>
      <c r="N189" s="14" t="str">
        <f t="shared" si="40"/>
        <v/>
      </c>
      <c r="O189" s="14">
        <f t="shared" si="41"/>
        <v>-23.5</v>
      </c>
      <c r="P189" s="116"/>
      <c r="Q189" s="13">
        <v>29050</v>
      </c>
      <c r="S189" s="1" t="str">
        <f>E189</f>
        <v>459.00</v>
      </c>
      <c r="T189" s="1">
        <f t="shared" si="47"/>
        <v>27540</v>
      </c>
      <c r="X189" s="16"/>
    </row>
    <row r="190" spans="1:24" s="13" customFormat="1" ht="33">
      <c r="A190" s="113">
        <v>182</v>
      </c>
      <c r="B190" s="28" t="s">
        <v>895</v>
      </c>
      <c r="C190" s="24" t="s">
        <v>846</v>
      </c>
      <c r="D190" s="28" t="s">
        <v>64</v>
      </c>
      <c r="E190" s="28" t="s">
        <v>1124</v>
      </c>
      <c r="F190" s="27">
        <f t="shared" si="35"/>
        <v>3211</v>
      </c>
      <c r="G190" s="114" t="s">
        <v>231</v>
      </c>
      <c r="H190" s="29">
        <f t="shared" si="36"/>
        <v>4200</v>
      </c>
      <c r="I190" s="77" t="str">
        <f t="shared" si="34"/>
        <v>1.00</v>
      </c>
      <c r="J190" s="16"/>
      <c r="K190" s="15">
        <f t="shared" si="37"/>
        <v>1</v>
      </c>
      <c r="L190" s="15">
        <f t="shared" si="38"/>
        <v>3211</v>
      </c>
      <c r="M190" s="15" t="str">
        <f t="shared" si="39"/>
        <v/>
      </c>
      <c r="N190" s="14" t="str">
        <f t="shared" si="40"/>
        <v/>
      </c>
      <c r="O190" s="14">
        <f t="shared" si="41"/>
        <v>-23.547619047619047</v>
      </c>
      <c r="P190" s="116"/>
      <c r="Q190" s="13">
        <v>29050</v>
      </c>
      <c r="S190" s="1" t="str">
        <f>E190</f>
        <v>3211.00</v>
      </c>
      <c r="T190" s="1">
        <f t="shared" si="47"/>
        <v>3211</v>
      </c>
      <c r="X190" s="16">
        <v>132</v>
      </c>
    </row>
    <row r="191" spans="1:24" s="13" customFormat="1" ht="49.5">
      <c r="A191" s="113">
        <v>183</v>
      </c>
      <c r="B191" s="28" t="s">
        <v>903</v>
      </c>
      <c r="C191" s="24" t="s">
        <v>847</v>
      </c>
      <c r="D191" s="28" t="s">
        <v>64</v>
      </c>
      <c r="E191" s="28" t="s">
        <v>1125</v>
      </c>
      <c r="F191" s="27">
        <f t="shared" si="35"/>
        <v>12840</v>
      </c>
      <c r="G191" s="114" t="s">
        <v>232</v>
      </c>
      <c r="H191" s="29">
        <f t="shared" si="36"/>
        <v>16800</v>
      </c>
      <c r="I191" s="77" t="str">
        <f t="shared" si="34"/>
        <v>20.00</v>
      </c>
      <c r="J191" s="16"/>
      <c r="K191" s="15">
        <f t="shared" si="37"/>
        <v>20</v>
      </c>
      <c r="L191" s="15">
        <f t="shared" si="38"/>
        <v>12840</v>
      </c>
      <c r="M191" s="15" t="str">
        <f t="shared" si="39"/>
        <v/>
      </c>
      <c r="N191" s="14" t="str">
        <f t="shared" si="40"/>
        <v/>
      </c>
      <c r="O191" s="14">
        <f t="shared" si="41"/>
        <v>-23.571428571428569</v>
      </c>
      <c r="P191" s="116"/>
      <c r="S191" s="1"/>
      <c r="T191" s="1"/>
      <c r="X191" s="16"/>
    </row>
    <row r="192" spans="1:24" s="13" customFormat="1" ht="18.75">
      <c r="A192" s="113">
        <v>184</v>
      </c>
      <c r="B192" s="28" t="s">
        <v>963</v>
      </c>
      <c r="C192" s="24" t="s">
        <v>848</v>
      </c>
      <c r="D192" s="28" t="s">
        <v>64</v>
      </c>
      <c r="E192" s="28" t="s">
        <v>1126</v>
      </c>
      <c r="F192" s="27">
        <f t="shared" si="35"/>
        <v>8250</v>
      </c>
      <c r="G192" s="114" t="s">
        <v>233</v>
      </c>
      <c r="H192" s="29">
        <f t="shared" si="36"/>
        <v>10800</v>
      </c>
      <c r="I192" s="77" t="str">
        <f t="shared" si="34"/>
        <v>15.00</v>
      </c>
      <c r="J192" s="16"/>
      <c r="K192" s="15">
        <f t="shared" si="37"/>
        <v>15</v>
      </c>
      <c r="L192" s="15">
        <f t="shared" si="38"/>
        <v>8250</v>
      </c>
      <c r="M192" s="15" t="str">
        <f t="shared" si="39"/>
        <v/>
      </c>
      <c r="N192" s="14" t="str">
        <f t="shared" si="40"/>
        <v/>
      </c>
      <c r="O192" s="14">
        <f t="shared" si="41"/>
        <v>-23.611111111111111</v>
      </c>
      <c r="P192" s="116"/>
      <c r="S192" s="1"/>
      <c r="T192" s="1"/>
      <c r="X192" s="16"/>
    </row>
    <row r="193" spans="1:24" s="13" customFormat="1" ht="49.5">
      <c r="A193" s="113">
        <v>185</v>
      </c>
      <c r="B193" s="28" t="s">
        <v>964</v>
      </c>
      <c r="C193" s="24" t="s">
        <v>849</v>
      </c>
      <c r="D193" s="28" t="s">
        <v>64</v>
      </c>
      <c r="E193" s="28" t="s">
        <v>1127</v>
      </c>
      <c r="F193" s="27">
        <f t="shared" si="35"/>
        <v>7105</v>
      </c>
      <c r="G193" s="114" t="s">
        <v>234</v>
      </c>
      <c r="H193" s="29">
        <f t="shared" si="36"/>
        <v>9280</v>
      </c>
      <c r="I193" s="77" t="str">
        <f t="shared" si="34"/>
        <v>29.00</v>
      </c>
      <c r="J193" s="16"/>
      <c r="K193" s="15">
        <f t="shared" si="37"/>
        <v>29</v>
      </c>
      <c r="L193" s="15">
        <f t="shared" si="38"/>
        <v>7105</v>
      </c>
      <c r="M193" s="15" t="str">
        <f t="shared" si="39"/>
        <v/>
      </c>
      <c r="N193" s="14" t="str">
        <f t="shared" si="40"/>
        <v/>
      </c>
      <c r="O193" s="14">
        <f t="shared" si="41"/>
        <v>-23.4375</v>
      </c>
      <c r="P193" s="116"/>
      <c r="S193" s="1"/>
      <c r="T193" s="1"/>
      <c r="X193" s="16"/>
    </row>
    <row r="194" spans="1:24" s="13" customFormat="1" ht="18.75">
      <c r="A194" s="113">
        <v>186</v>
      </c>
      <c r="B194" s="28" t="s">
        <v>895</v>
      </c>
      <c r="C194" s="24" t="s">
        <v>850</v>
      </c>
      <c r="D194" s="28" t="s">
        <v>64</v>
      </c>
      <c r="E194" s="28" t="s">
        <v>1128</v>
      </c>
      <c r="F194" s="27">
        <f t="shared" si="35"/>
        <v>344</v>
      </c>
      <c r="G194" s="114" t="s">
        <v>235</v>
      </c>
      <c r="H194" s="29">
        <f t="shared" si="36"/>
        <v>450</v>
      </c>
      <c r="I194" s="77" t="str">
        <f t="shared" si="34"/>
        <v>1.00</v>
      </c>
      <c r="J194" s="16"/>
      <c r="K194" s="15">
        <f t="shared" si="37"/>
        <v>1</v>
      </c>
      <c r="L194" s="15">
        <f t="shared" si="38"/>
        <v>344</v>
      </c>
      <c r="M194" s="15" t="str">
        <f t="shared" si="39"/>
        <v/>
      </c>
      <c r="N194" s="14" t="str">
        <f t="shared" si="40"/>
        <v/>
      </c>
      <c r="O194" s="14">
        <f t="shared" si="41"/>
        <v>-23.555555555555554</v>
      </c>
      <c r="P194" s="116"/>
      <c r="S194" s="1"/>
      <c r="T194" s="1"/>
      <c r="X194" s="16"/>
    </row>
    <row r="195" spans="1:24" s="13" customFormat="1" ht="66">
      <c r="A195" s="113">
        <v>187</v>
      </c>
      <c r="B195" s="28" t="s">
        <v>965</v>
      </c>
      <c r="C195" s="24" t="s">
        <v>851</v>
      </c>
      <c r="D195" s="28" t="s">
        <v>63</v>
      </c>
      <c r="E195" s="28" t="s">
        <v>1129</v>
      </c>
      <c r="F195" s="27">
        <f t="shared" si="35"/>
        <v>35910</v>
      </c>
      <c r="G195" s="114">
        <v>918.23</v>
      </c>
      <c r="H195" s="29">
        <f t="shared" si="36"/>
        <v>52339.11</v>
      </c>
      <c r="I195" s="77" t="str">
        <f t="shared" si="34"/>
        <v>57.00</v>
      </c>
      <c r="J195" s="16"/>
      <c r="K195" s="15">
        <f t="shared" si="37"/>
        <v>57</v>
      </c>
      <c r="L195" s="15">
        <f t="shared" si="38"/>
        <v>35910</v>
      </c>
      <c r="M195" s="15" t="str">
        <f t="shared" si="39"/>
        <v/>
      </c>
      <c r="N195" s="14" t="str">
        <f t="shared" si="40"/>
        <v/>
      </c>
      <c r="O195" s="112">
        <f t="shared" si="41"/>
        <v>-31.3897389542925</v>
      </c>
      <c r="P195" s="116"/>
      <c r="S195" s="1"/>
      <c r="T195" s="1"/>
      <c r="X195" s="16"/>
    </row>
    <row r="196" spans="1:24" s="13" customFormat="1" ht="66">
      <c r="A196" s="113">
        <v>188</v>
      </c>
      <c r="B196" s="28" t="s">
        <v>963</v>
      </c>
      <c r="C196" s="24" t="s">
        <v>852</v>
      </c>
      <c r="D196" s="28" t="s">
        <v>64</v>
      </c>
      <c r="E196" s="28" t="s">
        <v>214</v>
      </c>
      <c r="F196" s="27">
        <f t="shared" si="35"/>
        <v>6675</v>
      </c>
      <c r="G196" s="114">
        <v>636.53</v>
      </c>
      <c r="H196" s="29">
        <f>G196*B196</f>
        <v>9547.9499999999989</v>
      </c>
      <c r="I196" s="77" t="str">
        <f t="shared" si="34"/>
        <v>15.00</v>
      </c>
      <c r="J196" s="16"/>
      <c r="K196" s="15">
        <f t="shared" si="37"/>
        <v>15</v>
      </c>
      <c r="L196" s="15">
        <f t="shared" si="38"/>
        <v>6675</v>
      </c>
      <c r="M196" s="15" t="str">
        <f t="shared" si="39"/>
        <v/>
      </c>
      <c r="N196" s="14" t="str">
        <f t="shared" si="40"/>
        <v/>
      </c>
      <c r="O196" s="112">
        <f t="shared" si="41"/>
        <v>-30.089705119947212</v>
      </c>
      <c r="P196" s="116"/>
      <c r="S196" s="1"/>
      <c r="T196" s="1"/>
      <c r="X196" s="16"/>
    </row>
    <row r="197" spans="1:24" s="37" customFormat="1" ht="18.75">
      <c r="A197" s="127"/>
      <c r="B197" s="32"/>
      <c r="C197" s="19" t="s">
        <v>79</v>
      </c>
      <c r="D197" s="33"/>
      <c r="E197" s="34"/>
      <c r="F197" s="35">
        <f>SUM(F9:F196)</f>
        <v>8933289.7280000001</v>
      </c>
      <c r="G197" s="35"/>
      <c r="H197" s="104">
        <f>SUM(H9:H196)+0.05</f>
        <v>12719308.760999998</v>
      </c>
      <c r="I197" s="78"/>
      <c r="J197" s="36"/>
      <c r="K197" s="107"/>
      <c r="L197" s="104">
        <f>SUM(L9:L196)+0.05</f>
        <v>8933289.7780000009</v>
      </c>
      <c r="M197" s="104">
        <f>SUM(M9:M196)+0.05</f>
        <v>0.05</v>
      </c>
      <c r="N197" s="104">
        <f>SUM(N9:N196)+0.05</f>
        <v>0.05</v>
      </c>
      <c r="O197" s="35"/>
      <c r="P197" s="117"/>
      <c r="S197" s="8"/>
      <c r="T197" s="8"/>
    </row>
    <row r="198" spans="1:24" s="13" customFormat="1" ht="18.75">
      <c r="A198" s="118"/>
      <c r="B198" s="14"/>
      <c r="C198" s="25" t="s">
        <v>80</v>
      </c>
      <c r="D198" s="17"/>
      <c r="E198" s="16"/>
      <c r="F198" s="15">
        <f>F197*0.12</f>
        <v>1071994.7673599999</v>
      </c>
      <c r="G198" s="15"/>
      <c r="H198" s="15">
        <f>H197*0.12</f>
        <v>1526317.0513199996</v>
      </c>
      <c r="I198" s="16"/>
      <c r="J198" s="16"/>
      <c r="K198" s="15"/>
      <c r="L198" s="15">
        <f>L197*0.12</f>
        <v>1071994.77336</v>
      </c>
      <c r="M198" s="15">
        <f>M197*0.12</f>
        <v>6.0000000000000001E-3</v>
      </c>
      <c r="N198" s="15">
        <f>N197*0.12</f>
        <v>6.0000000000000001E-3</v>
      </c>
      <c r="O198" s="15"/>
      <c r="P198" s="119"/>
      <c r="T198" s="13">
        <f>SUM(T10:T196)</f>
        <v>9135259.9280000012</v>
      </c>
    </row>
    <row r="199" spans="1:24" ht="27.75" customHeight="1">
      <c r="A199" s="120"/>
      <c r="B199" s="128"/>
      <c r="C199" s="121" t="s">
        <v>11</v>
      </c>
      <c r="D199" s="122"/>
      <c r="E199" s="123"/>
      <c r="F199" s="124">
        <f>SUM(F197:F198)</f>
        <v>10005284.49536</v>
      </c>
      <c r="G199" s="124"/>
      <c r="H199" s="124">
        <f>SUM(H197:H198)</f>
        <v>14245625.812319998</v>
      </c>
      <c r="I199" s="123"/>
      <c r="J199" s="123"/>
      <c r="K199" s="125"/>
      <c r="L199" s="124">
        <f>SUM(L197:L198)</f>
        <v>10005284.55136</v>
      </c>
      <c r="M199" s="124">
        <f>SUM(M197:M198)</f>
        <v>5.6000000000000001E-2</v>
      </c>
      <c r="N199" s="124">
        <f>SUM(N197:N198)</f>
        <v>5.6000000000000001E-2</v>
      </c>
      <c r="O199" s="124"/>
      <c r="P199" s="126"/>
      <c r="Q199" s="1">
        <f>SUM(Q9:Q196)</f>
        <v>44592672.971999995</v>
      </c>
      <c r="U199" s="18"/>
    </row>
    <row r="200" spans="1:24" s="8" customFormat="1" ht="18.75">
      <c r="A200" s="10"/>
      <c r="B200" s="10"/>
      <c r="C200" s="106"/>
      <c r="D200" s="11"/>
      <c r="E200" s="11"/>
      <c r="F200" s="7"/>
      <c r="G200" s="7"/>
      <c r="H200" s="7"/>
      <c r="I200" s="11"/>
      <c r="J200" s="11"/>
      <c r="K200" s="4"/>
      <c r="L200" s="4"/>
      <c r="M200" s="10"/>
      <c r="N200" s="7"/>
      <c r="O200" s="7"/>
      <c r="P200" s="76"/>
      <c r="U200" s="18"/>
    </row>
    <row r="201" spans="1:24" s="8" customFormat="1" ht="18.75">
      <c r="A201" s="10"/>
      <c r="B201" s="10"/>
      <c r="C201" s="12"/>
      <c r="D201" s="11"/>
      <c r="E201" s="11"/>
      <c r="F201" s="4"/>
      <c r="G201" s="4"/>
      <c r="H201" s="4"/>
      <c r="I201" s="11"/>
      <c r="J201" s="11"/>
      <c r="K201" s="4"/>
      <c r="L201" s="4">
        <f>F199-L199</f>
        <v>-5.5999999865889549E-2</v>
      </c>
      <c r="M201" s="10"/>
      <c r="N201" s="7"/>
      <c r="O201" s="7"/>
      <c r="P201" s="76"/>
      <c r="U201" s="18"/>
    </row>
    <row r="202" spans="1:24" s="8" customFormat="1" ht="18.75">
      <c r="A202" s="10"/>
      <c r="B202" s="10"/>
      <c r="C202" s="12"/>
      <c r="D202" s="11"/>
      <c r="E202" s="11"/>
      <c r="F202" s="4"/>
      <c r="G202" s="4"/>
      <c r="H202" s="4"/>
      <c r="I202" s="11"/>
      <c r="J202" s="11"/>
      <c r="K202" s="4"/>
      <c r="L202" s="4"/>
      <c r="M202" s="4"/>
      <c r="N202" s="10"/>
      <c r="O202" s="10"/>
      <c r="P202" s="76"/>
      <c r="Q202" s="8">
        <f>M199-N199</f>
        <v>0</v>
      </c>
      <c r="U202" s="18"/>
    </row>
    <row r="203" spans="1:24" s="8" customFormat="1" ht="23.25" customHeight="1">
      <c r="A203" s="10" t="s">
        <v>10</v>
      </c>
      <c r="B203" s="10"/>
      <c r="C203" s="12"/>
      <c r="D203" s="11" t="s">
        <v>0</v>
      </c>
      <c r="E203" s="11">
        <v>12433000</v>
      </c>
      <c r="F203" s="11"/>
      <c r="G203" s="11"/>
      <c r="H203" s="11"/>
      <c r="I203" s="7"/>
      <c r="J203" s="485" t="s">
        <v>9</v>
      </c>
      <c r="K203" s="485"/>
      <c r="L203" s="485"/>
      <c r="M203" s="485"/>
      <c r="N203" s="11">
        <f>M199</f>
        <v>5.6000000000000001E-2</v>
      </c>
      <c r="O203" s="11"/>
      <c r="P203" s="9"/>
      <c r="Q203" s="13"/>
      <c r="U203" s="18"/>
    </row>
    <row r="204" spans="1:24" ht="23.25" customHeight="1">
      <c r="A204" s="502" t="s">
        <v>8</v>
      </c>
      <c r="B204" s="502"/>
      <c r="C204" s="502"/>
      <c r="D204" s="11" t="s">
        <v>0</v>
      </c>
      <c r="E204" s="11">
        <v>12400000</v>
      </c>
      <c r="F204" s="4"/>
      <c r="G204" s="4"/>
      <c r="H204" s="4"/>
      <c r="I204" s="4"/>
      <c r="J204" s="485" t="s">
        <v>7</v>
      </c>
      <c r="K204" s="485"/>
      <c r="L204" s="485"/>
      <c r="M204" s="485"/>
      <c r="N204" s="4">
        <f>N199</f>
        <v>5.6000000000000001E-2</v>
      </c>
      <c r="O204" s="4"/>
      <c r="P204" s="6"/>
      <c r="Q204" s="79"/>
      <c r="U204" s="18"/>
    </row>
    <row r="205" spans="1:24" ht="23.25" customHeight="1">
      <c r="A205" s="502" t="s">
        <v>6</v>
      </c>
      <c r="B205" s="502"/>
      <c r="C205" s="502"/>
      <c r="D205" s="11" t="s">
        <v>0</v>
      </c>
      <c r="E205" s="11">
        <v>12107763.609999999</v>
      </c>
      <c r="F205" s="4"/>
      <c r="G205" s="4"/>
      <c r="H205" s="4"/>
      <c r="I205" s="4"/>
      <c r="J205" s="485" t="s">
        <v>193</v>
      </c>
      <c r="K205" s="485"/>
      <c r="L205" s="485"/>
      <c r="M205" s="485"/>
      <c r="N205" s="4">
        <f>N204-N203</f>
        <v>0</v>
      </c>
      <c r="O205" s="4"/>
      <c r="P205" s="6"/>
      <c r="Q205" s="79"/>
      <c r="U205" s="17"/>
    </row>
    <row r="206" spans="1:24" ht="23.25" customHeight="1">
      <c r="A206" s="502" t="s">
        <v>5</v>
      </c>
      <c r="B206" s="502"/>
      <c r="C206" s="502"/>
      <c r="D206" s="11" t="s">
        <v>0</v>
      </c>
      <c r="E206" s="4">
        <v>8755105.7899999991</v>
      </c>
      <c r="F206" s="4"/>
      <c r="G206" s="4"/>
      <c r="H206" s="4"/>
      <c r="I206" s="4"/>
      <c r="J206" s="4"/>
      <c r="K206" s="4"/>
      <c r="L206" s="4"/>
      <c r="M206" s="4"/>
      <c r="N206" s="4"/>
      <c r="O206" s="4"/>
      <c r="P206" s="6"/>
      <c r="Q206" s="79"/>
    </row>
    <row r="207" spans="1:24" ht="23.25" customHeight="1">
      <c r="A207" s="502" t="s">
        <v>4</v>
      </c>
      <c r="B207" s="502"/>
      <c r="C207" s="502"/>
      <c r="D207" s="11" t="s">
        <v>0</v>
      </c>
      <c r="E207" s="4">
        <f>E205-E206</f>
        <v>3352657.8200000003</v>
      </c>
      <c r="F207" s="4"/>
      <c r="G207" s="4"/>
      <c r="H207" s="4"/>
      <c r="I207" s="4"/>
      <c r="J207" s="4"/>
      <c r="K207" s="4"/>
      <c r="L207" s="7"/>
      <c r="M207" s="4"/>
      <c r="N207" s="4"/>
      <c r="O207" s="4"/>
      <c r="P207" s="6"/>
      <c r="Q207" s="79"/>
    </row>
    <row r="208" spans="1:24" ht="23.25" customHeight="1">
      <c r="A208" s="502" t="s">
        <v>3</v>
      </c>
      <c r="B208" s="502"/>
      <c r="C208" s="502"/>
      <c r="D208" s="11"/>
      <c r="E208" s="108">
        <f>E207/E205</f>
        <v>0.27690149295869848</v>
      </c>
      <c r="F208" s="4"/>
      <c r="G208" s="4"/>
      <c r="H208" s="4"/>
      <c r="I208" s="4"/>
      <c r="J208" s="4"/>
      <c r="K208" s="4"/>
      <c r="L208" s="4"/>
      <c r="M208" s="4"/>
      <c r="N208" s="4"/>
      <c r="O208" s="4"/>
      <c r="P208" s="6"/>
      <c r="Q208" s="79"/>
    </row>
    <row r="209" spans="1:17" ht="23.25" customHeight="1">
      <c r="A209" s="502" t="s">
        <v>90</v>
      </c>
      <c r="B209" s="502"/>
      <c r="C209" s="502"/>
      <c r="D209" s="11" t="s">
        <v>0</v>
      </c>
      <c r="E209" s="4">
        <f>L199</f>
        <v>10005284.55136</v>
      </c>
      <c r="F209" s="4"/>
      <c r="G209" s="4"/>
      <c r="H209" s="4"/>
      <c r="I209" s="4"/>
      <c r="J209" s="4"/>
      <c r="K209" s="4"/>
      <c r="L209" s="4"/>
      <c r="M209" s="4"/>
      <c r="N209" s="111"/>
      <c r="O209" s="111"/>
      <c r="P209" s="6"/>
      <c r="Q209" s="79"/>
    </row>
    <row r="210" spans="1:17" ht="23.25" customHeight="1">
      <c r="A210" s="502" t="s">
        <v>2</v>
      </c>
      <c r="B210" s="502"/>
      <c r="C210" s="502"/>
      <c r="D210" s="11" t="s">
        <v>0</v>
      </c>
      <c r="E210" s="4">
        <f>M199</f>
        <v>5.6000000000000001E-2</v>
      </c>
      <c r="F210" s="4"/>
      <c r="G210" s="4"/>
      <c r="H210" s="4"/>
      <c r="I210" s="4"/>
      <c r="J210" s="4"/>
      <c r="K210" s="4"/>
      <c r="L210" s="4"/>
      <c r="M210" s="4"/>
      <c r="N210" s="4"/>
      <c r="O210" s="4"/>
      <c r="P210" s="6"/>
      <c r="Q210" s="79"/>
    </row>
    <row r="211" spans="1:17" ht="23.25" customHeight="1">
      <c r="A211" s="502" t="s">
        <v>1</v>
      </c>
      <c r="B211" s="502"/>
      <c r="C211" s="502"/>
      <c r="D211" s="11" t="s">
        <v>0</v>
      </c>
      <c r="E211" s="4">
        <f>N199</f>
        <v>5.6000000000000001E-2</v>
      </c>
      <c r="F211" s="4"/>
      <c r="G211" s="4"/>
      <c r="H211" s="4"/>
      <c r="I211" s="4"/>
      <c r="J211" s="4"/>
      <c r="K211" s="4"/>
      <c r="L211" s="4"/>
      <c r="M211" s="4"/>
      <c r="N211" s="4"/>
      <c r="O211" s="4"/>
      <c r="P211" s="6"/>
      <c r="Q211" s="79"/>
    </row>
    <row r="212" spans="1:17" ht="23.25" customHeight="1">
      <c r="A212" s="501" t="s">
        <v>194</v>
      </c>
      <c r="B212" s="501"/>
      <c r="C212" s="501"/>
      <c r="D212" s="11" t="s">
        <v>0</v>
      </c>
      <c r="E212" s="7">
        <f>E206-E209</f>
        <v>-1250178.7613600008</v>
      </c>
      <c r="F212" s="7"/>
      <c r="G212" s="7"/>
      <c r="H212" s="7"/>
      <c r="I212" s="4"/>
      <c r="J212" s="4"/>
      <c r="K212" s="4"/>
      <c r="L212" s="4"/>
      <c r="M212" s="4"/>
      <c r="N212" s="4"/>
      <c r="O212" s="4"/>
      <c r="P212" s="6"/>
      <c r="Q212" s="79"/>
    </row>
    <row r="213" spans="1:17" ht="23.25" customHeight="1">
      <c r="A213" s="501" t="s">
        <v>195</v>
      </c>
      <c r="B213" s="501"/>
      <c r="C213" s="501"/>
      <c r="D213" s="11" t="s">
        <v>0</v>
      </c>
      <c r="E213" s="109">
        <f>E212/E206</f>
        <v>-0.14279424958953019</v>
      </c>
      <c r="F213" s="109"/>
      <c r="G213" s="109"/>
      <c r="H213" s="109"/>
      <c r="I213" s="4"/>
      <c r="J213" s="4"/>
      <c r="K213" s="4"/>
      <c r="L213" s="4"/>
      <c r="M213" s="4"/>
      <c r="N213" s="4"/>
      <c r="O213" s="4"/>
      <c r="P213" s="6"/>
      <c r="Q213" s="79"/>
    </row>
    <row r="214" spans="1:17" ht="23.25" customHeight="1">
      <c r="A214" s="501" t="s">
        <v>92</v>
      </c>
      <c r="B214" s="501"/>
      <c r="C214" s="501"/>
      <c r="D214" s="11" t="s">
        <v>0</v>
      </c>
      <c r="E214" s="7">
        <f>E205-L199</f>
        <v>2102479.0586399995</v>
      </c>
      <c r="F214" s="7"/>
      <c r="G214" s="7"/>
      <c r="H214" s="7"/>
      <c r="I214" s="4"/>
      <c r="J214" s="4"/>
      <c r="K214" s="4"/>
      <c r="L214" s="4"/>
      <c r="M214" s="4"/>
      <c r="N214" s="4"/>
      <c r="O214" s="4"/>
      <c r="P214" s="6"/>
      <c r="Q214" s="79"/>
    </row>
    <row r="215" spans="1:17" ht="23.25" customHeight="1">
      <c r="A215" s="501" t="s">
        <v>93</v>
      </c>
      <c r="B215" s="501"/>
      <c r="C215" s="501"/>
      <c r="D215" s="110" t="s">
        <v>91</v>
      </c>
      <c r="E215" s="7">
        <f>((E205-L199)/E205)*100</f>
        <v>17.364718426642618</v>
      </c>
      <c r="F215" s="7"/>
      <c r="G215" s="7"/>
      <c r="H215" s="7"/>
      <c r="I215" s="4"/>
      <c r="J215" s="4"/>
      <c r="K215" s="4"/>
      <c r="L215" s="4"/>
      <c r="M215" s="4"/>
      <c r="N215" s="4"/>
      <c r="O215" s="4"/>
      <c r="P215" s="6"/>
      <c r="Q215" s="79"/>
    </row>
    <row r="216" spans="1:17" ht="18.75">
      <c r="A216" s="7"/>
      <c r="B216" s="7"/>
      <c r="C216" s="106"/>
      <c r="D216" s="4"/>
      <c r="E216" s="4"/>
      <c r="F216" s="4"/>
      <c r="G216" s="4"/>
      <c r="H216" s="4"/>
      <c r="I216" s="4"/>
      <c r="J216" s="4"/>
      <c r="K216" s="4"/>
      <c r="L216" s="4"/>
      <c r="M216" s="4"/>
      <c r="N216" s="4"/>
      <c r="O216" s="4"/>
      <c r="P216" s="5"/>
    </row>
    <row r="222" spans="1:17" ht="18.75">
      <c r="N222" s="4">
        <v>1117822.1207999999</v>
      </c>
      <c r="O222" s="4"/>
    </row>
    <row r="226" spans="3:11" ht="19.5" thickBot="1">
      <c r="K226" s="26">
        <v>4670546.4287999999</v>
      </c>
    </row>
    <row r="229" spans="3:11">
      <c r="C229" s="2">
        <f>8*0.68*2.01</f>
        <v>10.9344</v>
      </c>
    </row>
  </sheetData>
  <autoFilter ref="O1:O229"/>
  <mergeCells count="42">
    <mergeCell ref="A214:C214"/>
    <mergeCell ref="A215:C215"/>
    <mergeCell ref="A3:B3"/>
    <mergeCell ref="A5:B5"/>
    <mergeCell ref="A209:C209"/>
    <mergeCell ref="A210:C210"/>
    <mergeCell ref="A208:C208"/>
    <mergeCell ref="A207:C207"/>
    <mergeCell ref="A204:C204"/>
    <mergeCell ref="A205:C205"/>
    <mergeCell ref="A206:C206"/>
    <mergeCell ref="B7:B8"/>
    <mergeCell ref="A213:C213"/>
    <mergeCell ref="A211:C211"/>
    <mergeCell ref="A212:C212"/>
    <mergeCell ref="A2:P2"/>
    <mergeCell ref="P7:P8"/>
    <mergeCell ref="D7:F7"/>
    <mergeCell ref="I7:I8"/>
    <mergeCell ref="J7:J8"/>
    <mergeCell ref="K7:K8"/>
    <mergeCell ref="N6:Q6"/>
    <mergeCell ref="L7:L8"/>
    <mergeCell ref="A7:A8"/>
    <mergeCell ref="C7:C8"/>
    <mergeCell ref="A4:C4"/>
    <mergeCell ref="J205:M205"/>
    <mergeCell ref="M7:N7"/>
    <mergeCell ref="A1:P1"/>
    <mergeCell ref="D4:I4"/>
    <mergeCell ref="D5:I5"/>
    <mergeCell ref="D6:I6"/>
    <mergeCell ref="G7:G8"/>
    <mergeCell ref="H7:H8"/>
    <mergeCell ref="O7:O8"/>
    <mergeCell ref="J203:M203"/>
    <mergeCell ref="J204:M204"/>
    <mergeCell ref="D3:I3"/>
    <mergeCell ref="J3:M3"/>
    <mergeCell ref="J4:M4"/>
    <mergeCell ref="J5:M5"/>
    <mergeCell ref="J6:M6"/>
  </mergeCells>
  <pageMargins left="0.78" right="0.32" top="0.6" bottom="0.43" header="0.19" footer="0.18"/>
  <pageSetup paperSize="9" scale="41" fitToHeight="0" orientation="landscape" verticalDpi="300" r:id="rId1"/>
</worksheet>
</file>

<file path=xl/worksheets/sheet4.xml><?xml version="1.0" encoding="utf-8"?>
<worksheet xmlns="http://schemas.openxmlformats.org/spreadsheetml/2006/main" xmlns:r="http://schemas.openxmlformats.org/officeDocument/2006/relationships">
  <sheetPr>
    <tabColor rgb="FFFF0000"/>
    <pageSetUpPr fitToPage="1"/>
  </sheetPr>
  <dimension ref="A1:X108"/>
  <sheetViews>
    <sheetView showZeros="0" view="pageBreakPreview" topLeftCell="B1" zoomScale="87" zoomScaleSheetLayoutView="87" workbookViewId="0">
      <pane ySplit="5" topLeftCell="A87" activePane="bottomLeft" state="frozen"/>
      <selection pane="bottomLeft" activeCell="X92" sqref="X92"/>
    </sheetView>
  </sheetViews>
  <sheetFormatPr defaultColWidth="9.140625" defaultRowHeight="18.75"/>
  <cols>
    <col min="1" max="1" width="5.7109375" style="98" customWidth="1"/>
    <col min="2" max="2" width="34" style="98" customWidth="1"/>
    <col min="3" max="3" width="14.7109375" style="98" hidden="1" customWidth="1"/>
    <col min="4" max="4" width="0.28515625" style="98" hidden="1" customWidth="1"/>
    <col min="5" max="7" width="4.42578125" style="98" customWidth="1"/>
    <col min="8" max="8" width="6" style="98" customWidth="1"/>
    <col min="9" max="9" width="6.85546875" style="98" hidden="1" customWidth="1"/>
    <col min="10" max="10" width="7.140625" style="98" hidden="1" customWidth="1"/>
    <col min="11" max="11" width="7.42578125" style="98" hidden="1" customWidth="1"/>
    <col min="12" max="12" width="6" style="98" hidden="1" customWidth="1"/>
    <col min="13" max="13" width="6.5703125" style="98" hidden="1" customWidth="1"/>
    <col min="14" max="14" width="8.42578125" style="98" bestFit="1" customWidth="1"/>
    <col min="15" max="15" width="8.42578125" style="98" customWidth="1"/>
    <col min="16" max="16" width="9.85546875" style="98" customWidth="1"/>
    <col min="17" max="17" width="8.42578125" style="98" customWidth="1"/>
    <col min="18" max="18" width="8.5703125" style="98" customWidth="1"/>
    <col min="19" max="19" width="8.140625" style="98" customWidth="1"/>
    <col min="20" max="20" width="8.42578125" style="98" customWidth="1"/>
    <col min="21" max="21" width="8.28515625" style="98" customWidth="1"/>
    <col min="22" max="22" width="6.28515625" style="98" customWidth="1"/>
    <col min="23" max="23" width="6.28515625" style="98" hidden="1" customWidth="1"/>
    <col min="24" max="24" width="13" style="98" customWidth="1"/>
    <col min="25" max="25" width="18.85546875" style="98" customWidth="1"/>
    <col min="26" max="16384" width="9.140625" style="98"/>
  </cols>
  <sheetData>
    <row r="1" spans="1:24" ht="42" customHeight="1">
      <c r="B1" s="503" t="s">
        <v>1607</v>
      </c>
      <c r="C1" s="503"/>
      <c r="D1" s="503"/>
      <c r="E1" s="503"/>
      <c r="F1" s="503"/>
      <c r="G1" s="503"/>
      <c r="H1" s="503"/>
      <c r="I1" s="503"/>
      <c r="J1" s="503"/>
      <c r="K1" s="503"/>
      <c r="L1" s="503"/>
      <c r="M1" s="503"/>
      <c r="N1" s="503"/>
      <c r="O1" s="503"/>
      <c r="P1" s="503"/>
      <c r="Q1" s="503"/>
      <c r="R1" s="503"/>
      <c r="S1" s="503"/>
      <c r="T1" s="503"/>
      <c r="U1" s="503"/>
      <c r="V1" s="503"/>
      <c r="W1" s="503"/>
      <c r="X1" s="503"/>
    </row>
    <row r="2" spans="1:24" s="80" customFormat="1">
      <c r="A2" s="509" t="s">
        <v>81</v>
      </c>
      <c r="B2" s="509"/>
      <c r="C2" s="509"/>
      <c r="D2" s="509"/>
      <c r="E2" s="509"/>
      <c r="F2" s="509"/>
      <c r="G2" s="509"/>
      <c r="H2" s="509"/>
      <c r="I2" s="509"/>
      <c r="J2" s="509"/>
      <c r="K2" s="509"/>
      <c r="L2" s="509"/>
      <c r="M2" s="509"/>
      <c r="N2" s="509"/>
      <c r="O2" s="509"/>
      <c r="P2" s="509"/>
      <c r="Q2" s="509"/>
      <c r="R2" s="509"/>
      <c r="S2" s="509"/>
      <c r="T2" s="509"/>
      <c r="U2" s="509"/>
      <c r="V2" s="509"/>
      <c r="W2" s="509"/>
      <c r="X2" s="509"/>
    </row>
    <row r="3" spans="1:24" s="81" customFormat="1" ht="15" customHeight="1">
      <c r="A3" s="504" t="s">
        <v>82</v>
      </c>
      <c r="B3" s="505" t="s">
        <v>96</v>
      </c>
      <c r="C3" s="505" t="s">
        <v>23</v>
      </c>
      <c r="D3" s="506" t="s">
        <v>97</v>
      </c>
      <c r="E3" s="504" t="s">
        <v>83</v>
      </c>
      <c r="F3" s="508" t="s">
        <v>84</v>
      </c>
      <c r="G3" s="504" t="s">
        <v>85</v>
      </c>
      <c r="H3" s="504"/>
      <c r="I3" s="504" t="s">
        <v>98</v>
      </c>
      <c r="J3" s="504"/>
      <c r="K3" s="504"/>
      <c r="L3" s="504"/>
      <c r="M3" s="504"/>
      <c r="N3" s="504" t="s">
        <v>86</v>
      </c>
      <c r="O3" s="504" t="s">
        <v>87</v>
      </c>
      <c r="P3" s="504" t="s">
        <v>88</v>
      </c>
      <c r="Q3" s="504" t="s">
        <v>89</v>
      </c>
      <c r="R3" s="504"/>
      <c r="S3" s="504"/>
      <c r="T3" s="504"/>
      <c r="U3" s="504"/>
      <c r="V3" s="504"/>
      <c r="W3" s="504"/>
      <c r="X3" s="504" t="s">
        <v>19</v>
      </c>
    </row>
    <row r="4" spans="1:24" s="81" customFormat="1">
      <c r="A4" s="504"/>
      <c r="B4" s="505"/>
      <c r="C4" s="505"/>
      <c r="D4" s="507"/>
      <c r="E4" s="504"/>
      <c r="F4" s="508"/>
      <c r="G4" s="82"/>
      <c r="H4" s="83"/>
      <c r="I4" s="82" t="s">
        <v>99</v>
      </c>
      <c r="J4" s="82" t="s">
        <v>71</v>
      </c>
      <c r="K4" s="82" t="s">
        <v>100</v>
      </c>
      <c r="L4" s="84" t="s">
        <v>72</v>
      </c>
      <c r="M4" s="84" t="s">
        <v>101</v>
      </c>
      <c r="N4" s="504"/>
      <c r="O4" s="504"/>
      <c r="P4" s="504"/>
      <c r="Q4" s="85">
        <v>8</v>
      </c>
      <c r="R4" s="86">
        <v>10</v>
      </c>
      <c r="S4" s="86">
        <v>12</v>
      </c>
      <c r="T4" s="86">
        <v>16</v>
      </c>
      <c r="U4" s="86">
        <v>20</v>
      </c>
      <c r="V4" s="86">
        <v>25</v>
      </c>
      <c r="W4" s="86">
        <v>32</v>
      </c>
      <c r="X4" s="504"/>
    </row>
    <row r="5" spans="1:24" s="97" customFormat="1">
      <c r="A5" s="87"/>
      <c r="B5" s="88"/>
      <c r="C5" s="89"/>
      <c r="D5" s="66"/>
      <c r="E5" s="90"/>
      <c r="F5" s="90"/>
      <c r="G5" s="90"/>
      <c r="H5" s="91"/>
      <c r="I5" s="92"/>
      <c r="J5" s="93"/>
      <c r="K5" s="93"/>
      <c r="L5" s="93"/>
      <c r="M5" s="93"/>
      <c r="N5" s="94"/>
      <c r="O5" s="95"/>
      <c r="P5" s="90"/>
      <c r="Q5" s="95"/>
      <c r="R5" s="95"/>
      <c r="S5" s="95"/>
      <c r="T5" s="95"/>
      <c r="U5" s="95"/>
      <c r="V5" s="95"/>
      <c r="W5" s="95"/>
      <c r="X5" s="96"/>
    </row>
    <row r="6" spans="1:24" s="75" customFormat="1">
      <c r="A6" s="64"/>
      <c r="B6" s="31" t="s">
        <v>202</v>
      </c>
      <c r="C6" s="65"/>
      <c r="D6" s="66"/>
      <c r="E6" s="67"/>
      <c r="F6" s="67"/>
      <c r="G6" s="67"/>
      <c r="H6" s="68"/>
      <c r="I6" s="69"/>
      <c r="J6" s="69"/>
      <c r="K6" s="69"/>
      <c r="L6" s="70"/>
      <c r="M6" s="70"/>
      <c r="N6" s="71"/>
      <c r="O6" s="72"/>
      <c r="P6" s="67"/>
      <c r="Q6" s="73">
        <f>ROUND(IF(E6=8,P6*O6,0),3)</f>
        <v>0</v>
      </c>
      <c r="R6" s="73">
        <f>ROUND(IF(E6=10,O6*P6,0),3)</f>
        <v>0</v>
      </c>
      <c r="S6" s="73">
        <f>ROUND(IF(E6=12,O6*P6,0),3)</f>
        <v>0</v>
      </c>
      <c r="T6" s="73">
        <f>ROUND(IF(E6=16,O6*P6,0),3)</f>
        <v>0</v>
      </c>
      <c r="U6" s="73">
        <f>ROUND(IF(E6=20,O6*P6,0),3)</f>
        <v>0</v>
      </c>
      <c r="V6" s="73">
        <f>ROUND(IF(E6=25,O6*P6,0),3)</f>
        <v>0</v>
      </c>
      <c r="W6" s="73">
        <f>ROUND(IF(E6=32,O6*P6,0),3)</f>
        <v>0</v>
      </c>
      <c r="X6" s="74"/>
    </row>
    <row r="7" spans="1:24" s="411" customFormat="1">
      <c r="A7" s="399"/>
      <c r="B7" s="400" t="s">
        <v>1608</v>
      </c>
      <c r="C7" s="401"/>
      <c r="D7" s="402"/>
      <c r="E7" s="403">
        <v>10</v>
      </c>
      <c r="F7" s="403">
        <v>62</v>
      </c>
      <c r="G7" s="403">
        <v>2</v>
      </c>
      <c r="H7" s="404">
        <v>7</v>
      </c>
      <c r="I7" s="405"/>
      <c r="J7" s="405"/>
      <c r="K7" s="405"/>
      <c r="L7" s="406"/>
      <c r="M7" s="406"/>
      <c r="N7" s="407">
        <v>1.2</v>
      </c>
      <c r="O7" s="408">
        <f t="shared" ref="O7:O13" si="0">PRODUCT(F7:N7)</f>
        <v>1041.5999999999999</v>
      </c>
      <c r="P7" s="403" t="str">
        <f t="shared" ref="P7" si="1">IF(E7=8,"0.395",IF(E7=10,"0.617",IF(E7=12,"0.888",IF(E7=16,"1.579",IF(E7=20,"2.467",IF(E7=25,"3.855",IF(E7=32,"6.316")))))))</f>
        <v>0.617</v>
      </c>
      <c r="Q7" s="409">
        <f t="shared" ref="Q7" si="2">ROUND(IF(E7=8,P7*O7,0),3)</f>
        <v>0</v>
      </c>
      <c r="R7" s="409">
        <f>ROUND(IF(E7=10,O7*P7,0),3)</f>
        <v>642.66700000000003</v>
      </c>
      <c r="S7" s="409">
        <f t="shared" ref="S7" si="3">ROUND(IF(E7=12,O7*P7,0),3)</f>
        <v>0</v>
      </c>
      <c r="T7" s="409">
        <f t="shared" ref="T7" si="4">ROUND(IF(E7=16,O7*P7,0),3)</f>
        <v>0</v>
      </c>
      <c r="U7" s="409">
        <f t="shared" ref="U7" si="5">ROUND(IF(E7=20,O7*P7,0),3)</f>
        <v>0</v>
      </c>
      <c r="V7" s="409">
        <f t="shared" ref="V7" si="6">ROUND(IF(E7=25,O7*P7,0),3)</f>
        <v>0</v>
      </c>
      <c r="W7" s="409">
        <f t="shared" ref="W7" si="7">ROUND(IF(E7=32,O7*P7,0),3)</f>
        <v>0</v>
      </c>
      <c r="X7" s="410"/>
    </row>
    <row r="8" spans="1:24" s="411" customFormat="1">
      <c r="A8" s="399"/>
      <c r="B8" s="400" t="s">
        <v>1688</v>
      </c>
      <c r="C8" s="401"/>
      <c r="D8" s="402"/>
      <c r="E8" s="403">
        <v>10</v>
      </c>
      <c r="F8" s="403">
        <v>4</v>
      </c>
      <c r="G8" s="403">
        <v>2</v>
      </c>
      <c r="H8" s="404">
        <v>7</v>
      </c>
      <c r="I8" s="405"/>
      <c r="J8" s="405"/>
      <c r="K8" s="405"/>
      <c r="L8" s="406"/>
      <c r="M8" s="406"/>
      <c r="N8" s="407">
        <v>1.2</v>
      </c>
      <c r="O8" s="408">
        <f t="shared" si="0"/>
        <v>67.2</v>
      </c>
      <c r="P8" s="403" t="str">
        <f t="shared" ref="P8:P10" si="8">IF(E8=8,"0.395",IF(E8=10,"0.617",IF(E8=12,"0.888",IF(E8=16,"1.579",IF(E8=20,"2.467",IF(E8=25,"3.855",IF(E8=32,"6.316")))))))</f>
        <v>0.617</v>
      </c>
      <c r="Q8" s="409">
        <f t="shared" ref="Q8:Q10" si="9">ROUND(IF(E8=8,P8*O8,0),3)</f>
        <v>0</v>
      </c>
      <c r="R8" s="409">
        <f>ROUND(IF(E8=10,O8*P8,0),3)</f>
        <v>41.462000000000003</v>
      </c>
      <c r="S8" s="409">
        <f t="shared" ref="S8:S10" si="10">ROUND(IF(E8=12,O8*P8,0),3)</f>
        <v>0</v>
      </c>
      <c r="T8" s="409">
        <f t="shared" ref="T8:T10" si="11">ROUND(IF(E8=16,O8*P8,0),3)</f>
        <v>0</v>
      </c>
      <c r="U8" s="409">
        <f t="shared" ref="U8:U10" si="12">ROUND(IF(E8=20,O8*P8,0),3)</f>
        <v>0</v>
      </c>
      <c r="V8" s="409">
        <f t="shared" ref="V8:V10" si="13">ROUND(IF(E8=25,O8*P8,0),3)</f>
        <v>0</v>
      </c>
      <c r="W8" s="409">
        <f t="shared" ref="W8:W10" si="14">ROUND(IF(E8=32,O8*P8,0),3)</f>
        <v>0</v>
      </c>
      <c r="X8" s="410"/>
    </row>
    <row r="9" spans="1:24" s="411" customFormat="1">
      <c r="A9" s="399"/>
      <c r="B9" s="400" t="s">
        <v>179</v>
      </c>
      <c r="C9" s="401"/>
      <c r="D9" s="402"/>
      <c r="E9" s="403">
        <v>12</v>
      </c>
      <c r="F9" s="403">
        <v>62</v>
      </c>
      <c r="G9" s="403">
        <v>1</v>
      </c>
      <c r="H9" s="404">
        <v>4</v>
      </c>
      <c r="I9" s="405"/>
      <c r="J9" s="405"/>
      <c r="K9" s="405"/>
      <c r="L9" s="406"/>
      <c r="M9" s="406"/>
      <c r="N9" s="407">
        <v>2.65</v>
      </c>
      <c r="O9" s="408">
        <f t="shared" si="0"/>
        <v>657.19999999999993</v>
      </c>
      <c r="P9" s="403" t="str">
        <f t="shared" si="8"/>
        <v>0.888</v>
      </c>
      <c r="Q9" s="409">
        <f t="shared" si="9"/>
        <v>0</v>
      </c>
      <c r="R9" s="409">
        <f t="shared" ref="R9:R10" si="15">ROUND(IF(E9=10,O9*P9,0),3)</f>
        <v>0</v>
      </c>
      <c r="S9" s="409">
        <f t="shared" si="10"/>
        <v>583.59400000000005</v>
      </c>
      <c r="T9" s="409">
        <f t="shared" si="11"/>
        <v>0</v>
      </c>
      <c r="U9" s="409">
        <f t="shared" si="12"/>
        <v>0</v>
      </c>
      <c r="V9" s="409">
        <f t="shared" si="13"/>
        <v>0</v>
      </c>
      <c r="W9" s="409">
        <f t="shared" si="14"/>
        <v>0</v>
      </c>
      <c r="X9" s="410"/>
    </row>
    <row r="10" spans="1:24" s="411" customFormat="1">
      <c r="A10" s="399"/>
      <c r="B10" s="400" t="s">
        <v>178</v>
      </c>
      <c r="C10" s="401"/>
      <c r="D10" s="402"/>
      <c r="E10" s="403">
        <v>8</v>
      </c>
      <c r="F10" s="403">
        <v>62</v>
      </c>
      <c r="G10" s="403">
        <v>1</v>
      </c>
      <c r="H10" s="404">
        <v>16</v>
      </c>
      <c r="I10" s="405"/>
      <c r="J10" s="405"/>
      <c r="K10" s="405"/>
      <c r="L10" s="406"/>
      <c r="M10" s="406"/>
      <c r="N10" s="407">
        <f>(0.18*4)+0.15</f>
        <v>0.87</v>
      </c>
      <c r="O10" s="408">
        <f t="shared" si="0"/>
        <v>863.04</v>
      </c>
      <c r="P10" s="403" t="str">
        <f t="shared" si="8"/>
        <v>0.395</v>
      </c>
      <c r="Q10" s="409">
        <f t="shared" si="9"/>
        <v>340.90100000000001</v>
      </c>
      <c r="R10" s="409">
        <f t="shared" si="15"/>
        <v>0</v>
      </c>
      <c r="S10" s="409">
        <f t="shared" si="10"/>
        <v>0</v>
      </c>
      <c r="T10" s="409">
        <f t="shared" si="11"/>
        <v>0</v>
      </c>
      <c r="U10" s="409">
        <f t="shared" si="12"/>
        <v>0</v>
      </c>
      <c r="V10" s="409">
        <f t="shared" si="13"/>
        <v>0</v>
      </c>
      <c r="W10" s="409">
        <f t="shared" si="14"/>
        <v>0</v>
      </c>
      <c r="X10" s="410"/>
    </row>
    <row r="11" spans="1:24" s="411" customFormat="1">
      <c r="A11" s="399"/>
      <c r="B11" s="400" t="s">
        <v>1740</v>
      </c>
      <c r="C11" s="401"/>
      <c r="D11" s="402"/>
      <c r="E11" s="403">
        <v>12</v>
      </c>
      <c r="F11" s="403">
        <v>4</v>
      </c>
      <c r="G11" s="403">
        <v>1</v>
      </c>
      <c r="H11" s="404">
        <v>8</v>
      </c>
      <c r="I11" s="405"/>
      <c r="J11" s="405"/>
      <c r="K11" s="405"/>
      <c r="L11" s="406"/>
      <c r="M11" s="406"/>
      <c r="N11" s="407">
        <v>4.1500000000000004</v>
      </c>
      <c r="O11" s="408">
        <f t="shared" si="0"/>
        <v>132.80000000000001</v>
      </c>
      <c r="P11" s="403" t="str">
        <f t="shared" ref="P11:P12" si="16">IF(E11=8,"0.395",IF(E11=10,"0.617",IF(E11=12,"0.888",IF(E11=16,"1.579",IF(E11=20,"2.467",IF(E11=25,"3.855",IF(E11=32,"6.316")))))))</f>
        <v>0.888</v>
      </c>
      <c r="Q11" s="409">
        <f t="shared" ref="Q11:Q12" si="17">ROUND(IF(E11=8,P11*O11,0),3)</f>
        <v>0</v>
      </c>
      <c r="R11" s="409">
        <f t="shared" ref="R11:R12" si="18">ROUND(IF(E11=10,O11*P11,0),3)</f>
        <v>0</v>
      </c>
      <c r="S11" s="409">
        <f t="shared" ref="S11:S12" si="19">ROUND(IF(E11=12,O11*P11,0),3)</f>
        <v>117.926</v>
      </c>
      <c r="T11" s="409">
        <f t="shared" ref="T11:T12" si="20">ROUND(IF(E11=16,O11*P11,0),3)</f>
        <v>0</v>
      </c>
      <c r="U11" s="409">
        <f t="shared" ref="U11:U12" si="21">ROUND(IF(E11=20,O11*P11,0),3)</f>
        <v>0</v>
      </c>
      <c r="V11" s="409">
        <f t="shared" ref="V11:V12" si="22">ROUND(IF(E11=25,O11*P11,0),3)</f>
        <v>0</v>
      </c>
      <c r="W11" s="409">
        <f t="shared" ref="W11:W12" si="23">ROUND(IF(E11=32,O11*P11,0),3)</f>
        <v>0</v>
      </c>
      <c r="X11" s="410"/>
    </row>
    <row r="12" spans="1:24" s="411" customFormat="1">
      <c r="A12" s="399"/>
      <c r="B12" s="400" t="s">
        <v>178</v>
      </c>
      <c r="C12" s="401"/>
      <c r="D12" s="402"/>
      <c r="E12" s="403">
        <v>8</v>
      </c>
      <c r="F12" s="403">
        <v>4</v>
      </c>
      <c r="G12" s="403">
        <v>2</v>
      </c>
      <c r="H12" s="404">
        <v>24</v>
      </c>
      <c r="I12" s="405"/>
      <c r="J12" s="405"/>
      <c r="K12" s="405"/>
      <c r="L12" s="406"/>
      <c r="M12" s="406"/>
      <c r="N12" s="407">
        <f>(0.18*4)+0.15</f>
        <v>0.87</v>
      </c>
      <c r="O12" s="408">
        <f t="shared" si="0"/>
        <v>167.04</v>
      </c>
      <c r="P12" s="403" t="str">
        <f t="shared" si="16"/>
        <v>0.395</v>
      </c>
      <c r="Q12" s="409">
        <f t="shared" si="17"/>
        <v>65.980999999999995</v>
      </c>
      <c r="R12" s="409">
        <f t="shared" si="18"/>
        <v>0</v>
      </c>
      <c r="S12" s="409">
        <f t="shared" si="19"/>
        <v>0</v>
      </c>
      <c r="T12" s="409">
        <f t="shared" si="20"/>
        <v>0</v>
      </c>
      <c r="U12" s="409">
        <f t="shared" si="21"/>
        <v>0</v>
      </c>
      <c r="V12" s="409">
        <f t="shared" si="22"/>
        <v>0</v>
      </c>
      <c r="W12" s="409">
        <f t="shared" si="23"/>
        <v>0</v>
      </c>
      <c r="X12" s="410"/>
    </row>
    <row r="13" spans="1:24" s="411" customFormat="1">
      <c r="A13" s="399"/>
      <c r="B13" s="400" t="s">
        <v>180</v>
      </c>
      <c r="C13" s="401"/>
      <c r="D13" s="402"/>
      <c r="E13" s="403">
        <v>12</v>
      </c>
      <c r="F13" s="403">
        <v>25</v>
      </c>
      <c r="G13" s="403">
        <v>1</v>
      </c>
      <c r="H13" s="404">
        <v>2</v>
      </c>
      <c r="I13" s="405"/>
      <c r="J13" s="405"/>
      <c r="K13" s="405"/>
      <c r="L13" s="406"/>
      <c r="M13" s="406"/>
      <c r="N13" s="407">
        <v>0.6</v>
      </c>
      <c r="O13" s="408">
        <f t="shared" si="0"/>
        <v>30</v>
      </c>
      <c r="P13" s="403" t="str">
        <f t="shared" ref="P13" si="24">IF(E13=8,"0.395",IF(E13=10,"0.617",IF(E13=12,"0.888",IF(E13=16,"1.579",IF(E13=20,"2.467",IF(E13=25,"3.855",IF(E13=32,"6.316")))))))</f>
        <v>0.888</v>
      </c>
      <c r="Q13" s="409">
        <f t="shared" ref="Q13" si="25">ROUND(IF(E13=8,P13*O13,0),3)</f>
        <v>0</v>
      </c>
      <c r="R13" s="409">
        <f t="shared" ref="R13" si="26">ROUND(IF(E13=10,O13*P13,0),3)</f>
        <v>0</v>
      </c>
      <c r="S13" s="409">
        <f t="shared" ref="S13" si="27">ROUND(IF(E13=12,O13*P13,0),3)</f>
        <v>26.64</v>
      </c>
      <c r="T13" s="409">
        <f t="shared" ref="T13" si="28">ROUND(IF(E13=16,O13*P13,0),3)</f>
        <v>0</v>
      </c>
      <c r="U13" s="409">
        <f t="shared" ref="U13" si="29">ROUND(IF(E13=20,O13*P13,0),3)</f>
        <v>0</v>
      </c>
      <c r="V13" s="409">
        <f t="shared" ref="V13" si="30">ROUND(IF(E13=25,O13*P13,0),3)</f>
        <v>0</v>
      </c>
      <c r="W13" s="409"/>
      <c r="X13" s="410"/>
    </row>
    <row r="14" spans="1:24" s="411" customFormat="1">
      <c r="A14" s="399"/>
      <c r="B14" s="400" t="s">
        <v>1609</v>
      </c>
      <c r="C14" s="401"/>
      <c r="D14" s="402"/>
      <c r="E14" s="403">
        <v>12</v>
      </c>
      <c r="F14" s="403">
        <v>1</v>
      </c>
      <c r="G14" s="403">
        <v>1</v>
      </c>
      <c r="H14" s="404">
        <v>6</v>
      </c>
      <c r="I14" s="405"/>
      <c r="J14" s="405"/>
      <c r="K14" s="405"/>
      <c r="L14" s="406"/>
      <c r="M14" s="406"/>
      <c r="N14" s="407">
        <v>38.840000000000003</v>
      </c>
      <c r="O14" s="408">
        <f t="shared" ref="O14" si="31">PRODUCT(F14:N14)</f>
        <v>233.04000000000002</v>
      </c>
      <c r="P14" s="403" t="str">
        <f t="shared" ref="P14:P16" si="32">IF(E14=8,"0.395",IF(E14=10,"0.617",IF(E14=12,"0.888",IF(E14=16,"1.579",IF(E14=20,"2.467",IF(E14=25,"3.855",IF(E14=32,"6.316")))))))</f>
        <v>0.888</v>
      </c>
      <c r="Q14" s="409">
        <f t="shared" ref="Q14:Q16" si="33">ROUND(IF(E14=8,P14*O14,0),3)</f>
        <v>0</v>
      </c>
      <c r="R14" s="409">
        <f t="shared" ref="R14:R16" si="34">ROUND(IF(E14=10,O14*P14,0),3)</f>
        <v>0</v>
      </c>
      <c r="S14" s="409">
        <f t="shared" ref="S14:S16" si="35">ROUND(IF(E14=12,O14*P14,0),3)</f>
        <v>206.94</v>
      </c>
      <c r="T14" s="409">
        <f t="shared" ref="T14:T16" si="36">ROUND(IF(E14=16,O14*P14,0),3)</f>
        <v>0</v>
      </c>
      <c r="U14" s="409">
        <f t="shared" ref="U14:U16" si="37">ROUND(IF(E14=20,O14*P14,0),3)</f>
        <v>0</v>
      </c>
      <c r="V14" s="409">
        <f t="shared" ref="V14:V16" si="38">ROUND(IF(E14=25,O14*P14,0),3)</f>
        <v>0</v>
      </c>
      <c r="W14" s="409">
        <f t="shared" ref="W14:W16" si="39">ROUND(IF(E14=32,O14*P14,0),3)</f>
        <v>0</v>
      </c>
      <c r="X14" s="410"/>
    </row>
    <row r="15" spans="1:24" s="411" customFormat="1">
      <c r="A15" s="399"/>
      <c r="B15" s="400" t="s">
        <v>180</v>
      </c>
      <c r="C15" s="401"/>
      <c r="D15" s="402"/>
      <c r="E15" s="403">
        <v>12</v>
      </c>
      <c r="F15" s="403">
        <v>1</v>
      </c>
      <c r="G15" s="403">
        <v>4</v>
      </c>
      <c r="H15" s="404">
        <v>6</v>
      </c>
      <c r="I15" s="405"/>
      <c r="J15" s="405"/>
      <c r="K15" s="405"/>
      <c r="L15" s="406"/>
      <c r="M15" s="406"/>
      <c r="N15" s="407">
        <v>0.6</v>
      </c>
      <c r="O15" s="408">
        <f t="shared" ref="O15" si="40">PRODUCT(F15:N15)</f>
        <v>14.399999999999999</v>
      </c>
      <c r="P15" s="403" t="str">
        <f t="shared" ref="P15" si="41">IF(E15=8,"0.395",IF(E15=10,"0.617",IF(E15=12,"0.888",IF(E15=16,"1.579",IF(E15=20,"2.467",IF(E15=25,"3.855",IF(E15=32,"6.316")))))))</f>
        <v>0.888</v>
      </c>
      <c r="Q15" s="409">
        <f t="shared" ref="Q15" si="42">ROUND(IF(E15=8,P15*O15,0),3)</f>
        <v>0</v>
      </c>
      <c r="R15" s="409">
        <f t="shared" ref="R15" si="43">ROUND(IF(E15=10,O15*P15,0),3)</f>
        <v>0</v>
      </c>
      <c r="S15" s="409">
        <f t="shared" ref="S15" si="44">ROUND(IF(E15=12,O15*P15,0),3)</f>
        <v>12.787000000000001</v>
      </c>
      <c r="T15" s="409">
        <f t="shared" ref="T15" si="45">ROUND(IF(E15=16,O15*P15,0),3)</f>
        <v>0</v>
      </c>
      <c r="U15" s="409">
        <f t="shared" ref="U15" si="46">ROUND(IF(E15=20,O15*P15,0),3)</f>
        <v>0</v>
      </c>
      <c r="V15" s="409">
        <f t="shared" ref="V15" si="47">ROUND(IF(E15=25,O15*P15,0),3)</f>
        <v>0</v>
      </c>
      <c r="W15" s="409">
        <f t="shared" ref="W15" si="48">ROUND(IF(E15=32,O15*P15,0),3)</f>
        <v>0</v>
      </c>
      <c r="X15" s="410"/>
    </row>
    <row r="16" spans="1:24" s="411" customFormat="1">
      <c r="A16" s="399"/>
      <c r="B16" s="400" t="s">
        <v>178</v>
      </c>
      <c r="C16" s="401"/>
      <c r="D16" s="402"/>
      <c r="E16" s="403">
        <v>8</v>
      </c>
      <c r="F16" s="403">
        <v>1</v>
      </c>
      <c r="G16" s="403">
        <v>1</v>
      </c>
      <c r="H16" s="404">
        <v>255</v>
      </c>
      <c r="I16" s="405"/>
      <c r="J16" s="405"/>
      <c r="K16" s="405"/>
      <c r="L16" s="406"/>
      <c r="M16" s="406"/>
      <c r="N16" s="407">
        <v>0.97</v>
      </c>
      <c r="O16" s="408">
        <f t="shared" ref="O16:O18" si="49">PRODUCT(F16:N16)</f>
        <v>247.35</v>
      </c>
      <c r="P16" s="403" t="str">
        <f t="shared" si="32"/>
        <v>0.395</v>
      </c>
      <c r="Q16" s="409">
        <f t="shared" si="33"/>
        <v>97.703000000000003</v>
      </c>
      <c r="R16" s="409">
        <f t="shared" si="34"/>
        <v>0</v>
      </c>
      <c r="S16" s="409">
        <f t="shared" si="35"/>
        <v>0</v>
      </c>
      <c r="T16" s="409">
        <f t="shared" si="36"/>
        <v>0</v>
      </c>
      <c r="U16" s="409">
        <f t="shared" si="37"/>
        <v>0</v>
      </c>
      <c r="V16" s="409">
        <f t="shared" si="38"/>
        <v>0</v>
      </c>
      <c r="W16" s="409">
        <f t="shared" si="39"/>
        <v>0</v>
      </c>
      <c r="X16" s="410"/>
    </row>
    <row r="17" spans="1:24" s="411" customFormat="1">
      <c r="A17" s="399"/>
      <c r="B17" s="400" t="s">
        <v>1610</v>
      </c>
      <c r="C17" s="401"/>
      <c r="D17" s="402"/>
      <c r="E17" s="403">
        <v>12</v>
      </c>
      <c r="F17" s="403">
        <v>1</v>
      </c>
      <c r="G17" s="403">
        <v>1</v>
      </c>
      <c r="H17" s="404">
        <v>6</v>
      </c>
      <c r="I17" s="405"/>
      <c r="J17" s="405"/>
      <c r="K17" s="405"/>
      <c r="L17" s="406"/>
      <c r="M17" s="406"/>
      <c r="N17" s="407">
        <v>53.44</v>
      </c>
      <c r="O17" s="408">
        <f t="shared" si="49"/>
        <v>320.64</v>
      </c>
      <c r="P17" s="403" t="str">
        <f t="shared" ref="P17:P19" si="50">IF(E17=8,"0.395",IF(E17=10,"0.617",IF(E17=12,"0.888",IF(E17=16,"1.579",IF(E17=20,"2.467",IF(E17=25,"3.855",IF(E17=32,"6.316")))))))</f>
        <v>0.888</v>
      </c>
      <c r="Q17" s="409">
        <f t="shared" ref="Q17:Q19" si="51">ROUND(IF(E17=8,P17*O17,0),3)</f>
        <v>0</v>
      </c>
      <c r="R17" s="409">
        <f t="shared" ref="R17:R19" si="52">ROUND(IF(E17=10,O17*P17,0),3)</f>
        <v>0</v>
      </c>
      <c r="S17" s="409">
        <f t="shared" ref="S17:S19" si="53">ROUND(IF(E17=12,O17*P17,0),3)</f>
        <v>284.72800000000001</v>
      </c>
      <c r="T17" s="409">
        <f t="shared" ref="T17:T19" si="54">ROUND(IF(E17=16,O17*P17,0),3)</f>
        <v>0</v>
      </c>
      <c r="U17" s="409">
        <f t="shared" ref="U17:U19" si="55">ROUND(IF(E17=20,O17*P17,0),3)</f>
        <v>0</v>
      </c>
      <c r="V17" s="409">
        <f t="shared" ref="V17:V19" si="56">ROUND(IF(E17=25,O17*P17,0),3)</f>
        <v>0</v>
      </c>
      <c r="W17" s="409">
        <f t="shared" ref="W17:W19" si="57">ROUND(IF(E17=32,O17*P17,0),3)</f>
        <v>0</v>
      </c>
      <c r="X17" s="410"/>
    </row>
    <row r="18" spans="1:24" s="411" customFormat="1">
      <c r="A18" s="399"/>
      <c r="B18" s="400" t="s">
        <v>180</v>
      </c>
      <c r="C18" s="401"/>
      <c r="D18" s="402"/>
      <c r="E18" s="403">
        <v>12</v>
      </c>
      <c r="F18" s="403">
        <v>1</v>
      </c>
      <c r="G18" s="403">
        <v>5</v>
      </c>
      <c r="H18" s="404">
        <v>6</v>
      </c>
      <c r="I18" s="405"/>
      <c r="J18" s="405"/>
      <c r="K18" s="405"/>
      <c r="L18" s="406"/>
      <c r="M18" s="406"/>
      <c r="N18" s="407">
        <v>0.6</v>
      </c>
      <c r="O18" s="408">
        <f t="shared" si="49"/>
        <v>18</v>
      </c>
      <c r="P18" s="403" t="str">
        <f t="shared" si="50"/>
        <v>0.888</v>
      </c>
      <c r="Q18" s="409">
        <f t="shared" si="51"/>
        <v>0</v>
      </c>
      <c r="R18" s="409">
        <f t="shared" si="52"/>
        <v>0</v>
      </c>
      <c r="S18" s="409">
        <f t="shared" si="53"/>
        <v>15.984</v>
      </c>
      <c r="T18" s="409">
        <f t="shared" si="54"/>
        <v>0</v>
      </c>
      <c r="U18" s="409">
        <f t="shared" si="55"/>
        <v>0</v>
      </c>
      <c r="V18" s="409">
        <f t="shared" si="56"/>
        <v>0</v>
      </c>
      <c r="W18" s="409">
        <f t="shared" si="57"/>
        <v>0</v>
      </c>
      <c r="X18" s="410"/>
    </row>
    <row r="19" spans="1:24" s="411" customFormat="1">
      <c r="A19" s="399"/>
      <c r="B19" s="400" t="s">
        <v>178</v>
      </c>
      <c r="C19" s="401"/>
      <c r="D19" s="402"/>
      <c r="E19" s="403">
        <v>8</v>
      </c>
      <c r="F19" s="403">
        <v>1</v>
      </c>
      <c r="G19" s="403">
        <v>1</v>
      </c>
      <c r="H19" s="404">
        <v>356</v>
      </c>
      <c r="I19" s="405"/>
      <c r="J19" s="405"/>
      <c r="K19" s="405"/>
      <c r="L19" s="406"/>
      <c r="M19" s="406"/>
      <c r="N19" s="407">
        <v>0.97</v>
      </c>
      <c r="O19" s="408">
        <f t="shared" ref="O19:O21" si="58">PRODUCT(F19:N19)</f>
        <v>345.32</v>
      </c>
      <c r="P19" s="403" t="str">
        <f t="shared" si="50"/>
        <v>0.395</v>
      </c>
      <c r="Q19" s="409">
        <f t="shared" si="51"/>
        <v>136.40100000000001</v>
      </c>
      <c r="R19" s="409">
        <f t="shared" si="52"/>
        <v>0</v>
      </c>
      <c r="S19" s="409">
        <f t="shared" si="53"/>
        <v>0</v>
      </c>
      <c r="T19" s="409">
        <f t="shared" si="54"/>
        <v>0</v>
      </c>
      <c r="U19" s="409">
        <f t="shared" si="55"/>
        <v>0</v>
      </c>
      <c r="V19" s="409">
        <f t="shared" si="56"/>
        <v>0</v>
      </c>
      <c r="W19" s="409">
        <f t="shared" si="57"/>
        <v>0</v>
      </c>
      <c r="X19" s="410"/>
    </row>
    <row r="20" spans="1:24" s="411" customFormat="1">
      <c r="A20" s="399"/>
      <c r="B20" s="400" t="s">
        <v>1611</v>
      </c>
      <c r="C20" s="401"/>
      <c r="D20" s="402"/>
      <c r="E20" s="403">
        <v>12</v>
      </c>
      <c r="F20" s="403">
        <v>1</v>
      </c>
      <c r="G20" s="403">
        <v>1</v>
      </c>
      <c r="H20" s="404">
        <v>6</v>
      </c>
      <c r="I20" s="405"/>
      <c r="J20" s="405"/>
      <c r="K20" s="405"/>
      <c r="L20" s="406"/>
      <c r="M20" s="406"/>
      <c r="N20" s="407">
        <v>66.44</v>
      </c>
      <c r="O20" s="408">
        <f t="shared" si="58"/>
        <v>398.64</v>
      </c>
      <c r="P20" s="403" t="str">
        <f t="shared" ref="P20:P28" si="59">IF(E20=8,"0.395",IF(E20=10,"0.617",IF(E20=12,"0.888",IF(E20=16,"1.579",IF(E20=20,"2.467",IF(E20=25,"3.855",IF(E20=32,"6.316")))))))</f>
        <v>0.888</v>
      </c>
      <c r="Q20" s="409">
        <f t="shared" ref="Q20:Q28" si="60">ROUND(IF(E20=8,P20*O20,0),3)</f>
        <v>0</v>
      </c>
      <c r="R20" s="409">
        <f t="shared" ref="R20:R28" si="61">ROUND(IF(E20=10,O20*P20,0),3)</f>
        <v>0</v>
      </c>
      <c r="S20" s="409">
        <f t="shared" ref="S20:S28" si="62">ROUND(IF(E20=12,O20*P20,0),3)</f>
        <v>353.99200000000002</v>
      </c>
      <c r="T20" s="409">
        <f t="shared" ref="T20:T28" si="63">ROUND(IF(E20=16,O20*P20,0),3)</f>
        <v>0</v>
      </c>
      <c r="U20" s="409">
        <f t="shared" ref="U20:U28" si="64">ROUND(IF(E20=20,O20*P20,0),3)</f>
        <v>0</v>
      </c>
      <c r="V20" s="409">
        <f t="shared" ref="V20:V28" si="65">ROUND(IF(E20=25,O20*P20,0),3)</f>
        <v>0</v>
      </c>
      <c r="W20" s="409">
        <f t="shared" ref="W20:W28" si="66">ROUND(IF(E20=32,O20*P20,0),3)</f>
        <v>0</v>
      </c>
      <c r="X20" s="410"/>
    </row>
    <row r="21" spans="1:24" s="411" customFormat="1">
      <c r="A21" s="399"/>
      <c r="B21" s="400" t="s">
        <v>180</v>
      </c>
      <c r="C21" s="401"/>
      <c r="D21" s="402"/>
      <c r="E21" s="403">
        <v>12</v>
      </c>
      <c r="F21" s="403">
        <v>1</v>
      </c>
      <c r="G21" s="403">
        <v>6</v>
      </c>
      <c r="H21" s="404">
        <v>6</v>
      </c>
      <c r="I21" s="405"/>
      <c r="J21" s="405"/>
      <c r="K21" s="405"/>
      <c r="L21" s="406"/>
      <c r="M21" s="406"/>
      <c r="N21" s="407">
        <v>0.6</v>
      </c>
      <c r="O21" s="408">
        <f t="shared" si="58"/>
        <v>21.599999999999998</v>
      </c>
      <c r="P21" s="403" t="str">
        <f t="shared" si="59"/>
        <v>0.888</v>
      </c>
      <c r="Q21" s="409">
        <f t="shared" si="60"/>
        <v>0</v>
      </c>
      <c r="R21" s="409">
        <f t="shared" si="61"/>
        <v>0</v>
      </c>
      <c r="S21" s="409">
        <f t="shared" si="62"/>
        <v>19.181000000000001</v>
      </c>
      <c r="T21" s="409">
        <f t="shared" si="63"/>
        <v>0</v>
      </c>
      <c r="U21" s="409">
        <f t="shared" si="64"/>
        <v>0</v>
      </c>
      <c r="V21" s="409">
        <f t="shared" si="65"/>
        <v>0</v>
      </c>
      <c r="W21" s="409">
        <f t="shared" si="66"/>
        <v>0</v>
      </c>
      <c r="X21" s="410"/>
    </row>
    <row r="22" spans="1:24" s="411" customFormat="1">
      <c r="A22" s="399"/>
      <c r="B22" s="400" t="s">
        <v>178</v>
      </c>
      <c r="C22" s="401"/>
      <c r="D22" s="402"/>
      <c r="E22" s="403">
        <v>8</v>
      </c>
      <c r="F22" s="403">
        <v>1</v>
      </c>
      <c r="G22" s="403">
        <v>1</v>
      </c>
      <c r="H22" s="404">
        <v>440</v>
      </c>
      <c r="I22" s="405"/>
      <c r="J22" s="405"/>
      <c r="K22" s="405"/>
      <c r="L22" s="406"/>
      <c r="M22" s="406"/>
      <c r="N22" s="407">
        <v>0.97</v>
      </c>
      <c r="O22" s="408">
        <f t="shared" ref="O22:O28" si="67">PRODUCT(F22:N22)</f>
        <v>426.8</v>
      </c>
      <c r="P22" s="403" t="str">
        <f t="shared" si="59"/>
        <v>0.395</v>
      </c>
      <c r="Q22" s="409">
        <f t="shared" si="60"/>
        <v>168.58600000000001</v>
      </c>
      <c r="R22" s="409">
        <f t="shared" si="61"/>
        <v>0</v>
      </c>
      <c r="S22" s="409">
        <f t="shared" si="62"/>
        <v>0</v>
      </c>
      <c r="T22" s="409">
        <f t="shared" si="63"/>
        <v>0</v>
      </c>
      <c r="U22" s="409">
        <f t="shared" si="64"/>
        <v>0</v>
      </c>
      <c r="V22" s="409">
        <f t="shared" si="65"/>
        <v>0</v>
      </c>
      <c r="W22" s="409">
        <f t="shared" si="66"/>
        <v>0</v>
      </c>
      <c r="X22" s="410"/>
    </row>
    <row r="23" spans="1:24" s="411" customFormat="1" ht="37.5">
      <c r="A23" s="399"/>
      <c r="B23" s="400" t="s">
        <v>1612</v>
      </c>
      <c r="C23" s="401"/>
      <c r="D23" s="402"/>
      <c r="E23" s="403">
        <v>10</v>
      </c>
      <c r="F23" s="403">
        <v>1</v>
      </c>
      <c r="G23" s="403">
        <v>2</v>
      </c>
      <c r="H23" s="404">
        <v>257</v>
      </c>
      <c r="I23" s="405"/>
      <c r="J23" s="405"/>
      <c r="K23" s="405"/>
      <c r="L23" s="406"/>
      <c r="M23" s="406"/>
      <c r="N23" s="407">
        <v>1.5</v>
      </c>
      <c r="O23" s="408">
        <f t="shared" ref="O23:O25" si="68">PRODUCT(F23:N23)</f>
        <v>771</v>
      </c>
      <c r="P23" s="403" t="str">
        <f t="shared" ref="P23:P25" si="69">IF(E23=8,"0.395",IF(E23=10,"0.617",IF(E23=12,"0.888",IF(E23=16,"1.579",IF(E23=20,"2.467",IF(E23=25,"3.855",IF(E23=32,"6.316")))))))</f>
        <v>0.617</v>
      </c>
      <c r="Q23" s="409">
        <f t="shared" ref="Q23:Q25" si="70">ROUND(IF(E23=8,P23*O23,0),3)</f>
        <v>0</v>
      </c>
      <c r="R23" s="409">
        <f t="shared" ref="R23:R25" si="71">ROUND(IF(E23=10,O23*P23,0),3)</f>
        <v>475.70699999999999</v>
      </c>
      <c r="S23" s="409">
        <f t="shared" ref="S23:S25" si="72">ROUND(IF(E23=12,O23*P23,0),3)</f>
        <v>0</v>
      </c>
      <c r="T23" s="409">
        <f t="shared" ref="T23:T25" si="73">ROUND(IF(E23=16,O23*P23,0),3)</f>
        <v>0</v>
      </c>
      <c r="U23" s="409">
        <f t="shared" ref="U23:U25" si="74">ROUND(IF(E23=20,O23*P23,0),3)</f>
        <v>0</v>
      </c>
      <c r="V23" s="409">
        <f t="shared" ref="V23:V25" si="75">ROUND(IF(E23=25,O23*P23,0),3)</f>
        <v>0</v>
      </c>
      <c r="W23" s="409">
        <f t="shared" ref="W23:W25" si="76">ROUND(IF(E23=32,O23*P23,0),3)</f>
        <v>0</v>
      </c>
      <c r="X23" s="410"/>
    </row>
    <row r="24" spans="1:24" s="411" customFormat="1" ht="37.5">
      <c r="A24" s="399"/>
      <c r="B24" s="400" t="s">
        <v>1613</v>
      </c>
      <c r="C24" s="401"/>
      <c r="D24" s="402"/>
      <c r="E24" s="403">
        <v>10</v>
      </c>
      <c r="F24" s="403">
        <v>1</v>
      </c>
      <c r="G24" s="403">
        <v>2</v>
      </c>
      <c r="H24" s="404">
        <v>7</v>
      </c>
      <c r="I24" s="405"/>
      <c r="J24" s="405"/>
      <c r="K24" s="405"/>
      <c r="L24" s="406"/>
      <c r="M24" s="406"/>
      <c r="N24" s="407">
        <v>39.200000000000003</v>
      </c>
      <c r="O24" s="408">
        <f t="shared" si="68"/>
        <v>548.80000000000007</v>
      </c>
      <c r="P24" s="403" t="str">
        <f t="shared" si="69"/>
        <v>0.617</v>
      </c>
      <c r="Q24" s="409">
        <f t="shared" si="70"/>
        <v>0</v>
      </c>
      <c r="R24" s="409">
        <f t="shared" si="71"/>
        <v>338.61</v>
      </c>
      <c r="S24" s="409">
        <f t="shared" si="72"/>
        <v>0</v>
      </c>
      <c r="T24" s="409">
        <f t="shared" si="73"/>
        <v>0</v>
      </c>
      <c r="U24" s="409">
        <f t="shared" si="74"/>
        <v>0</v>
      </c>
      <c r="V24" s="409">
        <f t="shared" si="75"/>
        <v>0</v>
      </c>
      <c r="W24" s="409">
        <f t="shared" si="76"/>
        <v>0</v>
      </c>
      <c r="X24" s="410"/>
    </row>
    <row r="25" spans="1:24" s="411" customFormat="1">
      <c r="A25" s="399"/>
      <c r="B25" s="400" t="s">
        <v>180</v>
      </c>
      <c r="C25" s="401"/>
      <c r="D25" s="402"/>
      <c r="E25" s="403">
        <v>10</v>
      </c>
      <c r="F25" s="403">
        <v>4</v>
      </c>
      <c r="G25" s="403">
        <v>2</v>
      </c>
      <c r="H25" s="404">
        <v>7</v>
      </c>
      <c r="I25" s="405"/>
      <c r="J25" s="405"/>
      <c r="K25" s="405"/>
      <c r="L25" s="406"/>
      <c r="M25" s="406"/>
      <c r="N25" s="407">
        <v>0.5</v>
      </c>
      <c r="O25" s="408">
        <f t="shared" si="68"/>
        <v>28</v>
      </c>
      <c r="P25" s="403" t="str">
        <f t="shared" si="69"/>
        <v>0.617</v>
      </c>
      <c r="Q25" s="409">
        <f t="shared" si="70"/>
        <v>0</v>
      </c>
      <c r="R25" s="409">
        <f t="shared" si="71"/>
        <v>17.276</v>
      </c>
      <c r="S25" s="409">
        <f t="shared" si="72"/>
        <v>0</v>
      </c>
      <c r="T25" s="409">
        <f t="shared" si="73"/>
        <v>0</v>
      </c>
      <c r="U25" s="409">
        <f t="shared" si="74"/>
        <v>0</v>
      </c>
      <c r="V25" s="409">
        <f t="shared" si="75"/>
        <v>0</v>
      </c>
      <c r="W25" s="409">
        <f t="shared" si="76"/>
        <v>0</v>
      </c>
      <c r="X25" s="410"/>
    </row>
    <row r="26" spans="1:24" s="411" customFormat="1" ht="37.5">
      <c r="A26" s="399"/>
      <c r="B26" s="400" t="s">
        <v>1748</v>
      </c>
      <c r="C26" s="401"/>
      <c r="D26" s="402"/>
      <c r="E26" s="403">
        <v>10</v>
      </c>
      <c r="F26" s="403">
        <v>1</v>
      </c>
      <c r="G26" s="403">
        <v>2</v>
      </c>
      <c r="H26" s="404">
        <v>354</v>
      </c>
      <c r="I26" s="405"/>
      <c r="J26" s="405"/>
      <c r="K26" s="405"/>
      <c r="L26" s="406"/>
      <c r="M26" s="406"/>
      <c r="N26" s="407">
        <v>1.5</v>
      </c>
      <c r="O26" s="408">
        <f t="shared" si="67"/>
        <v>1062</v>
      </c>
      <c r="P26" s="403" t="str">
        <f t="shared" si="59"/>
        <v>0.617</v>
      </c>
      <c r="Q26" s="409">
        <f t="shared" si="60"/>
        <v>0</v>
      </c>
      <c r="R26" s="409">
        <f t="shared" si="61"/>
        <v>655.25400000000002</v>
      </c>
      <c r="S26" s="409">
        <f t="shared" si="62"/>
        <v>0</v>
      </c>
      <c r="T26" s="409">
        <f t="shared" si="63"/>
        <v>0</v>
      </c>
      <c r="U26" s="409">
        <f t="shared" si="64"/>
        <v>0</v>
      </c>
      <c r="V26" s="409">
        <f t="shared" si="65"/>
        <v>0</v>
      </c>
      <c r="W26" s="409">
        <f t="shared" si="66"/>
        <v>0</v>
      </c>
      <c r="X26" s="410"/>
    </row>
    <row r="27" spans="1:24" s="411" customFormat="1" ht="37.5">
      <c r="A27" s="399"/>
      <c r="B27" s="400" t="s">
        <v>1613</v>
      </c>
      <c r="C27" s="401"/>
      <c r="D27" s="402"/>
      <c r="E27" s="403">
        <v>10</v>
      </c>
      <c r="F27" s="403">
        <v>1</v>
      </c>
      <c r="G27" s="403">
        <v>2</v>
      </c>
      <c r="H27" s="404">
        <v>7</v>
      </c>
      <c r="I27" s="405"/>
      <c r="J27" s="405"/>
      <c r="K27" s="405"/>
      <c r="L27" s="406"/>
      <c r="M27" s="406"/>
      <c r="N27" s="407">
        <v>53.44</v>
      </c>
      <c r="O27" s="408">
        <f t="shared" si="67"/>
        <v>748.16</v>
      </c>
      <c r="P27" s="403" t="str">
        <f t="shared" si="59"/>
        <v>0.617</v>
      </c>
      <c r="Q27" s="409">
        <f t="shared" si="60"/>
        <v>0</v>
      </c>
      <c r="R27" s="409">
        <f t="shared" si="61"/>
        <v>461.61500000000001</v>
      </c>
      <c r="S27" s="409">
        <f t="shared" si="62"/>
        <v>0</v>
      </c>
      <c r="T27" s="409">
        <f t="shared" si="63"/>
        <v>0</v>
      </c>
      <c r="U27" s="409">
        <f t="shared" si="64"/>
        <v>0</v>
      </c>
      <c r="V27" s="409">
        <f t="shared" si="65"/>
        <v>0</v>
      </c>
      <c r="W27" s="409">
        <f t="shared" si="66"/>
        <v>0</v>
      </c>
      <c r="X27" s="410"/>
    </row>
    <row r="28" spans="1:24" s="411" customFormat="1">
      <c r="A28" s="399"/>
      <c r="B28" s="400" t="s">
        <v>180</v>
      </c>
      <c r="C28" s="401"/>
      <c r="D28" s="402"/>
      <c r="E28" s="403">
        <v>10</v>
      </c>
      <c r="F28" s="403">
        <v>6</v>
      </c>
      <c r="G28" s="403">
        <v>2</v>
      </c>
      <c r="H28" s="404">
        <v>7</v>
      </c>
      <c r="I28" s="405"/>
      <c r="J28" s="405"/>
      <c r="K28" s="405"/>
      <c r="L28" s="406"/>
      <c r="M28" s="406"/>
      <c r="N28" s="407">
        <v>0.5</v>
      </c>
      <c r="O28" s="408">
        <f t="shared" si="67"/>
        <v>42</v>
      </c>
      <c r="P28" s="403" t="str">
        <f t="shared" si="59"/>
        <v>0.617</v>
      </c>
      <c r="Q28" s="409">
        <f t="shared" si="60"/>
        <v>0</v>
      </c>
      <c r="R28" s="409">
        <f t="shared" si="61"/>
        <v>25.914000000000001</v>
      </c>
      <c r="S28" s="409">
        <f t="shared" si="62"/>
        <v>0</v>
      </c>
      <c r="T28" s="409">
        <f t="shared" si="63"/>
        <v>0</v>
      </c>
      <c r="U28" s="409">
        <f t="shared" si="64"/>
        <v>0</v>
      </c>
      <c r="V28" s="409">
        <f t="shared" si="65"/>
        <v>0</v>
      </c>
      <c r="W28" s="409">
        <f t="shared" si="66"/>
        <v>0</v>
      </c>
      <c r="X28" s="410"/>
    </row>
    <row r="29" spans="1:24" s="75" customFormat="1" ht="17.25" customHeight="1">
      <c r="A29" s="64"/>
      <c r="B29" s="31" t="s">
        <v>1659</v>
      </c>
      <c r="C29" s="65"/>
      <c r="D29" s="66"/>
      <c r="E29" s="67"/>
      <c r="F29" s="67"/>
      <c r="G29" s="67"/>
      <c r="H29" s="68"/>
      <c r="I29" s="69"/>
      <c r="J29" s="69"/>
      <c r="K29" s="69"/>
      <c r="L29" s="70"/>
      <c r="M29" s="70"/>
      <c r="N29" s="71"/>
      <c r="O29" s="72"/>
      <c r="P29" s="67"/>
      <c r="Q29" s="73"/>
      <c r="R29" s="73"/>
      <c r="S29" s="73"/>
      <c r="T29" s="73"/>
      <c r="U29" s="73"/>
      <c r="V29" s="73"/>
      <c r="W29" s="73"/>
      <c r="X29" s="74"/>
    </row>
    <row r="30" spans="1:24" s="75" customFormat="1">
      <c r="A30" s="64"/>
      <c r="B30" s="30" t="s">
        <v>1660</v>
      </c>
      <c r="C30" s="65"/>
      <c r="D30" s="66"/>
      <c r="E30" s="67">
        <v>10</v>
      </c>
      <c r="F30" s="67">
        <v>2</v>
      </c>
      <c r="G30" s="67">
        <v>1</v>
      </c>
      <c r="H30" s="68">
        <v>5</v>
      </c>
      <c r="I30" s="69"/>
      <c r="J30" s="69"/>
      <c r="K30" s="69"/>
      <c r="L30" s="70"/>
      <c r="M30" s="70"/>
      <c r="N30" s="71">
        <v>3.45</v>
      </c>
      <c r="O30" s="72">
        <f t="shared" ref="O30:O36" si="77">PRODUCT(F30:N30)</f>
        <v>34.5</v>
      </c>
      <c r="P30" s="67" t="str">
        <f t="shared" ref="P30:P36" si="78">IF(E30=8,"0.395",IF(E30=10,"0.617",IF(E30=12,"0.888",IF(E30=16,"1.579",IF(E30=20,"2.467",IF(E30=25,"3.855",IF(E30=32,"6.316")))))))</f>
        <v>0.617</v>
      </c>
      <c r="Q30" s="73">
        <f t="shared" ref="Q30:Q36" si="79">ROUND(IF(E30=8,P30*O30,0),3)</f>
        <v>0</v>
      </c>
      <c r="R30" s="73">
        <f t="shared" ref="R30:R36" si="80">ROUND(IF(E30=10,O30*P30,0),3)</f>
        <v>21.286999999999999</v>
      </c>
      <c r="S30" s="73">
        <f t="shared" ref="S30:S36" si="81">ROUND(IF(E30=12,O30*P30,0),3)</f>
        <v>0</v>
      </c>
      <c r="T30" s="73">
        <f t="shared" ref="T30:T36" si="82">ROUND(IF(E30=16,O30*P30,0),3)</f>
        <v>0</v>
      </c>
      <c r="U30" s="73">
        <f t="shared" ref="U30:U36" si="83">ROUND(IF(E30=20,O30*P30,0),3)</f>
        <v>0</v>
      </c>
      <c r="V30" s="73">
        <f t="shared" ref="V30:V36" si="84">ROUND(IF(E30=25,O30*P30,0),3)</f>
        <v>0</v>
      </c>
      <c r="W30" s="73">
        <f t="shared" ref="W30:W36" si="85">ROUND(IF(E30=32,O30*P30,0),3)</f>
        <v>0</v>
      </c>
      <c r="X30" s="74"/>
    </row>
    <row r="31" spans="1:24" s="75" customFormat="1">
      <c r="A31" s="64"/>
      <c r="B31" s="30" t="s">
        <v>1661</v>
      </c>
      <c r="C31" s="65"/>
      <c r="D31" s="66"/>
      <c r="E31" s="67">
        <v>8</v>
      </c>
      <c r="F31" s="67">
        <v>2</v>
      </c>
      <c r="G31" s="67">
        <v>1</v>
      </c>
      <c r="H31" s="68">
        <v>24</v>
      </c>
      <c r="I31" s="69"/>
      <c r="J31" s="69"/>
      <c r="K31" s="69"/>
      <c r="L31" s="70"/>
      <c r="M31" s="70"/>
      <c r="N31" s="71">
        <v>0.75</v>
      </c>
      <c r="O31" s="72">
        <f t="shared" si="77"/>
        <v>36</v>
      </c>
      <c r="P31" s="67" t="str">
        <f t="shared" si="78"/>
        <v>0.395</v>
      </c>
      <c r="Q31" s="73">
        <f t="shared" si="79"/>
        <v>14.22</v>
      </c>
      <c r="R31" s="73">
        <f t="shared" si="80"/>
        <v>0</v>
      </c>
      <c r="S31" s="73">
        <f t="shared" si="81"/>
        <v>0</v>
      </c>
      <c r="T31" s="73">
        <f t="shared" si="82"/>
        <v>0</v>
      </c>
      <c r="U31" s="73">
        <f t="shared" si="83"/>
        <v>0</v>
      </c>
      <c r="V31" s="73">
        <f t="shared" si="84"/>
        <v>0</v>
      </c>
      <c r="W31" s="73">
        <f t="shared" si="85"/>
        <v>0</v>
      </c>
      <c r="X31" s="74"/>
    </row>
    <row r="32" spans="1:24" s="75" customFormat="1" ht="37.5">
      <c r="A32" s="64"/>
      <c r="B32" s="30" t="s">
        <v>1662</v>
      </c>
      <c r="C32" s="65"/>
      <c r="D32" s="66"/>
      <c r="E32" s="67">
        <v>10</v>
      </c>
      <c r="F32" s="67">
        <v>1</v>
      </c>
      <c r="G32" s="67">
        <v>1</v>
      </c>
      <c r="H32" s="68">
        <v>5</v>
      </c>
      <c r="I32" s="69"/>
      <c r="J32" s="69"/>
      <c r="K32" s="69"/>
      <c r="L32" s="70"/>
      <c r="M32" s="70"/>
      <c r="N32" s="71">
        <v>3.91</v>
      </c>
      <c r="O32" s="72">
        <f t="shared" si="77"/>
        <v>19.55</v>
      </c>
      <c r="P32" s="67" t="str">
        <f t="shared" si="78"/>
        <v>0.617</v>
      </c>
      <c r="Q32" s="73">
        <f t="shared" si="79"/>
        <v>0</v>
      </c>
      <c r="R32" s="73">
        <f t="shared" si="80"/>
        <v>12.061999999999999</v>
      </c>
      <c r="S32" s="73">
        <f t="shared" si="81"/>
        <v>0</v>
      </c>
      <c r="T32" s="73">
        <f t="shared" si="82"/>
        <v>0</v>
      </c>
      <c r="U32" s="73">
        <f t="shared" si="83"/>
        <v>0</v>
      </c>
      <c r="V32" s="73">
        <f t="shared" si="84"/>
        <v>0</v>
      </c>
      <c r="W32" s="73">
        <f t="shared" si="85"/>
        <v>0</v>
      </c>
      <c r="X32" s="74"/>
    </row>
    <row r="33" spans="1:24" s="75" customFormat="1">
      <c r="A33" s="64"/>
      <c r="B33" s="30" t="s">
        <v>1665</v>
      </c>
      <c r="C33" s="65"/>
      <c r="D33" s="66"/>
      <c r="E33" s="67">
        <v>8</v>
      </c>
      <c r="F33" s="67">
        <v>1</v>
      </c>
      <c r="G33" s="67">
        <v>1</v>
      </c>
      <c r="H33" s="68">
        <v>27</v>
      </c>
      <c r="I33" s="69"/>
      <c r="J33" s="69"/>
      <c r="K33" s="69"/>
      <c r="L33" s="70"/>
      <c r="M33" s="70"/>
      <c r="N33" s="71">
        <v>1.52</v>
      </c>
      <c r="O33" s="72">
        <f t="shared" si="77"/>
        <v>41.04</v>
      </c>
      <c r="P33" s="67" t="str">
        <f t="shared" si="78"/>
        <v>0.395</v>
      </c>
      <c r="Q33" s="73">
        <f t="shared" si="79"/>
        <v>16.210999999999999</v>
      </c>
      <c r="R33" s="73">
        <f t="shared" si="80"/>
        <v>0</v>
      </c>
      <c r="S33" s="73">
        <f t="shared" si="81"/>
        <v>0</v>
      </c>
      <c r="T33" s="73">
        <f t="shared" si="82"/>
        <v>0</v>
      </c>
      <c r="U33" s="73">
        <f t="shared" si="83"/>
        <v>0</v>
      </c>
      <c r="V33" s="73">
        <f t="shared" si="84"/>
        <v>0</v>
      </c>
      <c r="W33" s="73">
        <f t="shared" si="85"/>
        <v>0</v>
      </c>
      <c r="X33" s="74"/>
    </row>
    <row r="34" spans="1:24" s="75" customFormat="1">
      <c r="A34" s="64"/>
      <c r="B34" s="30" t="s">
        <v>1666</v>
      </c>
      <c r="C34" s="65"/>
      <c r="D34" s="66"/>
      <c r="E34" s="67">
        <v>8</v>
      </c>
      <c r="F34" s="67">
        <v>1</v>
      </c>
      <c r="G34" s="67">
        <v>1</v>
      </c>
      <c r="H34" s="68">
        <v>5</v>
      </c>
      <c r="I34" s="69"/>
      <c r="J34" s="69"/>
      <c r="K34" s="69"/>
      <c r="L34" s="70"/>
      <c r="M34" s="70"/>
      <c r="N34" s="71">
        <v>3.91</v>
      </c>
      <c r="O34" s="72">
        <f t="shared" si="77"/>
        <v>19.55</v>
      </c>
      <c r="P34" s="67" t="str">
        <f t="shared" si="78"/>
        <v>0.395</v>
      </c>
      <c r="Q34" s="73">
        <f t="shared" si="79"/>
        <v>7.7220000000000004</v>
      </c>
      <c r="R34" s="73">
        <f t="shared" si="80"/>
        <v>0</v>
      </c>
      <c r="S34" s="73">
        <f t="shared" si="81"/>
        <v>0</v>
      </c>
      <c r="T34" s="73">
        <f t="shared" si="82"/>
        <v>0</v>
      </c>
      <c r="U34" s="73">
        <f t="shared" si="83"/>
        <v>0</v>
      </c>
      <c r="V34" s="73">
        <f t="shared" si="84"/>
        <v>0</v>
      </c>
      <c r="W34" s="73">
        <f t="shared" si="85"/>
        <v>0</v>
      </c>
      <c r="X34" s="74"/>
    </row>
    <row r="35" spans="1:24" s="75" customFormat="1">
      <c r="A35" s="64"/>
      <c r="B35" s="30" t="s">
        <v>1663</v>
      </c>
      <c r="C35" s="65"/>
      <c r="D35" s="66"/>
      <c r="E35" s="67">
        <v>10</v>
      </c>
      <c r="F35" s="67">
        <v>1</v>
      </c>
      <c r="G35" s="67">
        <v>1</v>
      </c>
      <c r="H35" s="68">
        <v>5</v>
      </c>
      <c r="I35" s="69"/>
      <c r="J35" s="69"/>
      <c r="K35" s="69"/>
      <c r="L35" s="70"/>
      <c r="M35" s="70"/>
      <c r="N35" s="71">
        <v>2.0750000000000002</v>
      </c>
      <c r="O35" s="72">
        <f t="shared" si="77"/>
        <v>10.375</v>
      </c>
      <c r="P35" s="67" t="str">
        <f t="shared" si="78"/>
        <v>0.617</v>
      </c>
      <c r="Q35" s="73">
        <f t="shared" si="79"/>
        <v>0</v>
      </c>
      <c r="R35" s="73">
        <f t="shared" si="80"/>
        <v>6.4009999999999998</v>
      </c>
      <c r="S35" s="73">
        <f t="shared" si="81"/>
        <v>0</v>
      </c>
      <c r="T35" s="73">
        <f t="shared" si="82"/>
        <v>0</v>
      </c>
      <c r="U35" s="73">
        <f t="shared" si="83"/>
        <v>0</v>
      </c>
      <c r="V35" s="73">
        <f t="shared" si="84"/>
        <v>0</v>
      </c>
      <c r="W35" s="73">
        <f t="shared" si="85"/>
        <v>0</v>
      </c>
      <c r="X35" s="74"/>
    </row>
    <row r="36" spans="1:24" s="75" customFormat="1">
      <c r="A36" s="64"/>
      <c r="B36" s="30" t="s">
        <v>1664</v>
      </c>
      <c r="C36" s="65"/>
      <c r="D36" s="66"/>
      <c r="E36" s="67">
        <v>8</v>
      </c>
      <c r="F36" s="67">
        <v>1</v>
      </c>
      <c r="G36" s="67">
        <v>1</v>
      </c>
      <c r="H36" s="68">
        <v>13</v>
      </c>
      <c r="I36" s="69"/>
      <c r="J36" s="69"/>
      <c r="K36" s="69"/>
      <c r="L36" s="70"/>
      <c r="M36" s="70"/>
      <c r="N36" s="71">
        <v>1.52</v>
      </c>
      <c r="O36" s="72">
        <f t="shared" si="77"/>
        <v>19.760000000000002</v>
      </c>
      <c r="P36" s="67" t="str">
        <f t="shared" si="78"/>
        <v>0.395</v>
      </c>
      <c r="Q36" s="73">
        <f t="shared" si="79"/>
        <v>7.8049999999999997</v>
      </c>
      <c r="R36" s="73">
        <f t="shared" si="80"/>
        <v>0</v>
      </c>
      <c r="S36" s="73">
        <f t="shared" si="81"/>
        <v>0</v>
      </c>
      <c r="T36" s="73">
        <f t="shared" si="82"/>
        <v>0</v>
      </c>
      <c r="U36" s="73">
        <f t="shared" si="83"/>
        <v>0</v>
      </c>
      <c r="V36" s="73">
        <f t="shared" si="84"/>
        <v>0</v>
      </c>
      <c r="W36" s="73">
        <f t="shared" si="85"/>
        <v>0</v>
      </c>
      <c r="X36" s="74"/>
    </row>
    <row r="37" spans="1:24" s="75" customFormat="1">
      <c r="A37" s="64"/>
      <c r="B37" s="30" t="s">
        <v>1667</v>
      </c>
      <c r="C37" s="65"/>
      <c r="D37" s="66"/>
      <c r="E37" s="67">
        <v>8</v>
      </c>
      <c r="F37" s="67">
        <v>1</v>
      </c>
      <c r="G37" s="67">
        <v>1</v>
      </c>
      <c r="H37" s="68">
        <v>5</v>
      </c>
      <c r="I37" s="69"/>
      <c r="J37" s="69"/>
      <c r="K37" s="69"/>
      <c r="L37" s="70"/>
      <c r="M37" s="70"/>
      <c r="N37" s="71">
        <v>1.77</v>
      </c>
      <c r="O37" s="72">
        <f t="shared" ref="O37" si="86">PRODUCT(F37:N37)</f>
        <v>8.85</v>
      </c>
      <c r="P37" s="67" t="str">
        <f t="shared" ref="P37" si="87">IF(E37=8,"0.395",IF(E37=10,"0.617",IF(E37=12,"0.888",IF(E37=16,"1.579",IF(E37=20,"2.467",IF(E37=25,"3.855",IF(E37=32,"6.316")))))))</f>
        <v>0.395</v>
      </c>
      <c r="Q37" s="73">
        <f t="shared" ref="Q37" si="88">ROUND(IF(E37=8,P37*O37,0),3)</f>
        <v>3.496</v>
      </c>
      <c r="R37" s="73">
        <f t="shared" ref="R37" si="89">ROUND(IF(E37=10,O37*P37,0),3)</f>
        <v>0</v>
      </c>
      <c r="S37" s="73">
        <f t="shared" ref="S37" si="90">ROUND(IF(E37=12,O37*P37,0),3)</f>
        <v>0</v>
      </c>
      <c r="T37" s="73">
        <f t="shared" ref="T37" si="91">ROUND(IF(E37=16,O37*P37,0),3)</f>
        <v>0</v>
      </c>
      <c r="U37" s="73">
        <f t="shared" ref="U37" si="92">ROUND(IF(E37=20,O37*P37,0),3)</f>
        <v>0</v>
      </c>
      <c r="V37" s="73">
        <f t="shared" ref="V37" si="93">ROUND(IF(E37=25,O37*P37,0),3)</f>
        <v>0</v>
      </c>
      <c r="W37" s="73">
        <f t="shared" ref="W37" si="94">ROUND(IF(E37=32,O37*P37,0),3)</f>
        <v>0</v>
      </c>
      <c r="X37" s="74"/>
    </row>
    <row r="38" spans="1:24" s="75" customFormat="1" ht="17.25" customHeight="1">
      <c r="A38" s="64"/>
      <c r="B38" s="31" t="s">
        <v>1614</v>
      </c>
      <c r="C38" s="65"/>
      <c r="D38" s="66"/>
      <c r="E38" s="67"/>
      <c r="F38" s="67"/>
      <c r="G38" s="67"/>
      <c r="H38" s="68"/>
      <c r="I38" s="69"/>
      <c r="J38" s="69"/>
      <c r="K38" s="69"/>
      <c r="L38" s="70"/>
      <c r="M38" s="70"/>
      <c r="N38" s="71"/>
      <c r="O38" s="72"/>
      <c r="P38" s="67"/>
      <c r="Q38" s="73"/>
      <c r="R38" s="73"/>
      <c r="S38" s="73"/>
      <c r="T38" s="73"/>
      <c r="U38" s="73"/>
      <c r="V38" s="73"/>
      <c r="W38" s="73"/>
      <c r="X38" s="74"/>
    </row>
    <row r="39" spans="1:24" s="75" customFormat="1">
      <c r="A39" s="64"/>
      <c r="B39" s="30" t="s">
        <v>1615</v>
      </c>
      <c r="C39" s="65"/>
      <c r="D39" s="66"/>
      <c r="E39" s="67">
        <v>10</v>
      </c>
      <c r="F39" s="67">
        <v>2</v>
      </c>
      <c r="G39" s="67">
        <v>1</v>
      </c>
      <c r="H39" s="68">
        <v>5</v>
      </c>
      <c r="I39" s="69"/>
      <c r="J39" s="69"/>
      <c r="K39" s="69"/>
      <c r="L39" s="70"/>
      <c r="M39" s="70"/>
      <c r="N39" s="71">
        <v>1.42</v>
      </c>
      <c r="O39" s="72">
        <f t="shared" ref="O39:O40" si="95">PRODUCT(F39:N39)</f>
        <v>14.2</v>
      </c>
      <c r="P39" s="67" t="str">
        <f t="shared" ref="P39:P40" si="96">IF(E39=8,"0.395",IF(E39=10,"0.617",IF(E39=12,"0.888",IF(E39=16,"1.579",IF(E39=20,"2.467",IF(E39=25,"3.855",IF(E39=32,"6.316")))))))</f>
        <v>0.617</v>
      </c>
      <c r="Q39" s="73">
        <f t="shared" ref="Q39:Q40" si="97">ROUND(IF(E39=8,P39*O39,0),3)</f>
        <v>0</v>
      </c>
      <c r="R39" s="73">
        <f t="shared" ref="R39:R40" si="98">ROUND(IF(E39=10,O39*P39,0),3)</f>
        <v>8.7609999999999992</v>
      </c>
      <c r="S39" s="73">
        <f t="shared" ref="S39:S40" si="99">ROUND(IF(E39=12,O39*P39,0),3)</f>
        <v>0</v>
      </c>
      <c r="T39" s="73">
        <f t="shared" ref="T39:T40" si="100">ROUND(IF(E39=16,O39*P39,0),3)</f>
        <v>0</v>
      </c>
      <c r="U39" s="73">
        <f t="shared" ref="U39:U40" si="101">ROUND(IF(E39=20,O39*P39,0),3)</f>
        <v>0</v>
      </c>
      <c r="V39" s="73">
        <f t="shared" ref="V39:V40" si="102">ROUND(IF(E39=25,O39*P39,0),3)</f>
        <v>0</v>
      </c>
      <c r="W39" s="73">
        <f t="shared" ref="W39:W40" si="103">ROUND(IF(E39=32,O39*P39,0),3)</f>
        <v>0</v>
      </c>
      <c r="X39" s="74"/>
    </row>
    <row r="40" spans="1:24" s="75" customFormat="1">
      <c r="A40" s="64"/>
      <c r="B40" s="30" t="s">
        <v>1616</v>
      </c>
      <c r="C40" s="65"/>
      <c r="D40" s="66"/>
      <c r="E40" s="67">
        <v>8</v>
      </c>
      <c r="F40" s="67">
        <v>2</v>
      </c>
      <c r="G40" s="67">
        <v>1</v>
      </c>
      <c r="H40" s="68">
        <v>10</v>
      </c>
      <c r="I40" s="69"/>
      <c r="J40" s="69"/>
      <c r="K40" s="69"/>
      <c r="L40" s="70"/>
      <c r="M40" s="70"/>
      <c r="N40" s="71">
        <v>0.75</v>
      </c>
      <c r="O40" s="72">
        <f t="shared" si="95"/>
        <v>15</v>
      </c>
      <c r="P40" s="67" t="str">
        <f t="shared" si="96"/>
        <v>0.395</v>
      </c>
      <c r="Q40" s="73">
        <f t="shared" si="97"/>
        <v>5.9249999999999998</v>
      </c>
      <c r="R40" s="73">
        <f t="shared" si="98"/>
        <v>0</v>
      </c>
      <c r="S40" s="73">
        <f t="shared" si="99"/>
        <v>0</v>
      </c>
      <c r="T40" s="73">
        <f t="shared" si="100"/>
        <v>0</v>
      </c>
      <c r="U40" s="73">
        <f t="shared" si="101"/>
        <v>0</v>
      </c>
      <c r="V40" s="73">
        <f t="shared" si="102"/>
        <v>0</v>
      </c>
      <c r="W40" s="73">
        <f t="shared" si="103"/>
        <v>0</v>
      </c>
      <c r="X40" s="74"/>
    </row>
    <row r="41" spans="1:24" s="75" customFormat="1">
      <c r="A41" s="64"/>
      <c r="B41" s="30" t="s">
        <v>1617</v>
      </c>
      <c r="C41" s="65"/>
      <c r="D41" s="66"/>
      <c r="E41" s="67">
        <v>10</v>
      </c>
      <c r="F41" s="67">
        <v>1</v>
      </c>
      <c r="G41" s="67">
        <v>1</v>
      </c>
      <c r="H41" s="68">
        <v>5</v>
      </c>
      <c r="I41" s="69"/>
      <c r="J41" s="69"/>
      <c r="K41" s="69"/>
      <c r="L41" s="70"/>
      <c r="M41" s="70"/>
      <c r="N41" s="71">
        <v>1.42</v>
      </c>
      <c r="O41" s="72">
        <f t="shared" ref="O41:O45" si="104">PRODUCT(F41:N41)</f>
        <v>7.1</v>
      </c>
      <c r="P41" s="67" t="str">
        <f t="shared" ref="P41:P48" si="105">IF(E41=8,"0.395",IF(E41=10,"0.617",IF(E41=12,"0.888",IF(E41=16,"1.579",IF(E41=20,"2.467",IF(E41=25,"3.855",IF(E41=32,"6.316")))))))</f>
        <v>0.617</v>
      </c>
      <c r="Q41" s="73">
        <f t="shared" ref="Q41:Q48" si="106">ROUND(IF(E41=8,P41*O41,0),3)</f>
        <v>0</v>
      </c>
      <c r="R41" s="73">
        <f t="shared" ref="R41:R48" si="107">ROUND(IF(E41=10,O41*P41,0),3)</f>
        <v>4.3810000000000002</v>
      </c>
      <c r="S41" s="73">
        <f t="shared" ref="S41:S48" si="108">ROUND(IF(E41=12,O41*P41,0),3)</f>
        <v>0</v>
      </c>
      <c r="T41" s="73">
        <f t="shared" ref="T41:T48" si="109">ROUND(IF(E41=16,O41*P41,0),3)</f>
        <v>0</v>
      </c>
      <c r="U41" s="73">
        <f t="shared" ref="U41:U48" si="110">ROUND(IF(E41=20,O41*P41,0),3)</f>
        <v>0</v>
      </c>
      <c r="V41" s="73">
        <f t="shared" ref="V41:V48" si="111">ROUND(IF(E41=25,O41*P41,0),3)</f>
        <v>0</v>
      </c>
      <c r="W41" s="73">
        <f t="shared" ref="W41:W48" si="112">ROUND(IF(E41=32,O41*P41,0),3)</f>
        <v>0</v>
      </c>
      <c r="X41" s="74"/>
    </row>
    <row r="42" spans="1:24" s="75" customFormat="1">
      <c r="A42" s="64"/>
      <c r="B42" s="30" t="s">
        <v>1616</v>
      </c>
      <c r="C42" s="65"/>
      <c r="D42" s="66"/>
      <c r="E42" s="67">
        <v>8</v>
      </c>
      <c r="F42" s="67">
        <v>1</v>
      </c>
      <c r="G42" s="67">
        <v>1</v>
      </c>
      <c r="H42" s="68">
        <v>11</v>
      </c>
      <c r="I42" s="69"/>
      <c r="J42" s="69"/>
      <c r="K42" s="69"/>
      <c r="L42" s="70"/>
      <c r="M42" s="70"/>
      <c r="N42" s="71">
        <v>1.52</v>
      </c>
      <c r="O42" s="72">
        <f t="shared" si="104"/>
        <v>16.72</v>
      </c>
      <c r="P42" s="67" t="str">
        <f t="shared" si="105"/>
        <v>0.395</v>
      </c>
      <c r="Q42" s="73">
        <f t="shared" si="106"/>
        <v>6.6040000000000001</v>
      </c>
      <c r="R42" s="73">
        <f t="shared" si="107"/>
        <v>0</v>
      </c>
      <c r="S42" s="73">
        <f t="shared" si="108"/>
        <v>0</v>
      </c>
      <c r="T42" s="73">
        <f t="shared" si="109"/>
        <v>0</v>
      </c>
      <c r="U42" s="73">
        <f t="shared" si="110"/>
        <v>0</v>
      </c>
      <c r="V42" s="73">
        <f t="shared" si="111"/>
        <v>0</v>
      </c>
      <c r="W42" s="73">
        <f t="shared" si="112"/>
        <v>0</v>
      </c>
      <c r="X42" s="74"/>
    </row>
    <row r="43" spans="1:24" s="75" customFormat="1">
      <c r="A43" s="64"/>
      <c r="B43" s="30" t="s">
        <v>1618</v>
      </c>
      <c r="C43" s="65"/>
      <c r="D43" s="66"/>
      <c r="E43" s="67">
        <v>8</v>
      </c>
      <c r="F43" s="67">
        <v>1</v>
      </c>
      <c r="G43" s="67">
        <v>1</v>
      </c>
      <c r="H43" s="68">
        <v>5</v>
      </c>
      <c r="I43" s="69"/>
      <c r="J43" s="69"/>
      <c r="K43" s="69"/>
      <c r="L43" s="70"/>
      <c r="M43" s="70"/>
      <c r="N43" s="71">
        <v>1.42</v>
      </c>
      <c r="O43" s="72">
        <f t="shared" si="104"/>
        <v>7.1</v>
      </c>
      <c r="P43" s="67" t="str">
        <f t="shared" si="105"/>
        <v>0.395</v>
      </c>
      <c r="Q43" s="73">
        <f t="shared" si="106"/>
        <v>2.8050000000000002</v>
      </c>
      <c r="R43" s="73">
        <f t="shared" si="107"/>
        <v>0</v>
      </c>
      <c r="S43" s="73">
        <f t="shared" si="108"/>
        <v>0</v>
      </c>
      <c r="T43" s="73">
        <f t="shared" si="109"/>
        <v>0</v>
      </c>
      <c r="U43" s="73">
        <f t="shared" si="110"/>
        <v>0</v>
      </c>
      <c r="V43" s="73">
        <f t="shared" si="111"/>
        <v>0</v>
      </c>
      <c r="W43" s="73">
        <f t="shared" si="112"/>
        <v>0</v>
      </c>
      <c r="X43" s="74"/>
    </row>
    <row r="44" spans="1:24" s="75" customFormat="1">
      <c r="A44" s="64"/>
      <c r="B44" s="30" t="s">
        <v>1619</v>
      </c>
      <c r="C44" s="65"/>
      <c r="D44" s="66"/>
      <c r="E44" s="67">
        <v>10</v>
      </c>
      <c r="F44" s="67">
        <v>2</v>
      </c>
      <c r="G44" s="67">
        <v>1</v>
      </c>
      <c r="H44" s="68">
        <v>4</v>
      </c>
      <c r="I44" s="69"/>
      <c r="J44" s="69"/>
      <c r="K44" s="69"/>
      <c r="L44" s="70"/>
      <c r="M44" s="70"/>
      <c r="N44" s="71">
        <v>4.8099999999999996</v>
      </c>
      <c r="O44" s="72">
        <f t="shared" si="104"/>
        <v>38.479999999999997</v>
      </c>
      <c r="P44" s="67" t="str">
        <f t="shared" si="105"/>
        <v>0.617</v>
      </c>
      <c r="Q44" s="73">
        <f t="shared" si="106"/>
        <v>0</v>
      </c>
      <c r="R44" s="73">
        <f t="shared" si="107"/>
        <v>23.742000000000001</v>
      </c>
      <c r="S44" s="73">
        <f t="shared" si="108"/>
        <v>0</v>
      </c>
      <c r="T44" s="73">
        <f t="shared" si="109"/>
        <v>0</v>
      </c>
      <c r="U44" s="73">
        <f t="shared" si="110"/>
        <v>0</v>
      </c>
      <c r="V44" s="73">
        <f t="shared" si="111"/>
        <v>0</v>
      </c>
      <c r="W44" s="73">
        <f t="shared" si="112"/>
        <v>0</v>
      </c>
      <c r="X44" s="74"/>
    </row>
    <row r="45" spans="1:24" s="75" customFormat="1">
      <c r="A45" s="64"/>
      <c r="B45" s="30" t="s">
        <v>1620</v>
      </c>
      <c r="C45" s="65"/>
      <c r="D45" s="66"/>
      <c r="E45" s="67">
        <v>8</v>
      </c>
      <c r="F45" s="67">
        <v>2</v>
      </c>
      <c r="G45" s="67">
        <v>1</v>
      </c>
      <c r="H45" s="68">
        <v>10</v>
      </c>
      <c r="I45" s="69"/>
      <c r="J45" s="69"/>
      <c r="K45" s="69"/>
      <c r="L45" s="70"/>
      <c r="M45" s="70"/>
      <c r="N45" s="71">
        <v>1.32</v>
      </c>
      <c r="O45" s="72">
        <f t="shared" si="104"/>
        <v>26.400000000000002</v>
      </c>
      <c r="P45" s="67" t="str">
        <f t="shared" si="105"/>
        <v>0.395</v>
      </c>
      <c r="Q45" s="73">
        <f t="shared" si="106"/>
        <v>10.428000000000001</v>
      </c>
      <c r="R45" s="73">
        <f t="shared" si="107"/>
        <v>0</v>
      </c>
      <c r="S45" s="73">
        <f t="shared" si="108"/>
        <v>0</v>
      </c>
      <c r="T45" s="73">
        <f t="shared" si="109"/>
        <v>0</v>
      </c>
      <c r="U45" s="73">
        <f t="shared" si="110"/>
        <v>0</v>
      </c>
      <c r="V45" s="73">
        <f t="shared" si="111"/>
        <v>0</v>
      </c>
      <c r="W45" s="73">
        <f t="shared" si="112"/>
        <v>0</v>
      </c>
      <c r="X45" s="74"/>
    </row>
    <row r="46" spans="1:24" s="411" customFormat="1">
      <c r="A46" s="399"/>
      <c r="B46" s="400" t="s">
        <v>1621</v>
      </c>
      <c r="C46" s="401"/>
      <c r="D46" s="402"/>
      <c r="E46" s="403">
        <v>8</v>
      </c>
      <c r="F46" s="403">
        <v>2</v>
      </c>
      <c r="G46" s="403">
        <v>1</v>
      </c>
      <c r="H46" s="404">
        <v>5</v>
      </c>
      <c r="I46" s="405"/>
      <c r="J46" s="405"/>
      <c r="K46" s="405"/>
      <c r="L46" s="406"/>
      <c r="M46" s="406"/>
      <c r="N46" s="407">
        <v>4.8099999999999996</v>
      </c>
      <c r="O46" s="408">
        <f>PRODUCT(F46:N46)</f>
        <v>48.099999999999994</v>
      </c>
      <c r="P46" s="403" t="str">
        <f t="shared" si="105"/>
        <v>0.395</v>
      </c>
      <c r="Q46" s="409">
        <f t="shared" si="106"/>
        <v>19</v>
      </c>
      <c r="R46" s="409">
        <f t="shared" si="107"/>
        <v>0</v>
      </c>
      <c r="S46" s="409">
        <f t="shared" si="108"/>
        <v>0</v>
      </c>
      <c r="T46" s="409">
        <f t="shared" si="109"/>
        <v>0</v>
      </c>
      <c r="U46" s="409">
        <f t="shared" si="110"/>
        <v>0</v>
      </c>
      <c r="V46" s="409">
        <f t="shared" si="111"/>
        <v>0</v>
      </c>
      <c r="W46" s="409">
        <f t="shared" si="112"/>
        <v>0</v>
      </c>
      <c r="X46" s="410"/>
    </row>
    <row r="47" spans="1:24" s="75" customFormat="1">
      <c r="A47" s="64"/>
      <c r="B47" s="30" t="s">
        <v>1622</v>
      </c>
      <c r="C47" s="65"/>
      <c r="D47" s="66"/>
      <c r="E47" s="67">
        <v>10</v>
      </c>
      <c r="F47" s="67">
        <v>2</v>
      </c>
      <c r="G47" s="67">
        <v>1</v>
      </c>
      <c r="H47" s="68">
        <v>4</v>
      </c>
      <c r="I47" s="69"/>
      <c r="J47" s="69"/>
      <c r="K47" s="69"/>
      <c r="L47" s="70"/>
      <c r="M47" s="70"/>
      <c r="N47" s="71">
        <v>5.03</v>
      </c>
      <c r="O47" s="72">
        <f t="shared" ref="O47:O48" si="113">PRODUCT(F47:N47)</f>
        <v>40.24</v>
      </c>
      <c r="P47" s="67" t="str">
        <f t="shared" si="105"/>
        <v>0.617</v>
      </c>
      <c r="Q47" s="73">
        <f t="shared" si="106"/>
        <v>0</v>
      </c>
      <c r="R47" s="73">
        <f t="shared" si="107"/>
        <v>24.827999999999999</v>
      </c>
      <c r="S47" s="73">
        <f t="shared" si="108"/>
        <v>0</v>
      </c>
      <c r="T47" s="73">
        <f t="shared" si="109"/>
        <v>0</v>
      </c>
      <c r="U47" s="73">
        <f t="shared" si="110"/>
        <v>0</v>
      </c>
      <c r="V47" s="73">
        <f t="shared" si="111"/>
        <v>0</v>
      </c>
      <c r="W47" s="73">
        <f t="shared" si="112"/>
        <v>0</v>
      </c>
      <c r="X47" s="74"/>
    </row>
    <row r="48" spans="1:24" s="75" customFormat="1">
      <c r="A48" s="64"/>
      <c r="B48" s="30" t="s">
        <v>1623</v>
      </c>
      <c r="C48" s="65"/>
      <c r="D48" s="66"/>
      <c r="E48" s="67">
        <v>8</v>
      </c>
      <c r="F48" s="67">
        <v>2</v>
      </c>
      <c r="G48" s="67">
        <v>1</v>
      </c>
      <c r="H48" s="68">
        <v>35</v>
      </c>
      <c r="I48" s="69"/>
      <c r="J48" s="69"/>
      <c r="K48" s="69"/>
      <c r="L48" s="70"/>
      <c r="M48" s="70"/>
      <c r="N48" s="71">
        <v>0.55000000000000004</v>
      </c>
      <c r="O48" s="72">
        <f t="shared" si="113"/>
        <v>38.5</v>
      </c>
      <c r="P48" s="67" t="str">
        <f t="shared" si="105"/>
        <v>0.395</v>
      </c>
      <c r="Q48" s="73">
        <f t="shared" si="106"/>
        <v>15.208</v>
      </c>
      <c r="R48" s="73">
        <f t="shared" si="107"/>
        <v>0</v>
      </c>
      <c r="S48" s="73">
        <f t="shared" si="108"/>
        <v>0</v>
      </c>
      <c r="T48" s="73">
        <f t="shared" si="109"/>
        <v>0</v>
      </c>
      <c r="U48" s="73">
        <f t="shared" si="110"/>
        <v>0</v>
      </c>
      <c r="V48" s="73">
        <f t="shared" si="111"/>
        <v>0</v>
      </c>
      <c r="W48" s="73">
        <f t="shared" si="112"/>
        <v>0</v>
      </c>
      <c r="X48" s="74"/>
    </row>
    <row r="49" spans="1:24" s="75" customFormat="1">
      <c r="A49" s="64"/>
      <c r="B49" s="30" t="s">
        <v>1624</v>
      </c>
      <c r="C49" s="65"/>
      <c r="D49" s="66"/>
      <c r="E49" s="67">
        <v>10</v>
      </c>
      <c r="F49" s="67">
        <v>4</v>
      </c>
      <c r="G49" s="67">
        <v>1</v>
      </c>
      <c r="H49" s="68">
        <v>4</v>
      </c>
      <c r="I49" s="69"/>
      <c r="J49" s="69"/>
      <c r="K49" s="69"/>
      <c r="L49" s="70"/>
      <c r="M49" s="70"/>
      <c r="N49" s="71">
        <v>1.8</v>
      </c>
      <c r="O49" s="72">
        <f t="shared" ref="O49:O57" si="114">PRODUCT(F49:N49)</f>
        <v>28.8</v>
      </c>
      <c r="P49" s="67" t="str">
        <f t="shared" ref="P49:P57" si="115">IF(E49=8,"0.395",IF(E49=10,"0.617",IF(E49=12,"0.888",IF(E49=16,"1.579",IF(E49=20,"2.467",IF(E49=25,"3.855",IF(E49=32,"6.316")))))))</f>
        <v>0.617</v>
      </c>
      <c r="Q49" s="73">
        <f t="shared" ref="Q49:Q57" si="116">ROUND(IF(E49=8,P49*O49,0),3)</f>
        <v>0</v>
      </c>
      <c r="R49" s="73">
        <f t="shared" ref="R49:R57" si="117">ROUND(IF(E49=10,O49*P49,0),3)</f>
        <v>17.77</v>
      </c>
      <c r="S49" s="73">
        <f t="shared" ref="S49:S57" si="118">ROUND(IF(E49=12,O49*P49,0),3)</f>
        <v>0</v>
      </c>
      <c r="T49" s="73">
        <f t="shared" ref="T49:T57" si="119">ROUND(IF(E49=16,O49*P49,0),3)</f>
        <v>0</v>
      </c>
      <c r="U49" s="73">
        <f t="shared" ref="U49:U57" si="120">ROUND(IF(E49=20,O49*P49,0),3)</f>
        <v>0</v>
      </c>
      <c r="V49" s="73">
        <f t="shared" ref="V49:V57" si="121">ROUND(IF(E49=25,O49*P49,0),3)</f>
        <v>0</v>
      </c>
      <c r="W49" s="73">
        <f t="shared" ref="W49:W57" si="122">ROUND(IF(E49=32,O49*P49,0),3)</f>
        <v>0</v>
      </c>
      <c r="X49" s="74"/>
    </row>
    <row r="50" spans="1:24" s="75" customFormat="1">
      <c r="A50" s="64"/>
      <c r="B50" s="30" t="s">
        <v>1624</v>
      </c>
      <c r="C50" s="65"/>
      <c r="D50" s="66"/>
      <c r="E50" s="67">
        <v>8</v>
      </c>
      <c r="F50" s="67">
        <v>4</v>
      </c>
      <c r="G50" s="67">
        <v>1</v>
      </c>
      <c r="H50" s="68">
        <v>12</v>
      </c>
      <c r="I50" s="69"/>
      <c r="J50" s="69"/>
      <c r="K50" s="69"/>
      <c r="L50" s="70"/>
      <c r="M50" s="70"/>
      <c r="N50" s="71">
        <v>1.8</v>
      </c>
      <c r="O50" s="72">
        <f t="shared" si="114"/>
        <v>86.4</v>
      </c>
      <c r="P50" s="67" t="str">
        <f t="shared" si="115"/>
        <v>0.395</v>
      </c>
      <c r="Q50" s="73">
        <f t="shared" si="116"/>
        <v>34.128</v>
      </c>
      <c r="R50" s="73">
        <f t="shared" si="117"/>
        <v>0</v>
      </c>
      <c r="S50" s="73">
        <f t="shared" si="118"/>
        <v>0</v>
      </c>
      <c r="T50" s="73">
        <f t="shared" si="119"/>
        <v>0</v>
      </c>
      <c r="U50" s="73">
        <f t="shared" si="120"/>
        <v>0</v>
      </c>
      <c r="V50" s="73">
        <f t="shared" si="121"/>
        <v>0</v>
      </c>
      <c r="W50" s="73">
        <f t="shared" si="122"/>
        <v>0</v>
      </c>
      <c r="X50" s="74"/>
    </row>
    <row r="51" spans="1:24" s="75" customFormat="1">
      <c r="A51" s="64"/>
      <c r="B51" s="30" t="s">
        <v>1625</v>
      </c>
      <c r="C51" s="65"/>
      <c r="D51" s="66"/>
      <c r="E51" s="67">
        <v>10</v>
      </c>
      <c r="F51" s="67">
        <v>4</v>
      </c>
      <c r="G51" s="67">
        <v>1</v>
      </c>
      <c r="H51" s="68">
        <v>5</v>
      </c>
      <c r="I51" s="69"/>
      <c r="J51" s="69"/>
      <c r="K51" s="69"/>
      <c r="L51" s="70"/>
      <c r="M51" s="70"/>
      <c r="N51" s="71">
        <v>1.77</v>
      </c>
      <c r="O51" s="72">
        <f t="shared" si="114"/>
        <v>35.4</v>
      </c>
      <c r="P51" s="67" t="str">
        <f t="shared" si="115"/>
        <v>0.617</v>
      </c>
      <c r="Q51" s="73">
        <f t="shared" si="116"/>
        <v>0</v>
      </c>
      <c r="R51" s="73">
        <f t="shared" si="117"/>
        <v>21.841999999999999</v>
      </c>
      <c r="S51" s="73">
        <f t="shared" si="118"/>
        <v>0</v>
      </c>
      <c r="T51" s="73">
        <f t="shared" si="119"/>
        <v>0</v>
      </c>
      <c r="U51" s="73">
        <f t="shared" si="120"/>
        <v>0</v>
      </c>
      <c r="V51" s="73">
        <f t="shared" si="121"/>
        <v>0</v>
      </c>
      <c r="W51" s="73">
        <f t="shared" si="122"/>
        <v>0</v>
      </c>
      <c r="X51" s="74"/>
    </row>
    <row r="52" spans="1:24" s="75" customFormat="1">
      <c r="A52" s="64"/>
      <c r="B52" s="30" t="s">
        <v>1626</v>
      </c>
      <c r="C52" s="65"/>
      <c r="D52" s="66"/>
      <c r="E52" s="67">
        <v>8</v>
      </c>
      <c r="F52" s="67">
        <v>4</v>
      </c>
      <c r="G52" s="67">
        <v>1</v>
      </c>
      <c r="H52" s="68">
        <v>11</v>
      </c>
      <c r="I52" s="69"/>
      <c r="J52" s="69"/>
      <c r="K52" s="69"/>
      <c r="L52" s="70"/>
      <c r="M52" s="70"/>
      <c r="N52" s="71">
        <v>1.52</v>
      </c>
      <c r="O52" s="72">
        <f t="shared" si="114"/>
        <v>66.88</v>
      </c>
      <c r="P52" s="67" t="str">
        <f t="shared" si="115"/>
        <v>0.395</v>
      </c>
      <c r="Q52" s="73">
        <f t="shared" si="116"/>
        <v>26.417999999999999</v>
      </c>
      <c r="R52" s="73">
        <f t="shared" si="117"/>
        <v>0</v>
      </c>
      <c r="S52" s="73">
        <f t="shared" si="118"/>
        <v>0</v>
      </c>
      <c r="T52" s="73">
        <f t="shared" si="119"/>
        <v>0</v>
      </c>
      <c r="U52" s="73">
        <f t="shared" si="120"/>
        <v>0</v>
      </c>
      <c r="V52" s="73">
        <f t="shared" si="121"/>
        <v>0</v>
      </c>
      <c r="W52" s="73">
        <f t="shared" si="122"/>
        <v>0</v>
      </c>
      <c r="X52" s="74"/>
    </row>
    <row r="53" spans="1:24" s="75" customFormat="1">
      <c r="A53" s="64"/>
      <c r="B53" s="30" t="s">
        <v>1627</v>
      </c>
      <c r="C53" s="65"/>
      <c r="D53" s="66"/>
      <c r="E53" s="67">
        <v>8</v>
      </c>
      <c r="F53" s="67">
        <v>4</v>
      </c>
      <c r="G53" s="67">
        <v>1</v>
      </c>
      <c r="H53" s="68">
        <v>5</v>
      </c>
      <c r="I53" s="69"/>
      <c r="J53" s="69"/>
      <c r="K53" s="69"/>
      <c r="L53" s="70"/>
      <c r="M53" s="70"/>
      <c r="N53" s="71">
        <v>1.77</v>
      </c>
      <c r="O53" s="72">
        <f t="shared" si="114"/>
        <v>35.4</v>
      </c>
      <c r="P53" s="67" t="str">
        <f t="shared" si="115"/>
        <v>0.395</v>
      </c>
      <c r="Q53" s="73">
        <f t="shared" si="116"/>
        <v>13.983000000000001</v>
      </c>
      <c r="R53" s="73">
        <f t="shared" si="117"/>
        <v>0</v>
      </c>
      <c r="S53" s="73">
        <f t="shared" si="118"/>
        <v>0</v>
      </c>
      <c r="T53" s="73">
        <f t="shared" si="119"/>
        <v>0</v>
      </c>
      <c r="U53" s="73">
        <f t="shared" si="120"/>
        <v>0</v>
      </c>
      <c r="V53" s="73">
        <f t="shared" si="121"/>
        <v>0</v>
      </c>
      <c r="W53" s="73">
        <f t="shared" si="122"/>
        <v>0</v>
      </c>
      <c r="X53" s="74"/>
    </row>
    <row r="54" spans="1:24" s="75" customFormat="1">
      <c r="A54" s="64"/>
      <c r="B54" s="30" t="s">
        <v>1628</v>
      </c>
      <c r="C54" s="65"/>
      <c r="D54" s="66"/>
      <c r="E54" s="67">
        <v>10</v>
      </c>
      <c r="F54" s="67">
        <v>8</v>
      </c>
      <c r="G54" s="67">
        <v>1</v>
      </c>
      <c r="H54" s="68">
        <v>5</v>
      </c>
      <c r="I54" s="69"/>
      <c r="J54" s="69"/>
      <c r="K54" s="69"/>
      <c r="L54" s="70"/>
      <c r="M54" s="70"/>
      <c r="N54" s="71">
        <v>1.17</v>
      </c>
      <c r="O54" s="72">
        <f t="shared" si="114"/>
        <v>46.8</v>
      </c>
      <c r="P54" s="67" t="str">
        <f t="shared" si="115"/>
        <v>0.617</v>
      </c>
      <c r="Q54" s="73">
        <f t="shared" si="116"/>
        <v>0</v>
      </c>
      <c r="R54" s="73">
        <f t="shared" si="117"/>
        <v>28.876000000000001</v>
      </c>
      <c r="S54" s="73">
        <f t="shared" si="118"/>
        <v>0</v>
      </c>
      <c r="T54" s="73">
        <f t="shared" si="119"/>
        <v>0</v>
      </c>
      <c r="U54" s="73">
        <f t="shared" si="120"/>
        <v>0</v>
      </c>
      <c r="V54" s="73">
        <f t="shared" si="121"/>
        <v>0</v>
      </c>
      <c r="W54" s="73">
        <f t="shared" si="122"/>
        <v>0</v>
      </c>
      <c r="X54" s="74"/>
    </row>
    <row r="55" spans="1:24" s="75" customFormat="1">
      <c r="A55" s="64"/>
      <c r="B55" s="30" t="s">
        <v>1629</v>
      </c>
      <c r="C55" s="65"/>
      <c r="D55" s="66"/>
      <c r="E55" s="67">
        <v>8</v>
      </c>
      <c r="F55" s="67">
        <v>8</v>
      </c>
      <c r="G55" s="67">
        <v>1</v>
      </c>
      <c r="H55" s="68">
        <v>9</v>
      </c>
      <c r="I55" s="69"/>
      <c r="J55" s="69"/>
      <c r="K55" s="69"/>
      <c r="L55" s="70"/>
      <c r="M55" s="70"/>
      <c r="N55" s="71">
        <v>0.75</v>
      </c>
      <c r="O55" s="72">
        <f t="shared" si="114"/>
        <v>54</v>
      </c>
      <c r="P55" s="67" t="str">
        <f t="shared" si="115"/>
        <v>0.395</v>
      </c>
      <c r="Q55" s="73">
        <f t="shared" si="116"/>
        <v>21.33</v>
      </c>
      <c r="R55" s="73">
        <f t="shared" si="117"/>
        <v>0</v>
      </c>
      <c r="S55" s="73">
        <f t="shared" si="118"/>
        <v>0</v>
      </c>
      <c r="T55" s="73">
        <f t="shared" si="119"/>
        <v>0</v>
      </c>
      <c r="U55" s="73">
        <f t="shared" si="120"/>
        <v>0</v>
      </c>
      <c r="V55" s="73">
        <f t="shared" si="121"/>
        <v>0</v>
      </c>
      <c r="W55" s="73">
        <f t="shared" si="122"/>
        <v>0</v>
      </c>
      <c r="X55" s="74"/>
    </row>
    <row r="56" spans="1:24" s="75" customFormat="1">
      <c r="A56" s="64"/>
      <c r="B56" s="30" t="s">
        <v>1630</v>
      </c>
      <c r="C56" s="65"/>
      <c r="D56" s="66"/>
      <c r="E56" s="67">
        <v>10</v>
      </c>
      <c r="F56" s="67">
        <v>1</v>
      </c>
      <c r="G56" s="67">
        <v>1</v>
      </c>
      <c r="H56" s="68">
        <v>5</v>
      </c>
      <c r="I56" s="69"/>
      <c r="J56" s="69"/>
      <c r="K56" s="69"/>
      <c r="L56" s="70"/>
      <c r="M56" s="70"/>
      <c r="N56" s="71">
        <v>1.17</v>
      </c>
      <c r="O56" s="72">
        <f t="shared" si="114"/>
        <v>5.85</v>
      </c>
      <c r="P56" s="67" t="str">
        <f t="shared" si="115"/>
        <v>0.617</v>
      </c>
      <c r="Q56" s="73">
        <f t="shared" si="116"/>
        <v>0</v>
      </c>
      <c r="R56" s="73">
        <f t="shared" si="117"/>
        <v>3.609</v>
      </c>
      <c r="S56" s="73">
        <f t="shared" si="118"/>
        <v>0</v>
      </c>
      <c r="T56" s="73">
        <f t="shared" si="119"/>
        <v>0</v>
      </c>
      <c r="U56" s="73">
        <f t="shared" si="120"/>
        <v>0</v>
      </c>
      <c r="V56" s="73">
        <f t="shared" si="121"/>
        <v>0</v>
      </c>
      <c r="W56" s="73">
        <f t="shared" si="122"/>
        <v>0</v>
      </c>
      <c r="X56" s="74"/>
    </row>
    <row r="57" spans="1:24" s="75" customFormat="1">
      <c r="A57" s="64"/>
      <c r="B57" s="30" t="s">
        <v>1631</v>
      </c>
      <c r="C57" s="65"/>
      <c r="D57" s="66"/>
      <c r="E57" s="67">
        <v>8</v>
      </c>
      <c r="F57" s="67">
        <v>1</v>
      </c>
      <c r="G57" s="67">
        <v>1</v>
      </c>
      <c r="H57" s="68">
        <v>9</v>
      </c>
      <c r="I57" s="69"/>
      <c r="J57" s="69"/>
      <c r="K57" s="69"/>
      <c r="L57" s="70"/>
      <c r="M57" s="70"/>
      <c r="N57" s="71">
        <v>0.75</v>
      </c>
      <c r="O57" s="72">
        <f t="shared" si="114"/>
        <v>6.75</v>
      </c>
      <c r="P57" s="67" t="str">
        <f t="shared" si="115"/>
        <v>0.395</v>
      </c>
      <c r="Q57" s="73">
        <f t="shared" si="116"/>
        <v>2.6659999999999999</v>
      </c>
      <c r="R57" s="73">
        <f t="shared" si="117"/>
        <v>0</v>
      </c>
      <c r="S57" s="73">
        <f t="shared" si="118"/>
        <v>0</v>
      </c>
      <c r="T57" s="73">
        <f t="shared" si="119"/>
        <v>0</v>
      </c>
      <c r="U57" s="73">
        <f t="shared" si="120"/>
        <v>0</v>
      </c>
      <c r="V57" s="73">
        <f t="shared" si="121"/>
        <v>0</v>
      </c>
      <c r="W57" s="73">
        <f t="shared" si="122"/>
        <v>0</v>
      </c>
      <c r="X57" s="74"/>
    </row>
    <row r="58" spans="1:24" s="75" customFormat="1">
      <c r="A58" s="64"/>
      <c r="B58" s="30" t="s">
        <v>1632</v>
      </c>
      <c r="C58" s="65"/>
      <c r="D58" s="66"/>
      <c r="E58" s="67">
        <v>10</v>
      </c>
      <c r="F58" s="67">
        <v>2</v>
      </c>
      <c r="G58" s="67">
        <v>1</v>
      </c>
      <c r="H58" s="68">
        <v>5</v>
      </c>
      <c r="I58" s="69"/>
      <c r="J58" s="69"/>
      <c r="K58" s="69"/>
      <c r="L58" s="70"/>
      <c r="M58" s="70"/>
      <c r="N58" s="71">
        <v>1.32</v>
      </c>
      <c r="O58" s="72">
        <f t="shared" ref="O58:O60" si="123">PRODUCT(F58:N58)</f>
        <v>13.200000000000001</v>
      </c>
      <c r="P58" s="67" t="str">
        <f t="shared" ref="P58:P60" si="124">IF(E58=8,"0.395",IF(E58=10,"0.617",IF(E58=12,"0.888",IF(E58=16,"1.579",IF(E58=20,"2.467",IF(E58=25,"3.855",IF(E58=32,"6.316")))))))</f>
        <v>0.617</v>
      </c>
      <c r="Q58" s="73">
        <f t="shared" ref="Q58:Q60" si="125">ROUND(IF(E58=8,P58*O58,0),3)</f>
        <v>0</v>
      </c>
      <c r="R58" s="73">
        <f t="shared" ref="R58:R60" si="126">ROUND(IF(E58=10,O58*P58,0),3)</f>
        <v>8.1440000000000001</v>
      </c>
      <c r="S58" s="73">
        <f t="shared" ref="S58:S60" si="127">ROUND(IF(E58=12,O58*P58,0),3)</f>
        <v>0</v>
      </c>
      <c r="T58" s="73">
        <f t="shared" ref="T58:T60" si="128">ROUND(IF(E58=16,O58*P58,0),3)</f>
        <v>0</v>
      </c>
      <c r="U58" s="73">
        <f t="shared" ref="U58:U60" si="129">ROUND(IF(E58=20,O58*P58,0),3)</f>
        <v>0</v>
      </c>
      <c r="V58" s="73">
        <f t="shared" ref="V58:V60" si="130">ROUND(IF(E58=25,O58*P58,0),3)</f>
        <v>0</v>
      </c>
      <c r="W58" s="73">
        <f t="shared" ref="W58:W60" si="131">ROUND(IF(E58=32,O58*P58,0),3)</f>
        <v>0</v>
      </c>
      <c r="X58" s="74"/>
    </row>
    <row r="59" spans="1:24" s="75" customFormat="1">
      <c r="A59" s="64"/>
      <c r="B59" s="30" t="s">
        <v>1633</v>
      </c>
      <c r="C59" s="65"/>
      <c r="D59" s="66"/>
      <c r="E59" s="67">
        <v>8</v>
      </c>
      <c r="F59" s="67">
        <v>2</v>
      </c>
      <c r="G59" s="67">
        <v>1</v>
      </c>
      <c r="H59" s="68">
        <v>10</v>
      </c>
      <c r="I59" s="69"/>
      <c r="J59" s="69"/>
      <c r="K59" s="69"/>
      <c r="L59" s="70"/>
      <c r="M59" s="70"/>
      <c r="N59" s="71">
        <v>1.52</v>
      </c>
      <c r="O59" s="72">
        <f t="shared" si="123"/>
        <v>30.4</v>
      </c>
      <c r="P59" s="67" t="str">
        <f t="shared" si="124"/>
        <v>0.395</v>
      </c>
      <c r="Q59" s="73">
        <f t="shared" si="125"/>
        <v>12.007999999999999</v>
      </c>
      <c r="R59" s="73">
        <f t="shared" si="126"/>
        <v>0</v>
      </c>
      <c r="S59" s="73">
        <f t="shared" si="127"/>
        <v>0</v>
      </c>
      <c r="T59" s="73">
        <f t="shared" si="128"/>
        <v>0</v>
      </c>
      <c r="U59" s="73">
        <f t="shared" si="129"/>
        <v>0</v>
      </c>
      <c r="V59" s="73">
        <f t="shared" si="130"/>
        <v>0</v>
      </c>
      <c r="W59" s="73">
        <f t="shared" si="131"/>
        <v>0</v>
      </c>
      <c r="X59" s="74"/>
    </row>
    <row r="60" spans="1:24" s="75" customFormat="1">
      <c r="A60" s="64"/>
      <c r="B60" s="30" t="s">
        <v>1634</v>
      </c>
      <c r="C60" s="65"/>
      <c r="D60" s="66"/>
      <c r="E60" s="67">
        <v>8</v>
      </c>
      <c r="F60" s="67">
        <v>2</v>
      </c>
      <c r="G60" s="67">
        <v>1</v>
      </c>
      <c r="H60" s="68">
        <v>5</v>
      </c>
      <c r="I60" s="69"/>
      <c r="J60" s="69"/>
      <c r="K60" s="69"/>
      <c r="L60" s="70"/>
      <c r="M60" s="70"/>
      <c r="N60" s="71">
        <v>1.32</v>
      </c>
      <c r="O60" s="72">
        <f t="shared" si="123"/>
        <v>13.200000000000001</v>
      </c>
      <c r="P60" s="67" t="str">
        <f t="shared" si="124"/>
        <v>0.395</v>
      </c>
      <c r="Q60" s="73">
        <f t="shared" si="125"/>
        <v>5.2140000000000004</v>
      </c>
      <c r="R60" s="73">
        <f t="shared" si="126"/>
        <v>0</v>
      </c>
      <c r="S60" s="73">
        <f t="shared" si="127"/>
        <v>0</v>
      </c>
      <c r="T60" s="73">
        <f t="shared" si="128"/>
        <v>0</v>
      </c>
      <c r="U60" s="73">
        <f t="shared" si="129"/>
        <v>0</v>
      </c>
      <c r="V60" s="73">
        <f t="shared" si="130"/>
        <v>0</v>
      </c>
      <c r="W60" s="73">
        <f t="shared" si="131"/>
        <v>0</v>
      </c>
      <c r="X60" s="74"/>
    </row>
    <row r="61" spans="1:24" s="411" customFormat="1">
      <c r="A61" s="399"/>
      <c r="B61" s="412" t="s">
        <v>1635</v>
      </c>
      <c r="C61" s="401"/>
      <c r="D61" s="402"/>
      <c r="E61" s="403"/>
      <c r="F61" s="403"/>
      <c r="G61" s="403"/>
      <c r="H61" s="404"/>
      <c r="I61" s="405"/>
      <c r="J61" s="405"/>
      <c r="K61" s="405"/>
      <c r="L61" s="406"/>
      <c r="M61" s="406"/>
      <c r="N61" s="407"/>
      <c r="O61" s="408"/>
      <c r="P61" s="403"/>
      <c r="Q61" s="409"/>
      <c r="R61" s="409"/>
      <c r="S61" s="409"/>
      <c r="T61" s="409"/>
      <c r="U61" s="409"/>
      <c r="V61" s="409"/>
      <c r="W61" s="409"/>
      <c r="X61" s="410"/>
    </row>
    <row r="62" spans="1:24" s="75" customFormat="1">
      <c r="A62" s="64"/>
      <c r="B62" s="30" t="s">
        <v>1636</v>
      </c>
      <c r="C62" s="65"/>
      <c r="D62" s="66"/>
      <c r="E62" s="67">
        <v>12</v>
      </c>
      <c r="F62" s="67">
        <v>2</v>
      </c>
      <c r="G62" s="67">
        <v>1</v>
      </c>
      <c r="H62" s="68">
        <v>5</v>
      </c>
      <c r="I62" s="69"/>
      <c r="J62" s="69"/>
      <c r="K62" s="69"/>
      <c r="L62" s="70"/>
      <c r="M62" s="70"/>
      <c r="N62" s="71">
        <v>2.6</v>
      </c>
      <c r="O62" s="72">
        <f t="shared" ref="O62:O65" si="132">PRODUCT(F62:N62)</f>
        <v>26</v>
      </c>
      <c r="P62" s="67" t="str">
        <f t="shared" ref="P62:P65" si="133">IF(E62=8,"0.395",IF(E62=10,"0.617",IF(E62=12,"0.888",IF(E62=16,"1.579",IF(E62=20,"2.467",IF(E62=25,"3.855",IF(E62=32,"6.316")))))))</f>
        <v>0.888</v>
      </c>
      <c r="Q62" s="73">
        <f t="shared" ref="Q62:Q65" si="134">ROUND(IF(E62=8,P62*O62,0),3)</f>
        <v>0</v>
      </c>
      <c r="R62" s="73">
        <f t="shared" ref="R62:R65" si="135">ROUND(IF(E62=10,O62*P62,0),3)</f>
        <v>0</v>
      </c>
      <c r="S62" s="73">
        <f t="shared" ref="S62:S65" si="136">ROUND(IF(E62=12,O62*P62,0),3)</f>
        <v>23.088000000000001</v>
      </c>
      <c r="T62" s="73">
        <f t="shared" ref="T62:T65" si="137">ROUND(IF(E62=16,O62*P62,0),3)</f>
        <v>0</v>
      </c>
      <c r="U62" s="73">
        <f t="shared" ref="U62:U65" si="138">ROUND(IF(E62=20,O62*P62,0),3)</f>
        <v>0</v>
      </c>
      <c r="V62" s="73">
        <f t="shared" ref="V62:V65" si="139">ROUND(IF(E62=25,O62*P62,0),3)</f>
        <v>0</v>
      </c>
      <c r="W62" s="73">
        <f t="shared" ref="W62:W65" si="140">ROUND(IF(E62=32,O62*P62,0),3)</f>
        <v>0</v>
      </c>
      <c r="X62" s="74"/>
    </row>
    <row r="63" spans="1:24" s="75" customFormat="1">
      <c r="A63" s="64"/>
      <c r="B63" s="30" t="s">
        <v>1637</v>
      </c>
      <c r="C63" s="65"/>
      <c r="D63" s="66"/>
      <c r="E63" s="67">
        <v>8</v>
      </c>
      <c r="F63" s="67">
        <v>2</v>
      </c>
      <c r="G63" s="67">
        <v>1</v>
      </c>
      <c r="H63" s="68">
        <v>15</v>
      </c>
      <c r="I63" s="69"/>
      <c r="J63" s="69"/>
      <c r="K63" s="69"/>
      <c r="L63" s="70"/>
      <c r="M63" s="70"/>
      <c r="N63" s="71">
        <v>1.1499999999999999</v>
      </c>
      <c r="O63" s="72">
        <f t="shared" si="132"/>
        <v>34.5</v>
      </c>
      <c r="P63" s="67" t="str">
        <f t="shared" si="133"/>
        <v>0.395</v>
      </c>
      <c r="Q63" s="73">
        <f t="shared" si="134"/>
        <v>13.628</v>
      </c>
      <c r="R63" s="73">
        <f t="shared" si="135"/>
        <v>0</v>
      </c>
      <c r="S63" s="73">
        <f t="shared" si="136"/>
        <v>0</v>
      </c>
      <c r="T63" s="73">
        <f t="shared" si="137"/>
        <v>0</v>
      </c>
      <c r="U63" s="73">
        <f t="shared" si="138"/>
        <v>0</v>
      </c>
      <c r="V63" s="73">
        <f t="shared" si="139"/>
        <v>0</v>
      </c>
      <c r="W63" s="73">
        <f t="shared" si="140"/>
        <v>0</v>
      </c>
      <c r="X63" s="74"/>
    </row>
    <row r="64" spans="1:24" s="75" customFormat="1">
      <c r="A64" s="64"/>
      <c r="B64" s="30" t="s">
        <v>1638</v>
      </c>
      <c r="C64" s="65"/>
      <c r="D64" s="66"/>
      <c r="E64" s="67">
        <v>12</v>
      </c>
      <c r="F64" s="67">
        <v>2</v>
      </c>
      <c r="G64" s="67">
        <v>1</v>
      </c>
      <c r="H64" s="68">
        <v>5</v>
      </c>
      <c r="I64" s="69"/>
      <c r="J64" s="69"/>
      <c r="K64" s="69"/>
      <c r="L64" s="70"/>
      <c r="M64" s="70"/>
      <c r="N64" s="71">
        <v>2.8</v>
      </c>
      <c r="O64" s="72">
        <f t="shared" si="132"/>
        <v>28</v>
      </c>
      <c r="P64" s="67" t="str">
        <f t="shared" si="133"/>
        <v>0.888</v>
      </c>
      <c r="Q64" s="73">
        <f t="shared" si="134"/>
        <v>0</v>
      </c>
      <c r="R64" s="73">
        <f t="shared" si="135"/>
        <v>0</v>
      </c>
      <c r="S64" s="73">
        <f t="shared" si="136"/>
        <v>24.864000000000001</v>
      </c>
      <c r="T64" s="73">
        <f t="shared" si="137"/>
        <v>0</v>
      </c>
      <c r="U64" s="73">
        <f t="shared" si="138"/>
        <v>0</v>
      </c>
      <c r="V64" s="73">
        <f t="shared" si="139"/>
        <v>0</v>
      </c>
      <c r="W64" s="73">
        <f t="shared" si="140"/>
        <v>0</v>
      </c>
      <c r="X64" s="74"/>
    </row>
    <row r="65" spans="1:24" s="75" customFormat="1">
      <c r="A65" s="64"/>
      <c r="B65" s="30" t="s">
        <v>1639</v>
      </c>
      <c r="C65" s="65"/>
      <c r="D65" s="66"/>
      <c r="E65" s="67">
        <v>8</v>
      </c>
      <c r="F65" s="67">
        <v>2</v>
      </c>
      <c r="G65" s="67">
        <v>1</v>
      </c>
      <c r="H65" s="68">
        <v>16</v>
      </c>
      <c r="I65" s="69"/>
      <c r="J65" s="69"/>
      <c r="K65" s="69"/>
      <c r="L65" s="70"/>
      <c r="M65" s="70"/>
      <c r="N65" s="71">
        <v>1.1499999999999999</v>
      </c>
      <c r="O65" s="72">
        <f t="shared" si="132"/>
        <v>36.799999999999997</v>
      </c>
      <c r="P65" s="67" t="str">
        <f t="shared" si="133"/>
        <v>0.395</v>
      </c>
      <c r="Q65" s="73">
        <f t="shared" si="134"/>
        <v>14.536</v>
      </c>
      <c r="R65" s="73">
        <f t="shared" si="135"/>
        <v>0</v>
      </c>
      <c r="S65" s="73">
        <f t="shared" si="136"/>
        <v>0</v>
      </c>
      <c r="T65" s="73">
        <f t="shared" si="137"/>
        <v>0</v>
      </c>
      <c r="U65" s="73">
        <f t="shared" si="138"/>
        <v>0</v>
      </c>
      <c r="V65" s="73">
        <f t="shared" si="139"/>
        <v>0</v>
      </c>
      <c r="W65" s="73">
        <f t="shared" si="140"/>
        <v>0</v>
      </c>
      <c r="X65" s="74"/>
    </row>
    <row r="66" spans="1:24" s="75" customFormat="1">
      <c r="A66" s="64"/>
      <c r="B66" s="30" t="s">
        <v>1640</v>
      </c>
      <c r="C66" s="65"/>
      <c r="D66" s="66"/>
      <c r="E66" s="67">
        <v>10</v>
      </c>
      <c r="F66" s="67">
        <v>2</v>
      </c>
      <c r="G66" s="67">
        <v>1</v>
      </c>
      <c r="H66" s="68">
        <v>14</v>
      </c>
      <c r="I66" s="69"/>
      <c r="J66" s="69"/>
      <c r="K66" s="69"/>
      <c r="L66" s="70"/>
      <c r="M66" s="70"/>
      <c r="N66" s="71">
        <v>2.3199999999999998</v>
      </c>
      <c r="O66" s="72">
        <f t="shared" ref="O66:O68" si="141">PRODUCT(F66:N66)</f>
        <v>64.959999999999994</v>
      </c>
      <c r="P66" s="67" t="str">
        <f t="shared" ref="P66:P68" si="142">IF(E66=8,"0.395",IF(E66=10,"0.617",IF(E66=12,"0.888",IF(E66=16,"1.579",IF(E66=20,"2.467",IF(E66=25,"3.855",IF(E66=32,"6.316")))))))</f>
        <v>0.617</v>
      </c>
      <c r="Q66" s="73">
        <f t="shared" ref="Q66:Q68" si="143">ROUND(IF(E66=8,P66*O66,0),3)</f>
        <v>0</v>
      </c>
      <c r="R66" s="73">
        <f t="shared" ref="R66:R68" si="144">ROUND(IF(E66=10,O66*P66,0),3)</f>
        <v>40.08</v>
      </c>
      <c r="S66" s="73">
        <f t="shared" ref="S66:S68" si="145">ROUND(IF(E66=12,O66*P66,0),3)</f>
        <v>0</v>
      </c>
      <c r="T66" s="73">
        <f t="shared" ref="T66:T68" si="146">ROUND(IF(E66=16,O66*P66,0),3)</f>
        <v>0</v>
      </c>
      <c r="U66" s="73">
        <f t="shared" ref="U66:U68" si="147">ROUND(IF(E66=20,O66*P66,0),3)</f>
        <v>0</v>
      </c>
      <c r="V66" s="73">
        <f t="shared" ref="V66:V68" si="148">ROUND(IF(E66=25,O66*P66,0),3)</f>
        <v>0</v>
      </c>
      <c r="W66" s="73">
        <f t="shared" ref="W66:W68" si="149">ROUND(IF(E66=32,O66*P66,0),3)</f>
        <v>0</v>
      </c>
      <c r="X66" s="74"/>
    </row>
    <row r="67" spans="1:24" s="75" customFormat="1">
      <c r="A67" s="64"/>
      <c r="B67" s="30" t="s">
        <v>1641</v>
      </c>
      <c r="C67" s="65"/>
      <c r="D67" s="66"/>
      <c r="E67" s="67">
        <v>10</v>
      </c>
      <c r="F67" s="67">
        <v>2</v>
      </c>
      <c r="G67" s="67">
        <v>1</v>
      </c>
      <c r="H67" s="68">
        <v>13</v>
      </c>
      <c r="I67" s="69"/>
      <c r="J67" s="69"/>
      <c r="K67" s="69"/>
      <c r="L67" s="70"/>
      <c r="M67" s="70"/>
      <c r="N67" s="71">
        <v>2.52</v>
      </c>
      <c r="O67" s="72">
        <f t="shared" si="141"/>
        <v>65.52</v>
      </c>
      <c r="P67" s="67" t="str">
        <f t="shared" si="142"/>
        <v>0.617</v>
      </c>
      <c r="Q67" s="73">
        <f t="shared" si="143"/>
        <v>0</v>
      </c>
      <c r="R67" s="73">
        <f t="shared" si="144"/>
        <v>40.426000000000002</v>
      </c>
      <c r="S67" s="73">
        <f t="shared" si="145"/>
        <v>0</v>
      </c>
      <c r="T67" s="73">
        <f t="shared" si="146"/>
        <v>0</v>
      </c>
      <c r="U67" s="73">
        <f t="shared" si="147"/>
        <v>0</v>
      </c>
      <c r="V67" s="73">
        <f t="shared" si="148"/>
        <v>0</v>
      </c>
      <c r="W67" s="73">
        <f t="shared" si="149"/>
        <v>0</v>
      </c>
      <c r="X67" s="74"/>
    </row>
    <row r="68" spans="1:24" s="75" customFormat="1">
      <c r="A68" s="64"/>
      <c r="B68" s="30" t="s">
        <v>1642</v>
      </c>
      <c r="C68" s="65"/>
      <c r="D68" s="66"/>
      <c r="E68" s="67">
        <v>10</v>
      </c>
      <c r="F68" s="67">
        <v>1</v>
      </c>
      <c r="G68" s="67">
        <v>1</v>
      </c>
      <c r="H68" s="68">
        <v>10</v>
      </c>
      <c r="I68" s="69"/>
      <c r="J68" s="69"/>
      <c r="K68" s="69"/>
      <c r="L68" s="70"/>
      <c r="M68" s="70"/>
      <c r="N68" s="71">
        <v>1.2</v>
      </c>
      <c r="O68" s="72">
        <f t="shared" si="141"/>
        <v>12</v>
      </c>
      <c r="P68" s="67" t="str">
        <f t="shared" si="142"/>
        <v>0.617</v>
      </c>
      <c r="Q68" s="73">
        <f t="shared" si="143"/>
        <v>0</v>
      </c>
      <c r="R68" s="73">
        <f t="shared" si="144"/>
        <v>7.4039999999999999</v>
      </c>
      <c r="S68" s="73">
        <f t="shared" si="145"/>
        <v>0</v>
      </c>
      <c r="T68" s="73">
        <f t="shared" si="146"/>
        <v>0</v>
      </c>
      <c r="U68" s="73">
        <f t="shared" si="147"/>
        <v>0</v>
      </c>
      <c r="V68" s="73">
        <f t="shared" si="148"/>
        <v>0</v>
      </c>
      <c r="W68" s="73">
        <f t="shared" si="149"/>
        <v>0</v>
      </c>
      <c r="X68" s="74"/>
    </row>
    <row r="69" spans="1:24" s="75" customFormat="1">
      <c r="A69" s="64"/>
      <c r="B69" s="30" t="s">
        <v>1643</v>
      </c>
      <c r="C69" s="65"/>
      <c r="D69" s="66"/>
      <c r="E69" s="67">
        <v>16</v>
      </c>
      <c r="F69" s="67">
        <v>1</v>
      </c>
      <c r="G69" s="67">
        <v>1</v>
      </c>
      <c r="H69" s="68">
        <v>4</v>
      </c>
      <c r="I69" s="69"/>
      <c r="J69" s="69"/>
      <c r="K69" s="69"/>
      <c r="L69" s="70"/>
      <c r="M69" s="70"/>
      <c r="N69" s="71">
        <v>1.6</v>
      </c>
      <c r="O69" s="72">
        <f t="shared" ref="O69" si="150">PRODUCT(F69:N69)</f>
        <v>6.4</v>
      </c>
      <c r="P69" s="67" t="str">
        <f t="shared" ref="P69" si="151">IF(E69=8,"0.395",IF(E69=10,"0.617",IF(E69=12,"0.888",IF(E69=16,"1.579",IF(E69=20,"2.467",IF(E69=25,"3.855",IF(E69=32,"6.316")))))))</f>
        <v>1.579</v>
      </c>
      <c r="Q69" s="73">
        <f t="shared" ref="Q69" si="152">ROUND(IF(E69=8,P69*O69,0),3)</f>
        <v>0</v>
      </c>
      <c r="R69" s="73">
        <f t="shared" ref="R69" si="153">ROUND(IF(E69=10,O69*P69,0),3)</f>
        <v>0</v>
      </c>
      <c r="S69" s="73">
        <f t="shared" ref="S69" si="154">ROUND(IF(E69=12,O69*P69,0),3)</f>
        <v>0</v>
      </c>
      <c r="T69" s="73">
        <f t="shared" ref="T69" si="155">ROUND(IF(E69=16,O69*P69,0),3)</f>
        <v>10.106</v>
      </c>
      <c r="U69" s="73">
        <f t="shared" ref="U69" si="156">ROUND(IF(E69=20,O69*P69,0),3)</f>
        <v>0</v>
      </c>
      <c r="V69" s="73">
        <f t="shared" ref="V69" si="157">ROUND(IF(E69=25,O69*P69,0),3)</f>
        <v>0</v>
      </c>
      <c r="W69" s="73">
        <f t="shared" ref="W69" si="158">ROUND(IF(E69=32,O69*P69,0),3)</f>
        <v>0</v>
      </c>
      <c r="X69" s="74"/>
    </row>
    <row r="70" spans="1:24" s="411" customFormat="1">
      <c r="A70" s="399"/>
      <c r="B70" s="412" t="s">
        <v>1322</v>
      </c>
      <c r="C70" s="401"/>
      <c r="D70" s="402"/>
      <c r="E70" s="403"/>
      <c r="F70" s="403"/>
      <c r="G70" s="403"/>
      <c r="H70" s="404"/>
      <c r="I70" s="405"/>
      <c r="J70" s="405"/>
      <c r="K70" s="405"/>
      <c r="L70" s="406"/>
      <c r="M70" s="406"/>
      <c r="N70" s="407"/>
      <c r="O70" s="408"/>
      <c r="P70" s="403"/>
      <c r="Q70" s="409"/>
      <c r="R70" s="409"/>
      <c r="S70" s="409"/>
      <c r="T70" s="409"/>
      <c r="U70" s="409"/>
      <c r="V70" s="409"/>
      <c r="W70" s="409"/>
      <c r="X70" s="410"/>
    </row>
    <row r="71" spans="1:24" s="411" customFormat="1">
      <c r="A71" s="399"/>
      <c r="B71" s="400" t="s">
        <v>1644</v>
      </c>
      <c r="C71" s="401"/>
      <c r="D71" s="402"/>
      <c r="E71" s="403"/>
      <c r="F71" s="403"/>
      <c r="G71" s="403"/>
      <c r="H71" s="404"/>
      <c r="I71" s="405"/>
      <c r="J71" s="405"/>
      <c r="K71" s="405"/>
      <c r="L71" s="406"/>
      <c r="M71" s="406"/>
      <c r="N71" s="407"/>
      <c r="O71" s="408"/>
      <c r="P71" s="403"/>
      <c r="Q71" s="409"/>
      <c r="R71" s="409"/>
      <c r="S71" s="409"/>
      <c r="T71" s="409"/>
      <c r="U71" s="409"/>
      <c r="V71" s="409"/>
      <c r="W71" s="409"/>
      <c r="X71" s="410"/>
    </row>
    <row r="72" spans="1:24" s="411" customFormat="1">
      <c r="A72" s="399"/>
      <c r="B72" s="400" t="s">
        <v>1645</v>
      </c>
      <c r="C72" s="401"/>
      <c r="D72" s="402"/>
      <c r="E72" s="403">
        <v>20</v>
      </c>
      <c r="F72" s="403">
        <v>1</v>
      </c>
      <c r="G72" s="403">
        <v>1</v>
      </c>
      <c r="H72" s="404">
        <v>4</v>
      </c>
      <c r="I72" s="405"/>
      <c r="J72" s="405"/>
      <c r="K72" s="405"/>
      <c r="L72" s="406"/>
      <c r="M72" s="406"/>
      <c r="N72" s="407">
        <v>4.3899999999999997</v>
      </c>
      <c r="O72" s="408">
        <f t="shared" ref="O72:O77" si="159">PRODUCT(F72:N72)</f>
        <v>17.559999999999999</v>
      </c>
      <c r="P72" s="403" t="str">
        <f t="shared" ref="P72:P77" si="160">IF(E72=8,"0.395",IF(E72=10,"0.617",IF(E72=12,"0.888",IF(E72=16,"1.579",IF(E72=20,"2.467",IF(E72=25,"3.855",IF(E72=32,"6.316")))))))</f>
        <v>2.467</v>
      </c>
      <c r="Q72" s="409">
        <f t="shared" ref="Q72:Q77" si="161">ROUND(IF(E72=8,P72*O72,0),3)</f>
        <v>0</v>
      </c>
      <c r="R72" s="409">
        <f t="shared" ref="R72:R77" si="162">ROUND(IF(E72=10,O72*P72,0),3)</f>
        <v>0</v>
      </c>
      <c r="S72" s="409">
        <f t="shared" ref="S72:S77" si="163">ROUND(IF(E72=12,O72*P72,0),3)</f>
        <v>0</v>
      </c>
      <c r="T72" s="409">
        <f t="shared" ref="T72:T77" si="164">ROUND(IF(E72=16,O72*P72,0),3)</f>
        <v>0</v>
      </c>
      <c r="U72" s="409">
        <f t="shared" ref="U72:U77" si="165">ROUND(IF(E72=20,O72*P72,0),3)</f>
        <v>43.320999999999998</v>
      </c>
      <c r="V72" s="409">
        <f t="shared" ref="V72:V77" si="166">ROUND(IF(E72=25,O72*P72,0),3)</f>
        <v>0</v>
      </c>
      <c r="W72" s="409">
        <f t="shared" ref="W72:W77" si="167">ROUND(IF(E72=32,O72*P72,0),3)</f>
        <v>0</v>
      </c>
      <c r="X72" s="410"/>
    </row>
    <row r="73" spans="1:24" s="411" customFormat="1">
      <c r="A73" s="399"/>
      <c r="B73" s="400" t="s">
        <v>1647</v>
      </c>
      <c r="C73" s="401"/>
      <c r="D73" s="402"/>
      <c r="E73" s="403">
        <v>8</v>
      </c>
      <c r="F73" s="403">
        <v>1</v>
      </c>
      <c r="G73" s="403">
        <v>1</v>
      </c>
      <c r="H73" s="404">
        <v>31</v>
      </c>
      <c r="I73" s="405"/>
      <c r="J73" s="405"/>
      <c r="K73" s="405"/>
      <c r="L73" s="406"/>
      <c r="M73" s="406"/>
      <c r="N73" s="407">
        <v>1.1499999999999999</v>
      </c>
      <c r="O73" s="408">
        <f t="shared" si="159"/>
        <v>35.65</v>
      </c>
      <c r="P73" s="403" t="str">
        <f t="shared" si="160"/>
        <v>0.395</v>
      </c>
      <c r="Q73" s="409">
        <f t="shared" si="161"/>
        <v>14.082000000000001</v>
      </c>
      <c r="R73" s="409">
        <f t="shared" si="162"/>
        <v>0</v>
      </c>
      <c r="S73" s="409">
        <f t="shared" si="163"/>
        <v>0</v>
      </c>
      <c r="T73" s="409">
        <f t="shared" si="164"/>
        <v>0</v>
      </c>
      <c r="U73" s="409">
        <f t="shared" si="165"/>
        <v>0</v>
      </c>
      <c r="V73" s="409">
        <f t="shared" si="166"/>
        <v>0</v>
      </c>
      <c r="W73" s="409">
        <f t="shared" si="167"/>
        <v>0</v>
      </c>
      <c r="X73" s="410"/>
    </row>
    <row r="74" spans="1:24" s="411" customFormat="1">
      <c r="A74" s="399"/>
      <c r="B74" s="400" t="s">
        <v>1646</v>
      </c>
      <c r="C74" s="401"/>
      <c r="D74" s="402"/>
      <c r="E74" s="403">
        <v>20</v>
      </c>
      <c r="F74" s="403">
        <v>1</v>
      </c>
      <c r="G74" s="403">
        <v>1</v>
      </c>
      <c r="H74" s="404">
        <v>4</v>
      </c>
      <c r="I74" s="405"/>
      <c r="J74" s="405"/>
      <c r="K74" s="405"/>
      <c r="L74" s="406"/>
      <c r="M74" s="406"/>
      <c r="N74" s="407">
        <v>2.9</v>
      </c>
      <c r="O74" s="408">
        <f t="shared" si="159"/>
        <v>11.6</v>
      </c>
      <c r="P74" s="403" t="str">
        <f t="shared" si="160"/>
        <v>2.467</v>
      </c>
      <c r="Q74" s="409">
        <f t="shared" si="161"/>
        <v>0</v>
      </c>
      <c r="R74" s="409">
        <f t="shared" si="162"/>
        <v>0</v>
      </c>
      <c r="S74" s="409">
        <f t="shared" si="163"/>
        <v>0</v>
      </c>
      <c r="T74" s="409">
        <f t="shared" si="164"/>
        <v>0</v>
      </c>
      <c r="U74" s="409">
        <f t="shared" si="165"/>
        <v>28.617000000000001</v>
      </c>
      <c r="V74" s="409">
        <f t="shared" si="166"/>
        <v>0</v>
      </c>
      <c r="W74" s="409">
        <f t="shared" si="167"/>
        <v>0</v>
      </c>
      <c r="X74" s="410"/>
    </row>
    <row r="75" spans="1:24" s="411" customFormat="1">
      <c r="A75" s="399"/>
      <c r="B75" s="400" t="s">
        <v>1648</v>
      </c>
      <c r="C75" s="401"/>
      <c r="D75" s="402"/>
      <c r="E75" s="403">
        <v>8</v>
      </c>
      <c r="F75" s="403">
        <v>1</v>
      </c>
      <c r="G75" s="403">
        <v>1</v>
      </c>
      <c r="H75" s="404">
        <v>17</v>
      </c>
      <c r="I75" s="405"/>
      <c r="J75" s="405"/>
      <c r="K75" s="405"/>
      <c r="L75" s="406"/>
      <c r="M75" s="406"/>
      <c r="N75" s="407">
        <v>1.1499999999999999</v>
      </c>
      <c r="O75" s="408">
        <f t="shared" si="159"/>
        <v>19.549999999999997</v>
      </c>
      <c r="P75" s="403" t="str">
        <f t="shared" si="160"/>
        <v>0.395</v>
      </c>
      <c r="Q75" s="409">
        <f t="shared" si="161"/>
        <v>7.7220000000000004</v>
      </c>
      <c r="R75" s="409">
        <f t="shared" si="162"/>
        <v>0</v>
      </c>
      <c r="S75" s="409">
        <f t="shared" si="163"/>
        <v>0</v>
      </c>
      <c r="T75" s="409">
        <f t="shared" si="164"/>
        <v>0</v>
      </c>
      <c r="U75" s="409">
        <f t="shared" si="165"/>
        <v>0</v>
      </c>
      <c r="V75" s="409">
        <f t="shared" si="166"/>
        <v>0</v>
      </c>
      <c r="W75" s="409">
        <f t="shared" si="167"/>
        <v>0</v>
      </c>
      <c r="X75" s="410"/>
    </row>
    <row r="76" spans="1:24" s="411" customFormat="1">
      <c r="A76" s="399"/>
      <c r="B76" s="400" t="s">
        <v>1649</v>
      </c>
      <c r="C76" s="401"/>
      <c r="D76" s="402"/>
      <c r="E76" s="403">
        <v>20</v>
      </c>
      <c r="F76" s="403">
        <v>2</v>
      </c>
      <c r="G76" s="403">
        <v>1</v>
      </c>
      <c r="H76" s="404">
        <v>4</v>
      </c>
      <c r="I76" s="405"/>
      <c r="J76" s="405"/>
      <c r="K76" s="405"/>
      <c r="L76" s="406"/>
      <c r="M76" s="406"/>
      <c r="N76" s="407">
        <v>5.51</v>
      </c>
      <c r="O76" s="408">
        <f t="shared" si="159"/>
        <v>44.08</v>
      </c>
      <c r="P76" s="403" t="str">
        <f t="shared" si="160"/>
        <v>2.467</v>
      </c>
      <c r="Q76" s="409">
        <f t="shared" si="161"/>
        <v>0</v>
      </c>
      <c r="R76" s="409">
        <f t="shared" si="162"/>
        <v>0</v>
      </c>
      <c r="S76" s="409">
        <f t="shared" si="163"/>
        <v>0</v>
      </c>
      <c r="T76" s="409">
        <f t="shared" si="164"/>
        <v>0</v>
      </c>
      <c r="U76" s="409">
        <f t="shared" si="165"/>
        <v>108.745</v>
      </c>
      <c r="V76" s="409">
        <f t="shared" si="166"/>
        <v>0</v>
      </c>
      <c r="W76" s="409">
        <f t="shared" si="167"/>
        <v>0</v>
      </c>
      <c r="X76" s="410"/>
    </row>
    <row r="77" spans="1:24" s="411" customFormat="1">
      <c r="A77" s="399"/>
      <c r="B77" s="400" t="s">
        <v>1650</v>
      </c>
      <c r="C77" s="401"/>
      <c r="D77" s="402"/>
      <c r="E77" s="403">
        <v>8</v>
      </c>
      <c r="F77" s="403">
        <v>2</v>
      </c>
      <c r="G77" s="403">
        <v>1</v>
      </c>
      <c r="H77" s="404">
        <v>35</v>
      </c>
      <c r="I77" s="405"/>
      <c r="J77" s="405"/>
      <c r="K77" s="405"/>
      <c r="L77" s="406"/>
      <c r="M77" s="406"/>
      <c r="N77" s="407">
        <v>1.1499999999999999</v>
      </c>
      <c r="O77" s="408">
        <f t="shared" si="159"/>
        <v>80.5</v>
      </c>
      <c r="P77" s="403" t="str">
        <f t="shared" si="160"/>
        <v>0.395</v>
      </c>
      <c r="Q77" s="409">
        <f t="shared" si="161"/>
        <v>31.797999999999998</v>
      </c>
      <c r="R77" s="409">
        <f t="shared" si="162"/>
        <v>0</v>
      </c>
      <c r="S77" s="409">
        <f t="shared" si="163"/>
        <v>0</v>
      </c>
      <c r="T77" s="409">
        <f t="shared" si="164"/>
        <v>0</v>
      </c>
      <c r="U77" s="409">
        <f t="shared" si="165"/>
        <v>0</v>
      </c>
      <c r="V77" s="409">
        <f t="shared" si="166"/>
        <v>0</v>
      </c>
      <c r="W77" s="409">
        <f t="shared" si="167"/>
        <v>0</v>
      </c>
      <c r="X77" s="410"/>
    </row>
    <row r="78" spans="1:24" s="411" customFormat="1">
      <c r="A78" s="399"/>
      <c r="B78" s="400" t="s">
        <v>1651</v>
      </c>
      <c r="C78" s="401"/>
      <c r="D78" s="402"/>
      <c r="E78" s="403">
        <v>20</v>
      </c>
      <c r="F78" s="403">
        <v>2</v>
      </c>
      <c r="G78" s="403">
        <v>1</v>
      </c>
      <c r="H78" s="404">
        <v>4</v>
      </c>
      <c r="I78" s="405"/>
      <c r="J78" s="405"/>
      <c r="K78" s="405"/>
      <c r="L78" s="406"/>
      <c r="M78" s="406"/>
      <c r="N78" s="407">
        <v>2.1</v>
      </c>
      <c r="O78" s="408">
        <f t="shared" ref="O78" si="168">PRODUCT(F78:N78)</f>
        <v>16.8</v>
      </c>
      <c r="P78" s="403" t="str">
        <f t="shared" ref="P78" si="169">IF(E78=8,"0.395",IF(E78=10,"0.617",IF(E78=12,"0.888",IF(E78=16,"1.579",IF(E78=20,"2.467",IF(E78=25,"3.855",IF(E78=32,"6.316")))))))</f>
        <v>2.467</v>
      </c>
      <c r="Q78" s="409">
        <f t="shared" ref="Q78" si="170">ROUND(IF(E78=8,P78*O78,0),3)</f>
        <v>0</v>
      </c>
      <c r="R78" s="409">
        <f t="shared" ref="R78" si="171">ROUND(IF(E78=10,O78*P78,0),3)</f>
        <v>0</v>
      </c>
      <c r="S78" s="409">
        <f t="shared" ref="S78" si="172">ROUND(IF(E78=12,O78*P78,0),3)</f>
        <v>0</v>
      </c>
      <c r="T78" s="409">
        <f t="shared" ref="T78" si="173">ROUND(IF(E78=16,O78*P78,0),3)</f>
        <v>0</v>
      </c>
      <c r="U78" s="409">
        <f t="shared" ref="U78" si="174">ROUND(IF(E78=20,O78*P78,0),3)</f>
        <v>41.445999999999998</v>
      </c>
      <c r="V78" s="409">
        <f t="shared" ref="V78" si="175">ROUND(IF(E78=25,O78*P78,0),3)</f>
        <v>0</v>
      </c>
      <c r="W78" s="409">
        <f t="shared" ref="W78" si="176">ROUND(IF(E78=32,O78*P78,0),3)</f>
        <v>0</v>
      </c>
      <c r="X78" s="410"/>
    </row>
    <row r="79" spans="1:24" s="411" customFormat="1">
      <c r="A79" s="399"/>
      <c r="B79" s="400" t="s">
        <v>1652</v>
      </c>
      <c r="C79" s="401"/>
      <c r="D79" s="402"/>
      <c r="E79" s="403">
        <v>8</v>
      </c>
      <c r="F79" s="403">
        <v>2</v>
      </c>
      <c r="G79" s="403">
        <v>1</v>
      </c>
      <c r="H79" s="404">
        <v>9</v>
      </c>
      <c r="I79" s="405"/>
      <c r="J79" s="405"/>
      <c r="K79" s="405"/>
      <c r="L79" s="406"/>
      <c r="M79" s="406"/>
      <c r="N79" s="407">
        <v>1.1499999999999999</v>
      </c>
      <c r="O79" s="408">
        <f t="shared" ref="O79:O90" si="177">PRODUCT(F79:N79)</f>
        <v>20.7</v>
      </c>
      <c r="P79" s="403" t="str">
        <f t="shared" ref="P79:P90" si="178">IF(E79=8,"0.395",IF(E79=10,"0.617",IF(E79=12,"0.888",IF(E79=16,"1.579",IF(E79=20,"2.467",IF(E79=25,"3.855",IF(E79=32,"6.316")))))))</f>
        <v>0.395</v>
      </c>
      <c r="Q79" s="409">
        <f t="shared" ref="Q79:Q90" si="179">ROUND(IF(E79=8,P79*O79,0),3)</f>
        <v>8.1769999999999996</v>
      </c>
      <c r="R79" s="409">
        <f t="shared" ref="R79:R90" si="180">ROUND(IF(E79=10,O79*P79,0),3)</f>
        <v>0</v>
      </c>
      <c r="S79" s="409">
        <f t="shared" ref="S79:S90" si="181">ROUND(IF(E79=12,O79*P79,0),3)</f>
        <v>0</v>
      </c>
      <c r="T79" s="409">
        <f t="shared" ref="T79:T90" si="182">ROUND(IF(E79=16,O79*P79,0),3)</f>
        <v>0</v>
      </c>
      <c r="U79" s="409">
        <f t="shared" ref="U79:U90" si="183">ROUND(IF(E79=20,O79*P79,0),3)</f>
        <v>0</v>
      </c>
      <c r="V79" s="409">
        <f t="shared" ref="V79:V90" si="184">ROUND(IF(E79=25,O79*P79,0),3)</f>
        <v>0</v>
      </c>
      <c r="W79" s="409">
        <f t="shared" ref="W79:W90" si="185">ROUND(IF(E79=32,O79*P79,0),3)</f>
        <v>0</v>
      </c>
      <c r="X79" s="410"/>
    </row>
    <row r="80" spans="1:24" s="75" customFormat="1">
      <c r="A80" s="64"/>
      <c r="B80" s="30" t="s">
        <v>1640</v>
      </c>
      <c r="C80" s="65"/>
      <c r="D80" s="66"/>
      <c r="E80" s="67">
        <v>10</v>
      </c>
      <c r="F80" s="67">
        <v>2</v>
      </c>
      <c r="G80" s="67">
        <v>1</v>
      </c>
      <c r="H80" s="68">
        <v>15</v>
      </c>
      <c r="I80" s="69"/>
      <c r="J80" s="69"/>
      <c r="K80" s="69"/>
      <c r="L80" s="70"/>
      <c r="M80" s="70"/>
      <c r="N80" s="71">
        <v>1.82</v>
      </c>
      <c r="O80" s="72">
        <f t="shared" si="177"/>
        <v>54.6</v>
      </c>
      <c r="P80" s="67" t="str">
        <f t="shared" si="178"/>
        <v>0.617</v>
      </c>
      <c r="Q80" s="73">
        <f t="shared" si="179"/>
        <v>0</v>
      </c>
      <c r="R80" s="73">
        <f t="shared" si="180"/>
        <v>33.688000000000002</v>
      </c>
      <c r="S80" s="73">
        <f t="shared" si="181"/>
        <v>0</v>
      </c>
      <c r="T80" s="73">
        <f t="shared" si="182"/>
        <v>0</v>
      </c>
      <c r="U80" s="73">
        <f t="shared" si="183"/>
        <v>0</v>
      </c>
      <c r="V80" s="73">
        <f t="shared" si="184"/>
        <v>0</v>
      </c>
      <c r="W80" s="73">
        <f t="shared" si="185"/>
        <v>0</v>
      </c>
      <c r="X80" s="74"/>
    </row>
    <row r="81" spans="1:24" s="75" customFormat="1">
      <c r="A81" s="64"/>
      <c r="B81" s="30" t="s">
        <v>1641</v>
      </c>
      <c r="C81" s="65"/>
      <c r="D81" s="66"/>
      <c r="E81" s="67">
        <v>10</v>
      </c>
      <c r="F81" s="67">
        <v>2</v>
      </c>
      <c r="G81" s="67">
        <v>1</v>
      </c>
      <c r="H81" s="68">
        <v>9</v>
      </c>
      <c r="I81" s="69"/>
      <c r="J81" s="69"/>
      <c r="K81" s="69"/>
      <c r="L81" s="70"/>
      <c r="M81" s="70"/>
      <c r="N81" s="71">
        <v>2.72</v>
      </c>
      <c r="O81" s="72">
        <f t="shared" ref="O81:O82" si="186">PRODUCT(F81:N81)</f>
        <v>48.96</v>
      </c>
      <c r="P81" s="67" t="str">
        <f t="shared" ref="P81:P82" si="187">IF(E81=8,"0.395",IF(E81=10,"0.617",IF(E81=12,"0.888",IF(E81=16,"1.579",IF(E81=20,"2.467",IF(E81=25,"3.855",IF(E81=32,"6.316")))))))</f>
        <v>0.617</v>
      </c>
      <c r="Q81" s="73">
        <f t="shared" ref="Q81:Q82" si="188">ROUND(IF(E81=8,P81*O81,0),3)</f>
        <v>0</v>
      </c>
      <c r="R81" s="73">
        <f t="shared" ref="R81:R82" si="189">ROUND(IF(E81=10,O81*P81,0),3)</f>
        <v>30.207999999999998</v>
      </c>
      <c r="S81" s="73">
        <f t="shared" ref="S81:S82" si="190">ROUND(IF(E81=12,O81*P81,0),3)</f>
        <v>0</v>
      </c>
      <c r="T81" s="73">
        <f t="shared" ref="T81:T82" si="191">ROUND(IF(E81=16,O81*P81,0),3)</f>
        <v>0</v>
      </c>
      <c r="U81" s="73">
        <f t="shared" ref="U81:U82" si="192">ROUND(IF(E81=20,O81*P81,0),3)</f>
        <v>0</v>
      </c>
      <c r="V81" s="73">
        <f t="shared" ref="V81:V82" si="193">ROUND(IF(E81=25,O81*P81,0),3)</f>
        <v>0</v>
      </c>
      <c r="W81" s="73">
        <f t="shared" ref="W81:W82" si="194">ROUND(IF(E81=32,O81*P81,0),3)</f>
        <v>0</v>
      </c>
      <c r="X81" s="74"/>
    </row>
    <row r="82" spans="1:24" s="75" customFormat="1">
      <c r="A82" s="64"/>
      <c r="B82" s="30" t="s">
        <v>1642</v>
      </c>
      <c r="C82" s="65"/>
      <c r="D82" s="66"/>
      <c r="E82" s="67">
        <v>10</v>
      </c>
      <c r="F82" s="67">
        <v>1</v>
      </c>
      <c r="G82" s="67">
        <v>1</v>
      </c>
      <c r="H82" s="68">
        <v>10</v>
      </c>
      <c r="I82" s="69"/>
      <c r="J82" s="69"/>
      <c r="K82" s="69"/>
      <c r="L82" s="70"/>
      <c r="M82" s="70"/>
      <c r="N82" s="71">
        <v>1.2</v>
      </c>
      <c r="O82" s="72">
        <f t="shared" si="186"/>
        <v>12</v>
      </c>
      <c r="P82" s="67" t="str">
        <f t="shared" si="187"/>
        <v>0.617</v>
      </c>
      <c r="Q82" s="73">
        <f t="shared" si="188"/>
        <v>0</v>
      </c>
      <c r="R82" s="73">
        <f t="shared" si="189"/>
        <v>7.4039999999999999</v>
      </c>
      <c r="S82" s="73">
        <f t="shared" si="190"/>
        <v>0</v>
      </c>
      <c r="T82" s="73">
        <f t="shared" si="191"/>
        <v>0</v>
      </c>
      <c r="U82" s="73">
        <f t="shared" si="192"/>
        <v>0</v>
      </c>
      <c r="V82" s="73">
        <f t="shared" si="193"/>
        <v>0</v>
      </c>
      <c r="W82" s="73">
        <f t="shared" si="194"/>
        <v>0</v>
      </c>
      <c r="X82" s="74"/>
    </row>
    <row r="83" spans="1:24" s="75" customFormat="1">
      <c r="A83" s="64"/>
      <c r="B83" s="30" t="s">
        <v>1653</v>
      </c>
      <c r="C83" s="65"/>
      <c r="D83" s="66"/>
      <c r="E83" s="67">
        <v>10</v>
      </c>
      <c r="F83" s="67">
        <v>2</v>
      </c>
      <c r="G83" s="67">
        <v>1</v>
      </c>
      <c r="H83" s="68">
        <v>28</v>
      </c>
      <c r="I83" s="69"/>
      <c r="J83" s="69"/>
      <c r="K83" s="69"/>
      <c r="L83" s="70"/>
      <c r="M83" s="70"/>
      <c r="N83" s="71">
        <v>1.65</v>
      </c>
      <c r="O83" s="72">
        <f t="shared" si="177"/>
        <v>92.399999999999991</v>
      </c>
      <c r="P83" s="67" t="str">
        <f t="shared" si="178"/>
        <v>0.617</v>
      </c>
      <c r="Q83" s="73">
        <f t="shared" si="179"/>
        <v>0</v>
      </c>
      <c r="R83" s="73">
        <f t="shared" si="180"/>
        <v>57.011000000000003</v>
      </c>
      <c r="S83" s="73">
        <f t="shared" si="181"/>
        <v>0</v>
      </c>
      <c r="T83" s="73">
        <f t="shared" si="182"/>
        <v>0</v>
      </c>
      <c r="U83" s="73">
        <f t="shared" si="183"/>
        <v>0</v>
      </c>
      <c r="V83" s="73">
        <f t="shared" si="184"/>
        <v>0</v>
      </c>
      <c r="W83" s="73">
        <f t="shared" si="185"/>
        <v>0</v>
      </c>
      <c r="X83" s="74"/>
    </row>
    <row r="84" spans="1:24" s="75" customFormat="1">
      <c r="A84" s="64"/>
      <c r="B84" s="30" t="s">
        <v>1654</v>
      </c>
      <c r="C84" s="65"/>
      <c r="D84" s="66"/>
      <c r="E84" s="67">
        <v>10</v>
      </c>
      <c r="F84" s="67">
        <v>1</v>
      </c>
      <c r="G84" s="67">
        <v>1</v>
      </c>
      <c r="H84" s="68">
        <v>9</v>
      </c>
      <c r="I84" s="69"/>
      <c r="J84" s="69"/>
      <c r="K84" s="69"/>
      <c r="L84" s="70"/>
      <c r="M84" s="70"/>
      <c r="N84" s="71">
        <v>7.6</v>
      </c>
      <c r="O84" s="72">
        <f t="shared" ref="O84:O88" si="195">PRODUCT(F84:N84)</f>
        <v>68.399999999999991</v>
      </c>
      <c r="P84" s="67" t="str">
        <f t="shared" ref="P84:P88" si="196">IF(E84=8,"0.395",IF(E84=10,"0.617",IF(E84=12,"0.888",IF(E84=16,"1.579",IF(E84=20,"2.467",IF(E84=25,"3.855",IF(E84=32,"6.316")))))))</f>
        <v>0.617</v>
      </c>
      <c r="Q84" s="73">
        <f t="shared" ref="Q84:Q88" si="197">ROUND(IF(E84=8,P84*O84,0),3)</f>
        <v>0</v>
      </c>
      <c r="R84" s="73">
        <f t="shared" ref="R84:R88" si="198">ROUND(IF(E84=10,O84*P84,0),3)</f>
        <v>42.203000000000003</v>
      </c>
      <c r="S84" s="73">
        <f t="shared" ref="S84:S88" si="199">ROUND(IF(E84=12,O84*P84,0),3)</f>
        <v>0</v>
      </c>
      <c r="T84" s="73">
        <f t="shared" ref="T84:T88" si="200">ROUND(IF(E84=16,O84*P84,0),3)</f>
        <v>0</v>
      </c>
      <c r="U84" s="73">
        <f t="shared" ref="U84:U88" si="201">ROUND(IF(E84=20,O84*P84,0),3)</f>
        <v>0</v>
      </c>
      <c r="V84" s="73">
        <f t="shared" ref="V84:V88" si="202">ROUND(IF(E84=25,O84*P84,0),3)</f>
        <v>0</v>
      </c>
      <c r="W84" s="73">
        <f t="shared" ref="W84:W88" si="203">ROUND(IF(E84=32,O84*P84,0),3)</f>
        <v>0</v>
      </c>
      <c r="X84" s="74"/>
    </row>
    <row r="85" spans="1:24" s="75" customFormat="1">
      <c r="A85" s="64"/>
      <c r="B85" s="30" t="s">
        <v>1655</v>
      </c>
      <c r="C85" s="65"/>
      <c r="D85" s="66"/>
      <c r="E85" s="67">
        <v>10</v>
      </c>
      <c r="F85" s="67">
        <v>1</v>
      </c>
      <c r="G85" s="67">
        <v>1</v>
      </c>
      <c r="H85" s="68">
        <v>9</v>
      </c>
      <c r="I85" s="69"/>
      <c r="J85" s="69"/>
      <c r="K85" s="69"/>
      <c r="L85" s="70"/>
      <c r="M85" s="70"/>
      <c r="N85" s="71">
        <v>9.0399999999999991</v>
      </c>
      <c r="O85" s="72">
        <f t="shared" si="195"/>
        <v>81.359999999999985</v>
      </c>
      <c r="P85" s="67" t="str">
        <f t="shared" si="196"/>
        <v>0.617</v>
      </c>
      <c r="Q85" s="73">
        <f t="shared" si="197"/>
        <v>0</v>
      </c>
      <c r="R85" s="73">
        <f t="shared" si="198"/>
        <v>50.198999999999998</v>
      </c>
      <c r="S85" s="73">
        <f t="shared" si="199"/>
        <v>0</v>
      </c>
      <c r="T85" s="73">
        <f t="shared" si="200"/>
        <v>0</v>
      </c>
      <c r="U85" s="73">
        <f t="shared" si="201"/>
        <v>0</v>
      </c>
      <c r="V85" s="73">
        <f t="shared" si="202"/>
        <v>0</v>
      </c>
      <c r="W85" s="73">
        <f t="shared" si="203"/>
        <v>0</v>
      </c>
      <c r="X85" s="74"/>
    </row>
    <row r="86" spans="1:24" s="75" customFormat="1">
      <c r="A86" s="64"/>
      <c r="B86" s="30" t="s">
        <v>1656</v>
      </c>
      <c r="C86" s="65"/>
      <c r="D86" s="66"/>
      <c r="E86" s="67">
        <v>10</v>
      </c>
      <c r="F86" s="67">
        <v>2</v>
      </c>
      <c r="G86" s="67">
        <v>1</v>
      </c>
      <c r="H86" s="68">
        <v>9</v>
      </c>
      <c r="I86" s="69"/>
      <c r="J86" s="69"/>
      <c r="K86" s="69"/>
      <c r="L86" s="70"/>
      <c r="M86" s="70"/>
      <c r="N86" s="71">
        <v>0.5</v>
      </c>
      <c r="O86" s="72">
        <f t="shared" ref="O86:O87" si="204">PRODUCT(F86:N86)</f>
        <v>9</v>
      </c>
      <c r="P86" s="67" t="str">
        <f t="shared" ref="P86:P87" si="205">IF(E86=8,"0.395",IF(E86=10,"0.617",IF(E86=12,"0.888",IF(E86=16,"1.579",IF(E86=20,"2.467",IF(E86=25,"3.855",IF(E86=32,"6.316")))))))</f>
        <v>0.617</v>
      </c>
      <c r="Q86" s="73">
        <f t="shared" ref="Q86:Q87" si="206">ROUND(IF(E86=8,P86*O86,0),3)</f>
        <v>0</v>
      </c>
      <c r="R86" s="73">
        <f t="shared" ref="R86:R87" si="207">ROUND(IF(E86=10,O86*P86,0),3)</f>
        <v>5.5529999999999999</v>
      </c>
      <c r="S86" s="73">
        <f t="shared" ref="S86:S87" si="208">ROUND(IF(E86=12,O86*P86,0),3)</f>
        <v>0</v>
      </c>
      <c r="T86" s="73">
        <f t="shared" ref="T86:T87" si="209">ROUND(IF(E86=16,O86*P86,0),3)</f>
        <v>0</v>
      </c>
      <c r="U86" s="73">
        <f t="shared" ref="U86:U87" si="210">ROUND(IF(E86=20,O86*P86,0),3)</f>
        <v>0</v>
      </c>
      <c r="V86" s="73">
        <f t="shared" ref="V86:V87" si="211">ROUND(IF(E86=25,O86*P86,0),3)</f>
        <v>0</v>
      </c>
      <c r="W86" s="73">
        <f t="shared" ref="W86:W87" si="212">ROUND(IF(E86=32,O86*P86,0),3)</f>
        <v>0</v>
      </c>
      <c r="X86" s="74"/>
    </row>
    <row r="87" spans="1:24" s="75" customFormat="1">
      <c r="A87" s="64"/>
      <c r="B87" s="30" t="s">
        <v>1657</v>
      </c>
      <c r="C87" s="65"/>
      <c r="D87" s="66"/>
      <c r="E87" s="67">
        <v>10</v>
      </c>
      <c r="F87" s="67">
        <v>2</v>
      </c>
      <c r="G87" s="67">
        <v>1</v>
      </c>
      <c r="H87" s="68">
        <v>9</v>
      </c>
      <c r="I87" s="69"/>
      <c r="J87" s="69"/>
      <c r="K87" s="69"/>
      <c r="L87" s="70"/>
      <c r="M87" s="70"/>
      <c r="N87" s="71">
        <v>1.2</v>
      </c>
      <c r="O87" s="72">
        <f t="shared" si="204"/>
        <v>21.599999999999998</v>
      </c>
      <c r="P87" s="67" t="str">
        <f t="shared" si="205"/>
        <v>0.617</v>
      </c>
      <c r="Q87" s="73">
        <f t="shared" si="206"/>
        <v>0</v>
      </c>
      <c r="R87" s="73">
        <f t="shared" si="207"/>
        <v>13.327</v>
      </c>
      <c r="S87" s="73">
        <f t="shared" si="208"/>
        <v>0</v>
      </c>
      <c r="T87" s="73">
        <f t="shared" si="209"/>
        <v>0</v>
      </c>
      <c r="U87" s="73">
        <f t="shared" si="210"/>
        <v>0</v>
      </c>
      <c r="V87" s="73">
        <f t="shared" si="211"/>
        <v>0</v>
      </c>
      <c r="W87" s="73">
        <f t="shared" si="212"/>
        <v>0</v>
      </c>
      <c r="X87" s="74"/>
    </row>
    <row r="88" spans="1:24" s="75" customFormat="1">
      <c r="A88" s="64"/>
      <c r="B88" s="400" t="s">
        <v>1658</v>
      </c>
      <c r="C88" s="65"/>
      <c r="D88" s="66"/>
      <c r="E88" s="67">
        <v>8</v>
      </c>
      <c r="F88" s="67">
        <v>2</v>
      </c>
      <c r="G88" s="67">
        <v>1</v>
      </c>
      <c r="H88" s="68">
        <v>18</v>
      </c>
      <c r="I88" s="69"/>
      <c r="J88" s="69"/>
      <c r="K88" s="69"/>
      <c r="L88" s="70"/>
      <c r="M88" s="70"/>
      <c r="N88" s="71">
        <v>1.62</v>
      </c>
      <c r="O88" s="72">
        <f t="shared" si="195"/>
        <v>58.320000000000007</v>
      </c>
      <c r="P88" s="67" t="str">
        <f t="shared" si="196"/>
        <v>0.395</v>
      </c>
      <c r="Q88" s="73">
        <f t="shared" si="197"/>
        <v>23.036000000000001</v>
      </c>
      <c r="R88" s="73">
        <f t="shared" si="198"/>
        <v>0</v>
      </c>
      <c r="S88" s="73">
        <f t="shared" si="199"/>
        <v>0</v>
      </c>
      <c r="T88" s="73">
        <f t="shared" si="200"/>
        <v>0</v>
      </c>
      <c r="U88" s="73">
        <f t="shared" si="201"/>
        <v>0</v>
      </c>
      <c r="V88" s="73">
        <f t="shared" si="202"/>
        <v>0</v>
      </c>
      <c r="W88" s="73">
        <f t="shared" si="203"/>
        <v>0</v>
      </c>
      <c r="X88" s="74"/>
    </row>
    <row r="89" spans="1:24" s="75" customFormat="1">
      <c r="A89" s="64"/>
      <c r="B89" s="400" t="s">
        <v>1658</v>
      </c>
      <c r="C89" s="65"/>
      <c r="D89" s="66"/>
      <c r="E89" s="67">
        <v>8</v>
      </c>
      <c r="F89" s="67">
        <v>2</v>
      </c>
      <c r="G89" s="67">
        <v>1</v>
      </c>
      <c r="H89" s="68">
        <v>9</v>
      </c>
      <c r="I89" s="69"/>
      <c r="J89" s="69"/>
      <c r="K89" s="69"/>
      <c r="L89" s="70"/>
      <c r="M89" s="70"/>
      <c r="N89" s="71">
        <v>2.52</v>
      </c>
      <c r="O89" s="72">
        <f t="shared" si="177"/>
        <v>45.36</v>
      </c>
      <c r="P89" s="67" t="str">
        <f t="shared" si="178"/>
        <v>0.395</v>
      </c>
      <c r="Q89" s="73">
        <f t="shared" si="179"/>
        <v>17.917000000000002</v>
      </c>
      <c r="R89" s="73">
        <f t="shared" si="180"/>
        <v>0</v>
      </c>
      <c r="S89" s="73">
        <f t="shared" si="181"/>
        <v>0</v>
      </c>
      <c r="T89" s="73">
        <f t="shared" si="182"/>
        <v>0</v>
      </c>
      <c r="U89" s="73">
        <f t="shared" si="183"/>
        <v>0</v>
      </c>
      <c r="V89" s="73">
        <f t="shared" si="184"/>
        <v>0</v>
      </c>
      <c r="W89" s="73">
        <f t="shared" si="185"/>
        <v>0</v>
      </c>
      <c r="X89" s="74"/>
    </row>
    <row r="90" spans="1:24" s="75" customFormat="1">
      <c r="A90" s="64"/>
      <c r="B90" s="30" t="s">
        <v>1642</v>
      </c>
      <c r="C90" s="65"/>
      <c r="D90" s="66"/>
      <c r="E90" s="67">
        <v>10</v>
      </c>
      <c r="F90" s="67">
        <v>1</v>
      </c>
      <c r="G90" s="67">
        <v>1</v>
      </c>
      <c r="H90" s="68">
        <v>10</v>
      </c>
      <c r="I90" s="69"/>
      <c r="J90" s="69"/>
      <c r="K90" s="69"/>
      <c r="L90" s="70"/>
      <c r="M90" s="70"/>
      <c r="N90" s="71">
        <v>1.2</v>
      </c>
      <c r="O90" s="72">
        <f t="shared" si="177"/>
        <v>12</v>
      </c>
      <c r="P90" s="67" t="str">
        <f t="shared" si="178"/>
        <v>0.617</v>
      </c>
      <c r="Q90" s="73">
        <f t="shared" si="179"/>
        <v>0</v>
      </c>
      <c r="R90" s="73">
        <f t="shared" si="180"/>
        <v>7.4039999999999999</v>
      </c>
      <c r="S90" s="73">
        <f t="shared" si="181"/>
        <v>0</v>
      </c>
      <c r="T90" s="73">
        <f t="shared" si="182"/>
        <v>0</v>
      </c>
      <c r="U90" s="73">
        <f t="shared" si="183"/>
        <v>0</v>
      </c>
      <c r="V90" s="73">
        <f t="shared" si="184"/>
        <v>0</v>
      </c>
      <c r="W90" s="73">
        <f t="shared" si="185"/>
        <v>0</v>
      </c>
      <c r="X90" s="74"/>
    </row>
    <row r="91" spans="1:24" s="411" customFormat="1">
      <c r="A91" s="399"/>
      <c r="B91" s="400"/>
      <c r="C91" s="401"/>
      <c r="D91" s="402"/>
      <c r="E91" s="403"/>
      <c r="F91" s="403"/>
      <c r="G91" s="403"/>
      <c r="H91" s="404"/>
      <c r="I91" s="405"/>
      <c r="J91" s="405"/>
      <c r="K91" s="405"/>
      <c r="L91" s="406"/>
      <c r="M91" s="406"/>
      <c r="N91" s="407"/>
      <c r="O91" s="408"/>
      <c r="P91" s="403"/>
      <c r="Q91" s="409">
        <f>SUM(Q7:Q90)</f>
        <v>1165.6389999999999</v>
      </c>
      <c r="R91" s="409">
        <f t="shared" ref="R91:V91" si="213">SUM(R7:R90)</f>
        <v>3175.1150000000002</v>
      </c>
      <c r="S91" s="409">
        <f t="shared" si="213"/>
        <v>1669.7240000000002</v>
      </c>
      <c r="T91" s="409">
        <f t="shared" si="213"/>
        <v>10.106</v>
      </c>
      <c r="U91" s="409">
        <f t="shared" si="213"/>
        <v>222.12899999999999</v>
      </c>
      <c r="V91" s="409">
        <f t="shared" si="213"/>
        <v>0</v>
      </c>
      <c r="W91" s="409"/>
      <c r="X91" s="410">
        <f>SUM(Q91:U91)</f>
        <v>6242.7129999999997</v>
      </c>
    </row>
    <row r="92" spans="1:24" s="75" customFormat="1">
      <c r="A92" s="64"/>
      <c r="B92" s="30"/>
      <c r="C92" s="65"/>
      <c r="D92" s="66"/>
      <c r="E92" s="67"/>
      <c r="F92" s="67"/>
      <c r="G92" s="67"/>
      <c r="H92" s="68"/>
      <c r="I92" s="69"/>
      <c r="J92" s="69"/>
      <c r="K92" s="69"/>
      <c r="L92" s="70"/>
      <c r="M92" s="70"/>
      <c r="N92" s="71"/>
      <c r="O92" s="103"/>
      <c r="P92" s="67"/>
      <c r="Q92" s="73"/>
      <c r="R92" s="73"/>
      <c r="S92" s="73"/>
      <c r="T92" s="73"/>
      <c r="U92" s="73"/>
      <c r="V92" s="73"/>
      <c r="W92" s="73"/>
      <c r="X92" s="414">
        <f>X91/1000</f>
        <v>6.2427130000000002</v>
      </c>
    </row>
    <row r="93" spans="1:24" s="411" customFormat="1">
      <c r="A93" s="399"/>
      <c r="B93" s="400"/>
      <c r="C93" s="401"/>
      <c r="D93" s="402"/>
      <c r="E93" s="403"/>
      <c r="F93" s="403"/>
      <c r="G93" s="403"/>
      <c r="H93" s="404"/>
      <c r="I93" s="405"/>
      <c r="J93" s="405"/>
      <c r="K93" s="405"/>
      <c r="L93" s="406"/>
      <c r="M93" s="406"/>
      <c r="N93" s="407"/>
      <c r="O93" s="408"/>
      <c r="P93" s="403"/>
      <c r="Q93" s="409"/>
      <c r="R93" s="409"/>
      <c r="S93" s="409"/>
      <c r="T93" s="409"/>
      <c r="U93" s="409"/>
      <c r="V93" s="409"/>
      <c r="W93" s="409"/>
      <c r="X93" s="410"/>
    </row>
    <row r="94" spans="1:24" s="411" customFormat="1">
      <c r="A94" s="399"/>
      <c r="B94" s="400"/>
      <c r="C94" s="401"/>
      <c r="D94" s="402"/>
      <c r="E94" s="403"/>
      <c r="F94" s="403"/>
      <c r="G94" s="403"/>
      <c r="H94" s="404"/>
      <c r="I94" s="405"/>
      <c r="J94" s="405"/>
      <c r="K94" s="405"/>
      <c r="L94" s="406"/>
      <c r="M94" s="406"/>
      <c r="N94" s="407"/>
      <c r="O94" s="408"/>
      <c r="P94" s="403"/>
      <c r="Q94" s="409"/>
      <c r="R94" s="409"/>
      <c r="S94" s="409"/>
      <c r="T94" s="409"/>
      <c r="U94" s="409"/>
      <c r="V94" s="409"/>
      <c r="W94" s="409"/>
      <c r="X94" s="410"/>
    </row>
    <row r="95" spans="1:24" s="411" customFormat="1">
      <c r="A95" s="399"/>
      <c r="B95" s="400"/>
      <c r="C95" s="401"/>
      <c r="D95" s="402"/>
      <c r="E95" s="403"/>
      <c r="F95" s="403"/>
      <c r="G95" s="403"/>
      <c r="H95" s="404"/>
      <c r="I95" s="405"/>
      <c r="J95" s="405"/>
      <c r="K95" s="405"/>
      <c r="L95" s="406"/>
      <c r="M95" s="406"/>
      <c r="N95" s="407"/>
      <c r="O95" s="413"/>
      <c r="P95" s="403"/>
      <c r="Q95" s="409"/>
      <c r="R95" s="409"/>
      <c r="S95" s="409"/>
      <c r="T95" s="409"/>
      <c r="U95" s="409"/>
      <c r="V95" s="409"/>
      <c r="W95" s="409"/>
      <c r="X95" s="410"/>
    </row>
    <row r="96" spans="1:24" s="411" customFormat="1">
      <c r="A96" s="399"/>
      <c r="B96" s="400"/>
      <c r="C96" s="401"/>
      <c r="D96" s="402"/>
      <c r="E96" s="403"/>
      <c r="F96" s="403"/>
      <c r="G96" s="403"/>
      <c r="H96" s="404"/>
      <c r="I96" s="405"/>
      <c r="J96" s="405"/>
      <c r="K96" s="405"/>
      <c r="L96" s="406"/>
      <c r="M96" s="406"/>
      <c r="N96" s="407"/>
      <c r="O96" s="408"/>
      <c r="P96" s="403"/>
      <c r="Q96" s="409"/>
      <c r="R96" s="409"/>
      <c r="S96" s="409"/>
      <c r="T96" s="409"/>
      <c r="U96" s="409"/>
      <c r="V96" s="409"/>
      <c r="W96" s="409"/>
      <c r="X96" s="410"/>
    </row>
    <row r="98" spans="4:15">
      <c r="D98" s="99"/>
    </row>
    <row r="99" spans="4:15">
      <c r="N99" s="100"/>
    </row>
    <row r="100" spans="4:15">
      <c r="N100" s="100"/>
    </row>
    <row r="101" spans="4:15">
      <c r="N101" s="100"/>
    </row>
    <row r="102" spans="4:15">
      <c r="L102" s="101"/>
      <c r="N102" s="100"/>
    </row>
    <row r="103" spans="4:15">
      <c r="N103" s="100"/>
    </row>
    <row r="104" spans="4:15">
      <c r="N104" s="100"/>
    </row>
    <row r="105" spans="4:15">
      <c r="N105" s="100"/>
      <c r="O105" s="100"/>
    </row>
    <row r="106" spans="4:15">
      <c r="N106" s="100"/>
      <c r="O106" s="100"/>
    </row>
    <row r="108" spans="4:15">
      <c r="J108" s="101"/>
    </row>
  </sheetData>
  <mergeCells count="15">
    <mergeCell ref="B1:X1"/>
    <mergeCell ref="Q3:W3"/>
    <mergeCell ref="X3:X4"/>
    <mergeCell ref="A3:A4"/>
    <mergeCell ref="B3:B4"/>
    <mergeCell ref="C3:C4"/>
    <mergeCell ref="D3:D4"/>
    <mergeCell ref="E3:E4"/>
    <mergeCell ref="F3:F4"/>
    <mergeCell ref="G3:H3"/>
    <mergeCell ref="I3:M3"/>
    <mergeCell ref="N3:N4"/>
    <mergeCell ref="O3:O4"/>
    <mergeCell ref="P3:P4"/>
    <mergeCell ref="A2:X2"/>
  </mergeCells>
  <pageMargins left="0.83" right="0.28000000000000003" top="0.62" bottom="0.48" header="0.54" footer="0.3"/>
  <pageSetup paperSize="9" scale="62" fitToHeight="0" orientation="portrait" r:id="rId1"/>
  <ignoredErrors>
    <ignoredError sqref="O8" formulaRange="1"/>
  </ignoredErrors>
</worksheet>
</file>

<file path=xl/worksheets/sheet5.xml><?xml version="1.0" encoding="utf-8"?>
<worksheet xmlns="http://schemas.openxmlformats.org/spreadsheetml/2006/main" xmlns:r="http://schemas.openxmlformats.org/officeDocument/2006/relationships">
  <sheetPr>
    <pageSetUpPr fitToPage="1"/>
  </sheetPr>
  <dimension ref="A1:Z55"/>
  <sheetViews>
    <sheetView view="pageBreakPreview" zoomScale="90" zoomScaleSheetLayoutView="90" workbookViewId="0">
      <pane ySplit="2" topLeftCell="A39" activePane="bottomLeft" state="frozen"/>
      <selection pane="bottomLeft" activeCell="G49" sqref="G49"/>
    </sheetView>
  </sheetViews>
  <sheetFormatPr defaultColWidth="9.140625" defaultRowHeight="15.75"/>
  <cols>
    <col min="1" max="1" width="4.28515625" style="38" bestFit="1" customWidth="1"/>
    <col min="2" max="2" width="37.140625" style="39" customWidth="1"/>
    <col min="3" max="14" width="7.28515625" style="38" customWidth="1"/>
    <col min="15" max="24" width="7.140625" style="38" customWidth="1"/>
    <col min="25" max="16384" width="9.140625" style="38"/>
  </cols>
  <sheetData>
    <row r="1" spans="1:26" s="40" customFormat="1" ht="42.75" customHeight="1">
      <c r="A1" s="510" t="s">
        <v>168</v>
      </c>
      <c r="B1" s="511"/>
      <c r="C1" s="511"/>
      <c r="D1" s="511"/>
      <c r="E1" s="511"/>
      <c r="F1" s="511"/>
      <c r="G1" s="511"/>
      <c r="H1" s="511"/>
      <c r="I1" s="511"/>
      <c r="J1" s="511"/>
      <c r="K1" s="511"/>
      <c r="L1" s="511"/>
      <c r="M1" s="511"/>
      <c r="N1" s="511"/>
      <c r="O1" s="511"/>
      <c r="P1" s="511"/>
      <c r="Q1" s="511"/>
      <c r="R1" s="511"/>
      <c r="S1" s="511"/>
      <c r="T1" s="511"/>
      <c r="U1" s="511"/>
      <c r="V1" s="511"/>
      <c r="W1" s="511"/>
      <c r="X1" s="511"/>
    </row>
    <row r="2" spans="1:26" s="43" customFormat="1" ht="96" customHeight="1">
      <c r="A2" s="41" t="s">
        <v>121</v>
      </c>
      <c r="B2" s="42" t="s">
        <v>102</v>
      </c>
      <c r="C2" s="102" t="s">
        <v>129</v>
      </c>
      <c r="D2" s="102" t="s">
        <v>130</v>
      </c>
      <c r="E2" s="102" t="s">
        <v>151</v>
      </c>
      <c r="F2" s="102" t="s">
        <v>131</v>
      </c>
      <c r="G2" s="102" t="s">
        <v>132</v>
      </c>
      <c r="H2" s="102" t="s">
        <v>134</v>
      </c>
      <c r="I2" s="102" t="s">
        <v>133</v>
      </c>
      <c r="J2" s="102" t="s">
        <v>135</v>
      </c>
      <c r="K2" s="102" t="s">
        <v>136</v>
      </c>
      <c r="L2" s="102" t="s">
        <v>137</v>
      </c>
      <c r="M2" s="102" t="s">
        <v>138</v>
      </c>
      <c r="N2" s="102" t="s">
        <v>139</v>
      </c>
      <c r="O2" s="102" t="s">
        <v>140</v>
      </c>
      <c r="P2" s="102" t="s">
        <v>141</v>
      </c>
      <c r="Q2" s="102" t="s">
        <v>103</v>
      </c>
      <c r="R2" s="102" t="s">
        <v>142</v>
      </c>
      <c r="S2" s="102" t="s">
        <v>143</v>
      </c>
      <c r="T2" s="102" t="s">
        <v>144</v>
      </c>
      <c r="U2" s="102" t="s">
        <v>198</v>
      </c>
      <c r="V2" s="102" t="s">
        <v>145</v>
      </c>
      <c r="W2" s="102" t="s">
        <v>146</v>
      </c>
      <c r="X2" s="102" t="s">
        <v>162</v>
      </c>
    </row>
    <row r="3" spans="1:26" s="49" customFormat="1" ht="17.25">
      <c r="A3" s="44"/>
      <c r="B3" s="45" t="s">
        <v>147</v>
      </c>
      <c r="C3" s="46"/>
      <c r="D3" s="46"/>
      <c r="E3" s="46"/>
      <c r="F3" s="46"/>
      <c r="G3" s="46"/>
      <c r="H3" s="46"/>
      <c r="I3" s="46"/>
      <c r="J3" s="46"/>
      <c r="K3" s="46"/>
      <c r="L3" s="46"/>
      <c r="M3" s="46"/>
      <c r="N3" s="46"/>
      <c r="O3" s="46"/>
      <c r="P3" s="46"/>
      <c r="Q3" s="47"/>
      <c r="R3" s="46"/>
      <c r="S3" s="46"/>
      <c r="T3" s="46"/>
      <c r="U3" s="46"/>
      <c r="V3" s="46"/>
      <c r="W3" s="46"/>
      <c r="X3" s="48"/>
    </row>
    <row r="4" spans="1:26" s="54" customFormat="1" ht="17.25">
      <c r="A4" s="50"/>
      <c r="B4" s="51" t="s">
        <v>148</v>
      </c>
      <c r="C4" s="52">
        <v>1</v>
      </c>
      <c r="D4" s="52">
        <v>2</v>
      </c>
      <c r="E4" s="52">
        <v>1</v>
      </c>
      <c r="F4" s="52"/>
      <c r="G4" s="52">
        <v>1</v>
      </c>
      <c r="H4" s="52">
        <v>1</v>
      </c>
      <c r="I4" s="52"/>
      <c r="J4" s="52"/>
      <c r="K4" s="52"/>
      <c r="L4" s="52"/>
      <c r="M4" s="52"/>
      <c r="N4" s="52"/>
      <c r="O4" s="52"/>
      <c r="P4" s="52">
        <v>2</v>
      </c>
      <c r="Q4" s="52">
        <f t="shared" ref="Q4:Q44" si="0">E4</f>
        <v>1</v>
      </c>
      <c r="R4" s="52">
        <v>1</v>
      </c>
      <c r="S4" s="52"/>
      <c r="T4" s="52"/>
      <c r="U4" s="52"/>
      <c r="V4" s="52"/>
      <c r="W4" s="52"/>
      <c r="X4" s="53"/>
    </row>
    <row r="5" spans="1:26" s="54" customFormat="1" ht="17.25">
      <c r="A5" s="50"/>
      <c r="B5" s="51" t="s">
        <v>149</v>
      </c>
      <c r="C5" s="52">
        <v>2</v>
      </c>
      <c r="D5" s="52">
        <v>2</v>
      </c>
      <c r="E5" s="52">
        <v>1</v>
      </c>
      <c r="F5" s="52"/>
      <c r="G5" s="52">
        <v>1</v>
      </c>
      <c r="H5" s="52">
        <v>1</v>
      </c>
      <c r="I5" s="52"/>
      <c r="J5" s="52"/>
      <c r="K5" s="52"/>
      <c r="L5" s="52"/>
      <c r="M5" s="52"/>
      <c r="N5" s="52"/>
      <c r="O5" s="52"/>
      <c r="P5" s="52">
        <v>2</v>
      </c>
      <c r="Q5" s="52">
        <f t="shared" si="0"/>
        <v>1</v>
      </c>
      <c r="R5" s="52">
        <v>1</v>
      </c>
      <c r="S5" s="52"/>
      <c r="T5" s="52"/>
      <c r="U5" s="52"/>
      <c r="V5" s="52"/>
      <c r="W5" s="52"/>
      <c r="X5" s="53"/>
    </row>
    <row r="6" spans="1:26" s="54" customFormat="1" ht="17.25">
      <c r="A6" s="50"/>
      <c r="B6" s="51" t="s">
        <v>126</v>
      </c>
      <c r="C6" s="52"/>
      <c r="D6" s="52">
        <v>2</v>
      </c>
      <c r="E6" s="52"/>
      <c r="F6" s="52"/>
      <c r="G6" s="52"/>
      <c r="H6" s="52"/>
      <c r="I6" s="52"/>
      <c r="J6" s="52"/>
      <c r="K6" s="52"/>
      <c r="L6" s="52"/>
      <c r="M6" s="52"/>
      <c r="N6" s="52"/>
      <c r="O6" s="52"/>
      <c r="P6" s="52"/>
      <c r="Q6" s="52">
        <f t="shared" si="0"/>
        <v>0</v>
      </c>
      <c r="R6" s="52">
        <f t="shared" ref="R6:R23" si="1">D6</f>
        <v>2</v>
      </c>
      <c r="S6" s="52"/>
      <c r="T6" s="52"/>
      <c r="U6" s="52"/>
      <c r="V6" s="52">
        <v>1</v>
      </c>
      <c r="W6" s="52"/>
      <c r="X6" s="53"/>
    </row>
    <row r="7" spans="1:26" s="54" customFormat="1" ht="17.25">
      <c r="A7" s="50"/>
      <c r="B7" s="51" t="s">
        <v>125</v>
      </c>
      <c r="C7" s="52">
        <v>1</v>
      </c>
      <c r="D7" s="52">
        <v>2</v>
      </c>
      <c r="E7" s="52"/>
      <c r="F7" s="52"/>
      <c r="G7" s="52"/>
      <c r="H7" s="52"/>
      <c r="I7" s="52"/>
      <c r="J7" s="52"/>
      <c r="K7" s="52"/>
      <c r="L7" s="52"/>
      <c r="M7" s="52"/>
      <c r="N7" s="52"/>
      <c r="O7" s="52"/>
      <c r="P7" s="52"/>
      <c r="Q7" s="52">
        <f t="shared" si="0"/>
        <v>0</v>
      </c>
      <c r="R7" s="52">
        <f t="shared" si="1"/>
        <v>2</v>
      </c>
      <c r="S7" s="52"/>
      <c r="T7" s="52"/>
      <c r="U7" s="52"/>
      <c r="V7" s="52">
        <v>1</v>
      </c>
      <c r="W7" s="52"/>
      <c r="X7" s="53"/>
    </row>
    <row r="8" spans="1:26" s="54" customFormat="1" ht="17.25">
      <c r="A8" s="50"/>
      <c r="B8" s="51" t="s">
        <v>187</v>
      </c>
      <c r="C8" s="52">
        <v>9</v>
      </c>
      <c r="D8" s="52">
        <v>1</v>
      </c>
      <c r="E8" s="52"/>
      <c r="F8" s="52"/>
      <c r="G8" s="52"/>
      <c r="H8" s="52"/>
      <c r="I8" s="52">
        <v>2</v>
      </c>
      <c r="J8" s="52"/>
      <c r="K8" s="52"/>
      <c r="L8" s="52"/>
      <c r="M8" s="52"/>
      <c r="N8" s="52">
        <v>1</v>
      </c>
      <c r="O8" s="52"/>
      <c r="P8" s="52">
        <v>7</v>
      </c>
      <c r="Q8" s="52">
        <f t="shared" si="0"/>
        <v>0</v>
      </c>
      <c r="R8" s="52">
        <f t="shared" si="1"/>
        <v>1</v>
      </c>
      <c r="S8" s="52"/>
      <c r="T8" s="52"/>
      <c r="U8" s="52"/>
      <c r="V8" s="52"/>
      <c r="W8" s="52">
        <v>8</v>
      </c>
      <c r="X8" s="53"/>
    </row>
    <row r="9" spans="1:26" s="54" customFormat="1" ht="17.25">
      <c r="A9" s="50"/>
      <c r="B9" s="51" t="s">
        <v>196</v>
      </c>
      <c r="C9" s="52">
        <v>10</v>
      </c>
      <c r="D9" s="52"/>
      <c r="E9" s="52"/>
      <c r="F9" s="52"/>
      <c r="G9" s="52"/>
      <c r="H9" s="52"/>
      <c r="I9" s="52"/>
      <c r="J9" s="52"/>
      <c r="K9" s="52"/>
      <c r="L9" s="52"/>
      <c r="M9" s="52"/>
      <c r="N9" s="52"/>
      <c r="O9" s="52"/>
      <c r="P9" s="52"/>
      <c r="Q9" s="52"/>
      <c r="R9" s="52"/>
      <c r="S9" s="52"/>
      <c r="T9" s="52"/>
      <c r="U9" s="52">
        <v>2</v>
      </c>
      <c r="V9" s="52"/>
      <c r="W9" s="52"/>
      <c r="X9" s="53"/>
    </row>
    <row r="10" spans="1:26" s="54" customFormat="1" ht="17.25">
      <c r="A10" s="50"/>
      <c r="B10" s="51" t="s">
        <v>200</v>
      </c>
      <c r="C10" s="52">
        <v>1</v>
      </c>
      <c r="D10" s="52"/>
      <c r="E10" s="52"/>
      <c r="F10" s="52"/>
      <c r="G10" s="52"/>
      <c r="H10" s="52"/>
      <c r="I10" s="52"/>
      <c r="J10" s="52"/>
      <c r="K10" s="52"/>
      <c r="L10" s="52"/>
      <c r="M10" s="52"/>
      <c r="N10" s="52"/>
      <c r="O10" s="52"/>
      <c r="P10" s="52">
        <v>1</v>
      </c>
      <c r="Q10" s="52"/>
      <c r="R10" s="52"/>
      <c r="S10" s="52"/>
      <c r="T10" s="52"/>
      <c r="U10" s="52"/>
      <c r="V10" s="52"/>
      <c r="W10" s="52"/>
      <c r="X10" s="53"/>
    </row>
    <row r="11" spans="1:26" s="54" customFormat="1" ht="17.25">
      <c r="A11" s="50"/>
      <c r="B11" s="51" t="s">
        <v>199</v>
      </c>
      <c r="C11" s="52"/>
      <c r="D11" s="52"/>
      <c r="E11" s="52"/>
      <c r="F11" s="52">
        <v>1</v>
      </c>
      <c r="G11" s="52"/>
      <c r="H11" s="52"/>
      <c r="I11" s="52"/>
      <c r="J11" s="52"/>
      <c r="K11" s="52"/>
      <c r="L11" s="52"/>
      <c r="M11" s="52"/>
      <c r="N11" s="52"/>
      <c r="O11" s="52"/>
      <c r="P11" s="52">
        <v>1</v>
      </c>
      <c r="Q11" s="52"/>
      <c r="R11" s="52"/>
      <c r="S11" s="52"/>
      <c r="T11" s="52"/>
      <c r="U11" s="52"/>
      <c r="V11" s="52"/>
      <c r="W11" s="52"/>
      <c r="X11" s="53"/>
    </row>
    <row r="12" spans="1:26" s="54" customFormat="1" ht="17.25">
      <c r="A12" s="50"/>
      <c r="B12" s="51" t="s">
        <v>163</v>
      </c>
      <c r="C12" s="52"/>
      <c r="D12" s="52"/>
      <c r="E12" s="52"/>
      <c r="F12" s="52"/>
      <c r="G12" s="52"/>
      <c r="H12" s="52"/>
      <c r="I12" s="52"/>
      <c r="J12" s="52"/>
      <c r="K12" s="52"/>
      <c r="L12" s="52"/>
      <c r="M12" s="52"/>
      <c r="N12" s="52"/>
      <c r="O12" s="52"/>
      <c r="P12" s="52"/>
      <c r="Q12" s="52"/>
      <c r="R12" s="52"/>
      <c r="S12" s="52"/>
      <c r="T12" s="52"/>
      <c r="U12" s="52"/>
      <c r="V12" s="52"/>
      <c r="W12" s="52"/>
      <c r="X12" s="53">
        <v>1200</v>
      </c>
      <c r="Y12" s="54">
        <v>745.7</v>
      </c>
      <c r="Z12" s="54">
        <f>Y12*1.5</f>
        <v>1118.5500000000002</v>
      </c>
    </row>
    <row r="13" spans="1:26" s="54" customFormat="1" ht="17.25">
      <c r="A13" s="50"/>
      <c r="B13" s="51" t="s">
        <v>164</v>
      </c>
      <c r="C13" s="52"/>
      <c r="D13" s="52"/>
      <c r="E13" s="52"/>
      <c r="F13" s="52"/>
      <c r="G13" s="52"/>
      <c r="H13" s="52"/>
      <c r="I13" s="52"/>
      <c r="J13" s="52"/>
      <c r="K13" s="52"/>
      <c r="L13" s="52"/>
      <c r="M13" s="52"/>
      <c r="N13" s="52"/>
      <c r="O13" s="52"/>
      <c r="P13" s="52"/>
      <c r="Q13" s="52"/>
      <c r="R13" s="52"/>
      <c r="S13" s="52"/>
      <c r="T13" s="52"/>
      <c r="U13" s="52"/>
      <c r="V13" s="52"/>
      <c r="W13" s="52"/>
      <c r="X13" s="53">
        <v>2250</v>
      </c>
      <c r="Y13" s="54">
        <v>745.7</v>
      </c>
      <c r="Z13" s="54">
        <f>3*Y13</f>
        <v>2237.1000000000004</v>
      </c>
    </row>
    <row r="14" spans="1:26" s="49" customFormat="1" ht="17.25">
      <c r="A14" s="44"/>
      <c r="B14" s="45" t="s">
        <v>104</v>
      </c>
      <c r="C14" s="46"/>
      <c r="D14" s="46"/>
      <c r="E14" s="46"/>
      <c r="F14" s="46"/>
      <c r="G14" s="46"/>
      <c r="H14" s="46"/>
      <c r="I14" s="46"/>
      <c r="J14" s="46"/>
      <c r="K14" s="46"/>
      <c r="L14" s="46"/>
      <c r="M14" s="46"/>
      <c r="N14" s="46"/>
      <c r="O14" s="46"/>
      <c r="P14" s="46"/>
      <c r="Q14" s="52"/>
      <c r="R14" s="52"/>
      <c r="S14" s="46"/>
      <c r="T14" s="46"/>
      <c r="U14" s="46"/>
      <c r="V14" s="46"/>
      <c r="W14" s="46"/>
      <c r="X14" s="48"/>
    </row>
    <row r="15" spans="1:26" s="54" customFormat="1" ht="17.25">
      <c r="A15" s="50"/>
      <c r="B15" s="51" t="s">
        <v>115</v>
      </c>
      <c r="C15" s="52">
        <v>1</v>
      </c>
      <c r="D15" s="52"/>
      <c r="E15" s="52">
        <v>1</v>
      </c>
      <c r="F15" s="52"/>
      <c r="G15" s="52"/>
      <c r="H15" s="52">
        <v>1</v>
      </c>
      <c r="I15" s="52"/>
      <c r="J15" s="52"/>
      <c r="K15" s="52"/>
      <c r="L15" s="52"/>
      <c r="M15" s="52"/>
      <c r="N15" s="52"/>
      <c r="O15" s="52"/>
      <c r="P15" s="52">
        <v>1</v>
      </c>
      <c r="Q15" s="52">
        <f t="shared" si="0"/>
        <v>1</v>
      </c>
      <c r="R15" s="52">
        <f t="shared" si="1"/>
        <v>0</v>
      </c>
      <c r="S15" s="52"/>
      <c r="T15" s="52"/>
      <c r="U15" s="52"/>
      <c r="V15" s="52"/>
      <c r="W15" s="52"/>
      <c r="X15" s="53"/>
    </row>
    <row r="16" spans="1:26" s="54" customFormat="1" ht="17.25">
      <c r="A16" s="50"/>
      <c r="B16" s="51" t="s">
        <v>150</v>
      </c>
      <c r="C16" s="52">
        <v>1</v>
      </c>
      <c r="D16" s="52">
        <v>1</v>
      </c>
      <c r="E16" s="52">
        <v>1</v>
      </c>
      <c r="F16" s="52"/>
      <c r="G16" s="52"/>
      <c r="H16" s="52">
        <v>1</v>
      </c>
      <c r="I16" s="52"/>
      <c r="J16" s="52"/>
      <c r="K16" s="52"/>
      <c r="L16" s="52"/>
      <c r="M16" s="52"/>
      <c r="N16" s="52"/>
      <c r="O16" s="52"/>
      <c r="P16" s="52">
        <v>1</v>
      </c>
      <c r="Q16" s="52">
        <f t="shared" si="0"/>
        <v>1</v>
      </c>
      <c r="R16" s="52">
        <f t="shared" si="1"/>
        <v>1</v>
      </c>
      <c r="S16" s="52"/>
      <c r="T16" s="52"/>
      <c r="U16" s="52"/>
      <c r="V16" s="52"/>
      <c r="W16" s="52"/>
      <c r="X16" s="53"/>
    </row>
    <row r="17" spans="1:24" s="54" customFormat="1" ht="17.25">
      <c r="A17" s="50"/>
      <c r="B17" s="51" t="s">
        <v>118</v>
      </c>
      <c r="C17" s="52">
        <v>2</v>
      </c>
      <c r="D17" s="52">
        <v>1</v>
      </c>
      <c r="E17" s="52">
        <v>2</v>
      </c>
      <c r="F17" s="52"/>
      <c r="G17" s="52">
        <v>2</v>
      </c>
      <c r="H17" s="52">
        <v>1</v>
      </c>
      <c r="I17" s="52">
        <v>1</v>
      </c>
      <c r="J17" s="52"/>
      <c r="K17" s="52"/>
      <c r="L17" s="52">
        <v>1</v>
      </c>
      <c r="M17" s="52"/>
      <c r="N17" s="52"/>
      <c r="O17" s="52"/>
      <c r="P17" s="52">
        <v>2</v>
      </c>
      <c r="Q17" s="52">
        <f t="shared" si="0"/>
        <v>2</v>
      </c>
      <c r="R17" s="52">
        <f t="shared" si="1"/>
        <v>1</v>
      </c>
      <c r="S17" s="52"/>
      <c r="T17" s="52"/>
      <c r="U17" s="52"/>
      <c r="V17" s="52"/>
      <c r="W17" s="52"/>
      <c r="X17" s="53"/>
    </row>
    <row r="18" spans="1:24" s="54" customFormat="1" ht="17.25">
      <c r="A18" s="50"/>
      <c r="B18" s="51" t="s">
        <v>126</v>
      </c>
      <c r="C18" s="52">
        <v>1</v>
      </c>
      <c r="D18" s="52">
        <v>1</v>
      </c>
      <c r="E18" s="52"/>
      <c r="F18" s="52"/>
      <c r="G18" s="52"/>
      <c r="H18" s="52"/>
      <c r="I18" s="52"/>
      <c r="J18" s="52"/>
      <c r="K18" s="52"/>
      <c r="L18" s="52"/>
      <c r="M18" s="52"/>
      <c r="N18" s="52"/>
      <c r="O18" s="52"/>
      <c r="P18" s="52"/>
      <c r="Q18" s="52">
        <f t="shared" si="0"/>
        <v>0</v>
      </c>
      <c r="R18" s="52">
        <f t="shared" si="1"/>
        <v>1</v>
      </c>
      <c r="S18" s="52"/>
      <c r="T18" s="52"/>
      <c r="U18" s="52"/>
      <c r="V18" s="52">
        <v>1</v>
      </c>
      <c r="W18" s="52"/>
      <c r="X18" s="53"/>
    </row>
    <row r="19" spans="1:24" s="54" customFormat="1" ht="17.25">
      <c r="A19" s="50"/>
      <c r="B19" s="51" t="s">
        <v>152</v>
      </c>
      <c r="C19" s="52">
        <v>2</v>
      </c>
      <c r="D19" s="52">
        <v>1</v>
      </c>
      <c r="E19" s="52">
        <v>1</v>
      </c>
      <c r="F19" s="52"/>
      <c r="G19" s="52">
        <v>2</v>
      </c>
      <c r="H19" s="52">
        <v>1</v>
      </c>
      <c r="I19" s="52">
        <v>1</v>
      </c>
      <c r="J19" s="52"/>
      <c r="K19" s="52"/>
      <c r="L19" s="52">
        <v>1</v>
      </c>
      <c r="M19" s="52"/>
      <c r="N19" s="52"/>
      <c r="O19" s="52"/>
      <c r="P19" s="52">
        <v>2</v>
      </c>
      <c r="Q19" s="52">
        <f t="shared" si="0"/>
        <v>1</v>
      </c>
      <c r="R19" s="52">
        <f t="shared" si="1"/>
        <v>1</v>
      </c>
      <c r="S19" s="52"/>
      <c r="T19" s="52"/>
      <c r="U19" s="52"/>
      <c r="V19" s="52"/>
      <c r="W19" s="52"/>
      <c r="X19" s="53"/>
    </row>
    <row r="20" spans="1:24" s="54" customFormat="1" ht="17.25">
      <c r="A20" s="50"/>
      <c r="B20" s="51" t="s">
        <v>153</v>
      </c>
      <c r="C20" s="52">
        <v>2</v>
      </c>
      <c r="D20" s="52">
        <v>1</v>
      </c>
      <c r="E20" s="52">
        <v>1</v>
      </c>
      <c r="F20" s="52"/>
      <c r="G20" s="52">
        <v>2</v>
      </c>
      <c r="H20" s="52">
        <v>1</v>
      </c>
      <c r="I20" s="52"/>
      <c r="J20" s="52"/>
      <c r="K20" s="52"/>
      <c r="L20" s="52">
        <v>1</v>
      </c>
      <c r="M20" s="52"/>
      <c r="N20" s="52"/>
      <c r="O20" s="52"/>
      <c r="P20" s="52">
        <v>2</v>
      </c>
      <c r="Q20" s="52">
        <f t="shared" si="0"/>
        <v>1</v>
      </c>
      <c r="R20" s="52">
        <f t="shared" si="1"/>
        <v>1</v>
      </c>
      <c r="S20" s="52"/>
      <c r="T20" s="52"/>
      <c r="U20" s="52"/>
      <c r="V20" s="52"/>
      <c r="W20" s="52"/>
      <c r="X20" s="53"/>
    </row>
    <row r="21" spans="1:24" s="54" customFormat="1" ht="17.25">
      <c r="A21" s="50"/>
      <c r="B21" s="51" t="s">
        <v>154</v>
      </c>
      <c r="C21" s="52">
        <v>3</v>
      </c>
      <c r="D21" s="52">
        <v>1</v>
      </c>
      <c r="E21" s="52">
        <v>2</v>
      </c>
      <c r="F21" s="52"/>
      <c r="G21" s="52">
        <v>6</v>
      </c>
      <c r="H21" s="52">
        <v>2</v>
      </c>
      <c r="I21" s="52">
        <v>1</v>
      </c>
      <c r="J21" s="52">
        <v>1</v>
      </c>
      <c r="K21" s="52">
        <v>1</v>
      </c>
      <c r="L21" s="52">
        <v>1</v>
      </c>
      <c r="M21" s="52">
        <v>1</v>
      </c>
      <c r="N21" s="52"/>
      <c r="O21" s="52"/>
      <c r="P21" s="52">
        <v>3</v>
      </c>
      <c r="Q21" s="52">
        <f t="shared" si="0"/>
        <v>2</v>
      </c>
      <c r="R21" s="52">
        <f t="shared" si="1"/>
        <v>1</v>
      </c>
      <c r="S21" s="52"/>
      <c r="T21" s="52"/>
      <c r="U21" s="52"/>
      <c r="V21" s="52"/>
      <c r="W21" s="52"/>
      <c r="X21" s="53"/>
    </row>
    <row r="22" spans="1:24" s="54" customFormat="1" ht="17.25">
      <c r="A22" s="50"/>
      <c r="B22" s="51" t="s">
        <v>155</v>
      </c>
      <c r="C22" s="52">
        <v>1</v>
      </c>
      <c r="D22" s="52">
        <v>1</v>
      </c>
      <c r="E22" s="52"/>
      <c r="F22" s="52"/>
      <c r="G22" s="52"/>
      <c r="H22" s="52"/>
      <c r="I22" s="52">
        <v>1</v>
      </c>
      <c r="J22" s="52"/>
      <c r="K22" s="52"/>
      <c r="L22" s="52"/>
      <c r="M22" s="52"/>
      <c r="N22" s="52"/>
      <c r="O22" s="52"/>
      <c r="P22" s="52"/>
      <c r="Q22" s="52">
        <f t="shared" ref="Q22" si="2">E22</f>
        <v>0</v>
      </c>
      <c r="R22" s="52">
        <f t="shared" ref="R22" si="3">D22</f>
        <v>1</v>
      </c>
      <c r="S22" s="52"/>
      <c r="T22" s="52"/>
      <c r="U22" s="52"/>
      <c r="V22" s="52">
        <v>1</v>
      </c>
      <c r="W22" s="52"/>
      <c r="X22" s="53"/>
    </row>
    <row r="23" spans="1:24" s="54" customFormat="1" ht="17.25">
      <c r="A23" s="50"/>
      <c r="B23" s="51" t="s">
        <v>181</v>
      </c>
      <c r="C23" s="52">
        <v>4</v>
      </c>
      <c r="D23" s="52">
        <v>2</v>
      </c>
      <c r="E23" s="55">
        <v>2</v>
      </c>
      <c r="F23" s="52"/>
      <c r="G23" s="52"/>
      <c r="H23" s="52">
        <v>2</v>
      </c>
      <c r="I23" s="52"/>
      <c r="J23" s="52"/>
      <c r="K23" s="52"/>
      <c r="L23" s="52"/>
      <c r="M23" s="52"/>
      <c r="N23" s="52"/>
      <c r="O23" s="52">
        <v>1</v>
      </c>
      <c r="P23" s="52">
        <v>4</v>
      </c>
      <c r="Q23" s="52">
        <f t="shared" si="0"/>
        <v>2</v>
      </c>
      <c r="R23" s="52">
        <f t="shared" si="1"/>
        <v>2</v>
      </c>
      <c r="S23" s="52">
        <v>2</v>
      </c>
      <c r="T23" s="52">
        <v>2</v>
      </c>
      <c r="U23" s="52"/>
      <c r="V23" s="52"/>
      <c r="W23" s="52"/>
      <c r="X23" s="53"/>
    </row>
    <row r="24" spans="1:24" s="54" customFormat="1" ht="17.25">
      <c r="A24" s="50"/>
      <c r="B24" s="51" t="s">
        <v>200</v>
      </c>
      <c r="C24" s="52">
        <v>1</v>
      </c>
      <c r="D24" s="52"/>
      <c r="E24" s="52"/>
      <c r="F24" s="52"/>
      <c r="G24" s="52"/>
      <c r="H24" s="52"/>
      <c r="I24" s="52"/>
      <c r="J24" s="52"/>
      <c r="K24" s="52"/>
      <c r="L24" s="52"/>
      <c r="M24" s="52"/>
      <c r="N24" s="52"/>
      <c r="O24" s="52"/>
      <c r="P24" s="52">
        <v>1</v>
      </c>
      <c r="Q24" s="52"/>
      <c r="R24" s="52"/>
      <c r="S24" s="52"/>
      <c r="T24" s="52"/>
      <c r="U24" s="52"/>
      <c r="V24" s="52"/>
      <c r="W24" s="52"/>
      <c r="X24" s="53"/>
    </row>
    <row r="25" spans="1:24" s="54" customFormat="1" ht="17.25">
      <c r="A25" s="50"/>
      <c r="B25" s="51" t="s">
        <v>199</v>
      </c>
      <c r="C25" s="52"/>
      <c r="D25" s="52"/>
      <c r="E25" s="52"/>
      <c r="F25" s="52">
        <v>1</v>
      </c>
      <c r="G25" s="52"/>
      <c r="H25" s="52"/>
      <c r="I25" s="52"/>
      <c r="J25" s="52"/>
      <c r="K25" s="52"/>
      <c r="L25" s="52"/>
      <c r="M25" s="52"/>
      <c r="N25" s="52"/>
      <c r="O25" s="52"/>
      <c r="P25" s="52">
        <v>1</v>
      </c>
      <c r="Q25" s="52"/>
      <c r="R25" s="52"/>
      <c r="S25" s="52"/>
      <c r="T25" s="52"/>
      <c r="U25" s="52"/>
      <c r="V25" s="52"/>
      <c r="W25" s="52"/>
      <c r="X25" s="53"/>
    </row>
    <row r="26" spans="1:24" s="49" customFormat="1" ht="17.25">
      <c r="A26" s="44"/>
      <c r="B26" s="45" t="s">
        <v>157</v>
      </c>
      <c r="C26" s="46"/>
      <c r="D26" s="46"/>
      <c r="E26" s="46"/>
      <c r="F26" s="46"/>
      <c r="G26" s="46"/>
      <c r="H26" s="46"/>
      <c r="I26" s="46"/>
      <c r="J26" s="46"/>
      <c r="K26" s="46"/>
      <c r="L26" s="46"/>
      <c r="M26" s="46"/>
      <c r="N26" s="46"/>
      <c r="O26" s="46"/>
      <c r="P26" s="46"/>
      <c r="Q26" s="52"/>
      <c r="R26" s="52"/>
      <c r="S26" s="46"/>
      <c r="T26" s="46"/>
      <c r="U26" s="46"/>
      <c r="V26" s="46"/>
      <c r="W26" s="46"/>
      <c r="X26" s="48"/>
    </row>
    <row r="27" spans="1:24" s="54" customFormat="1" ht="17.25">
      <c r="A27" s="50"/>
      <c r="B27" s="51" t="s">
        <v>117</v>
      </c>
      <c r="C27" s="52">
        <v>2</v>
      </c>
      <c r="D27" s="52">
        <v>1</v>
      </c>
      <c r="E27" s="52">
        <v>1</v>
      </c>
      <c r="F27" s="52"/>
      <c r="G27" s="52">
        <v>2</v>
      </c>
      <c r="H27" s="55">
        <v>1</v>
      </c>
      <c r="I27" s="52">
        <v>2</v>
      </c>
      <c r="J27" s="52"/>
      <c r="K27" s="52">
        <v>1</v>
      </c>
      <c r="L27" s="52">
        <v>1</v>
      </c>
      <c r="M27" s="52"/>
      <c r="N27" s="52"/>
      <c r="O27" s="52"/>
      <c r="P27" s="52">
        <v>2</v>
      </c>
      <c r="Q27" s="52">
        <f t="shared" ref="Q27" si="4">E27</f>
        <v>1</v>
      </c>
      <c r="R27" s="52">
        <f t="shared" ref="R27" si="5">D27</f>
        <v>1</v>
      </c>
      <c r="S27" s="52"/>
      <c r="T27" s="52"/>
      <c r="U27" s="52"/>
      <c r="V27" s="52"/>
      <c r="W27" s="52"/>
      <c r="X27" s="53"/>
    </row>
    <row r="28" spans="1:24" s="54" customFormat="1" ht="17.25">
      <c r="A28" s="50"/>
      <c r="B28" s="51" t="s">
        <v>115</v>
      </c>
      <c r="C28" s="52">
        <v>1</v>
      </c>
      <c r="D28" s="52"/>
      <c r="E28" s="52">
        <v>1</v>
      </c>
      <c r="F28" s="52"/>
      <c r="G28" s="52"/>
      <c r="H28" s="52">
        <v>1</v>
      </c>
      <c r="I28" s="52"/>
      <c r="J28" s="52"/>
      <c r="K28" s="52"/>
      <c r="L28" s="52"/>
      <c r="M28" s="52"/>
      <c r="N28" s="52"/>
      <c r="O28" s="52"/>
      <c r="P28" s="52">
        <v>1</v>
      </c>
      <c r="Q28" s="52">
        <f t="shared" ref="Q28:Q35" si="6">E28</f>
        <v>1</v>
      </c>
      <c r="R28" s="52">
        <f t="shared" ref="R28:R35" si="7">D28</f>
        <v>0</v>
      </c>
      <c r="S28" s="52"/>
      <c r="T28" s="52"/>
      <c r="U28" s="52"/>
      <c r="V28" s="52"/>
      <c r="W28" s="52"/>
      <c r="X28" s="53"/>
    </row>
    <row r="29" spans="1:24" s="54" customFormat="1" ht="17.25">
      <c r="A29" s="50"/>
      <c r="B29" s="51" t="s">
        <v>156</v>
      </c>
      <c r="C29" s="52">
        <v>4</v>
      </c>
      <c r="D29" s="52">
        <v>1</v>
      </c>
      <c r="E29" s="52">
        <v>2</v>
      </c>
      <c r="F29" s="52"/>
      <c r="G29" s="52">
        <v>5</v>
      </c>
      <c r="H29" s="52">
        <v>1</v>
      </c>
      <c r="I29" s="52">
        <v>1</v>
      </c>
      <c r="J29" s="52"/>
      <c r="K29" s="52">
        <v>1</v>
      </c>
      <c r="L29" s="52"/>
      <c r="M29" s="52"/>
      <c r="N29" s="52"/>
      <c r="O29" s="52"/>
      <c r="P29" s="52">
        <v>4</v>
      </c>
      <c r="Q29" s="52">
        <f t="shared" si="6"/>
        <v>2</v>
      </c>
      <c r="R29" s="52">
        <f t="shared" si="7"/>
        <v>1</v>
      </c>
      <c r="S29" s="52"/>
      <c r="T29" s="52"/>
      <c r="U29" s="52"/>
      <c r="V29" s="52"/>
      <c r="W29" s="52"/>
      <c r="X29" s="53"/>
    </row>
    <row r="30" spans="1:24" s="54" customFormat="1" ht="17.25">
      <c r="A30" s="50"/>
      <c r="B30" s="51" t="s">
        <v>126</v>
      </c>
      <c r="C30" s="52">
        <v>1</v>
      </c>
      <c r="D30" s="52">
        <v>2</v>
      </c>
      <c r="E30" s="52"/>
      <c r="F30" s="52"/>
      <c r="G30" s="52"/>
      <c r="H30" s="52"/>
      <c r="I30" s="52"/>
      <c r="J30" s="52"/>
      <c r="K30" s="52"/>
      <c r="L30" s="52"/>
      <c r="M30" s="52"/>
      <c r="N30" s="52"/>
      <c r="O30" s="52"/>
      <c r="P30" s="52"/>
      <c r="Q30" s="52">
        <f t="shared" si="6"/>
        <v>0</v>
      </c>
      <c r="R30" s="52">
        <v>1</v>
      </c>
      <c r="S30" s="52"/>
      <c r="T30" s="52"/>
      <c r="U30" s="52"/>
      <c r="V30" s="52">
        <v>1</v>
      </c>
      <c r="W30" s="52"/>
      <c r="X30" s="53"/>
    </row>
    <row r="31" spans="1:24" s="54" customFormat="1" ht="17.25">
      <c r="A31" s="50"/>
      <c r="B31" s="51" t="s">
        <v>152</v>
      </c>
      <c r="C31" s="52">
        <v>2</v>
      </c>
      <c r="D31" s="52">
        <v>1</v>
      </c>
      <c r="E31" s="52">
        <v>1</v>
      </c>
      <c r="F31" s="52"/>
      <c r="G31" s="52">
        <v>2</v>
      </c>
      <c r="H31" s="52">
        <v>1</v>
      </c>
      <c r="I31" s="52">
        <v>1</v>
      </c>
      <c r="J31" s="52"/>
      <c r="K31" s="52"/>
      <c r="L31" s="52">
        <v>1</v>
      </c>
      <c r="M31" s="52"/>
      <c r="N31" s="52"/>
      <c r="O31" s="52"/>
      <c r="P31" s="52">
        <v>2</v>
      </c>
      <c r="Q31" s="52">
        <f t="shared" si="6"/>
        <v>1</v>
      </c>
      <c r="R31" s="52">
        <f t="shared" si="7"/>
        <v>1</v>
      </c>
      <c r="S31" s="52"/>
      <c r="T31" s="52"/>
      <c r="U31" s="52"/>
      <c r="V31" s="52"/>
      <c r="W31" s="52"/>
      <c r="X31" s="53"/>
    </row>
    <row r="32" spans="1:24" s="54" customFormat="1" ht="17.25">
      <c r="A32" s="50"/>
      <c r="B32" s="51" t="s">
        <v>158</v>
      </c>
      <c r="C32" s="52">
        <v>2</v>
      </c>
      <c r="D32" s="52">
        <v>2</v>
      </c>
      <c r="E32" s="52">
        <v>1</v>
      </c>
      <c r="F32" s="52"/>
      <c r="G32" s="52">
        <v>2</v>
      </c>
      <c r="H32" s="52">
        <v>1</v>
      </c>
      <c r="I32" s="52"/>
      <c r="J32" s="52"/>
      <c r="K32" s="52"/>
      <c r="L32" s="52">
        <v>1</v>
      </c>
      <c r="M32" s="52"/>
      <c r="N32" s="52"/>
      <c r="O32" s="52"/>
      <c r="P32" s="52">
        <v>2</v>
      </c>
      <c r="Q32" s="52">
        <f t="shared" si="6"/>
        <v>1</v>
      </c>
      <c r="R32" s="52">
        <v>1</v>
      </c>
      <c r="S32" s="52"/>
      <c r="T32" s="52"/>
      <c r="U32" s="52"/>
      <c r="V32" s="52"/>
      <c r="W32" s="52"/>
      <c r="X32" s="53"/>
    </row>
    <row r="33" spans="1:24" s="54" customFormat="1" ht="17.25">
      <c r="A33" s="50"/>
      <c r="B33" s="51" t="s">
        <v>154</v>
      </c>
      <c r="C33" s="52">
        <v>3</v>
      </c>
      <c r="D33" s="52">
        <v>1</v>
      </c>
      <c r="E33" s="52">
        <v>2</v>
      </c>
      <c r="F33" s="52"/>
      <c r="G33" s="52">
        <v>6</v>
      </c>
      <c r="H33" s="52">
        <v>2</v>
      </c>
      <c r="I33" s="52">
        <v>1</v>
      </c>
      <c r="J33" s="52">
        <v>1</v>
      </c>
      <c r="K33" s="52">
        <v>1</v>
      </c>
      <c r="L33" s="52">
        <v>1</v>
      </c>
      <c r="M33" s="52">
        <v>1</v>
      </c>
      <c r="N33" s="52"/>
      <c r="O33" s="52"/>
      <c r="P33" s="52">
        <v>3</v>
      </c>
      <c r="Q33" s="52">
        <f t="shared" si="6"/>
        <v>2</v>
      </c>
      <c r="R33" s="52">
        <f t="shared" si="7"/>
        <v>1</v>
      </c>
      <c r="S33" s="52"/>
      <c r="T33" s="52"/>
      <c r="U33" s="52"/>
      <c r="V33" s="52"/>
      <c r="W33" s="52"/>
      <c r="X33" s="53"/>
    </row>
    <row r="34" spans="1:24" s="54" customFormat="1" ht="17.25">
      <c r="A34" s="50"/>
      <c r="B34" s="51" t="s">
        <v>155</v>
      </c>
      <c r="C34" s="52">
        <v>1</v>
      </c>
      <c r="D34" s="52">
        <v>1</v>
      </c>
      <c r="E34" s="52"/>
      <c r="F34" s="52"/>
      <c r="G34" s="52"/>
      <c r="H34" s="52"/>
      <c r="I34" s="52">
        <v>1</v>
      </c>
      <c r="J34" s="52"/>
      <c r="K34" s="52"/>
      <c r="L34" s="52"/>
      <c r="M34" s="52"/>
      <c r="N34" s="52"/>
      <c r="O34" s="52"/>
      <c r="P34" s="52"/>
      <c r="Q34" s="52">
        <f t="shared" si="6"/>
        <v>0</v>
      </c>
      <c r="R34" s="52">
        <f t="shared" si="7"/>
        <v>1</v>
      </c>
      <c r="S34" s="52"/>
      <c r="T34" s="52"/>
      <c r="U34" s="52"/>
      <c r="V34" s="52">
        <v>1</v>
      </c>
      <c r="W34" s="52"/>
      <c r="X34" s="53"/>
    </row>
    <row r="35" spans="1:24" s="54" customFormat="1" ht="17.25">
      <c r="A35" s="50"/>
      <c r="B35" s="51" t="s">
        <v>197</v>
      </c>
      <c r="C35" s="52">
        <v>4</v>
      </c>
      <c r="D35" s="52">
        <v>2</v>
      </c>
      <c r="E35" s="55">
        <v>2</v>
      </c>
      <c r="F35" s="52"/>
      <c r="G35" s="52"/>
      <c r="H35" s="52">
        <v>2</v>
      </c>
      <c r="I35" s="52"/>
      <c r="J35" s="52"/>
      <c r="K35" s="52"/>
      <c r="L35" s="52"/>
      <c r="M35" s="52"/>
      <c r="N35" s="52"/>
      <c r="O35" s="52">
        <v>1</v>
      </c>
      <c r="P35" s="52">
        <v>4</v>
      </c>
      <c r="Q35" s="52">
        <f t="shared" si="6"/>
        <v>2</v>
      </c>
      <c r="R35" s="52">
        <f t="shared" si="7"/>
        <v>2</v>
      </c>
      <c r="S35" s="52">
        <v>1</v>
      </c>
      <c r="T35" s="52">
        <v>1</v>
      </c>
      <c r="U35" s="52"/>
      <c r="V35" s="52"/>
      <c r="W35" s="52"/>
      <c r="X35" s="53"/>
    </row>
    <row r="36" spans="1:24" s="54" customFormat="1" ht="17.25">
      <c r="A36" s="50"/>
      <c r="B36" s="51" t="s">
        <v>200</v>
      </c>
      <c r="C36" s="52">
        <v>1</v>
      </c>
      <c r="D36" s="52"/>
      <c r="E36" s="52"/>
      <c r="F36" s="52"/>
      <c r="G36" s="52"/>
      <c r="H36" s="52"/>
      <c r="I36" s="52"/>
      <c r="J36" s="52"/>
      <c r="K36" s="52"/>
      <c r="L36" s="52"/>
      <c r="M36" s="52"/>
      <c r="N36" s="52"/>
      <c r="O36" s="52"/>
      <c r="P36" s="52">
        <v>1</v>
      </c>
      <c r="Q36" s="52"/>
      <c r="R36" s="52"/>
      <c r="S36" s="52"/>
      <c r="T36" s="52"/>
      <c r="U36" s="52"/>
      <c r="V36" s="52"/>
      <c r="W36" s="52"/>
      <c r="X36" s="53"/>
    </row>
    <row r="37" spans="1:24" s="54" customFormat="1" ht="17.25">
      <c r="A37" s="50"/>
      <c r="B37" s="51" t="s">
        <v>199</v>
      </c>
      <c r="C37" s="52"/>
      <c r="D37" s="52"/>
      <c r="E37" s="52"/>
      <c r="F37" s="52">
        <v>1</v>
      </c>
      <c r="G37" s="52"/>
      <c r="H37" s="52"/>
      <c r="I37" s="52"/>
      <c r="J37" s="52"/>
      <c r="K37" s="52"/>
      <c r="L37" s="52"/>
      <c r="M37" s="52"/>
      <c r="N37" s="52"/>
      <c r="O37" s="52"/>
      <c r="P37" s="52">
        <v>1</v>
      </c>
      <c r="Q37" s="52"/>
      <c r="R37" s="52"/>
      <c r="S37" s="52"/>
      <c r="T37" s="52"/>
      <c r="U37" s="52"/>
      <c r="V37" s="52"/>
      <c r="W37" s="52"/>
      <c r="X37" s="53"/>
    </row>
    <row r="38" spans="1:24" s="49" customFormat="1" ht="17.25">
      <c r="A38" s="44"/>
      <c r="B38" s="45" t="s">
        <v>123</v>
      </c>
      <c r="C38" s="46"/>
      <c r="D38" s="46"/>
      <c r="E38" s="46"/>
      <c r="F38" s="46"/>
      <c r="G38" s="46"/>
      <c r="H38" s="46"/>
      <c r="I38" s="46"/>
      <c r="J38" s="46"/>
      <c r="K38" s="46"/>
      <c r="L38" s="46"/>
      <c r="M38" s="46"/>
      <c r="N38" s="46"/>
      <c r="O38" s="46"/>
      <c r="P38" s="46"/>
      <c r="Q38" s="52"/>
      <c r="R38" s="52"/>
      <c r="S38" s="46"/>
      <c r="T38" s="46"/>
      <c r="U38" s="46"/>
      <c r="V38" s="46"/>
      <c r="W38" s="46"/>
      <c r="X38" s="48"/>
    </row>
    <row r="39" spans="1:24" s="54" customFormat="1" ht="17.25">
      <c r="A39" s="50"/>
      <c r="B39" s="51" t="s">
        <v>159</v>
      </c>
      <c r="C39" s="52">
        <v>3</v>
      </c>
      <c r="D39" s="52">
        <v>2</v>
      </c>
      <c r="E39" s="52">
        <v>2</v>
      </c>
      <c r="F39" s="52"/>
      <c r="G39" s="52">
        <v>4</v>
      </c>
      <c r="H39" s="55">
        <v>2</v>
      </c>
      <c r="I39" s="52"/>
      <c r="J39" s="52"/>
      <c r="K39" s="52"/>
      <c r="L39" s="52">
        <v>1</v>
      </c>
      <c r="M39" s="52"/>
      <c r="N39" s="52"/>
      <c r="O39" s="52"/>
      <c r="P39" s="52">
        <v>4</v>
      </c>
      <c r="Q39" s="52">
        <f t="shared" ref="Q39" si="8">E39</f>
        <v>2</v>
      </c>
      <c r="R39" s="52">
        <v>1</v>
      </c>
      <c r="S39" s="52"/>
      <c r="T39" s="52"/>
      <c r="U39" s="52"/>
      <c r="V39" s="52"/>
      <c r="W39" s="52"/>
      <c r="X39" s="53"/>
    </row>
    <row r="40" spans="1:24" s="54" customFormat="1" ht="17.25">
      <c r="A40" s="50"/>
      <c r="B40" s="51" t="s">
        <v>160</v>
      </c>
      <c r="C40" s="52">
        <v>1</v>
      </c>
      <c r="D40" s="52">
        <v>1</v>
      </c>
      <c r="E40" s="52"/>
      <c r="F40" s="52"/>
      <c r="G40" s="52"/>
      <c r="H40" s="52"/>
      <c r="I40" s="52"/>
      <c r="J40" s="52"/>
      <c r="K40" s="52"/>
      <c r="L40" s="52"/>
      <c r="M40" s="52"/>
      <c r="N40" s="52"/>
      <c r="O40" s="52"/>
      <c r="P40" s="52"/>
      <c r="Q40" s="52"/>
      <c r="R40" s="52">
        <f t="shared" ref="R40" si="9">D40</f>
        <v>1</v>
      </c>
      <c r="S40" s="52"/>
      <c r="T40" s="52"/>
      <c r="U40" s="52"/>
      <c r="V40" s="52">
        <v>1</v>
      </c>
      <c r="W40" s="52"/>
      <c r="X40" s="53"/>
    </row>
    <row r="41" spans="1:24" s="54" customFormat="1" ht="17.25">
      <c r="A41" s="50"/>
      <c r="B41" s="51" t="s">
        <v>161</v>
      </c>
      <c r="C41" s="52">
        <v>3</v>
      </c>
      <c r="D41" s="52">
        <v>2</v>
      </c>
      <c r="E41" s="52">
        <v>2</v>
      </c>
      <c r="F41" s="52"/>
      <c r="G41" s="52">
        <v>4</v>
      </c>
      <c r="H41" s="55">
        <v>2</v>
      </c>
      <c r="I41" s="52"/>
      <c r="J41" s="52"/>
      <c r="K41" s="52"/>
      <c r="L41" s="52">
        <v>1</v>
      </c>
      <c r="M41" s="52"/>
      <c r="N41" s="52"/>
      <c r="O41" s="52"/>
      <c r="P41" s="52">
        <v>4</v>
      </c>
      <c r="Q41" s="52">
        <f t="shared" ref="Q41" si="10">E41</f>
        <v>2</v>
      </c>
      <c r="R41" s="52">
        <v>1</v>
      </c>
      <c r="S41" s="52"/>
      <c r="T41" s="52"/>
      <c r="U41" s="52"/>
      <c r="V41" s="52"/>
      <c r="W41" s="52"/>
      <c r="X41" s="53"/>
    </row>
    <row r="42" spans="1:24" s="54" customFormat="1" ht="17.25">
      <c r="A42" s="50"/>
      <c r="B42" s="51" t="s">
        <v>160</v>
      </c>
      <c r="C42" s="52">
        <v>1</v>
      </c>
      <c r="D42" s="52">
        <v>1</v>
      </c>
      <c r="E42" s="52"/>
      <c r="F42" s="52"/>
      <c r="G42" s="52"/>
      <c r="H42" s="52"/>
      <c r="I42" s="52"/>
      <c r="J42" s="52"/>
      <c r="K42" s="52"/>
      <c r="L42" s="52"/>
      <c r="M42" s="52"/>
      <c r="N42" s="52"/>
      <c r="O42" s="52"/>
      <c r="P42" s="52"/>
      <c r="Q42" s="52"/>
      <c r="R42" s="52">
        <f t="shared" ref="R42" si="11">D42</f>
        <v>1</v>
      </c>
      <c r="S42" s="52"/>
      <c r="T42" s="52"/>
      <c r="U42" s="52"/>
      <c r="V42" s="52">
        <v>1</v>
      </c>
      <c r="W42" s="52"/>
      <c r="X42" s="53"/>
    </row>
    <row r="43" spans="1:24" s="54" customFormat="1" ht="17.25">
      <c r="A43" s="50"/>
      <c r="B43" s="51" t="s">
        <v>201</v>
      </c>
      <c r="C43" s="52">
        <v>1</v>
      </c>
      <c r="D43" s="52"/>
      <c r="E43" s="52"/>
      <c r="F43" s="52"/>
      <c r="G43" s="52"/>
      <c r="H43" s="52"/>
      <c r="I43" s="52"/>
      <c r="J43" s="52"/>
      <c r="K43" s="52"/>
      <c r="L43" s="52"/>
      <c r="M43" s="52"/>
      <c r="N43" s="52"/>
      <c r="O43" s="52"/>
      <c r="P43" s="52">
        <v>1</v>
      </c>
      <c r="Q43" s="52"/>
      <c r="R43" s="52"/>
      <c r="S43" s="52"/>
      <c r="T43" s="52"/>
      <c r="U43" s="52"/>
      <c r="V43" s="52"/>
      <c r="W43" s="52"/>
      <c r="X43" s="53"/>
    </row>
    <row r="44" spans="1:24" s="54" customFormat="1" ht="17.25">
      <c r="A44" s="50"/>
      <c r="B44" s="51" t="s">
        <v>185</v>
      </c>
      <c r="C44" s="52">
        <v>1</v>
      </c>
      <c r="D44" s="52">
        <v>2</v>
      </c>
      <c r="E44" s="52"/>
      <c r="F44" s="52">
        <v>1</v>
      </c>
      <c r="G44" s="52"/>
      <c r="H44" s="52">
        <v>1</v>
      </c>
      <c r="I44" s="52"/>
      <c r="J44" s="52"/>
      <c r="K44" s="52"/>
      <c r="L44" s="52"/>
      <c r="M44" s="52"/>
      <c r="N44" s="52">
        <v>1</v>
      </c>
      <c r="O44" s="52"/>
      <c r="P44" s="52">
        <v>1</v>
      </c>
      <c r="Q44" s="52">
        <f t="shared" si="0"/>
        <v>0</v>
      </c>
      <c r="R44" s="52"/>
      <c r="S44" s="52"/>
      <c r="T44" s="52"/>
      <c r="U44" s="52"/>
      <c r="V44" s="52"/>
      <c r="W44" s="52"/>
      <c r="X44" s="53"/>
    </row>
    <row r="45" spans="1:24" s="54" customFormat="1" ht="17.25">
      <c r="A45" s="50"/>
      <c r="B45" s="51" t="s">
        <v>186</v>
      </c>
      <c r="C45" s="52">
        <v>2</v>
      </c>
      <c r="D45" s="52"/>
      <c r="E45" s="52"/>
      <c r="F45" s="52"/>
      <c r="G45" s="52"/>
      <c r="H45" s="52">
        <v>1</v>
      </c>
      <c r="I45" s="52"/>
      <c r="J45" s="52"/>
      <c r="K45" s="52"/>
      <c r="L45" s="52"/>
      <c r="M45" s="52"/>
      <c r="N45" s="52">
        <v>1</v>
      </c>
      <c r="O45" s="52"/>
      <c r="P45" s="52"/>
      <c r="Q45" s="52">
        <f t="shared" ref="Q45" si="12">E45</f>
        <v>0</v>
      </c>
      <c r="R45" s="52"/>
      <c r="S45" s="52">
        <v>3</v>
      </c>
      <c r="T45" s="52">
        <v>3</v>
      </c>
      <c r="U45" s="52"/>
      <c r="V45" s="52"/>
      <c r="W45" s="52"/>
      <c r="X45" s="53"/>
    </row>
    <row r="46" spans="1:24" s="54" customFormat="1" ht="17.25">
      <c r="A46" s="50"/>
      <c r="B46" s="51"/>
      <c r="C46" s="52">
        <f t="shared" ref="C46:X46" si="13">SUM(C3:C45)</f>
        <v>75</v>
      </c>
      <c r="D46" s="52">
        <f t="shared" si="13"/>
        <v>37</v>
      </c>
      <c r="E46" s="52">
        <f t="shared" si="13"/>
        <v>26</v>
      </c>
      <c r="F46" s="52">
        <f t="shared" si="13"/>
        <v>4</v>
      </c>
      <c r="G46" s="52">
        <f t="shared" si="13"/>
        <v>39</v>
      </c>
      <c r="H46" s="52">
        <f t="shared" si="13"/>
        <v>26</v>
      </c>
      <c r="I46" s="52">
        <f t="shared" si="13"/>
        <v>12</v>
      </c>
      <c r="J46" s="52">
        <f t="shared" si="13"/>
        <v>2</v>
      </c>
      <c r="K46" s="52">
        <f t="shared" si="13"/>
        <v>4</v>
      </c>
      <c r="L46" s="52">
        <f t="shared" si="13"/>
        <v>10</v>
      </c>
      <c r="M46" s="52">
        <f t="shared" si="13"/>
        <v>2</v>
      </c>
      <c r="N46" s="52">
        <f t="shared" si="13"/>
        <v>3</v>
      </c>
      <c r="O46" s="52">
        <f t="shared" si="13"/>
        <v>2</v>
      </c>
      <c r="P46" s="52">
        <f t="shared" si="13"/>
        <v>60</v>
      </c>
      <c r="Q46" s="52">
        <f t="shared" si="13"/>
        <v>26</v>
      </c>
      <c r="R46" s="52">
        <f t="shared" si="13"/>
        <v>29</v>
      </c>
      <c r="S46" s="52">
        <f t="shared" si="13"/>
        <v>6</v>
      </c>
      <c r="T46" s="52">
        <f t="shared" si="13"/>
        <v>6</v>
      </c>
      <c r="U46" s="52">
        <f t="shared" si="13"/>
        <v>2</v>
      </c>
      <c r="V46" s="52">
        <f t="shared" si="13"/>
        <v>8</v>
      </c>
      <c r="W46" s="52">
        <f t="shared" si="13"/>
        <v>8</v>
      </c>
      <c r="X46" s="52">
        <f t="shared" si="13"/>
        <v>3450</v>
      </c>
    </row>
    <row r="47" spans="1:24" s="54" customFormat="1" ht="17.25">
      <c r="A47" s="56"/>
      <c r="B47" s="57"/>
      <c r="C47" s="58"/>
      <c r="D47" s="58"/>
      <c r="E47" s="58"/>
      <c r="F47" s="58"/>
      <c r="G47" s="58"/>
      <c r="H47" s="58"/>
      <c r="I47" s="58"/>
      <c r="J47" s="58"/>
      <c r="K47" s="58"/>
      <c r="L47" s="58"/>
      <c r="M47" s="58"/>
      <c r="N47" s="58"/>
      <c r="O47" s="58"/>
      <c r="P47" s="58"/>
      <c r="Q47" s="58"/>
      <c r="R47" s="58"/>
      <c r="S47" s="58"/>
      <c r="T47" s="58"/>
      <c r="U47" s="58"/>
      <c r="V47" s="58"/>
      <c r="W47" s="58"/>
      <c r="X47" s="59"/>
    </row>
    <row r="48" spans="1:24" s="54" customFormat="1" ht="34.5">
      <c r="B48" s="63" t="s">
        <v>169</v>
      </c>
      <c r="G48" s="54">
        <v>75</v>
      </c>
      <c r="H48" s="54">
        <v>75</v>
      </c>
      <c r="I48" s="54">
        <v>1200</v>
      </c>
      <c r="J48" s="54">
        <v>20</v>
      </c>
      <c r="K48" s="54">
        <v>1500</v>
      </c>
      <c r="P48" s="54">
        <v>18</v>
      </c>
      <c r="Q48" s="54">
        <v>60</v>
      </c>
      <c r="R48" s="54">
        <v>9</v>
      </c>
      <c r="S48" s="54">
        <v>12</v>
      </c>
      <c r="U48" s="54">
        <v>250</v>
      </c>
      <c r="V48" s="54">
        <v>50</v>
      </c>
      <c r="W48" s="54">
        <v>25</v>
      </c>
      <c r="X48" s="54">
        <f>X46</f>
        <v>3450</v>
      </c>
    </row>
    <row r="49" spans="2:24" s="54" customFormat="1" ht="17.25">
      <c r="B49" s="60" t="s">
        <v>170</v>
      </c>
      <c r="G49" s="54">
        <f>G48*G46</f>
        <v>2925</v>
      </c>
      <c r="H49" s="54">
        <f t="shared" ref="H49:U49" si="14">H48*H46</f>
        <v>1950</v>
      </c>
      <c r="I49" s="54">
        <f t="shared" si="14"/>
        <v>14400</v>
      </c>
      <c r="J49" s="54">
        <f t="shared" si="14"/>
        <v>40</v>
      </c>
      <c r="K49" s="54">
        <f t="shared" si="14"/>
        <v>6000</v>
      </c>
      <c r="P49" s="54">
        <f t="shared" si="14"/>
        <v>1080</v>
      </c>
      <c r="Q49" s="54">
        <f t="shared" si="14"/>
        <v>1560</v>
      </c>
      <c r="R49" s="54">
        <f t="shared" si="14"/>
        <v>261</v>
      </c>
      <c r="S49" s="54">
        <f t="shared" si="14"/>
        <v>72</v>
      </c>
      <c r="T49" s="54">
        <f t="shared" si="14"/>
        <v>0</v>
      </c>
      <c r="U49" s="54">
        <f t="shared" si="14"/>
        <v>500</v>
      </c>
      <c r="V49" s="54">
        <f>V48*V46</f>
        <v>400</v>
      </c>
      <c r="W49" s="54">
        <f>W48*W46</f>
        <v>200</v>
      </c>
      <c r="X49" s="54">
        <f>X48</f>
        <v>3450</v>
      </c>
    </row>
    <row r="50" spans="2:24" s="54" customFormat="1" ht="17.25">
      <c r="B50" s="60"/>
    </row>
    <row r="51" spans="2:24" s="54" customFormat="1" ht="17.25">
      <c r="B51" s="60"/>
      <c r="J51" s="54" t="s">
        <v>165</v>
      </c>
      <c r="L51" s="54">
        <f>SUM(G49:X49)</f>
        <v>32838</v>
      </c>
      <c r="M51" s="54" t="s">
        <v>166</v>
      </c>
      <c r="N51" s="61">
        <f>L51/1000</f>
        <v>32.838000000000001</v>
      </c>
      <c r="O51" s="62" t="s">
        <v>167</v>
      </c>
    </row>
    <row r="52" spans="2:24" s="54" customFormat="1" ht="17.25">
      <c r="B52" s="60"/>
    </row>
    <row r="55" spans="2:24">
      <c r="M55" s="38">
        <f>N51*0.75</f>
        <v>24.628500000000003</v>
      </c>
    </row>
  </sheetData>
  <mergeCells count="1">
    <mergeCell ref="A1:X1"/>
  </mergeCells>
  <pageMargins left="0.8" right="0.56999999999999995" top="0.75" bottom="1.08" header="0.74" footer="0.98"/>
  <pageSetup paperSize="8" scale="96" fitToHeight="2" orientation="landscape" r:id="rId1"/>
</worksheet>
</file>

<file path=xl/worksheets/sheet6.xml><?xml version="1.0" encoding="utf-8"?>
<worksheet xmlns="http://schemas.openxmlformats.org/spreadsheetml/2006/main" xmlns:r="http://schemas.openxmlformats.org/officeDocument/2006/relationships">
  <sheetPr>
    <tabColor rgb="FFFF0000"/>
    <pageSetUpPr fitToPage="1"/>
  </sheetPr>
  <dimension ref="A1:AG229"/>
  <sheetViews>
    <sheetView view="pageBreakPreview" zoomScale="60" workbookViewId="0">
      <pane ySplit="8" topLeftCell="A191" activePane="bottomLeft" state="frozen"/>
      <selection pane="bottomLeft" activeCell="I20" sqref="I20"/>
    </sheetView>
  </sheetViews>
  <sheetFormatPr defaultColWidth="11.42578125" defaultRowHeight="15"/>
  <cols>
    <col min="1" max="1" width="15.42578125" style="3" customWidth="1"/>
    <col min="2" max="2" width="11.85546875" style="3" customWidth="1"/>
    <col min="3" max="3" width="58.7109375" style="2" customWidth="1"/>
    <col min="4" max="4" width="9.7109375" style="3" customWidth="1"/>
    <col min="5" max="6" width="18.85546875" style="3" customWidth="1"/>
    <col min="7" max="7" width="18.85546875" style="3" hidden="1" customWidth="1"/>
    <col min="8" max="8" width="21.85546875" style="3" hidden="1" customWidth="1"/>
    <col min="9" max="9" width="12.140625" style="3" customWidth="1"/>
    <col min="10" max="10" width="16.85546875" style="3" customWidth="1"/>
    <col min="11" max="12" width="16.7109375" style="3" customWidth="1"/>
    <col min="13" max="13" width="14.7109375" style="3" customWidth="1"/>
    <col min="14" max="14" width="19.7109375" style="3" bestFit="1" customWidth="1"/>
    <col min="15" max="15" width="18.7109375" style="3" customWidth="1"/>
    <col min="16" max="16" width="20.140625" style="3" customWidth="1"/>
    <col min="17" max="17" width="17.42578125" style="3" customWidth="1"/>
    <col min="18" max="18" width="37.42578125" style="2" customWidth="1"/>
    <col min="19" max="19" width="16.42578125" style="1" customWidth="1"/>
    <col min="20" max="20" width="11.42578125" style="1" customWidth="1"/>
    <col min="21" max="21" width="22.5703125" style="1" customWidth="1"/>
    <col min="22" max="22" width="14.42578125" style="1" bestFit="1" customWidth="1"/>
    <col min="23" max="26" width="11.42578125" style="1"/>
    <col min="27" max="27" width="13" style="1" customWidth="1"/>
    <col min="28" max="28" width="11.42578125" style="1"/>
    <col min="29" max="29" width="16.140625" style="1" customWidth="1"/>
    <col min="30" max="30" width="11.42578125" style="1"/>
    <col min="31" max="32" width="12.85546875" style="1" customWidth="1"/>
    <col min="33" max="33" width="14.28515625" style="1" customWidth="1"/>
    <col min="34" max="36" width="11.42578125" style="1"/>
    <col min="37" max="37" width="16.28515625" style="1" customWidth="1"/>
    <col min="38" max="38" width="11.42578125" style="1"/>
    <col min="39" max="40" width="12.85546875" style="1" customWidth="1"/>
    <col min="41" max="41" width="16.140625" style="1" customWidth="1"/>
    <col min="42" max="43" width="11.42578125" style="1"/>
    <col min="44" max="44" width="12.5703125" style="1" customWidth="1"/>
    <col min="45" max="16384" width="11.42578125" style="1"/>
  </cols>
  <sheetData>
    <row r="1" spans="1:33" ht="53.25" customHeight="1">
      <c r="A1" s="487" t="s">
        <v>238</v>
      </c>
      <c r="B1" s="488"/>
      <c r="C1" s="488"/>
      <c r="D1" s="488"/>
      <c r="E1" s="488"/>
      <c r="F1" s="488"/>
      <c r="G1" s="488"/>
      <c r="H1" s="488"/>
      <c r="I1" s="488"/>
      <c r="J1" s="488"/>
      <c r="K1" s="488"/>
      <c r="L1" s="488"/>
      <c r="M1" s="488"/>
      <c r="N1" s="488"/>
      <c r="O1" s="488"/>
      <c r="P1" s="488"/>
      <c r="Q1" s="488"/>
      <c r="R1" s="488"/>
    </row>
    <row r="2" spans="1:33" s="2" customFormat="1" ht="33.75" customHeight="1">
      <c r="A2" s="493" t="s">
        <v>35</v>
      </c>
      <c r="B2" s="493"/>
      <c r="C2" s="493"/>
      <c r="D2" s="493"/>
      <c r="E2" s="493"/>
      <c r="F2" s="493"/>
      <c r="G2" s="493"/>
      <c r="H2" s="493"/>
      <c r="I2" s="493"/>
      <c r="J2" s="493"/>
      <c r="K2" s="493"/>
      <c r="L2" s="493"/>
      <c r="M2" s="493"/>
      <c r="N2" s="493"/>
      <c r="O2" s="493"/>
      <c r="P2" s="493"/>
      <c r="Q2" s="493"/>
      <c r="R2" s="493"/>
    </row>
    <row r="3" spans="1:33" s="2" customFormat="1" ht="33.75" customHeight="1">
      <c r="A3" s="489" t="s">
        <v>34</v>
      </c>
      <c r="B3" s="489"/>
      <c r="C3" s="22" t="s">
        <v>110</v>
      </c>
      <c r="D3" s="489" t="s">
        <v>33</v>
      </c>
      <c r="E3" s="489"/>
      <c r="F3" s="489"/>
      <c r="G3" s="489"/>
      <c r="H3" s="489"/>
      <c r="I3" s="489"/>
      <c r="J3" s="210"/>
      <c r="K3" s="489" t="s">
        <v>112</v>
      </c>
      <c r="L3" s="489"/>
      <c r="M3" s="489"/>
      <c r="N3" s="489"/>
      <c r="O3" s="489"/>
      <c r="P3" s="7" t="s">
        <v>32</v>
      </c>
      <c r="Q3" s="7"/>
      <c r="R3" s="210" t="s">
        <v>113</v>
      </c>
    </row>
    <row r="4" spans="1:33" s="2" customFormat="1" ht="33.75" customHeight="1">
      <c r="A4" s="489" t="s">
        <v>116</v>
      </c>
      <c r="B4" s="489"/>
      <c r="C4" s="489"/>
      <c r="D4" s="489" t="s">
        <v>30</v>
      </c>
      <c r="E4" s="489"/>
      <c r="F4" s="489"/>
      <c r="G4" s="489"/>
      <c r="H4" s="489"/>
      <c r="I4" s="489"/>
      <c r="J4" s="210"/>
      <c r="K4" s="489" t="s">
        <v>111</v>
      </c>
      <c r="L4" s="489"/>
      <c r="M4" s="489"/>
      <c r="N4" s="489"/>
      <c r="O4" s="489"/>
      <c r="P4" s="7" t="s">
        <v>29</v>
      </c>
      <c r="Q4" s="7"/>
      <c r="R4" s="210" t="s">
        <v>114</v>
      </c>
    </row>
    <row r="5" spans="1:33" s="2" customFormat="1" ht="33.75" customHeight="1">
      <c r="A5" s="489" t="s">
        <v>31</v>
      </c>
      <c r="B5" s="489"/>
      <c r="C5" s="22" t="s">
        <v>108</v>
      </c>
      <c r="D5" s="489" t="s">
        <v>27</v>
      </c>
      <c r="E5" s="489"/>
      <c r="F5" s="489"/>
      <c r="G5" s="489"/>
      <c r="H5" s="489"/>
      <c r="I5" s="489"/>
      <c r="J5" s="210"/>
      <c r="K5" s="489" t="s">
        <v>119</v>
      </c>
      <c r="L5" s="489"/>
      <c r="M5" s="489"/>
      <c r="N5" s="489"/>
      <c r="O5" s="489"/>
      <c r="P5" s="209"/>
      <c r="Q5" s="209"/>
      <c r="R5" s="23"/>
    </row>
    <row r="6" spans="1:33" s="2" customFormat="1" ht="55.5" customHeight="1">
      <c r="A6" s="7" t="s">
        <v>28</v>
      </c>
      <c r="B6" s="7"/>
      <c r="C6" s="22" t="s">
        <v>109</v>
      </c>
      <c r="D6" s="489" t="s">
        <v>26</v>
      </c>
      <c r="E6" s="489"/>
      <c r="F6" s="489"/>
      <c r="G6" s="489"/>
      <c r="H6" s="489"/>
      <c r="I6" s="489"/>
      <c r="J6" s="210"/>
      <c r="K6" s="489" t="s">
        <v>120</v>
      </c>
      <c r="L6" s="489"/>
      <c r="M6" s="489"/>
      <c r="N6" s="489"/>
      <c r="O6" s="489"/>
      <c r="P6" s="496" t="s">
        <v>107</v>
      </c>
      <c r="Q6" s="496"/>
      <c r="R6" s="489"/>
      <c r="S6" s="489"/>
    </row>
    <row r="7" spans="1:33" ht="21.75" customHeight="1">
      <c r="A7" s="497" t="s">
        <v>25</v>
      </c>
      <c r="B7" s="486" t="s">
        <v>24</v>
      </c>
      <c r="C7" s="499" t="s">
        <v>23</v>
      </c>
      <c r="D7" s="486" t="s">
        <v>22</v>
      </c>
      <c r="E7" s="486"/>
      <c r="F7" s="486"/>
      <c r="G7" s="486" t="s">
        <v>203</v>
      </c>
      <c r="H7" s="517" t="s">
        <v>236</v>
      </c>
      <c r="I7" s="512" t="s">
        <v>1375</v>
      </c>
      <c r="J7" s="513"/>
      <c r="K7" s="512" t="s">
        <v>68</v>
      </c>
      <c r="L7" s="513"/>
      <c r="M7" s="514" t="s">
        <v>1377</v>
      </c>
      <c r="N7" s="515"/>
      <c r="O7" s="516" t="s">
        <v>20</v>
      </c>
      <c r="P7" s="486"/>
      <c r="Q7" s="491" t="s">
        <v>237</v>
      </c>
      <c r="R7" s="494" t="s">
        <v>19</v>
      </c>
    </row>
    <row r="8" spans="1:33" s="21" customFormat="1" ht="33" customHeight="1">
      <c r="A8" s="498"/>
      <c r="B8" s="490"/>
      <c r="C8" s="500"/>
      <c r="D8" s="211" t="s">
        <v>18</v>
      </c>
      <c r="E8" s="211" t="s">
        <v>17</v>
      </c>
      <c r="F8" s="211" t="s">
        <v>16</v>
      </c>
      <c r="G8" s="490"/>
      <c r="H8" s="518"/>
      <c r="I8" s="269" t="s">
        <v>1376</v>
      </c>
      <c r="J8" s="269" t="s">
        <v>21</v>
      </c>
      <c r="K8" s="269" t="s">
        <v>1376</v>
      </c>
      <c r="L8" s="269" t="s">
        <v>21</v>
      </c>
      <c r="M8" s="272" t="s">
        <v>1376</v>
      </c>
      <c r="N8" s="272" t="s">
        <v>21</v>
      </c>
      <c r="O8" s="271" t="s">
        <v>15</v>
      </c>
      <c r="P8" s="211" t="s">
        <v>14</v>
      </c>
      <c r="Q8" s="492"/>
      <c r="R8" s="495"/>
    </row>
    <row r="9" spans="1:33" ht="49.5">
      <c r="A9" s="113">
        <v>1</v>
      </c>
      <c r="B9" s="28" t="s">
        <v>853</v>
      </c>
      <c r="C9" s="24" t="s">
        <v>692</v>
      </c>
      <c r="D9" s="28" t="s">
        <v>966</v>
      </c>
      <c r="E9" s="28" t="s">
        <v>946</v>
      </c>
      <c r="F9" s="27">
        <f>B9*E9</f>
        <v>45539</v>
      </c>
      <c r="G9" s="114">
        <v>195.54</v>
      </c>
      <c r="H9" s="29">
        <f t="shared" ref="H9" si="0">G9*B9</f>
        <v>68497.661999999997</v>
      </c>
      <c r="I9" s="268">
        <v>161.5</v>
      </c>
      <c r="J9" s="268">
        <f>E9*I9</f>
        <v>20995</v>
      </c>
      <c r="K9" s="270"/>
      <c r="L9" s="270">
        <f>E9*K9</f>
        <v>0</v>
      </c>
      <c r="M9" s="270">
        <f t="shared" ref="M9" si="1">I9+K9</f>
        <v>161.5</v>
      </c>
      <c r="N9" s="270">
        <f t="shared" ref="N9" si="2">M9*E9</f>
        <v>20995</v>
      </c>
      <c r="O9" s="15" t="str">
        <f t="shared" ref="O9" si="3">IF(N9&gt;F9,(N9-F9),"")</f>
        <v/>
      </c>
      <c r="P9" s="14">
        <f t="shared" ref="P9" si="4">IF(F9&gt;N9,(F9-N9),"")</f>
        <v>24544</v>
      </c>
      <c r="Q9" s="112">
        <f t="shared" ref="Q9" si="5">((E9-G9)/G9)*100</f>
        <v>-33.517438887184205</v>
      </c>
      <c r="R9" s="115"/>
    </row>
    <row r="10" spans="1:33" ht="18.75">
      <c r="A10" s="113">
        <v>2</v>
      </c>
      <c r="B10" s="28" t="s">
        <v>854</v>
      </c>
      <c r="C10" s="24" t="s">
        <v>693</v>
      </c>
      <c r="D10" s="28" t="s">
        <v>966</v>
      </c>
      <c r="E10" s="28" t="s">
        <v>974</v>
      </c>
      <c r="F10" s="27">
        <f>B10*E10</f>
        <v>1523.1999999999998</v>
      </c>
      <c r="G10" s="114">
        <v>203.64</v>
      </c>
      <c r="H10" s="29">
        <f>G10*B10</f>
        <v>2280.7679999999996</v>
      </c>
      <c r="I10" s="77">
        <v>77.5</v>
      </c>
      <c r="J10" s="268">
        <f t="shared" ref="J10:J73" si="6">E10*I10</f>
        <v>10540</v>
      </c>
      <c r="K10" s="16"/>
      <c r="L10" s="270">
        <f t="shared" ref="L10:L73" si="7">E10*K10</f>
        <v>0</v>
      </c>
      <c r="M10" s="15">
        <f>I10+K10</f>
        <v>77.5</v>
      </c>
      <c r="N10" s="15">
        <f>M10*E10</f>
        <v>10540</v>
      </c>
      <c r="O10" s="15">
        <f>IF(N10&gt;F10,(N10-F10),"")</f>
        <v>9016.7999999999993</v>
      </c>
      <c r="P10" s="14" t="str">
        <f>IF(F10&gt;N10,(F10-N10),"")</f>
        <v/>
      </c>
      <c r="Q10" s="112">
        <f>((E10-G10)/G10)*100</f>
        <v>-33.215478295030444</v>
      </c>
      <c r="R10" s="116"/>
      <c r="S10" s="1">
        <v>61650</v>
      </c>
      <c r="U10" s="1" t="str">
        <f t="shared" ref="U10:U66" si="8">E10</f>
        <v>136.00</v>
      </c>
      <c r="V10" s="1">
        <f t="shared" ref="V10:V73" si="9">U10*I10</f>
        <v>10540</v>
      </c>
      <c r="Z10" s="15">
        <v>109.59</v>
      </c>
      <c r="AG10" s="8"/>
    </row>
    <row r="11" spans="1:33" ht="49.5">
      <c r="A11" s="113">
        <v>3</v>
      </c>
      <c r="B11" s="28" t="s">
        <v>855</v>
      </c>
      <c r="C11" s="24" t="s">
        <v>694</v>
      </c>
      <c r="D11" s="28" t="s">
        <v>966</v>
      </c>
      <c r="E11" s="28" t="s">
        <v>975</v>
      </c>
      <c r="F11" s="27">
        <f t="shared" ref="F11:F74" si="10">B11*E11</f>
        <v>5032.5</v>
      </c>
      <c r="G11" s="114">
        <v>92.5</v>
      </c>
      <c r="H11" s="29">
        <f t="shared" ref="H11:H74" si="11">G11*B11</f>
        <v>7631.25</v>
      </c>
      <c r="I11" s="77">
        <v>74.209999999999994</v>
      </c>
      <c r="J11" s="268">
        <f t="shared" si="6"/>
        <v>4526.8099999999995</v>
      </c>
      <c r="K11" s="16"/>
      <c r="L11" s="270">
        <f t="shared" si="7"/>
        <v>0</v>
      </c>
      <c r="M11" s="15">
        <f t="shared" ref="M11:M74" si="12">I11+K11</f>
        <v>74.209999999999994</v>
      </c>
      <c r="N11" s="15">
        <f t="shared" ref="N11:N74" si="13">M11*E11</f>
        <v>4526.8099999999995</v>
      </c>
      <c r="O11" s="15" t="str">
        <f t="shared" ref="O11:O74" si="14">IF(N11&gt;F11,(N11-F11),"")</f>
        <v/>
      </c>
      <c r="P11" s="14">
        <f t="shared" ref="P11:P74" si="15">IF(F11&gt;N11,(F11-N11),"")</f>
        <v>505.69000000000051</v>
      </c>
      <c r="Q11" s="112">
        <f t="shared" ref="Q11:Q74" si="16">((E11-G11)/G11)*100</f>
        <v>-34.054054054054056</v>
      </c>
      <c r="R11" s="116"/>
      <c r="S11" s="1">
        <v>61650</v>
      </c>
      <c r="U11" s="1" t="str">
        <f t="shared" si="8"/>
        <v>61.00</v>
      </c>
      <c r="V11" s="1">
        <f t="shared" si="9"/>
        <v>4526.8099999999995</v>
      </c>
      <c r="Z11" s="15">
        <v>109.59</v>
      </c>
      <c r="AG11" s="8"/>
    </row>
    <row r="12" spans="1:33" ht="18.75">
      <c r="A12" s="113">
        <v>4</v>
      </c>
      <c r="B12" s="28" t="s">
        <v>856</v>
      </c>
      <c r="C12" s="24" t="s">
        <v>693</v>
      </c>
      <c r="D12" s="28" t="s">
        <v>966</v>
      </c>
      <c r="E12" s="28" t="s">
        <v>976</v>
      </c>
      <c r="F12" s="27">
        <f t="shared" si="10"/>
        <v>1092.1000000000001</v>
      </c>
      <c r="G12" s="114">
        <v>100.5</v>
      </c>
      <c r="H12" s="29">
        <f t="shared" si="11"/>
        <v>1638.15</v>
      </c>
      <c r="I12" s="77">
        <v>5.84</v>
      </c>
      <c r="J12" s="268">
        <f t="shared" si="6"/>
        <v>391.28</v>
      </c>
      <c r="K12" s="16"/>
      <c r="L12" s="270">
        <f t="shared" si="7"/>
        <v>0</v>
      </c>
      <c r="M12" s="15">
        <f t="shared" si="12"/>
        <v>5.84</v>
      </c>
      <c r="N12" s="15">
        <f t="shared" si="13"/>
        <v>391.28</v>
      </c>
      <c r="O12" s="15" t="str">
        <f t="shared" si="14"/>
        <v/>
      </c>
      <c r="P12" s="14">
        <f t="shared" si="15"/>
        <v>700.82000000000016</v>
      </c>
      <c r="Q12" s="112">
        <f t="shared" si="16"/>
        <v>-33.333333333333329</v>
      </c>
      <c r="R12" s="116"/>
      <c r="U12" s="1" t="str">
        <f t="shared" si="8"/>
        <v>67.00</v>
      </c>
      <c r="V12" s="1">
        <f t="shared" si="9"/>
        <v>391.28</v>
      </c>
      <c r="Z12" s="15"/>
      <c r="AG12" s="8"/>
    </row>
    <row r="13" spans="1:33" ht="33">
      <c r="A13" s="113">
        <v>5</v>
      </c>
      <c r="B13" s="28" t="s">
        <v>857</v>
      </c>
      <c r="C13" s="24" t="s">
        <v>695</v>
      </c>
      <c r="D13" s="28" t="s">
        <v>966</v>
      </c>
      <c r="E13" s="28" t="s">
        <v>977</v>
      </c>
      <c r="F13" s="27">
        <f t="shared" si="10"/>
        <v>2913.6</v>
      </c>
      <c r="G13" s="114">
        <v>806.23</v>
      </c>
      <c r="H13" s="29">
        <f t="shared" si="11"/>
        <v>3869.904</v>
      </c>
      <c r="I13" s="77"/>
      <c r="J13" s="268">
        <f t="shared" si="6"/>
        <v>0</v>
      </c>
      <c r="K13" s="16"/>
      <c r="L13" s="270">
        <f t="shared" si="7"/>
        <v>0</v>
      </c>
      <c r="M13" s="15">
        <f t="shared" si="12"/>
        <v>0</v>
      </c>
      <c r="N13" s="15">
        <f t="shared" si="13"/>
        <v>0</v>
      </c>
      <c r="O13" s="15" t="str">
        <f t="shared" si="14"/>
        <v/>
      </c>
      <c r="P13" s="14">
        <f t="shared" si="15"/>
        <v>2913.6</v>
      </c>
      <c r="Q13" s="14">
        <f t="shared" si="16"/>
        <v>-24.711310668171617</v>
      </c>
      <c r="R13" s="116"/>
      <c r="S13" s="1">
        <v>1600</v>
      </c>
      <c r="U13" s="1" t="str">
        <f t="shared" si="8"/>
        <v>607.00</v>
      </c>
      <c r="V13" s="1">
        <f t="shared" si="9"/>
        <v>0</v>
      </c>
      <c r="Z13" s="16"/>
      <c r="AG13" s="8"/>
    </row>
    <row r="14" spans="1:33" ht="33">
      <c r="A14" s="113">
        <v>6</v>
      </c>
      <c r="B14" s="28" t="s">
        <v>858</v>
      </c>
      <c r="C14" s="24" t="s">
        <v>696</v>
      </c>
      <c r="D14" s="28" t="s">
        <v>966</v>
      </c>
      <c r="E14" s="28" t="s">
        <v>978</v>
      </c>
      <c r="F14" s="27">
        <f t="shared" si="10"/>
        <v>1064</v>
      </c>
      <c r="G14" s="114">
        <v>883.23</v>
      </c>
      <c r="H14" s="29">
        <f t="shared" si="11"/>
        <v>1413.1680000000001</v>
      </c>
      <c r="I14" s="77"/>
      <c r="J14" s="268">
        <f t="shared" si="6"/>
        <v>0</v>
      </c>
      <c r="K14" s="16"/>
      <c r="L14" s="270">
        <f t="shared" si="7"/>
        <v>0</v>
      </c>
      <c r="M14" s="15">
        <f t="shared" si="12"/>
        <v>0</v>
      </c>
      <c r="N14" s="15">
        <f t="shared" si="13"/>
        <v>0</v>
      </c>
      <c r="O14" s="15" t="str">
        <f t="shared" si="14"/>
        <v/>
      </c>
      <c r="P14" s="14">
        <f t="shared" si="15"/>
        <v>1064</v>
      </c>
      <c r="Q14" s="14">
        <f t="shared" si="16"/>
        <v>-24.708173408964822</v>
      </c>
      <c r="R14" s="116"/>
      <c r="S14" s="1">
        <v>76800</v>
      </c>
      <c r="U14" s="1" t="str">
        <f t="shared" si="8"/>
        <v>665.00</v>
      </c>
      <c r="V14" s="1">
        <f t="shared" si="9"/>
        <v>0</v>
      </c>
      <c r="Z14" s="15">
        <v>0</v>
      </c>
      <c r="AG14" s="8"/>
    </row>
    <row r="15" spans="1:33" ht="18.75">
      <c r="A15" s="113">
        <v>7</v>
      </c>
      <c r="B15" s="28" t="s">
        <v>859</v>
      </c>
      <c r="C15" s="24" t="s">
        <v>697</v>
      </c>
      <c r="D15" s="28" t="s">
        <v>966</v>
      </c>
      <c r="E15" s="28" t="s">
        <v>979</v>
      </c>
      <c r="F15" s="27">
        <f t="shared" si="10"/>
        <v>149354</v>
      </c>
      <c r="G15" s="114">
        <v>3963.93</v>
      </c>
      <c r="H15" s="29">
        <f t="shared" si="11"/>
        <v>210088.28999999998</v>
      </c>
      <c r="I15" s="77">
        <v>6.62</v>
      </c>
      <c r="J15" s="268">
        <f t="shared" si="6"/>
        <v>18655.16</v>
      </c>
      <c r="K15" s="16"/>
      <c r="L15" s="270">
        <f t="shared" si="7"/>
        <v>0</v>
      </c>
      <c r="M15" s="15">
        <f t="shared" si="12"/>
        <v>6.62</v>
      </c>
      <c r="N15" s="15">
        <f t="shared" si="13"/>
        <v>18655.16</v>
      </c>
      <c r="O15" s="15" t="str">
        <f t="shared" si="14"/>
        <v/>
      </c>
      <c r="P15" s="14">
        <f t="shared" si="15"/>
        <v>130698.84</v>
      </c>
      <c r="Q15" s="112">
        <f t="shared" si="16"/>
        <v>-28.908936333386308</v>
      </c>
      <c r="R15" s="116"/>
      <c r="S15" s="1">
        <v>179100</v>
      </c>
      <c r="U15" s="1" t="str">
        <f t="shared" si="8"/>
        <v>2818.00</v>
      </c>
      <c r="V15" s="1">
        <f t="shared" si="9"/>
        <v>18655.16</v>
      </c>
      <c r="Z15" s="15">
        <v>0</v>
      </c>
      <c r="AG15" s="8"/>
    </row>
    <row r="16" spans="1:33" ht="33">
      <c r="A16" s="113">
        <v>8</v>
      </c>
      <c r="B16" s="28" t="s">
        <v>860</v>
      </c>
      <c r="C16" s="24" t="s">
        <v>698</v>
      </c>
      <c r="D16" s="28" t="s">
        <v>966</v>
      </c>
      <c r="E16" s="28" t="s">
        <v>980</v>
      </c>
      <c r="F16" s="27">
        <f t="shared" si="10"/>
        <v>157480</v>
      </c>
      <c r="G16" s="114">
        <v>5446.05</v>
      </c>
      <c r="H16" s="29">
        <f t="shared" si="11"/>
        <v>217842</v>
      </c>
      <c r="I16" s="77">
        <v>2.92</v>
      </c>
      <c r="J16" s="268">
        <f t="shared" si="6"/>
        <v>11496.039999999999</v>
      </c>
      <c r="K16" s="16"/>
      <c r="L16" s="270">
        <f t="shared" si="7"/>
        <v>0</v>
      </c>
      <c r="M16" s="15">
        <f t="shared" si="12"/>
        <v>2.92</v>
      </c>
      <c r="N16" s="15">
        <f t="shared" si="13"/>
        <v>11496.039999999999</v>
      </c>
      <c r="O16" s="15" t="str">
        <f t="shared" si="14"/>
        <v/>
      </c>
      <c r="P16" s="14">
        <f t="shared" si="15"/>
        <v>145983.96</v>
      </c>
      <c r="Q16" s="112">
        <f t="shared" si="16"/>
        <v>-27.709073548718798</v>
      </c>
      <c r="R16" s="116"/>
      <c r="S16" s="1">
        <v>100000</v>
      </c>
      <c r="U16" s="1" t="str">
        <f t="shared" si="8"/>
        <v>3937.00</v>
      </c>
      <c r="V16" s="1">
        <f t="shared" si="9"/>
        <v>11496.039999999999</v>
      </c>
      <c r="Z16" s="16">
        <v>9.75</v>
      </c>
    </row>
    <row r="17" spans="1:26" ht="33">
      <c r="A17" s="113">
        <v>9</v>
      </c>
      <c r="B17" s="114">
        <v>0.2</v>
      </c>
      <c r="C17" s="24" t="s">
        <v>699</v>
      </c>
      <c r="D17" s="28" t="s">
        <v>966</v>
      </c>
      <c r="E17" s="28" t="s">
        <v>981</v>
      </c>
      <c r="F17" s="27">
        <f t="shared" si="10"/>
        <v>484.40000000000003</v>
      </c>
      <c r="G17" s="114">
        <v>3426.72</v>
      </c>
      <c r="H17" s="29">
        <f t="shared" si="11"/>
        <v>685.34400000000005</v>
      </c>
      <c r="I17" s="77"/>
      <c r="J17" s="268">
        <f t="shared" si="6"/>
        <v>0</v>
      </c>
      <c r="K17" s="16"/>
      <c r="L17" s="270">
        <f t="shared" si="7"/>
        <v>0</v>
      </c>
      <c r="M17" s="15">
        <f t="shared" si="12"/>
        <v>0</v>
      </c>
      <c r="N17" s="15">
        <f t="shared" si="13"/>
        <v>0</v>
      </c>
      <c r="O17" s="15" t="str">
        <f t="shared" si="14"/>
        <v/>
      </c>
      <c r="P17" s="14">
        <f t="shared" si="15"/>
        <v>484.40000000000003</v>
      </c>
      <c r="Q17" s="112">
        <f t="shared" si="16"/>
        <v>-29.320166223093803</v>
      </c>
      <c r="R17" s="116"/>
      <c r="S17" s="1">
        <v>320000</v>
      </c>
      <c r="U17" s="1" t="str">
        <f t="shared" si="8"/>
        <v>2422.00</v>
      </c>
      <c r="V17" s="1">
        <f t="shared" si="9"/>
        <v>0</v>
      </c>
      <c r="Z17" s="16">
        <v>9.75</v>
      </c>
    </row>
    <row r="18" spans="1:26" s="3" customFormat="1" ht="49.5">
      <c r="A18" s="113">
        <v>10</v>
      </c>
      <c r="B18" s="28" t="s">
        <v>861</v>
      </c>
      <c r="C18" s="24" t="s">
        <v>700</v>
      </c>
      <c r="D18" s="28" t="s">
        <v>966</v>
      </c>
      <c r="E18" s="28" t="s">
        <v>982</v>
      </c>
      <c r="F18" s="27">
        <f t="shared" si="10"/>
        <v>273699</v>
      </c>
      <c r="G18" s="114">
        <v>5843.77</v>
      </c>
      <c r="H18" s="29">
        <f t="shared" si="11"/>
        <v>382182.55800000008</v>
      </c>
      <c r="I18" s="77">
        <v>35.68</v>
      </c>
      <c r="J18" s="268">
        <f t="shared" si="6"/>
        <v>149320.79999999999</v>
      </c>
      <c r="K18" s="16"/>
      <c r="L18" s="270">
        <f t="shared" si="7"/>
        <v>0</v>
      </c>
      <c r="M18" s="15">
        <f t="shared" si="12"/>
        <v>35.68</v>
      </c>
      <c r="N18" s="15">
        <f t="shared" si="13"/>
        <v>149320.79999999999</v>
      </c>
      <c r="O18" s="15" t="str">
        <f t="shared" si="14"/>
        <v/>
      </c>
      <c r="P18" s="14">
        <f t="shared" si="15"/>
        <v>124378.20000000001</v>
      </c>
      <c r="Q18" s="112">
        <f t="shared" si="16"/>
        <v>-28.385271836502813</v>
      </c>
      <c r="R18" s="116"/>
      <c r="S18" s="3">
        <v>151700</v>
      </c>
      <c r="U18" s="1" t="str">
        <f t="shared" si="8"/>
        <v>4185.00</v>
      </c>
      <c r="V18" s="1">
        <f t="shared" si="9"/>
        <v>149320.79999999999</v>
      </c>
      <c r="Z18" s="16">
        <v>18.53</v>
      </c>
    </row>
    <row r="19" spans="1:26" s="3" customFormat="1" ht="33">
      <c r="A19" s="113">
        <v>11</v>
      </c>
      <c r="B19" s="28" t="s">
        <v>862</v>
      </c>
      <c r="C19" s="24" t="s">
        <v>701</v>
      </c>
      <c r="D19" s="28" t="s">
        <v>967</v>
      </c>
      <c r="E19" s="28" t="s">
        <v>983</v>
      </c>
      <c r="F19" s="27">
        <f t="shared" si="10"/>
        <v>9451.7999999999993</v>
      </c>
      <c r="G19" s="114">
        <v>705</v>
      </c>
      <c r="H19" s="29">
        <f t="shared" si="11"/>
        <v>12478.5</v>
      </c>
      <c r="I19" s="77"/>
      <c r="J19" s="268">
        <f t="shared" si="6"/>
        <v>0</v>
      </c>
      <c r="K19" s="16"/>
      <c r="L19" s="270">
        <f t="shared" si="7"/>
        <v>0</v>
      </c>
      <c r="M19" s="15">
        <f t="shared" si="12"/>
        <v>0</v>
      </c>
      <c r="N19" s="15">
        <f t="shared" si="13"/>
        <v>0</v>
      </c>
      <c r="O19" s="15" t="str">
        <f t="shared" si="14"/>
        <v/>
      </c>
      <c r="P19" s="14">
        <f t="shared" si="15"/>
        <v>9451.7999999999993</v>
      </c>
      <c r="Q19" s="14">
        <f t="shared" si="16"/>
        <v>-24.25531914893617</v>
      </c>
      <c r="R19" s="116"/>
      <c r="S19" s="3">
        <v>420000</v>
      </c>
      <c r="U19" s="1" t="str">
        <f t="shared" si="8"/>
        <v>534.00</v>
      </c>
      <c r="V19" s="1">
        <f t="shared" si="9"/>
        <v>0</v>
      </c>
      <c r="Z19" s="16"/>
    </row>
    <row r="20" spans="1:26" s="3" customFormat="1" ht="49.5">
      <c r="A20" s="113">
        <v>12</v>
      </c>
      <c r="B20" s="28" t="s">
        <v>863</v>
      </c>
      <c r="C20" s="24" t="s">
        <v>702</v>
      </c>
      <c r="D20" s="28" t="s">
        <v>966</v>
      </c>
      <c r="E20" s="28" t="s">
        <v>984</v>
      </c>
      <c r="F20" s="27">
        <f t="shared" si="10"/>
        <v>65301.599999999999</v>
      </c>
      <c r="G20" s="114">
        <v>5853.21</v>
      </c>
      <c r="H20" s="29">
        <f t="shared" si="11"/>
        <v>91310.076000000001</v>
      </c>
      <c r="I20" s="77">
        <v>24.9</v>
      </c>
      <c r="J20" s="268">
        <f t="shared" si="6"/>
        <v>104231.4</v>
      </c>
      <c r="K20" s="16"/>
      <c r="L20" s="270">
        <f t="shared" si="7"/>
        <v>0</v>
      </c>
      <c r="M20" s="15">
        <f t="shared" si="12"/>
        <v>24.9</v>
      </c>
      <c r="N20" s="15">
        <f t="shared" si="13"/>
        <v>104231.4</v>
      </c>
      <c r="O20" s="15">
        <f t="shared" si="14"/>
        <v>38929.799999999996</v>
      </c>
      <c r="P20" s="14" t="str">
        <f t="shared" si="15"/>
        <v/>
      </c>
      <c r="Q20" s="112">
        <f t="shared" si="16"/>
        <v>-28.48368672916229</v>
      </c>
      <c r="R20" s="116"/>
      <c r="S20" s="3">
        <v>430000</v>
      </c>
      <c r="U20" s="1" t="str">
        <f t="shared" si="8"/>
        <v>4186.00</v>
      </c>
      <c r="V20" s="1">
        <f t="shared" si="9"/>
        <v>104231.4</v>
      </c>
      <c r="Z20" s="16">
        <v>17.73</v>
      </c>
    </row>
    <row r="21" spans="1:26" s="3" customFormat="1" ht="18.75">
      <c r="A21" s="113">
        <v>13</v>
      </c>
      <c r="B21" s="28" t="s">
        <v>864</v>
      </c>
      <c r="C21" s="24" t="s">
        <v>36</v>
      </c>
      <c r="D21" s="28" t="s">
        <v>966</v>
      </c>
      <c r="E21" s="28" t="s">
        <v>985</v>
      </c>
      <c r="F21" s="27">
        <f t="shared" si="10"/>
        <v>136308.69999999998</v>
      </c>
      <c r="G21" s="114">
        <v>5984.44</v>
      </c>
      <c r="H21" s="29">
        <f t="shared" si="11"/>
        <v>190903.63599999997</v>
      </c>
      <c r="I21" s="77">
        <v>48.07</v>
      </c>
      <c r="J21" s="268">
        <f t="shared" si="6"/>
        <v>205403.11000000002</v>
      </c>
      <c r="K21" s="16"/>
      <c r="L21" s="270">
        <f t="shared" si="7"/>
        <v>0</v>
      </c>
      <c r="M21" s="15">
        <f t="shared" si="12"/>
        <v>48.07</v>
      </c>
      <c r="N21" s="15">
        <f t="shared" si="13"/>
        <v>205403.11000000002</v>
      </c>
      <c r="O21" s="15">
        <f t="shared" si="14"/>
        <v>69094.410000000033</v>
      </c>
      <c r="P21" s="14" t="str">
        <f t="shared" si="15"/>
        <v/>
      </c>
      <c r="Q21" s="112">
        <f t="shared" si="16"/>
        <v>-28.598164573460505</v>
      </c>
      <c r="R21" s="116"/>
      <c r="U21" s="1" t="str">
        <f t="shared" si="8"/>
        <v>4273.00</v>
      </c>
      <c r="V21" s="1">
        <f t="shared" si="9"/>
        <v>205403.11000000002</v>
      </c>
      <c r="Z21" s="16"/>
    </row>
    <row r="22" spans="1:26" s="3" customFormat="1" ht="18.75">
      <c r="A22" s="113">
        <v>14</v>
      </c>
      <c r="B22" s="28" t="s">
        <v>865</v>
      </c>
      <c r="C22" s="24" t="s">
        <v>37</v>
      </c>
      <c r="D22" s="28" t="s">
        <v>966</v>
      </c>
      <c r="E22" s="28" t="s">
        <v>986</v>
      </c>
      <c r="F22" s="27">
        <f t="shared" si="10"/>
        <v>203176</v>
      </c>
      <c r="G22" s="114">
        <v>6115.67</v>
      </c>
      <c r="H22" s="29">
        <f t="shared" si="11"/>
        <v>284990.22200000001</v>
      </c>
      <c r="I22" s="77">
        <v>27.16</v>
      </c>
      <c r="J22" s="268">
        <f t="shared" si="6"/>
        <v>118417.60000000001</v>
      </c>
      <c r="K22" s="16"/>
      <c r="L22" s="270">
        <f t="shared" si="7"/>
        <v>0</v>
      </c>
      <c r="M22" s="15">
        <f t="shared" si="12"/>
        <v>27.16</v>
      </c>
      <c r="N22" s="15">
        <f t="shared" si="13"/>
        <v>118417.60000000001</v>
      </c>
      <c r="O22" s="15" t="str">
        <f t="shared" si="14"/>
        <v/>
      </c>
      <c r="P22" s="14">
        <f t="shared" si="15"/>
        <v>84758.399999999994</v>
      </c>
      <c r="Q22" s="112">
        <f t="shared" si="16"/>
        <v>-28.707729488347152</v>
      </c>
      <c r="R22" s="116"/>
      <c r="S22" s="3">
        <v>440000</v>
      </c>
      <c r="U22" s="1" t="str">
        <f t="shared" si="8"/>
        <v>4360.00</v>
      </c>
      <c r="V22" s="1">
        <f t="shared" si="9"/>
        <v>118417.60000000001</v>
      </c>
      <c r="Z22" s="16">
        <v>85.67</v>
      </c>
    </row>
    <row r="23" spans="1:26" s="3" customFormat="1" ht="18.75">
      <c r="A23" s="113">
        <v>15</v>
      </c>
      <c r="B23" s="28" t="s">
        <v>866</v>
      </c>
      <c r="C23" s="24" t="s">
        <v>38</v>
      </c>
      <c r="D23" s="28" t="s">
        <v>966</v>
      </c>
      <c r="E23" s="28" t="s">
        <v>987</v>
      </c>
      <c r="F23" s="27">
        <f t="shared" si="10"/>
        <v>174361.60000000001</v>
      </c>
      <c r="G23" s="114">
        <v>6246.9</v>
      </c>
      <c r="H23" s="29">
        <f t="shared" si="11"/>
        <v>244878.48</v>
      </c>
      <c r="I23" s="77"/>
      <c r="J23" s="268">
        <f t="shared" si="6"/>
        <v>0</v>
      </c>
      <c r="K23" s="16"/>
      <c r="L23" s="270">
        <f t="shared" si="7"/>
        <v>0</v>
      </c>
      <c r="M23" s="15">
        <f t="shared" si="12"/>
        <v>0</v>
      </c>
      <c r="N23" s="15">
        <f t="shared" si="13"/>
        <v>0</v>
      </c>
      <c r="O23" s="15" t="str">
        <f t="shared" si="14"/>
        <v/>
      </c>
      <c r="P23" s="14">
        <f t="shared" si="15"/>
        <v>174361.60000000001</v>
      </c>
      <c r="Q23" s="112">
        <f t="shared" si="16"/>
        <v>-28.7966831548448</v>
      </c>
      <c r="R23" s="116"/>
      <c r="S23" s="3">
        <v>450000</v>
      </c>
      <c r="U23" s="1" t="str">
        <f t="shared" si="8"/>
        <v>4448.00</v>
      </c>
      <c r="V23" s="1">
        <f t="shared" si="9"/>
        <v>0</v>
      </c>
      <c r="Z23" s="16">
        <v>89.24</v>
      </c>
    </row>
    <row r="24" spans="1:26" s="3" customFormat="1" ht="66">
      <c r="A24" s="113">
        <v>16</v>
      </c>
      <c r="B24" s="28" t="s">
        <v>867</v>
      </c>
      <c r="C24" s="24" t="s">
        <v>703</v>
      </c>
      <c r="D24" s="28" t="s">
        <v>967</v>
      </c>
      <c r="E24" s="28" t="s">
        <v>988</v>
      </c>
      <c r="F24" s="27">
        <f t="shared" si="10"/>
        <v>4376.4000000000005</v>
      </c>
      <c r="G24" s="114">
        <v>737.17</v>
      </c>
      <c r="H24" s="29">
        <f t="shared" si="11"/>
        <v>6192.2280000000001</v>
      </c>
      <c r="I24" s="77"/>
      <c r="J24" s="268">
        <f t="shared" si="6"/>
        <v>0</v>
      </c>
      <c r="K24" s="16"/>
      <c r="L24" s="270">
        <f t="shared" si="7"/>
        <v>0</v>
      </c>
      <c r="M24" s="15">
        <f t="shared" si="12"/>
        <v>0</v>
      </c>
      <c r="N24" s="15">
        <f t="shared" si="13"/>
        <v>0</v>
      </c>
      <c r="O24" s="15" t="str">
        <f t="shared" si="14"/>
        <v/>
      </c>
      <c r="P24" s="14">
        <f t="shared" si="15"/>
        <v>4376.4000000000005</v>
      </c>
      <c r="Q24" s="112">
        <f t="shared" si="16"/>
        <v>-29.324307825874623</v>
      </c>
      <c r="R24" s="116"/>
      <c r="S24" s="3">
        <v>28100</v>
      </c>
      <c r="U24" s="1" t="str">
        <f t="shared" si="8"/>
        <v>521.00</v>
      </c>
      <c r="V24" s="1">
        <f t="shared" si="9"/>
        <v>0</v>
      </c>
      <c r="Z24" s="16">
        <v>63.67</v>
      </c>
    </row>
    <row r="25" spans="1:26" s="3" customFormat="1" ht="18.75">
      <c r="A25" s="113">
        <v>17</v>
      </c>
      <c r="B25" s="28" t="s">
        <v>868</v>
      </c>
      <c r="C25" s="24" t="s">
        <v>704</v>
      </c>
      <c r="D25" s="28" t="s">
        <v>967</v>
      </c>
      <c r="E25" s="28" t="s">
        <v>989</v>
      </c>
      <c r="F25" s="27">
        <f t="shared" si="10"/>
        <v>61384.200000000004</v>
      </c>
      <c r="G25" s="114">
        <v>744.59</v>
      </c>
      <c r="H25" s="29">
        <f t="shared" si="11"/>
        <v>86893.653000000006</v>
      </c>
      <c r="I25" s="77">
        <v>1.26</v>
      </c>
      <c r="J25" s="268">
        <f t="shared" si="6"/>
        <v>662.76</v>
      </c>
      <c r="K25" s="16"/>
      <c r="L25" s="270">
        <f t="shared" si="7"/>
        <v>0</v>
      </c>
      <c r="M25" s="15">
        <f t="shared" si="12"/>
        <v>1.26</v>
      </c>
      <c r="N25" s="15">
        <f t="shared" si="13"/>
        <v>662.76</v>
      </c>
      <c r="O25" s="15" t="str">
        <f t="shared" si="14"/>
        <v/>
      </c>
      <c r="P25" s="14">
        <f t="shared" si="15"/>
        <v>60721.440000000002</v>
      </c>
      <c r="Q25" s="112">
        <f t="shared" si="16"/>
        <v>-29.357095851408161</v>
      </c>
      <c r="R25" s="116"/>
      <c r="S25" s="3">
        <v>283750</v>
      </c>
      <c r="U25" s="1" t="str">
        <f t="shared" si="8"/>
        <v>526.00</v>
      </c>
      <c r="V25" s="1">
        <f t="shared" si="9"/>
        <v>662.76</v>
      </c>
      <c r="Z25" s="16"/>
    </row>
    <row r="26" spans="1:26" s="3" customFormat="1" ht="18.75">
      <c r="A26" s="113">
        <v>18</v>
      </c>
      <c r="B26" s="28" t="s">
        <v>869</v>
      </c>
      <c r="C26" s="24" t="s">
        <v>39</v>
      </c>
      <c r="D26" s="28" t="s">
        <v>967</v>
      </c>
      <c r="E26" s="28" t="s">
        <v>990</v>
      </c>
      <c r="F26" s="27">
        <f t="shared" si="10"/>
        <v>52260</v>
      </c>
      <c r="G26" s="114">
        <v>759.55</v>
      </c>
      <c r="H26" s="29">
        <f t="shared" si="11"/>
        <v>74056.125</v>
      </c>
      <c r="I26" s="77">
        <v>31.69</v>
      </c>
      <c r="J26" s="268">
        <f t="shared" si="6"/>
        <v>16985.84</v>
      </c>
      <c r="K26" s="16"/>
      <c r="L26" s="270">
        <f t="shared" si="7"/>
        <v>0</v>
      </c>
      <c r="M26" s="15">
        <f t="shared" si="12"/>
        <v>31.69</v>
      </c>
      <c r="N26" s="15">
        <f t="shared" si="13"/>
        <v>16985.84</v>
      </c>
      <c r="O26" s="15" t="str">
        <f t="shared" si="14"/>
        <v/>
      </c>
      <c r="P26" s="14">
        <f t="shared" si="15"/>
        <v>35274.160000000003</v>
      </c>
      <c r="Q26" s="112">
        <f t="shared" si="16"/>
        <v>-29.431900467382</v>
      </c>
      <c r="R26" s="116"/>
      <c r="S26" s="3">
        <v>283750</v>
      </c>
      <c r="U26" s="1" t="str">
        <f t="shared" si="8"/>
        <v>536.00</v>
      </c>
      <c r="V26" s="1">
        <f t="shared" si="9"/>
        <v>16985.84</v>
      </c>
      <c r="Z26" s="16"/>
    </row>
    <row r="27" spans="1:26" s="3" customFormat="1" ht="18.75">
      <c r="A27" s="113">
        <v>19</v>
      </c>
      <c r="B27" s="28" t="s">
        <v>870</v>
      </c>
      <c r="C27" s="24" t="s">
        <v>40</v>
      </c>
      <c r="D27" s="28" t="s">
        <v>967</v>
      </c>
      <c r="E27" s="28" t="s">
        <v>991</v>
      </c>
      <c r="F27" s="27">
        <f t="shared" si="10"/>
        <v>42042</v>
      </c>
      <c r="G27" s="114">
        <v>774.51</v>
      </c>
      <c r="H27" s="29">
        <f t="shared" si="11"/>
        <v>59637.27</v>
      </c>
      <c r="I27" s="77"/>
      <c r="J27" s="268">
        <f t="shared" si="6"/>
        <v>0</v>
      </c>
      <c r="K27" s="16"/>
      <c r="L27" s="270">
        <f t="shared" si="7"/>
        <v>0</v>
      </c>
      <c r="M27" s="15">
        <f t="shared" si="12"/>
        <v>0</v>
      </c>
      <c r="N27" s="15">
        <f t="shared" si="13"/>
        <v>0</v>
      </c>
      <c r="O27" s="15" t="str">
        <f t="shared" si="14"/>
        <v/>
      </c>
      <c r="P27" s="14">
        <f t="shared" si="15"/>
        <v>42042</v>
      </c>
      <c r="Q27" s="112">
        <f t="shared" si="16"/>
        <v>-29.503815315489796</v>
      </c>
      <c r="R27" s="116"/>
      <c r="S27" s="3">
        <v>283750</v>
      </c>
      <c r="U27" s="1" t="str">
        <f t="shared" si="8"/>
        <v>546.00</v>
      </c>
      <c r="V27" s="1">
        <f t="shared" si="9"/>
        <v>0</v>
      </c>
      <c r="Z27" s="16">
        <v>57.63</v>
      </c>
    </row>
    <row r="28" spans="1:26" s="3" customFormat="1" ht="18.75">
      <c r="A28" s="113">
        <v>20</v>
      </c>
      <c r="B28" s="28" t="s">
        <v>871</v>
      </c>
      <c r="C28" s="24" t="s">
        <v>41</v>
      </c>
      <c r="D28" s="28" t="s">
        <v>967</v>
      </c>
      <c r="E28" s="28" t="s">
        <v>992</v>
      </c>
      <c r="F28" s="27">
        <f t="shared" si="10"/>
        <v>17291.600000000002</v>
      </c>
      <c r="G28" s="114">
        <v>789.47</v>
      </c>
      <c r="H28" s="29">
        <f t="shared" si="11"/>
        <v>24552.517000000003</v>
      </c>
      <c r="I28" s="77"/>
      <c r="J28" s="268">
        <f t="shared" si="6"/>
        <v>0</v>
      </c>
      <c r="K28" s="16"/>
      <c r="L28" s="270">
        <f t="shared" si="7"/>
        <v>0</v>
      </c>
      <c r="M28" s="15">
        <f t="shared" si="12"/>
        <v>0</v>
      </c>
      <c r="N28" s="15">
        <f t="shared" si="13"/>
        <v>0</v>
      </c>
      <c r="O28" s="15" t="str">
        <f t="shared" si="14"/>
        <v/>
      </c>
      <c r="P28" s="14">
        <f t="shared" si="15"/>
        <v>17291.600000000002</v>
      </c>
      <c r="Q28" s="112">
        <f t="shared" si="16"/>
        <v>-29.573004674021814</v>
      </c>
      <c r="R28" s="116"/>
      <c r="S28" s="3">
        <v>283750</v>
      </c>
      <c r="U28" s="1" t="str">
        <f t="shared" si="8"/>
        <v>556.00</v>
      </c>
      <c r="V28" s="1">
        <f t="shared" si="9"/>
        <v>0</v>
      </c>
      <c r="Z28" s="16">
        <v>96.5</v>
      </c>
    </row>
    <row r="29" spans="1:26" s="3" customFormat="1" ht="66">
      <c r="A29" s="113">
        <v>21</v>
      </c>
      <c r="B29" s="28" t="s">
        <v>872</v>
      </c>
      <c r="C29" s="24" t="s">
        <v>705</v>
      </c>
      <c r="D29" s="28" t="s">
        <v>967</v>
      </c>
      <c r="E29" s="28" t="s">
        <v>993</v>
      </c>
      <c r="F29" s="27">
        <f t="shared" si="10"/>
        <v>949</v>
      </c>
      <c r="G29" s="114">
        <v>518.79999999999995</v>
      </c>
      <c r="H29" s="29">
        <f t="shared" si="11"/>
        <v>1348.8799999999999</v>
      </c>
      <c r="I29" s="77"/>
      <c r="J29" s="268">
        <f t="shared" si="6"/>
        <v>0</v>
      </c>
      <c r="K29" s="16"/>
      <c r="L29" s="270">
        <f t="shared" si="7"/>
        <v>0</v>
      </c>
      <c r="M29" s="15">
        <f t="shared" si="12"/>
        <v>0</v>
      </c>
      <c r="N29" s="15">
        <f t="shared" si="13"/>
        <v>0</v>
      </c>
      <c r="O29" s="15" t="str">
        <f t="shared" si="14"/>
        <v/>
      </c>
      <c r="P29" s="14">
        <f t="shared" si="15"/>
        <v>949</v>
      </c>
      <c r="Q29" s="112">
        <f t="shared" si="16"/>
        <v>-29.645335389360056</v>
      </c>
      <c r="R29" s="116"/>
      <c r="S29" s="3">
        <v>29050</v>
      </c>
      <c r="U29" s="1" t="str">
        <f t="shared" si="8"/>
        <v>365.00</v>
      </c>
      <c r="V29" s="1">
        <f t="shared" si="9"/>
        <v>0</v>
      </c>
      <c r="Z29" s="16">
        <v>47.2</v>
      </c>
    </row>
    <row r="30" spans="1:26" s="3" customFormat="1" ht="18.75">
      <c r="A30" s="113">
        <v>22</v>
      </c>
      <c r="B30" s="28" t="s">
        <v>873</v>
      </c>
      <c r="C30" s="24" t="s">
        <v>36</v>
      </c>
      <c r="D30" s="28" t="s">
        <v>967</v>
      </c>
      <c r="E30" s="28" t="s">
        <v>221</v>
      </c>
      <c r="F30" s="27">
        <f t="shared" si="10"/>
        <v>6696</v>
      </c>
      <c r="G30" s="114">
        <v>528.64</v>
      </c>
      <c r="H30" s="29">
        <f t="shared" si="11"/>
        <v>9515.52</v>
      </c>
      <c r="I30" s="77"/>
      <c r="J30" s="268">
        <f t="shared" si="6"/>
        <v>0</v>
      </c>
      <c r="K30" s="16"/>
      <c r="L30" s="270">
        <f t="shared" si="7"/>
        <v>0</v>
      </c>
      <c r="M30" s="15">
        <f t="shared" si="12"/>
        <v>0</v>
      </c>
      <c r="N30" s="15">
        <f t="shared" si="13"/>
        <v>0</v>
      </c>
      <c r="O30" s="15" t="str">
        <f t="shared" si="14"/>
        <v/>
      </c>
      <c r="P30" s="14">
        <f t="shared" si="15"/>
        <v>6696</v>
      </c>
      <c r="Q30" s="112">
        <f t="shared" si="16"/>
        <v>-29.630750605326874</v>
      </c>
      <c r="R30" s="116"/>
      <c r="S30" s="3">
        <v>29050</v>
      </c>
      <c r="U30" s="1" t="str">
        <f t="shared" si="8"/>
        <v>372.00</v>
      </c>
      <c r="V30" s="1">
        <f t="shared" si="9"/>
        <v>0</v>
      </c>
      <c r="Z30" s="16"/>
    </row>
    <row r="31" spans="1:26" s="3" customFormat="1" ht="18.75">
      <c r="A31" s="113">
        <v>23</v>
      </c>
      <c r="B31" s="28" t="s">
        <v>874</v>
      </c>
      <c r="C31" s="24" t="s">
        <v>37</v>
      </c>
      <c r="D31" s="28" t="s">
        <v>967</v>
      </c>
      <c r="E31" s="28" t="s">
        <v>994</v>
      </c>
      <c r="F31" s="27">
        <f t="shared" si="10"/>
        <v>7635.5999999999995</v>
      </c>
      <c r="G31" s="114">
        <v>538.48</v>
      </c>
      <c r="H31" s="29">
        <f t="shared" si="11"/>
        <v>10877.296</v>
      </c>
      <c r="I31" s="77"/>
      <c r="J31" s="268">
        <f t="shared" si="6"/>
        <v>0</v>
      </c>
      <c r="K31" s="16"/>
      <c r="L31" s="270">
        <f t="shared" si="7"/>
        <v>0</v>
      </c>
      <c r="M31" s="15">
        <f t="shared" si="12"/>
        <v>0</v>
      </c>
      <c r="N31" s="15">
        <f t="shared" si="13"/>
        <v>0</v>
      </c>
      <c r="O31" s="15" t="str">
        <f t="shared" si="14"/>
        <v/>
      </c>
      <c r="P31" s="14">
        <f t="shared" si="15"/>
        <v>7635.5999999999995</v>
      </c>
      <c r="Q31" s="112">
        <f t="shared" si="16"/>
        <v>-29.802406774624874</v>
      </c>
      <c r="R31" s="116"/>
      <c r="S31" s="3">
        <v>283750</v>
      </c>
      <c r="U31" s="1" t="str">
        <f t="shared" si="8"/>
        <v>378.00</v>
      </c>
      <c r="V31" s="1">
        <f t="shared" si="9"/>
        <v>0</v>
      </c>
      <c r="Z31" s="16"/>
    </row>
    <row r="32" spans="1:26" s="3" customFormat="1" ht="18.75">
      <c r="A32" s="113">
        <v>24</v>
      </c>
      <c r="B32" s="28" t="s">
        <v>875</v>
      </c>
      <c r="C32" s="24" t="s">
        <v>38</v>
      </c>
      <c r="D32" s="28" t="s">
        <v>967</v>
      </c>
      <c r="E32" s="28" t="s">
        <v>995</v>
      </c>
      <c r="F32" s="27">
        <f t="shared" si="10"/>
        <v>3888.5</v>
      </c>
      <c r="G32" s="114">
        <v>548.32000000000005</v>
      </c>
      <c r="H32" s="29">
        <f t="shared" si="11"/>
        <v>5538.0320000000002</v>
      </c>
      <c r="I32" s="77"/>
      <c r="J32" s="268">
        <f t="shared" si="6"/>
        <v>0</v>
      </c>
      <c r="K32" s="16"/>
      <c r="L32" s="270">
        <f t="shared" si="7"/>
        <v>0</v>
      </c>
      <c r="M32" s="15">
        <f t="shared" si="12"/>
        <v>0</v>
      </c>
      <c r="N32" s="15">
        <f t="shared" si="13"/>
        <v>0</v>
      </c>
      <c r="O32" s="15" t="str">
        <f t="shared" si="14"/>
        <v/>
      </c>
      <c r="P32" s="14">
        <f t="shared" si="15"/>
        <v>3888.5</v>
      </c>
      <c r="Q32" s="112">
        <f t="shared" si="16"/>
        <v>-29.785526699737385</v>
      </c>
      <c r="R32" s="116"/>
      <c r="S32" s="3">
        <v>283750</v>
      </c>
      <c r="U32" s="1" t="str">
        <f t="shared" si="8"/>
        <v>385.00</v>
      </c>
      <c r="V32" s="1">
        <f t="shared" si="9"/>
        <v>0</v>
      </c>
      <c r="Z32" s="16">
        <v>57.63</v>
      </c>
    </row>
    <row r="33" spans="1:26" s="3" customFormat="1" ht="18.75">
      <c r="A33" s="113">
        <v>25</v>
      </c>
      <c r="B33" s="28" t="s">
        <v>876</v>
      </c>
      <c r="C33" s="24" t="s">
        <v>706</v>
      </c>
      <c r="D33" s="28" t="s">
        <v>966</v>
      </c>
      <c r="E33" s="28" t="s">
        <v>935</v>
      </c>
      <c r="F33" s="27">
        <f t="shared" si="10"/>
        <v>1717.8</v>
      </c>
      <c r="G33" s="114">
        <v>32.229999999999997</v>
      </c>
      <c r="H33" s="29">
        <f t="shared" si="11"/>
        <v>2636.4139999999998</v>
      </c>
      <c r="I33" s="77">
        <v>36.69</v>
      </c>
      <c r="J33" s="268">
        <f t="shared" si="6"/>
        <v>770.49</v>
      </c>
      <c r="K33" s="16"/>
      <c r="L33" s="270">
        <f t="shared" si="7"/>
        <v>0</v>
      </c>
      <c r="M33" s="15">
        <f t="shared" si="12"/>
        <v>36.69</v>
      </c>
      <c r="N33" s="15">
        <f t="shared" si="13"/>
        <v>770.49</v>
      </c>
      <c r="O33" s="15" t="str">
        <f t="shared" si="14"/>
        <v/>
      </c>
      <c r="P33" s="14">
        <f t="shared" si="15"/>
        <v>947.31</v>
      </c>
      <c r="Q33" s="112">
        <f t="shared" si="16"/>
        <v>-34.843313682904117</v>
      </c>
      <c r="R33" s="116"/>
      <c r="S33" s="3">
        <v>283750</v>
      </c>
      <c r="U33" s="1" t="str">
        <f t="shared" si="8"/>
        <v>21.00</v>
      </c>
      <c r="V33" s="1">
        <f t="shared" si="9"/>
        <v>770.49</v>
      </c>
      <c r="Z33" s="16">
        <v>96.5</v>
      </c>
    </row>
    <row r="34" spans="1:26" ht="18.75">
      <c r="A34" s="113">
        <v>26</v>
      </c>
      <c r="B34" s="28" t="s">
        <v>877</v>
      </c>
      <c r="C34" s="24" t="s">
        <v>707</v>
      </c>
      <c r="D34" s="28" t="s">
        <v>64</v>
      </c>
      <c r="E34" s="28" t="s">
        <v>860</v>
      </c>
      <c r="F34" s="27">
        <f t="shared" si="10"/>
        <v>760</v>
      </c>
      <c r="G34" s="114">
        <v>52</v>
      </c>
      <c r="H34" s="29">
        <f t="shared" si="11"/>
        <v>988</v>
      </c>
      <c r="I34" s="77"/>
      <c r="J34" s="268">
        <f t="shared" si="6"/>
        <v>0</v>
      </c>
      <c r="K34" s="16"/>
      <c r="L34" s="270">
        <f t="shared" si="7"/>
        <v>0</v>
      </c>
      <c r="M34" s="15">
        <f t="shared" si="12"/>
        <v>0</v>
      </c>
      <c r="N34" s="15">
        <f t="shared" si="13"/>
        <v>0</v>
      </c>
      <c r="O34" s="15" t="str">
        <f t="shared" si="14"/>
        <v/>
      </c>
      <c r="P34" s="14">
        <f t="shared" si="15"/>
        <v>760</v>
      </c>
      <c r="Q34" s="14">
        <f t="shared" si="16"/>
        <v>-23.076923076923077</v>
      </c>
      <c r="R34" s="116"/>
      <c r="S34" s="1">
        <v>6000</v>
      </c>
      <c r="U34" s="1" t="str">
        <f>E34</f>
        <v>40.00</v>
      </c>
      <c r="V34" s="1">
        <f>U34*I34</f>
        <v>0</v>
      </c>
      <c r="Z34" s="16">
        <v>18</v>
      </c>
    </row>
    <row r="35" spans="1:26" ht="33">
      <c r="A35" s="113">
        <v>27</v>
      </c>
      <c r="B35" s="28" t="s">
        <v>878</v>
      </c>
      <c r="C35" s="24" t="s">
        <v>708</v>
      </c>
      <c r="D35" s="28" t="s">
        <v>968</v>
      </c>
      <c r="E35" s="28" t="s">
        <v>996</v>
      </c>
      <c r="F35" s="27">
        <f t="shared" si="10"/>
        <v>95880</v>
      </c>
      <c r="G35" s="114">
        <v>61.5</v>
      </c>
      <c r="H35" s="29">
        <f t="shared" si="11"/>
        <v>125460</v>
      </c>
      <c r="I35" s="77"/>
      <c r="J35" s="268">
        <f t="shared" si="6"/>
        <v>0</v>
      </c>
      <c r="K35" s="16"/>
      <c r="L35" s="270">
        <f t="shared" si="7"/>
        <v>0</v>
      </c>
      <c r="M35" s="15">
        <f t="shared" si="12"/>
        <v>0</v>
      </c>
      <c r="N35" s="15">
        <f t="shared" si="13"/>
        <v>0</v>
      </c>
      <c r="O35" s="15" t="str">
        <f t="shared" si="14"/>
        <v/>
      </c>
      <c r="P35" s="14">
        <f t="shared" si="15"/>
        <v>95880</v>
      </c>
      <c r="Q35" s="14">
        <f t="shared" si="16"/>
        <v>-23.577235772357724</v>
      </c>
      <c r="R35" s="116"/>
      <c r="S35" s="1">
        <v>5400</v>
      </c>
      <c r="U35" s="1" t="str">
        <f>E35</f>
        <v>47.00</v>
      </c>
      <c r="V35" s="1">
        <f>U35*I35</f>
        <v>0</v>
      </c>
      <c r="Z35" s="16">
        <v>0</v>
      </c>
    </row>
    <row r="36" spans="1:26" ht="18.75">
      <c r="A36" s="113">
        <v>28</v>
      </c>
      <c r="B36" s="28" t="s">
        <v>879</v>
      </c>
      <c r="C36" s="24" t="s">
        <v>709</v>
      </c>
      <c r="D36" s="28" t="s">
        <v>64</v>
      </c>
      <c r="E36" s="28" t="s">
        <v>934</v>
      </c>
      <c r="F36" s="27">
        <f t="shared" si="10"/>
        <v>798</v>
      </c>
      <c r="G36" s="114">
        <v>9.6</v>
      </c>
      <c r="H36" s="29">
        <f t="shared" si="11"/>
        <v>1094.3999999999999</v>
      </c>
      <c r="I36" s="77"/>
      <c r="J36" s="268">
        <f t="shared" si="6"/>
        <v>0</v>
      </c>
      <c r="K36" s="16"/>
      <c r="L36" s="270">
        <f t="shared" si="7"/>
        <v>0</v>
      </c>
      <c r="M36" s="15">
        <f t="shared" si="12"/>
        <v>0</v>
      </c>
      <c r="N36" s="15">
        <f t="shared" si="13"/>
        <v>0</v>
      </c>
      <c r="O36" s="15" t="str">
        <f t="shared" si="14"/>
        <v/>
      </c>
      <c r="P36" s="14">
        <f t="shared" si="15"/>
        <v>798</v>
      </c>
      <c r="Q36" s="112">
        <f t="shared" si="16"/>
        <v>-27.083333333333332</v>
      </c>
      <c r="R36" s="116"/>
      <c r="S36" s="1">
        <v>5000</v>
      </c>
      <c r="U36" s="1" t="str">
        <f>E36</f>
        <v>7.00</v>
      </c>
      <c r="V36" s="1">
        <f>U36*I36</f>
        <v>0</v>
      </c>
      <c r="Z36" s="16">
        <v>0</v>
      </c>
    </row>
    <row r="37" spans="1:26" s="3" customFormat="1" ht="18.75">
      <c r="A37" s="113">
        <v>29</v>
      </c>
      <c r="B37" s="28" t="s">
        <v>880</v>
      </c>
      <c r="C37" s="24" t="s">
        <v>710</v>
      </c>
      <c r="D37" s="28" t="s">
        <v>966</v>
      </c>
      <c r="E37" s="28" t="s">
        <v>979</v>
      </c>
      <c r="F37" s="27">
        <f t="shared" si="10"/>
        <v>38043</v>
      </c>
      <c r="G37" s="114">
        <v>3963.93</v>
      </c>
      <c r="H37" s="29">
        <f t="shared" si="11"/>
        <v>53513.055</v>
      </c>
      <c r="I37" s="77">
        <v>12.2</v>
      </c>
      <c r="J37" s="268">
        <f t="shared" si="6"/>
        <v>34379.599999999999</v>
      </c>
      <c r="K37" s="16"/>
      <c r="L37" s="270">
        <f t="shared" si="7"/>
        <v>0</v>
      </c>
      <c r="M37" s="15">
        <f t="shared" si="12"/>
        <v>12.2</v>
      </c>
      <c r="N37" s="15">
        <f t="shared" si="13"/>
        <v>34379.599999999999</v>
      </c>
      <c r="O37" s="15" t="str">
        <f t="shared" si="14"/>
        <v/>
      </c>
      <c r="P37" s="14">
        <f t="shared" si="15"/>
        <v>3663.4000000000015</v>
      </c>
      <c r="Q37" s="112">
        <f t="shared" si="16"/>
        <v>-28.908936333386308</v>
      </c>
      <c r="R37" s="116"/>
      <c r="S37" s="3">
        <v>29050</v>
      </c>
      <c r="U37" s="1" t="str">
        <f t="shared" si="8"/>
        <v>2818.00</v>
      </c>
      <c r="V37" s="1">
        <f t="shared" si="9"/>
        <v>34379.599999999999</v>
      </c>
      <c r="Z37" s="16">
        <v>47.2</v>
      </c>
    </row>
    <row r="38" spans="1:26" s="3" customFormat="1" ht="18.75">
      <c r="A38" s="113">
        <v>30</v>
      </c>
      <c r="B38" s="28" t="s">
        <v>881</v>
      </c>
      <c r="C38" s="24" t="s">
        <v>711</v>
      </c>
      <c r="D38" s="28" t="s">
        <v>967</v>
      </c>
      <c r="E38" s="28" t="s">
        <v>997</v>
      </c>
      <c r="F38" s="27">
        <f t="shared" si="10"/>
        <v>1267.2</v>
      </c>
      <c r="G38" s="114">
        <v>425.81</v>
      </c>
      <c r="H38" s="29">
        <f t="shared" si="11"/>
        <v>1873.5640000000001</v>
      </c>
      <c r="I38" s="77"/>
      <c r="J38" s="268">
        <f t="shared" si="6"/>
        <v>0</v>
      </c>
      <c r="K38" s="16"/>
      <c r="L38" s="270">
        <f t="shared" si="7"/>
        <v>0</v>
      </c>
      <c r="M38" s="15">
        <f t="shared" si="12"/>
        <v>0</v>
      </c>
      <c r="N38" s="15">
        <f t="shared" si="13"/>
        <v>0</v>
      </c>
      <c r="O38" s="15" t="str">
        <f t="shared" si="14"/>
        <v/>
      </c>
      <c r="P38" s="14">
        <f t="shared" si="15"/>
        <v>1267.2</v>
      </c>
      <c r="Q38" s="112">
        <f t="shared" si="16"/>
        <v>-32.364199995303075</v>
      </c>
      <c r="R38" s="116"/>
      <c r="S38" s="3">
        <v>29050</v>
      </c>
      <c r="U38" s="1" t="str">
        <f t="shared" si="8"/>
        <v>288.00</v>
      </c>
      <c r="V38" s="1">
        <f t="shared" si="9"/>
        <v>0</v>
      </c>
      <c r="Z38" s="16"/>
    </row>
    <row r="39" spans="1:26" s="3" customFormat="1" ht="18.75">
      <c r="A39" s="113">
        <v>31</v>
      </c>
      <c r="B39" s="28" t="s">
        <v>882</v>
      </c>
      <c r="C39" s="24" t="s">
        <v>712</v>
      </c>
      <c r="D39" s="28" t="s">
        <v>967</v>
      </c>
      <c r="E39" s="28" t="s">
        <v>998</v>
      </c>
      <c r="F39" s="27">
        <f t="shared" si="10"/>
        <v>4272</v>
      </c>
      <c r="G39" s="114">
        <v>386.35</v>
      </c>
      <c r="H39" s="29">
        <f t="shared" si="11"/>
        <v>6181.6</v>
      </c>
      <c r="I39" s="77"/>
      <c r="J39" s="268">
        <f t="shared" si="6"/>
        <v>0</v>
      </c>
      <c r="K39" s="16"/>
      <c r="L39" s="270">
        <f t="shared" si="7"/>
        <v>0</v>
      </c>
      <c r="M39" s="15">
        <f t="shared" si="12"/>
        <v>0</v>
      </c>
      <c r="N39" s="15">
        <f t="shared" si="13"/>
        <v>0</v>
      </c>
      <c r="O39" s="15" t="str">
        <f t="shared" si="14"/>
        <v/>
      </c>
      <c r="P39" s="14">
        <f t="shared" si="15"/>
        <v>4272</v>
      </c>
      <c r="Q39" s="112">
        <f t="shared" si="16"/>
        <v>-30.891678529830468</v>
      </c>
      <c r="R39" s="116"/>
      <c r="S39" s="3">
        <v>283750</v>
      </c>
      <c r="U39" s="1" t="str">
        <f t="shared" si="8"/>
        <v>267.00</v>
      </c>
      <c r="V39" s="1">
        <f t="shared" si="9"/>
        <v>0</v>
      </c>
      <c r="Z39" s="16"/>
    </row>
    <row r="40" spans="1:26" s="3" customFormat="1" ht="18.75">
      <c r="A40" s="113">
        <v>32</v>
      </c>
      <c r="B40" s="28" t="s">
        <v>883</v>
      </c>
      <c r="C40" s="24" t="s">
        <v>713</v>
      </c>
      <c r="D40" s="28" t="s">
        <v>966</v>
      </c>
      <c r="E40" s="28" t="s">
        <v>999</v>
      </c>
      <c r="F40" s="27">
        <f t="shared" si="10"/>
        <v>19040</v>
      </c>
      <c r="G40" s="114">
        <v>3374.21</v>
      </c>
      <c r="H40" s="29">
        <f t="shared" si="11"/>
        <v>26993.68</v>
      </c>
      <c r="I40" s="77"/>
      <c r="J40" s="268">
        <f t="shared" si="6"/>
        <v>0</v>
      </c>
      <c r="K40" s="16"/>
      <c r="L40" s="270">
        <f t="shared" si="7"/>
        <v>0</v>
      </c>
      <c r="M40" s="15">
        <f t="shared" si="12"/>
        <v>0</v>
      </c>
      <c r="N40" s="15">
        <f t="shared" si="13"/>
        <v>0</v>
      </c>
      <c r="O40" s="15" t="str">
        <f t="shared" si="14"/>
        <v/>
      </c>
      <c r="P40" s="14">
        <f t="shared" si="15"/>
        <v>19040</v>
      </c>
      <c r="Q40" s="112">
        <f t="shared" si="16"/>
        <v>-29.464971059892537</v>
      </c>
      <c r="R40" s="116"/>
      <c r="S40" s="3">
        <v>283750</v>
      </c>
      <c r="U40" s="1" t="str">
        <f t="shared" si="8"/>
        <v>2380.00</v>
      </c>
      <c r="V40" s="1">
        <f t="shared" si="9"/>
        <v>0</v>
      </c>
      <c r="Z40" s="16">
        <v>57.63</v>
      </c>
    </row>
    <row r="41" spans="1:26" s="3" customFormat="1" ht="18.75">
      <c r="A41" s="113">
        <v>33</v>
      </c>
      <c r="B41" s="28" t="s">
        <v>884</v>
      </c>
      <c r="C41" s="24" t="s">
        <v>714</v>
      </c>
      <c r="D41" s="28" t="s">
        <v>967</v>
      </c>
      <c r="E41" s="28" t="s">
        <v>1000</v>
      </c>
      <c r="F41" s="27">
        <f t="shared" si="10"/>
        <v>386820</v>
      </c>
      <c r="G41" s="114">
        <v>207.35</v>
      </c>
      <c r="H41" s="29">
        <f t="shared" si="11"/>
        <v>572908.04999999993</v>
      </c>
      <c r="I41" s="77">
        <v>529.63</v>
      </c>
      <c r="J41" s="268">
        <f t="shared" si="6"/>
        <v>74148.2</v>
      </c>
      <c r="K41" s="16"/>
      <c r="L41" s="270">
        <f t="shared" si="7"/>
        <v>0</v>
      </c>
      <c r="M41" s="15">
        <f t="shared" si="12"/>
        <v>529.63</v>
      </c>
      <c r="N41" s="15">
        <f t="shared" si="13"/>
        <v>74148.2</v>
      </c>
      <c r="O41" s="15" t="str">
        <f t="shared" si="14"/>
        <v/>
      </c>
      <c r="P41" s="14">
        <f t="shared" si="15"/>
        <v>312671.8</v>
      </c>
      <c r="Q41" s="112">
        <f t="shared" si="16"/>
        <v>-32.481311791656623</v>
      </c>
      <c r="R41" s="116"/>
      <c r="S41" s="3">
        <v>283750</v>
      </c>
      <c r="U41" s="1" t="str">
        <f t="shared" si="8"/>
        <v>140.00</v>
      </c>
      <c r="V41" s="1">
        <f t="shared" si="9"/>
        <v>74148.2</v>
      </c>
      <c r="Z41" s="16">
        <v>96.5</v>
      </c>
    </row>
    <row r="42" spans="1:26" s="3" customFormat="1" ht="18.75">
      <c r="A42" s="113">
        <v>34</v>
      </c>
      <c r="B42" s="28" t="s">
        <v>885</v>
      </c>
      <c r="C42" s="24" t="s">
        <v>715</v>
      </c>
      <c r="D42" s="28" t="s">
        <v>967</v>
      </c>
      <c r="E42" s="28" t="s">
        <v>1001</v>
      </c>
      <c r="F42" s="27">
        <f t="shared" si="10"/>
        <v>10195.199999999999</v>
      </c>
      <c r="G42" s="114">
        <v>213.2</v>
      </c>
      <c r="H42" s="29">
        <f t="shared" si="11"/>
        <v>15094.56</v>
      </c>
      <c r="I42" s="77">
        <v>57.77</v>
      </c>
      <c r="J42" s="268">
        <f t="shared" si="6"/>
        <v>8318.880000000001</v>
      </c>
      <c r="K42" s="16"/>
      <c r="L42" s="270">
        <f t="shared" si="7"/>
        <v>0</v>
      </c>
      <c r="M42" s="15">
        <f t="shared" si="12"/>
        <v>57.77</v>
      </c>
      <c r="N42" s="15">
        <f t="shared" si="13"/>
        <v>8318.880000000001</v>
      </c>
      <c r="O42" s="15" t="str">
        <f t="shared" si="14"/>
        <v/>
      </c>
      <c r="P42" s="14">
        <f t="shared" si="15"/>
        <v>1876.3199999999979</v>
      </c>
      <c r="Q42" s="112">
        <f t="shared" si="16"/>
        <v>-32.457786116322694</v>
      </c>
      <c r="R42" s="116"/>
      <c r="S42" s="3">
        <v>29050</v>
      </c>
      <c r="U42" s="1" t="str">
        <f t="shared" si="8"/>
        <v>144.00</v>
      </c>
      <c r="V42" s="1">
        <f t="shared" si="9"/>
        <v>8318.880000000001</v>
      </c>
      <c r="Z42" s="16">
        <v>47.2</v>
      </c>
    </row>
    <row r="43" spans="1:26" s="3" customFormat="1" ht="18.75">
      <c r="A43" s="113">
        <v>35</v>
      </c>
      <c r="B43" s="28" t="s">
        <v>886</v>
      </c>
      <c r="C43" s="24" t="s">
        <v>716</v>
      </c>
      <c r="D43" s="28" t="s">
        <v>967</v>
      </c>
      <c r="E43" s="28" t="s">
        <v>1002</v>
      </c>
      <c r="F43" s="27">
        <f t="shared" si="10"/>
        <v>96390</v>
      </c>
      <c r="G43" s="114">
        <v>241.09</v>
      </c>
      <c r="H43" s="29">
        <f t="shared" si="11"/>
        <v>143448.54999999999</v>
      </c>
      <c r="I43" s="77">
        <v>268.52</v>
      </c>
      <c r="J43" s="268">
        <f t="shared" si="6"/>
        <v>43500.24</v>
      </c>
      <c r="K43" s="16"/>
      <c r="L43" s="270">
        <f t="shared" si="7"/>
        <v>0</v>
      </c>
      <c r="M43" s="15">
        <f t="shared" si="12"/>
        <v>268.52</v>
      </c>
      <c r="N43" s="15">
        <f t="shared" si="13"/>
        <v>43500.24</v>
      </c>
      <c r="O43" s="15" t="str">
        <f t="shared" si="14"/>
        <v/>
      </c>
      <c r="P43" s="14">
        <f t="shared" si="15"/>
        <v>52889.760000000002</v>
      </c>
      <c r="Q43" s="112">
        <f t="shared" si="16"/>
        <v>-32.805176490107428</v>
      </c>
      <c r="R43" s="116"/>
      <c r="S43" s="3">
        <v>29050</v>
      </c>
      <c r="U43" s="1" t="str">
        <f t="shared" si="8"/>
        <v>162.00</v>
      </c>
      <c r="V43" s="1">
        <f t="shared" si="9"/>
        <v>43500.24</v>
      </c>
      <c r="Z43" s="16"/>
    </row>
    <row r="44" spans="1:26" s="3" customFormat="1" ht="33">
      <c r="A44" s="113">
        <v>36</v>
      </c>
      <c r="B44" s="28" t="s">
        <v>887</v>
      </c>
      <c r="C44" s="24" t="s">
        <v>717</v>
      </c>
      <c r="D44" s="28" t="s">
        <v>65</v>
      </c>
      <c r="E44" s="28" t="s">
        <v>1003</v>
      </c>
      <c r="F44" s="27">
        <f t="shared" si="10"/>
        <v>3656.3999999999996</v>
      </c>
      <c r="G44" s="114">
        <v>67.400000000000006</v>
      </c>
      <c r="H44" s="29">
        <f t="shared" si="11"/>
        <v>5600.9400000000005</v>
      </c>
      <c r="I44" s="77"/>
      <c r="J44" s="268">
        <f t="shared" si="6"/>
        <v>0</v>
      </c>
      <c r="K44" s="16"/>
      <c r="L44" s="270">
        <f t="shared" si="7"/>
        <v>0</v>
      </c>
      <c r="M44" s="15">
        <f t="shared" si="12"/>
        <v>0</v>
      </c>
      <c r="N44" s="15">
        <f t="shared" si="13"/>
        <v>0</v>
      </c>
      <c r="O44" s="15" t="str">
        <f t="shared" si="14"/>
        <v/>
      </c>
      <c r="P44" s="14">
        <f t="shared" si="15"/>
        <v>3656.3999999999996</v>
      </c>
      <c r="Q44" s="112">
        <f t="shared" si="16"/>
        <v>-34.718100890207722</v>
      </c>
      <c r="R44" s="116"/>
      <c r="S44" s="3">
        <v>29050</v>
      </c>
      <c r="U44" s="1" t="str">
        <f t="shared" si="8"/>
        <v>44.00</v>
      </c>
      <c r="V44" s="1">
        <f t="shared" si="9"/>
        <v>0</v>
      </c>
      <c r="Z44" s="16">
        <v>12.6</v>
      </c>
    </row>
    <row r="45" spans="1:26" s="3" customFormat="1" ht="18.75">
      <c r="A45" s="113">
        <v>37</v>
      </c>
      <c r="B45" s="28" t="s">
        <v>887</v>
      </c>
      <c r="C45" s="24" t="s">
        <v>42</v>
      </c>
      <c r="D45" s="28" t="s">
        <v>65</v>
      </c>
      <c r="E45" s="28" t="s">
        <v>964</v>
      </c>
      <c r="F45" s="27">
        <f t="shared" si="10"/>
        <v>2409.8999999999996</v>
      </c>
      <c r="G45" s="114">
        <v>44.02</v>
      </c>
      <c r="H45" s="29">
        <f t="shared" si="11"/>
        <v>3658.0619999999999</v>
      </c>
      <c r="I45" s="77"/>
      <c r="J45" s="268">
        <f t="shared" si="6"/>
        <v>0</v>
      </c>
      <c r="K45" s="16"/>
      <c r="L45" s="270">
        <f t="shared" si="7"/>
        <v>0</v>
      </c>
      <c r="M45" s="15">
        <f t="shared" si="12"/>
        <v>0</v>
      </c>
      <c r="N45" s="15">
        <f t="shared" si="13"/>
        <v>0</v>
      </c>
      <c r="O45" s="15" t="str">
        <f t="shared" si="14"/>
        <v/>
      </c>
      <c r="P45" s="14">
        <f t="shared" si="15"/>
        <v>2409.8999999999996</v>
      </c>
      <c r="Q45" s="112">
        <f t="shared" si="16"/>
        <v>-34.120854157201272</v>
      </c>
      <c r="R45" s="116"/>
      <c r="S45" s="3">
        <v>3720</v>
      </c>
      <c r="U45" s="1" t="str">
        <f t="shared" si="8"/>
        <v>29.00</v>
      </c>
      <c r="V45" s="1">
        <f t="shared" si="9"/>
        <v>0</v>
      </c>
      <c r="Z45" s="16">
        <v>15.12</v>
      </c>
    </row>
    <row r="46" spans="1:26" s="3" customFormat="1" ht="18.75">
      <c r="A46" s="113">
        <v>38</v>
      </c>
      <c r="B46" s="28" t="s">
        <v>888</v>
      </c>
      <c r="C46" s="24" t="s">
        <v>43</v>
      </c>
      <c r="D46" s="28" t="s">
        <v>65</v>
      </c>
      <c r="E46" s="28" t="s">
        <v>935</v>
      </c>
      <c r="F46" s="27">
        <f t="shared" si="10"/>
        <v>2614.5</v>
      </c>
      <c r="G46" s="114">
        <v>32.81</v>
      </c>
      <c r="H46" s="29">
        <f t="shared" si="11"/>
        <v>4084.8450000000003</v>
      </c>
      <c r="I46" s="77"/>
      <c r="J46" s="268">
        <f t="shared" si="6"/>
        <v>0</v>
      </c>
      <c r="K46" s="16"/>
      <c r="L46" s="270">
        <f t="shared" si="7"/>
        <v>0</v>
      </c>
      <c r="M46" s="15">
        <f t="shared" si="12"/>
        <v>0</v>
      </c>
      <c r="N46" s="15">
        <f t="shared" si="13"/>
        <v>0</v>
      </c>
      <c r="O46" s="15" t="str">
        <f t="shared" si="14"/>
        <v/>
      </c>
      <c r="P46" s="14">
        <f t="shared" si="15"/>
        <v>2614.5</v>
      </c>
      <c r="Q46" s="112">
        <f t="shared" si="16"/>
        <v>-35.995123437976225</v>
      </c>
      <c r="R46" s="116"/>
      <c r="U46" s="1" t="str">
        <f t="shared" si="8"/>
        <v>21.00</v>
      </c>
      <c r="V46" s="1">
        <f t="shared" si="9"/>
        <v>0</v>
      </c>
      <c r="Z46" s="16"/>
    </row>
    <row r="47" spans="1:26" s="3" customFormat="1" ht="18.75">
      <c r="A47" s="113">
        <v>39</v>
      </c>
      <c r="B47" s="28" t="s">
        <v>886</v>
      </c>
      <c r="C47" s="24" t="s">
        <v>718</v>
      </c>
      <c r="D47" s="28" t="s">
        <v>967</v>
      </c>
      <c r="E47" s="28" t="s">
        <v>899</v>
      </c>
      <c r="F47" s="27">
        <f t="shared" si="10"/>
        <v>15470</v>
      </c>
      <c r="G47" s="114">
        <v>38.54</v>
      </c>
      <c r="H47" s="29">
        <f t="shared" si="11"/>
        <v>22931.3</v>
      </c>
      <c r="I47" s="77"/>
      <c r="J47" s="268">
        <f t="shared" si="6"/>
        <v>0</v>
      </c>
      <c r="K47" s="16"/>
      <c r="L47" s="270">
        <f t="shared" si="7"/>
        <v>0</v>
      </c>
      <c r="M47" s="15">
        <f t="shared" si="12"/>
        <v>0</v>
      </c>
      <c r="N47" s="15">
        <f t="shared" si="13"/>
        <v>0</v>
      </c>
      <c r="O47" s="15" t="str">
        <f t="shared" si="14"/>
        <v/>
      </c>
      <c r="P47" s="14">
        <f t="shared" si="15"/>
        <v>15470</v>
      </c>
      <c r="Q47" s="112">
        <f t="shared" si="16"/>
        <v>-32.537623248572913</v>
      </c>
      <c r="R47" s="116"/>
      <c r="S47" s="3">
        <v>3720</v>
      </c>
      <c r="U47" s="1" t="str">
        <f t="shared" si="8"/>
        <v>26.00</v>
      </c>
      <c r="V47" s="1">
        <f t="shared" si="9"/>
        <v>0</v>
      </c>
      <c r="Z47" s="16"/>
    </row>
    <row r="48" spans="1:26" ht="18.75">
      <c r="A48" s="113">
        <v>40</v>
      </c>
      <c r="B48" s="28" t="s">
        <v>227</v>
      </c>
      <c r="C48" s="24" t="s">
        <v>719</v>
      </c>
      <c r="D48" s="28" t="s">
        <v>968</v>
      </c>
      <c r="E48" s="28" t="s">
        <v>901</v>
      </c>
      <c r="F48" s="27">
        <f t="shared" si="10"/>
        <v>74592</v>
      </c>
      <c r="G48" s="114">
        <v>54.5</v>
      </c>
      <c r="H48" s="29">
        <f t="shared" si="11"/>
        <v>96792</v>
      </c>
      <c r="I48" s="77"/>
      <c r="J48" s="268">
        <f t="shared" si="6"/>
        <v>0</v>
      </c>
      <c r="K48" s="16"/>
      <c r="L48" s="270">
        <f t="shared" si="7"/>
        <v>0</v>
      </c>
      <c r="M48" s="15">
        <f t="shared" si="12"/>
        <v>0</v>
      </c>
      <c r="N48" s="15">
        <f t="shared" si="13"/>
        <v>0</v>
      </c>
      <c r="O48" s="15" t="str">
        <f t="shared" si="14"/>
        <v/>
      </c>
      <c r="P48" s="14">
        <f t="shared" si="15"/>
        <v>74592</v>
      </c>
      <c r="Q48" s="14">
        <f t="shared" si="16"/>
        <v>-22.935779816513762</v>
      </c>
      <c r="R48" s="116"/>
      <c r="S48" s="1">
        <v>10000</v>
      </c>
      <c r="U48" s="1" t="str">
        <f t="shared" si="8"/>
        <v>42.00</v>
      </c>
      <c r="V48" s="1">
        <f t="shared" si="9"/>
        <v>0</v>
      </c>
      <c r="Z48" s="16">
        <v>0</v>
      </c>
    </row>
    <row r="49" spans="1:26" ht="18.75">
      <c r="A49" s="113">
        <v>41</v>
      </c>
      <c r="B49" s="28" t="s">
        <v>889</v>
      </c>
      <c r="C49" s="24" t="s">
        <v>720</v>
      </c>
      <c r="D49" s="28" t="s">
        <v>967</v>
      </c>
      <c r="E49" s="28" t="s">
        <v>1004</v>
      </c>
      <c r="F49" s="27">
        <f t="shared" si="10"/>
        <v>15602</v>
      </c>
      <c r="G49" s="114">
        <v>209.27</v>
      </c>
      <c r="H49" s="29">
        <f t="shared" si="11"/>
        <v>22517.452000000001</v>
      </c>
      <c r="I49" s="77"/>
      <c r="J49" s="268">
        <f t="shared" si="6"/>
        <v>0</v>
      </c>
      <c r="K49" s="16"/>
      <c r="L49" s="270">
        <f t="shared" si="7"/>
        <v>0</v>
      </c>
      <c r="M49" s="15">
        <f t="shared" si="12"/>
        <v>0</v>
      </c>
      <c r="N49" s="15">
        <f t="shared" si="13"/>
        <v>0</v>
      </c>
      <c r="O49" s="15" t="str">
        <f t="shared" si="14"/>
        <v/>
      </c>
      <c r="P49" s="14">
        <f t="shared" si="15"/>
        <v>15602</v>
      </c>
      <c r="Q49" s="112">
        <f t="shared" si="16"/>
        <v>-30.711521001576912</v>
      </c>
      <c r="R49" s="116"/>
      <c r="S49" s="1">
        <v>10000</v>
      </c>
      <c r="U49" s="1" t="str">
        <f t="shared" si="8"/>
        <v>145.00</v>
      </c>
      <c r="V49" s="1">
        <f t="shared" si="9"/>
        <v>0</v>
      </c>
      <c r="Z49" s="16">
        <v>242.6</v>
      </c>
    </row>
    <row r="50" spans="1:26" ht="18.75">
      <c r="A50" s="113">
        <v>42</v>
      </c>
      <c r="B50" s="28" t="s">
        <v>890</v>
      </c>
      <c r="C50" s="24" t="s">
        <v>721</v>
      </c>
      <c r="D50" s="28" t="s">
        <v>967</v>
      </c>
      <c r="E50" s="28" t="s">
        <v>1005</v>
      </c>
      <c r="F50" s="27">
        <f t="shared" si="10"/>
        <v>24234.799999999999</v>
      </c>
      <c r="G50" s="114">
        <v>124.12</v>
      </c>
      <c r="H50" s="29">
        <f t="shared" si="11"/>
        <v>34977.016000000003</v>
      </c>
      <c r="I50" s="77"/>
      <c r="J50" s="268">
        <f t="shared" si="6"/>
        <v>0</v>
      </c>
      <c r="K50" s="16"/>
      <c r="L50" s="270">
        <f t="shared" si="7"/>
        <v>0</v>
      </c>
      <c r="M50" s="15">
        <f t="shared" si="12"/>
        <v>0</v>
      </c>
      <c r="N50" s="15">
        <f t="shared" si="13"/>
        <v>0</v>
      </c>
      <c r="O50" s="15" t="str">
        <f t="shared" si="14"/>
        <v/>
      </c>
      <c r="P50" s="14">
        <f t="shared" si="15"/>
        <v>24234.799999999999</v>
      </c>
      <c r="Q50" s="112">
        <f t="shared" si="16"/>
        <v>-30.712213986464715</v>
      </c>
      <c r="R50" s="116"/>
      <c r="S50" s="1">
        <v>224000</v>
      </c>
      <c r="U50" s="1" t="str">
        <f t="shared" si="8"/>
        <v>86.00</v>
      </c>
      <c r="V50" s="1">
        <f t="shared" si="9"/>
        <v>0</v>
      </c>
      <c r="Z50" s="16">
        <v>11</v>
      </c>
    </row>
    <row r="51" spans="1:26" ht="18.75">
      <c r="A51" s="113">
        <v>43</v>
      </c>
      <c r="B51" s="28" t="s">
        <v>891</v>
      </c>
      <c r="C51" s="24" t="s">
        <v>722</v>
      </c>
      <c r="D51" s="28" t="s">
        <v>65</v>
      </c>
      <c r="E51" s="28" t="s">
        <v>1003</v>
      </c>
      <c r="F51" s="27">
        <f t="shared" si="10"/>
        <v>528</v>
      </c>
      <c r="G51" s="114" t="s">
        <v>204</v>
      </c>
      <c r="H51" s="29">
        <f t="shared" si="11"/>
        <v>696</v>
      </c>
      <c r="I51" s="77"/>
      <c r="J51" s="268">
        <f t="shared" si="6"/>
        <v>0</v>
      </c>
      <c r="K51" s="16"/>
      <c r="L51" s="270">
        <f t="shared" si="7"/>
        <v>0</v>
      </c>
      <c r="M51" s="15">
        <f t="shared" si="12"/>
        <v>0</v>
      </c>
      <c r="N51" s="15">
        <f t="shared" si="13"/>
        <v>0</v>
      </c>
      <c r="O51" s="15" t="str">
        <f t="shared" si="14"/>
        <v/>
      </c>
      <c r="P51" s="14">
        <f t="shared" si="15"/>
        <v>528</v>
      </c>
      <c r="Q51" s="14">
        <f t="shared" si="16"/>
        <v>-24.137931034482758</v>
      </c>
      <c r="R51" s="116"/>
      <c r="S51" s="1">
        <v>747855</v>
      </c>
      <c r="U51" s="1" t="str">
        <f t="shared" si="8"/>
        <v>44.00</v>
      </c>
      <c r="V51" s="1">
        <f t="shared" si="9"/>
        <v>0</v>
      </c>
      <c r="Z51" s="20">
        <v>44.372999999999998</v>
      </c>
    </row>
    <row r="52" spans="1:26" ht="33">
      <c r="A52" s="113">
        <v>44</v>
      </c>
      <c r="B52" s="28" t="s">
        <v>882</v>
      </c>
      <c r="C52" s="24" t="s">
        <v>723</v>
      </c>
      <c r="D52" s="28" t="s">
        <v>64</v>
      </c>
      <c r="E52" s="28" t="s">
        <v>1006</v>
      </c>
      <c r="F52" s="27">
        <f t="shared" si="10"/>
        <v>1168</v>
      </c>
      <c r="G52" s="114" t="s">
        <v>205</v>
      </c>
      <c r="H52" s="29">
        <f t="shared" si="11"/>
        <v>1520</v>
      </c>
      <c r="I52" s="77"/>
      <c r="J52" s="268">
        <f t="shared" si="6"/>
        <v>0</v>
      </c>
      <c r="K52" s="16"/>
      <c r="L52" s="270">
        <f t="shared" si="7"/>
        <v>0</v>
      </c>
      <c r="M52" s="15">
        <f t="shared" si="12"/>
        <v>0</v>
      </c>
      <c r="N52" s="15">
        <f t="shared" si="13"/>
        <v>0</v>
      </c>
      <c r="O52" s="15" t="str">
        <f t="shared" si="14"/>
        <v/>
      </c>
      <c r="P52" s="14">
        <f t="shared" si="15"/>
        <v>1168</v>
      </c>
      <c r="Q52" s="14">
        <f t="shared" si="16"/>
        <v>-23.157894736842106</v>
      </c>
      <c r="R52" s="116"/>
      <c r="S52" s="1">
        <v>60000</v>
      </c>
      <c r="U52" s="1" t="str">
        <f t="shared" si="8"/>
        <v>73.00</v>
      </c>
      <c r="V52" s="1">
        <f t="shared" si="9"/>
        <v>0</v>
      </c>
      <c r="Z52" s="16"/>
    </row>
    <row r="53" spans="1:26" ht="18.75">
      <c r="A53" s="113">
        <v>45</v>
      </c>
      <c r="B53" s="28" t="s">
        <v>892</v>
      </c>
      <c r="C53" s="24" t="s">
        <v>724</v>
      </c>
      <c r="D53" s="28" t="s">
        <v>64</v>
      </c>
      <c r="E53" s="28" t="s">
        <v>901</v>
      </c>
      <c r="F53" s="27">
        <f t="shared" si="10"/>
        <v>1344</v>
      </c>
      <c r="G53" s="114" t="s">
        <v>206</v>
      </c>
      <c r="H53" s="29">
        <f t="shared" si="11"/>
        <v>1760</v>
      </c>
      <c r="I53" s="77"/>
      <c r="J53" s="268">
        <f t="shared" si="6"/>
        <v>0</v>
      </c>
      <c r="K53" s="16"/>
      <c r="L53" s="270">
        <f t="shared" si="7"/>
        <v>0</v>
      </c>
      <c r="M53" s="15">
        <f t="shared" si="12"/>
        <v>0</v>
      </c>
      <c r="N53" s="15">
        <f t="shared" si="13"/>
        <v>0</v>
      </c>
      <c r="O53" s="15" t="str">
        <f t="shared" si="14"/>
        <v/>
      </c>
      <c r="P53" s="14">
        <f t="shared" si="15"/>
        <v>1344</v>
      </c>
      <c r="Q53" s="14">
        <f t="shared" si="16"/>
        <v>-23.636363636363637</v>
      </c>
      <c r="R53" s="116"/>
      <c r="S53" s="1">
        <v>400000</v>
      </c>
      <c r="U53" s="1" t="str">
        <f t="shared" si="8"/>
        <v>42.00</v>
      </c>
      <c r="V53" s="1">
        <f t="shared" si="9"/>
        <v>0</v>
      </c>
      <c r="Z53" s="16">
        <v>596.57000000000005</v>
      </c>
    </row>
    <row r="54" spans="1:26" ht="18.75">
      <c r="A54" s="113">
        <v>46</v>
      </c>
      <c r="B54" s="28" t="s">
        <v>209</v>
      </c>
      <c r="C54" s="24" t="s">
        <v>725</v>
      </c>
      <c r="D54" s="28" t="s">
        <v>64</v>
      </c>
      <c r="E54" s="28" t="s">
        <v>895</v>
      </c>
      <c r="F54" s="27">
        <f t="shared" si="10"/>
        <v>128</v>
      </c>
      <c r="G54" s="114" t="s">
        <v>207</v>
      </c>
      <c r="H54" s="29">
        <f t="shared" si="11"/>
        <v>192</v>
      </c>
      <c r="I54" s="77"/>
      <c r="J54" s="268">
        <f t="shared" si="6"/>
        <v>0</v>
      </c>
      <c r="K54" s="16"/>
      <c r="L54" s="270">
        <f t="shared" si="7"/>
        <v>0</v>
      </c>
      <c r="M54" s="15">
        <f t="shared" si="12"/>
        <v>0</v>
      </c>
      <c r="N54" s="15">
        <f t="shared" si="13"/>
        <v>0</v>
      </c>
      <c r="O54" s="15" t="str">
        <f t="shared" si="14"/>
        <v/>
      </c>
      <c r="P54" s="14">
        <f t="shared" si="15"/>
        <v>128</v>
      </c>
      <c r="Q54" s="112">
        <f t="shared" si="16"/>
        <v>-33.333333333333329</v>
      </c>
      <c r="R54" s="116"/>
      <c r="S54" s="1">
        <v>11200</v>
      </c>
      <c r="U54" s="1" t="str">
        <f t="shared" si="8"/>
        <v>1.00</v>
      </c>
      <c r="V54" s="1">
        <f t="shared" si="9"/>
        <v>0</v>
      </c>
      <c r="Z54" s="16"/>
    </row>
    <row r="55" spans="1:26" ht="33">
      <c r="A55" s="113">
        <v>47</v>
      </c>
      <c r="B55" s="28" t="s">
        <v>893</v>
      </c>
      <c r="C55" s="24" t="s">
        <v>726</v>
      </c>
      <c r="D55" s="28" t="s">
        <v>65</v>
      </c>
      <c r="E55" s="28" t="s">
        <v>1007</v>
      </c>
      <c r="F55" s="27">
        <f t="shared" si="10"/>
        <v>21376</v>
      </c>
      <c r="G55" s="114">
        <v>222.3</v>
      </c>
      <c r="H55" s="29">
        <f t="shared" si="11"/>
        <v>29699.279999999999</v>
      </c>
      <c r="I55" s="77"/>
      <c r="J55" s="268">
        <f t="shared" si="6"/>
        <v>0</v>
      </c>
      <c r="K55" s="16"/>
      <c r="L55" s="270">
        <f t="shared" si="7"/>
        <v>0</v>
      </c>
      <c r="M55" s="15">
        <f t="shared" si="12"/>
        <v>0</v>
      </c>
      <c r="N55" s="15">
        <f t="shared" si="13"/>
        <v>0</v>
      </c>
      <c r="O55" s="15" t="str">
        <f t="shared" si="14"/>
        <v/>
      </c>
      <c r="P55" s="14">
        <f t="shared" si="15"/>
        <v>21376</v>
      </c>
      <c r="Q55" s="112">
        <f t="shared" si="16"/>
        <v>-28.025191183085923</v>
      </c>
      <c r="R55" s="116"/>
      <c r="S55" s="1">
        <v>48120</v>
      </c>
      <c r="U55" s="1" t="str">
        <f t="shared" si="8"/>
        <v>160.00</v>
      </c>
      <c r="V55" s="1">
        <f t="shared" si="9"/>
        <v>0</v>
      </c>
      <c r="Z55" s="16">
        <v>42</v>
      </c>
    </row>
    <row r="56" spans="1:26" s="3" customFormat="1" ht="18.75">
      <c r="A56" s="113">
        <v>48</v>
      </c>
      <c r="B56" s="28" t="s">
        <v>894</v>
      </c>
      <c r="C56" s="24" t="s">
        <v>727</v>
      </c>
      <c r="D56" s="28" t="s">
        <v>64</v>
      </c>
      <c r="E56" s="28" t="s">
        <v>1008</v>
      </c>
      <c r="F56" s="27">
        <f t="shared" si="10"/>
        <v>1190</v>
      </c>
      <c r="G56" s="114">
        <v>315.79000000000002</v>
      </c>
      <c r="H56" s="29">
        <f t="shared" si="11"/>
        <v>1578.95</v>
      </c>
      <c r="I56" s="77"/>
      <c r="J56" s="268">
        <f t="shared" si="6"/>
        <v>0</v>
      </c>
      <c r="K56" s="16"/>
      <c r="L56" s="270">
        <f t="shared" si="7"/>
        <v>0</v>
      </c>
      <c r="M56" s="15">
        <f t="shared" si="12"/>
        <v>0</v>
      </c>
      <c r="N56" s="15">
        <f t="shared" si="13"/>
        <v>0</v>
      </c>
      <c r="O56" s="15" t="str">
        <f t="shared" si="14"/>
        <v/>
      </c>
      <c r="P56" s="14">
        <f t="shared" si="15"/>
        <v>1190</v>
      </c>
      <c r="Q56" s="14">
        <f t="shared" si="16"/>
        <v>-24.633458944235098</v>
      </c>
      <c r="R56" s="116"/>
      <c r="S56" s="3">
        <v>3720</v>
      </c>
      <c r="U56" s="1" t="str">
        <f t="shared" si="8"/>
        <v>238.00</v>
      </c>
      <c r="V56" s="1">
        <f t="shared" si="9"/>
        <v>0</v>
      </c>
      <c r="Z56" s="16">
        <v>5.56</v>
      </c>
    </row>
    <row r="57" spans="1:26" ht="18.75">
      <c r="A57" s="113">
        <v>49</v>
      </c>
      <c r="B57" s="28" t="s">
        <v>894</v>
      </c>
      <c r="C57" s="24" t="s">
        <v>728</v>
      </c>
      <c r="D57" s="28" t="s">
        <v>64</v>
      </c>
      <c r="E57" s="28" t="s">
        <v>1009</v>
      </c>
      <c r="F57" s="27">
        <f t="shared" si="10"/>
        <v>2815</v>
      </c>
      <c r="G57" s="114">
        <v>790.6</v>
      </c>
      <c r="H57" s="29">
        <f t="shared" si="11"/>
        <v>3953</v>
      </c>
      <c r="I57" s="77"/>
      <c r="J57" s="268">
        <f t="shared" si="6"/>
        <v>0</v>
      </c>
      <c r="K57" s="16"/>
      <c r="L57" s="270">
        <f t="shared" si="7"/>
        <v>0</v>
      </c>
      <c r="M57" s="15">
        <f t="shared" si="12"/>
        <v>0</v>
      </c>
      <c r="N57" s="15">
        <f t="shared" si="13"/>
        <v>0</v>
      </c>
      <c r="O57" s="15" t="str">
        <f t="shared" si="14"/>
        <v/>
      </c>
      <c r="P57" s="14">
        <f t="shared" si="15"/>
        <v>2815</v>
      </c>
      <c r="Q57" s="112">
        <f t="shared" si="16"/>
        <v>-28.788262079433345</v>
      </c>
      <c r="R57" s="116"/>
      <c r="U57" s="1" t="str">
        <f t="shared" si="8"/>
        <v>563.00</v>
      </c>
      <c r="V57" s="1">
        <f t="shared" si="9"/>
        <v>0</v>
      </c>
      <c r="Z57" s="16"/>
    </row>
    <row r="58" spans="1:26" ht="33">
      <c r="A58" s="113">
        <v>50</v>
      </c>
      <c r="B58" s="28" t="s">
        <v>895</v>
      </c>
      <c r="C58" s="24" t="s">
        <v>729</v>
      </c>
      <c r="D58" s="28" t="s">
        <v>64</v>
      </c>
      <c r="E58" s="28" t="s">
        <v>1010</v>
      </c>
      <c r="F58" s="27">
        <f t="shared" si="10"/>
        <v>11086</v>
      </c>
      <c r="G58" s="114">
        <v>15357.62</v>
      </c>
      <c r="H58" s="29">
        <f t="shared" si="11"/>
        <v>15357.62</v>
      </c>
      <c r="I58" s="77"/>
      <c r="J58" s="268">
        <f t="shared" si="6"/>
        <v>0</v>
      </c>
      <c r="K58" s="16"/>
      <c r="L58" s="270">
        <f t="shared" si="7"/>
        <v>0</v>
      </c>
      <c r="M58" s="15">
        <f t="shared" si="12"/>
        <v>0</v>
      </c>
      <c r="N58" s="15">
        <f t="shared" si="13"/>
        <v>0</v>
      </c>
      <c r="O58" s="15" t="str">
        <f t="shared" si="14"/>
        <v/>
      </c>
      <c r="P58" s="14">
        <f t="shared" si="15"/>
        <v>11086</v>
      </c>
      <c r="Q58" s="112">
        <f t="shared" si="16"/>
        <v>-27.81433581505468</v>
      </c>
      <c r="R58" s="116"/>
      <c r="S58" s="1">
        <v>60000</v>
      </c>
      <c r="U58" s="1" t="str">
        <f t="shared" si="8"/>
        <v>11086.00</v>
      </c>
      <c r="V58" s="1">
        <f t="shared" si="9"/>
        <v>0</v>
      </c>
      <c r="Z58" s="16"/>
    </row>
    <row r="59" spans="1:26" s="3" customFormat="1" ht="33">
      <c r="A59" s="113">
        <v>51</v>
      </c>
      <c r="B59" s="28" t="s">
        <v>896</v>
      </c>
      <c r="C59" s="24" t="s">
        <v>730</v>
      </c>
      <c r="D59" s="28" t="s">
        <v>65</v>
      </c>
      <c r="E59" s="28" t="s">
        <v>1011</v>
      </c>
      <c r="F59" s="27">
        <f t="shared" si="10"/>
        <v>20489.600000000002</v>
      </c>
      <c r="G59" s="114">
        <v>222.3</v>
      </c>
      <c r="H59" s="29">
        <f t="shared" si="11"/>
        <v>29966.040000000005</v>
      </c>
      <c r="I59" s="77"/>
      <c r="J59" s="268">
        <f t="shared" si="6"/>
        <v>0</v>
      </c>
      <c r="K59" s="16"/>
      <c r="L59" s="270">
        <f t="shared" si="7"/>
        <v>0</v>
      </c>
      <c r="M59" s="15">
        <f t="shared" si="12"/>
        <v>0</v>
      </c>
      <c r="N59" s="15">
        <f t="shared" si="13"/>
        <v>0</v>
      </c>
      <c r="O59" s="15" t="str">
        <f t="shared" si="14"/>
        <v/>
      </c>
      <c r="P59" s="14">
        <f t="shared" si="15"/>
        <v>20489.600000000002</v>
      </c>
      <c r="Q59" s="112">
        <f t="shared" si="16"/>
        <v>-31.623931623931629</v>
      </c>
      <c r="R59" s="116"/>
      <c r="S59" s="3">
        <v>3720</v>
      </c>
      <c r="U59" s="1" t="str">
        <f t="shared" si="8"/>
        <v>152.00</v>
      </c>
      <c r="V59" s="1">
        <f t="shared" si="9"/>
        <v>0</v>
      </c>
      <c r="Z59" s="16">
        <v>5.36</v>
      </c>
    </row>
    <row r="60" spans="1:26" ht="18.75">
      <c r="A60" s="113">
        <v>52</v>
      </c>
      <c r="B60" s="28" t="s">
        <v>208</v>
      </c>
      <c r="C60" s="24" t="s">
        <v>50</v>
      </c>
      <c r="D60" s="28" t="s">
        <v>65</v>
      </c>
      <c r="E60" s="28" t="s">
        <v>1000</v>
      </c>
      <c r="F60" s="27">
        <f t="shared" si="10"/>
        <v>25620</v>
      </c>
      <c r="G60" s="114">
        <v>205.54</v>
      </c>
      <c r="H60" s="29">
        <f t="shared" si="11"/>
        <v>37613.82</v>
      </c>
      <c r="I60" s="77"/>
      <c r="J60" s="268">
        <f t="shared" si="6"/>
        <v>0</v>
      </c>
      <c r="K60" s="16"/>
      <c r="L60" s="270">
        <f t="shared" si="7"/>
        <v>0</v>
      </c>
      <c r="M60" s="15">
        <f t="shared" si="12"/>
        <v>0</v>
      </c>
      <c r="N60" s="15">
        <f t="shared" si="13"/>
        <v>0</v>
      </c>
      <c r="O60" s="15" t="str">
        <f t="shared" si="14"/>
        <v/>
      </c>
      <c r="P60" s="14">
        <f t="shared" si="15"/>
        <v>25620</v>
      </c>
      <c r="Q60" s="112">
        <f t="shared" si="16"/>
        <v>-31.886737374720248</v>
      </c>
      <c r="R60" s="116"/>
      <c r="S60" s="1">
        <v>400000</v>
      </c>
      <c r="U60" s="1" t="str">
        <f t="shared" si="8"/>
        <v>140.00</v>
      </c>
      <c r="V60" s="1">
        <f t="shared" si="9"/>
        <v>0</v>
      </c>
      <c r="Z60" s="16">
        <v>596.57000000000005</v>
      </c>
    </row>
    <row r="61" spans="1:26" ht="33">
      <c r="A61" s="113">
        <v>53</v>
      </c>
      <c r="B61" s="28" t="s">
        <v>897</v>
      </c>
      <c r="C61" s="24" t="s">
        <v>731</v>
      </c>
      <c r="D61" s="28" t="s">
        <v>65</v>
      </c>
      <c r="E61" s="28" t="s">
        <v>1012</v>
      </c>
      <c r="F61" s="27">
        <f t="shared" si="10"/>
        <v>4728</v>
      </c>
      <c r="G61" s="114">
        <v>281.14</v>
      </c>
      <c r="H61" s="29">
        <f t="shared" si="11"/>
        <v>6747.36</v>
      </c>
      <c r="I61" s="77"/>
      <c r="J61" s="268">
        <f t="shared" si="6"/>
        <v>0</v>
      </c>
      <c r="K61" s="16"/>
      <c r="L61" s="270">
        <f t="shared" si="7"/>
        <v>0</v>
      </c>
      <c r="M61" s="15">
        <f t="shared" si="12"/>
        <v>0</v>
      </c>
      <c r="N61" s="15">
        <f t="shared" si="13"/>
        <v>0</v>
      </c>
      <c r="O61" s="15" t="str">
        <f t="shared" si="14"/>
        <v/>
      </c>
      <c r="P61" s="14">
        <f t="shared" si="15"/>
        <v>4728</v>
      </c>
      <c r="Q61" s="112">
        <f t="shared" si="16"/>
        <v>-29.928149676317844</v>
      </c>
      <c r="R61" s="116"/>
      <c r="S61" s="1">
        <v>11200</v>
      </c>
      <c r="U61" s="1" t="str">
        <f t="shared" si="8"/>
        <v>197.00</v>
      </c>
      <c r="V61" s="1">
        <f t="shared" si="9"/>
        <v>0</v>
      </c>
      <c r="Z61" s="16"/>
    </row>
    <row r="62" spans="1:26" ht="18.75">
      <c r="A62" s="113">
        <v>54</v>
      </c>
      <c r="B62" s="28" t="s">
        <v>883</v>
      </c>
      <c r="C62" s="24" t="s">
        <v>732</v>
      </c>
      <c r="D62" s="28" t="s">
        <v>64</v>
      </c>
      <c r="E62" s="28" t="s">
        <v>1013</v>
      </c>
      <c r="F62" s="27">
        <f t="shared" si="10"/>
        <v>184</v>
      </c>
      <c r="G62" s="114">
        <v>30</v>
      </c>
      <c r="H62" s="29">
        <f t="shared" si="11"/>
        <v>240</v>
      </c>
      <c r="I62" s="77"/>
      <c r="J62" s="268">
        <f t="shared" si="6"/>
        <v>0</v>
      </c>
      <c r="K62" s="16"/>
      <c r="L62" s="270">
        <f t="shared" si="7"/>
        <v>0</v>
      </c>
      <c r="M62" s="15">
        <f t="shared" si="12"/>
        <v>0</v>
      </c>
      <c r="N62" s="15">
        <f t="shared" si="13"/>
        <v>0</v>
      </c>
      <c r="O62" s="15" t="str">
        <f t="shared" si="14"/>
        <v/>
      </c>
      <c r="P62" s="14">
        <f t="shared" si="15"/>
        <v>184</v>
      </c>
      <c r="Q62" s="14">
        <f t="shared" si="16"/>
        <v>-23.333333333333332</v>
      </c>
      <c r="R62" s="116"/>
      <c r="S62" s="1">
        <v>800</v>
      </c>
      <c r="U62" s="1" t="str">
        <f t="shared" si="8"/>
        <v>23.00</v>
      </c>
      <c r="V62" s="1">
        <f t="shared" si="9"/>
        <v>0</v>
      </c>
      <c r="Z62" s="16"/>
    </row>
    <row r="63" spans="1:26" ht="33">
      <c r="A63" s="113">
        <v>55</v>
      </c>
      <c r="B63" s="28" t="s">
        <v>898</v>
      </c>
      <c r="C63" s="24" t="s">
        <v>733</v>
      </c>
      <c r="D63" s="28" t="s">
        <v>64</v>
      </c>
      <c r="E63" s="28" t="s">
        <v>1014</v>
      </c>
      <c r="F63" s="27">
        <f t="shared" si="10"/>
        <v>10359</v>
      </c>
      <c r="G63" s="114">
        <v>1707.76</v>
      </c>
      <c r="H63" s="29">
        <f t="shared" si="11"/>
        <v>15369.84</v>
      </c>
      <c r="I63" s="77"/>
      <c r="J63" s="268">
        <f t="shared" si="6"/>
        <v>0</v>
      </c>
      <c r="K63" s="16"/>
      <c r="L63" s="270">
        <f t="shared" si="7"/>
        <v>0</v>
      </c>
      <c r="M63" s="15">
        <f t="shared" si="12"/>
        <v>0</v>
      </c>
      <c r="N63" s="15">
        <f t="shared" si="13"/>
        <v>0</v>
      </c>
      <c r="O63" s="15" t="str">
        <f t="shared" si="14"/>
        <v/>
      </c>
      <c r="P63" s="14">
        <f t="shared" si="15"/>
        <v>10359</v>
      </c>
      <c r="Q63" s="112">
        <f t="shared" si="16"/>
        <v>-32.601770740619287</v>
      </c>
      <c r="R63" s="116"/>
      <c r="U63" s="1" t="str">
        <f t="shared" si="8"/>
        <v>1151.00</v>
      </c>
      <c r="V63" s="1">
        <f t="shared" si="9"/>
        <v>0</v>
      </c>
      <c r="Z63" s="16"/>
    </row>
    <row r="64" spans="1:26" ht="18.75">
      <c r="A64" s="113">
        <v>56</v>
      </c>
      <c r="B64" s="28" t="s">
        <v>899</v>
      </c>
      <c r="C64" s="24" t="s">
        <v>734</v>
      </c>
      <c r="D64" s="28" t="s">
        <v>64</v>
      </c>
      <c r="E64" s="28" t="s">
        <v>1015</v>
      </c>
      <c r="F64" s="27">
        <f t="shared" si="10"/>
        <v>2704</v>
      </c>
      <c r="G64" s="114">
        <v>136.69999999999999</v>
      </c>
      <c r="H64" s="29">
        <f t="shared" si="11"/>
        <v>3554.2</v>
      </c>
      <c r="I64" s="77"/>
      <c r="J64" s="268">
        <f t="shared" si="6"/>
        <v>0</v>
      </c>
      <c r="K64" s="16"/>
      <c r="L64" s="270">
        <f t="shared" si="7"/>
        <v>0</v>
      </c>
      <c r="M64" s="15">
        <f t="shared" si="12"/>
        <v>0</v>
      </c>
      <c r="N64" s="15">
        <f t="shared" si="13"/>
        <v>0</v>
      </c>
      <c r="O64" s="15" t="str">
        <f t="shared" si="14"/>
        <v/>
      </c>
      <c r="P64" s="14">
        <f t="shared" si="15"/>
        <v>2704</v>
      </c>
      <c r="Q64" s="14">
        <f t="shared" si="16"/>
        <v>-23.920994879297726</v>
      </c>
      <c r="R64" s="116"/>
      <c r="S64" s="1">
        <v>1200</v>
      </c>
      <c r="U64" s="1" t="str">
        <f t="shared" si="8"/>
        <v>104.00</v>
      </c>
      <c r="V64" s="1">
        <f t="shared" si="9"/>
        <v>0</v>
      </c>
      <c r="Z64" s="16">
        <v>1</v>
      </c>
    </row>
    <row r="65" spans="1:26" ht="33">
      <c r="A65" s="113">
        <v>57</v>
      </c>
      <c r="B65" s="28" t="s">
        <v>882</v>
      </c>
      <c r="C65" s="24" t="s">
        <v>735</v>
      </c>
      <c r="D65" s="28" t="s">
        <v>65</v>
      </c>
      <c r="E65" s="28" t="s">
        <v>1016</v>
      </c>
      <c r="F65" s="27">
        <f t="shared" si="10"/>
        <v>2464</v>
      </c>
      <c r="G65" s="114">
        <v>219.48</v>
      </c>
      <c r="H65" s="29">
        <f t="shared" si="11"/>
        <v>3511.68</v>
      </c>
      <c r="I65" s="77"/>
      <c r="J65" s="268">
        <f t="shared" si="6"/>
        <v>0</v>
      </c>
      <c r="K65" s="16"/>
      <c r="L65" s="270">
        <f t="shared" si="7"/>
        <v>0</v>
      </c>
      <c r="M65" s="15">
        <f t="shared" si="12"/>
        <v>0</v>
      </c>
      <c r="N65" s="15">
        <f t="shared" si="13"/>
        <v>0</v>
      </c>
      <c r="O65" s="15" t="str">
        <f t="shared" si="14"/>
        <v/>
      </c>
      <c r="P65" s="14">
        <f t="shared" si="15"/>
        <v>2464</v>
      </c>
      <c r="Q65" s="112">
        <f t="shared" si="16"/>
        <v>-29.834153453617638</v>
      </c>
      <c r="R65" s="116"/>
      <c r="S65" s="1">
        <v>30150</v>
      </c>
      <c r="U65" s="1" t="str">
        <f t="shared" si="8"/>
        <v>154.00</v>
      </c>
      <c r="V65" s="1">
        <f t="shared" si="9"/>
        <v>0</v>
      </c>
      <c r="Z65" s="16">
        <v>20.12</v>
      </c>
    </row>
    <row r="66" spans="1:26" ht="33">
      <c r="A66" s="113">
        <v>58</v>
      </c>
      <c r="B66" s="28" t="s">
        <v>900</v>
      </c>
      <c r="C66" s="24" t="s">
        <v>736</v>
      </c>
      <c r="D66" s="28" t="s">
        <v>64</v>
      </c>
      <c r="E66" s="28" t="s">
        <v>1017</v>
      </c>
      <c r="F66" s="27">
        <f t="shared" si="10"/>
        <v>3724</v>
      </c>
      <c r="G66" s="114">
        <v>129</v>
      </c>
      <c r="H66" s="29">
        <f t="shared" si="11"/>
        <v>4902</v>
      </c>
      <c r="I66" s="77"/>
      <c r="J66" s="268">
        <f t="shared" si="6"/>
        <v>0</v>
      </c>
      <c r="K66" s="16"/>
      <c r="L66" s="270">
        <f t="shared" si="7"/>
        <v>0</v>
      </c>
      <c r="M66" s="15">
        <f t="shared" si="12"/>
        <v>0</v>
      </c>
      <c r="N66" s="15">
        <f t="shared" si="13"/>
        <v>0</v>
      </c>
      <c r="O66" s="15" t="str">
        <f t="shared" si="14"/>
        <v/>
      </c>
      <c r="P66" s="14">
        <f t="shared" si="15"/>
        <v>3724</v>
      </c>
      <c r="Q66" s="14">
        <f t="shared" si="16"/>
        <v>-24.031007751937985</v>
      </c>
      <c r="R66" s="116"/>
      <c r="S66" s="1">
        <v>11500</v>
      </c>
      <c r="U66" s="1" t="str">
        <f t="shared" si="8"/>
        <v>98.00</v>
      </c>
      <c r="V66" s="1">
        <f t="shared" si="9"/>
        <v>0</v>
      </c>
      <c r="Z66" s="16"/>
    </row>
    <row r="67" spans="1:26" ht="18.75">
      <c r="A67" s="113">
        <v>59</v>
      </c>
      <c r="B67" s="28" t="s">
        <v>901</v>
      </c>
      <c r="C67" s="24" t="s">
        <v>737</v>
      </c>
      <c r="D67" s="28" t="s">
        <v>64</v>
      </c>
      <c r="E67" s="28" t="s">
        <v>899</v>
      </c>
      <c r="F67" s="27">
        <f t="shared" si="10"/>
        <v>1092</v>
      </c>
      <c r="G67" s="114" t="s">
        <v>210</v>
      </c>
      <c r="H67" s="29">
        <f t="shared" si="11"/>
        <v>1423.8</v>
      </c>
      <c r="I67" s="77"/>
      <c r="J67" s="268">
        <f t="shared" si="6"/>
        <v>0</v>
      </c>
      <c r="K67" s="16"/>
      <c r="L67" s="270">
        <f t="shared" si="7"/>
        <v>0</v>
      </c>
      <c r="M67" s="15">
        <f t="shared" si="12"/>
        <v>0</v>
      </c>
      <c r="N67" s="15">
        <f t="shared" si="13"/>
        <v>0</v>
      </c>
      <c r="O67" s="15" t="str">
        <f t="shared" si="14"/>
        <v/>
      </c>
      <c r="P67" s="14">
        <f t="shared" si="15"/>
        <v>1092</v>
      </c>
      <c r="Q67" s="14">
        <f t="shared" si="16"/>
        <v>-23.303834808259584</v>
      </c>
      <c r="R67" s="116"/>
      <c r="S67" s="1">
        <v>61050</v>
      </c>
      <c r="U67" s="1">
        <v>2000</v>
      </c>
      <c r="V67" s="1">
        <f t="shared" si="9"/>
        <v>0</v>
      </c>
      <c r="Z67" s="16">
        <v>55.39</v>
      </c>
    </row>
    <row r="68" spans="1:26" ht="18.75">
      <c r="A68" s="113">
        <v>60</v>
      </c>
      <c r="B68" s="28" t="s">
        <v>901</v>
      </c>
      <c r="C68" s="24" t="s">
        <v>738</v>
      </c>
      <c r="D68" s="28" t="s">
        <v>64</v>
      </c>
      <c r="E68" s="28" t="s">
        <v>1018</v>
      </c>
      <c r="F68" s="27">
        <f t="shared" si="10"/>
        <v>12978</v>
      </c>
      <c r="G68" s="114">
        <v>467</v>
      </c>
      <c r="H68" s="29">
        <f t="shared" si="11"/>
        <v>19614</v>
      </c>
      <c r="I68" s="77"/>
      <c r="J68" s="268">
        <f t="shared" si="6"/>
        <v>0</v>
      </c>
      <c r="K68" s="16"/>
      <c r="L68" s="270">
        <f t="shared" si="7"/>
        <v>0</v>
      </c>
      <c r="M68" s="15">
        <f t="shared" si="12"/>
        <v>0</v>
      </c>
      <c r="N68" s="15">
        <f t="shared" si="13"/>
        <v>0</v>
      </c>
      <c r="O68" s="15" t="str">
        <f t="shared" si="14"/>
        <v/>
      </c>
      <c r="P68" s="14">
        <f t="shared" si="15"/>
        <v>12978</v>
      </c>
      <c r="Q68" s="112">
        <f t="shared" si="16"/>
        <v>-33.832976445396149</v>
      </c>
      <c r="R68" s="116"/>
      <c r="S68" s="1">
        <v>1200</v>
      </c>
      <c r="U68" s="1" t="str">
        <f>E68</f>
        <v>309.00</v>
      </c>
      <c r="V68" s="1">
        <f t="shared" si="9"/>
        <v>0</v>
      </c>
      <c r="Z68" s="16">
        <v>55.57</v>
      </c>
    </row>
    <row r="69" spans="1:26" ht="18.75">
      <c r="A69" s="113">
        <v>61</v>
      </c>
      <c r="B69" s="28" t="s">
        <v>902</v>
      </c>
      <c r="C69" s="24" t="s">
        <v>739</v>
      </c>
      <c r="D69" s="28" t="s">
        <v>65</v>
      </c>
      <c r="E69" s="28" t="s">
        <v>963</v>
      </c>
      <c r="F69" s="27">
        <f t="shared" si="10"/>
        <v>450</v>
      </c>
      <c r="G69" s="114">
        <v>21</v>
      </c>
      <c r="H69" s="29">
        <f t="shared" si="11"/>
        <v>630</v>
      </c>
      <c r="I69" s="77"/>
      <c r="J69" s="268">
        <f t="shared" si="6"/>
        <v>0</v>
      </c>
      <c r="K69" s="16"/>
      <c r="L69" s="270">
        <f t="shared" si="7"/>
        <v>0</v>
      </c>
      <c r="M69" s="15">
        <f t="shared" si="12"/>
        <v>0</v>
      </c>
      <c r="N69" s="15">
        <f t="shared" si="13"/>
        <v>0</v>
      </c>
      <c r="O69" s="15" t="str">
        <f t="shared" si="14"/>
        <v/>
      </c>
      <c r="P69" s="14">
        <f t="shared" si="15"/>
        <v>450</v>
      </c>
      <c r="Q69" s="112">
        <f t="shared" si="16"/>
        <v>-28.571428571428569</v>
      </c>
      <c r="R69" s="116"/>
      <c r="U69" s="1">
        <v>1500</v>
      </c>
      <c r="V69" s="1">
        <f t="shared" si="9"/>
        <v>0</v>
      </c>
      <c r="Z69" s="16"/>
    </row>
    <row r="70" spans="1:26" ht="18.75">
      <c r="A70" s="113">
        <v>62</v>
      </c>
      <c r="B70" s="28" t="s">
        <v>903</v>
      </c>
      <c r="C70" s="24" t="s">
        <v>740</v>
      </c>
      <c r="D70" s="28" t="s">
        <v>64</v>
      </c>
      <c r="E70" s="28" t="s">
        <v>204</v>
      </c>
      <c r="F70" s="27">
        <f t="shared" si="10"/>
        <v>1160</v>
      </c>
      <c r="G70" s="114">
        <v>76</v>
      </c>
      <c r="H70" s="29">
        <f t="shared" si="11"/>
        <v>1520</v>
      </c>
      <c r="I70" s="77"/>
      <c r="J70" s="268">
        <f t="shared" si="6"/>
        <v>0</v>
      </c>
      <c r="K70" s="16"/>
      <c r="L70" s="270">
        <f t="shared" si="7"/>
        <v>0</v>
      </c>
      <c r="M70" s="15">
        <f t="shared" si="12"/>
        <v>0</v>
      </c>
      <c r="N70" s="15">
        <f t="shared" si="13"/>
        <v>0</v>
      </c>
      <c r="O70" s="15" t="str">
        <f t="shared" si="14"/>
        <v/>
      </c>
      <c r="P70" s="14">
        <f t="shared" si="15"/>
        <v>1160</v>
      </c>
      <c r="Q70" s="14">
        <f t="shared" si="16"/>
        <v>-23.684210526315788</v>
      </c>
      <c r="R70" s="116"/>
      <c r="S70" s="1">
        <v>15150</v>
      </c>
      <c r="U70" s="1">
        <v>1500</v>
      </c>
      <c r="V70" s="1">
        <f t="shared" si="9"/>
        <v>0</v>
      </c>
      <c r="Z70" s="16">
        <v>34.92</v>
      </c>
    </row>
    <row r="71" spans="1:26" ht="33">
      <c r="A71" s="113">
        <v>63</v>
      </c>
      <c r="B71" s="28" t="s">
        <v>223</v>
      </c>
      <c r="C71" s="24" t="s">
        <v>741</v>
      </c>
      <c r="D71" s="28" t="s">
        <v>65</v>
      </c>
      <c r="E71" s="28" t="s">
        <v>1019</v>
      </c>
      <c r="F71" s="27">
        <f t="shared" si="10"/>
        <v>3060</v>
      </c>
      <c r="G71" s="114">
        <v>73.599999999999994</v>
      </c>
      <c r="H71" s="29">
        <f t="shared" si="11"/>
        <v>4416</v>
      </c>
      <c r="I71" s="77"/>
      <c r="J71" s="268">
        <f t="shared" si="6"/>
        <v>0</v>
      </c>
      <c r="K71" s="16"/>
      <c r="L71" s="270">
        <f t="shared" si="7"/>
        <v>0</v>
      </c>
      <c r="M71" s="15">
        <f t="shared" si="12"/>
        <v>0</v>
      </c>
      <c r="N71" s="15">
        <f t="shared" si="13"/>
        <v>0</v>
      </c>
      <c r="O71" s="15" t="str">
        <f t="shared" si="14"/>
        <v/>
      </c>
      <c r="P71" s="14">
        <f t="shared" si="15"/>
        <v>3060</v>
      </c>
      <c r="Q71" s="112">
        <f t="shared" si="16"/>
        <v>-30.706521739130427</v>
      </c>
      <c r="R71" s="116"/>
      <c r="S71" s="1">
        <v>15000</v>
      </c>
      <c r="U71" s="1" t="str">
        <f>E71</f>
        <v>51.00</v>
      </c>
      <c r="V71" s="1">
        <f t="shared" si="9"/>
        <v>0</v>
      </c>
      <c r="Z71" s="16"/>
    </row>
    <row r="72" spans="1:26" ht="18.75">
      <c r="A72" s="113">
        <v>64</v>
      </c>
      <c r="B72" s="28" t="s">
        <v>895</v>
      </c>
      <c r="C72" s="24" t="s">
        <v>742</v>
      </c>
      <c r="D72" s="28" t="s">
        <v>64</v>
      </c>
      <c r="E72" s="28" t="s">
        <v>1020</v>
      </c>
      <c r="F72" s="27">
        <f t="shared" si="10"/>
        <v>1685</v>
      </c>
      <c r="G72" s="114">
        <v>2588</v>
      </c>
      <c r="H72" s="29">
        <f t="shared" si="11"/>
        <v>2588</v>
      </c>
      <c r="I72" s="77"/>
      <c r="J72" s="268">
        <f t="shared" si="6"/>
        <v>0</v>
      </c>
      <c r="K72" s="16"/>
      <c r="L72" s="270">
        <f t="shared" si="7"/>
        <v>0</v>
      </c>
      <c r="M72" s="15">
        <f t="shared" si="12"/>
        <v>0</v>
      </c>
      <c r="N72" s="15">
        <f t="shared" si="13"/>
        <v>0</v>
      </c>
      <c r="O72" s="15" t="str">
        <f t="shared" si="14"/>
        <v/>
      </c>
      <c r="P72" s="14">
        <f t="shared" si="15"/>
        <v>1685</v>
      </c>
      <c r="Q72" s="112">
        <f t="shared" si="16"/>
        <v>-34.891808346213296</v>
      </c>
      <c r="R72" s="116"/>
      <c r="S72" s="1">
        <v>15000</v>
      </c>
      <c r="U72" s="1" t="str">
        <f>E72</f>
        <v>1685.00</v>
      </c>
      <c r="V72" s="1">
        <f t="shared" si="9"/>
        <v>0</v>
      </c>
      <c r="Z72" s="16"/>
    </row>
    <row r="73" spans="1:26" ht="18.75">
      <c r="A73" s="113">
        <v>65</v>
      </c>
      <c r="B73" s="28" t="s">
        <v>895</v>
      </c>
      <c r="C73" s="24" t="s">
        <v>743</v>
      </c>
      <c r="D73" s="28" t="s">
        <v>63</v>
      </c>
      <c r="E73" s="28" t="s">
        <v>216</v>
      </c>
      <c r="F73" s="27">
        <f t="shared" si="10"/>
        <v>1664</v>
      </c>
      <c r="G73" s="114">
        <v>2292.0700000000002</v>
      </c>
      <c r="H73" s="29">
        <f t="shared" si="11"/>
        <v>2292.0700000000002</v>
      </c>
      <c r="I73" s="77"/>
      <c r="J73" s="268">
        <f t="shared" si="6"/>
        <v>0</v>
      </c>
      <c r="K73" s="16"/>
      <c r="L73" s="270">
        <f t="shared" si="7"/>
        <v>0</v>
      </c>
      <c r="M73" s="15">
        <f t="shared" si="12"/>
        <v>0</v>
      </c>
      <c r="N73" s="15">
        <f t="shared" si="13"/>
        <v>0</v>
      </c>
      <c r="O73" s="15" t="str">
        <f t="shared" si="14"/>
        <v/>
      </c>
      <c r="P73" s="14">
        <f t="shared" si="15"/>
        <v>1664</v>
      </c>
      <c r="Q73" s="112">
        <f t="shared" si="16"/>
        <v>-27.401868180291185</v>
      </c>
      <c r="R73" s="116"/>
      <c r="U73" s="1">
        <v>1500</v>
      </c>
      <c r="V73" s="1">
        <f t="shared" si="9"/>
        <v>0</v>
      </c>
      <c r="Z73" s="16"/>
    </row>
    <row r="74" spans="1:26" s="3" customFormat="1" ht="18.75">
      <c r="A74" s="113">
        <v>66</v>
      </c>
      <c r="B74" s="28" t="s">
        <v>218</v>
      </c>
      <c r="C74" s="24" t="s">
        <v>744</v>
      </c>
      <c r="D74" s="28" t="s">
        <v>967</v>
      </c>
      <c r="E74" s="28" t="s">
        <v>899</v>
      </c>
      <c r="F74" s="27">
        <f t="shared" si="10"/>
        <v>3900</v>
      </c>
      <c r="G74" s="114" t="s">
        <v>211</v>
      </c>
      <c r="H74" s="29">
        <f t="shared" si="11"/>
        <v>5100</v>
      </c>
      <c r="I74" s="77">
        <v>152.44</v>
      </c>
      <c r="J74" s="268">
        <f t="shared" ref="J74:J137" si="17">E74*I74</f>
        <v>3963.44</v>
      </c>
      <c r="K74" s="16"/>
      <c r="L74" s="270">
        <f t="shared" ref="L74:L137" si="18">E74*K74</f>
        <v>0</v>
      </c>
      <c r="M74" s="15">
        <f t="shared" si="12"/>
        <v>152.44</v>
      </c>
      <c r="N74" s="15">
        <f t="shared" si="13"/>
        <v>3963.44</v>
      </c>
      <c r="O74" s="15">
        <f t="shared" si="14"/>
        <v>63.440000000000055</v>
      </c>
      <c r="P74" s="14" t="str">
        <f t="shared" si="15"/>
        <v/>
      </c>
      <c r="Q74" s="14">
        <f t="shared" si="16"/>
        <v>-23.52941176470588</v>
      </c>
      <c r="R74" s="116"/>
      <c r="S74" s="3">
        <v>3720</v>
      </c>
      <c r="U74" s="1" t="str">
        <f t="shared" ref="U74:U98" si="19">E74</f>
        <v>26.00</v>
      </c>
      <c r="V74" s="1">
        <f t="shared" ref="V74:V119" si="20">U74*I74</f>
        <v>3963.44</v>
      </c>
      <c r="Z74" s="16">
        <v>5.36</v>
      </c>
    </row>
    <row r="75" spans="1:26" s="3" customFormat="1" ht="18.75">
      <c r="A75" s="113">
        <v>67</v>
      </c>
      <c r="B75" s="28">
        <v>30.815999999999999</v>
      </c>
      <c r="C75" s="24" t="s">
        <v>745</v>
      </c>
      <c r="D75" s="28" t="s">
        <v>66</v>
      </c>
      <c r="E75" s="28" t="s">
        <v>1021</v>
      </c>
      <c r="F75" s="27">
        <f t="shared" ref="F75:F138" si="21">B75*E75</f>
        <v>96977.95199999999</v>
      </c>
      <c r="G75" s="114">
        <v>4366.75</v>
      </c>
      <c r="H75" s="29">
        <f t="shared" ref="H75:H138" si="22">G75*B75</f>
        <v>134565.76799999998</v>
      </c>
      <c r="I75" s="77">
        <v>22.277999999999999</v>
      </c>
      <c r="J75" s="268">
        <f t="shared" si="17"/>
        <v>70108.865999999995</v>
      </c>
      <c r="K75" s="16"/>
      <c r="L75" s="270">
        <f t="shared" si="18"/>
        <v>0</v>
      </c>
      <c r="M75" s="15">
        <f t="shared" ref="M75:M138" si="23">I75+K75</f>
        <v>22.277999999999999</v>
      </c>
      <c r="N75" s="15">
        <f t="shared" ref="N75:N138" si="24">M75*E75</f>
        <v>70108.865999999995</v>
      </c>
      <c r="O75" s="15" t="str">
        <f t="shared" ref="O75:O138" si="25">IF(N75&gt;F75,(N75-F75),"")</f>
        <v/>
      </c>
      <c r="P75" s="14">
        <f t="shared" ref="P75:P138" si="26">IF(F75&gt;N75,(F75-N75),"")</f>
        <v>26869.085999999996</v>
      </c>
      <c r="Q75" s="112">
        <f t="shared" ref="Q75:Q138" si="27">((E75-G75)/G75)*100</f>
        <v>-27.932673040590828</v>
      </c>
      <c r="R75" s="116"/>
      <c r="S75" s="3">
        <v>2540</v>
      </c>
      <c r="U75" s="1" t="str">
        <f t="shared" si="19"/>
        <v>3147.00</v>
      </c>
      <c r="V75" s="1">
        <f t="shared" si="20"/>
        <v>70108.865999999995</v>
      </c>
      <c r="Z75" s="16">
        <v>5.36</v>
      </c>
    </row>
    <row r="76" spans="1:26" s="3" customFormat="1" ht="33">
      <c r="A76" s="113">
        <v>68</v>
      </c>
      <c r="B76" s="28" t="s">
        <v>904</v>
      </c>
      <c r="C76" s="24" t="s">
        <v>746</v>
      </c>
      <c r="D76" s="28" t="s">
        <v>966</v>
      </c>
      <c r="E76" s="28" t="s">
        <v>1022</v>
      </c>
      <c r="F76" s="27">
        <f t="shared" si="21"/>
        <v>109746.00000000001</v>
      </c>
      <c r="G76" s="114">
        <v>242.09</v>
      </c>
      <c r="H76" s="29">
        <f t="shared" si="22"/>
        <v>147602.27300000002</v>
      </c>
      <c r="I76" s="77">
        <v>100.99</v>
      </c>
      <c r="J76" s="268">
        <f t="shared" si="17"/>
        <v>18178.2</v>
      </c>
      <c r="K76" s="16"/>
      <c r="L76" s="270">
        <f t="shared" si="18"/>
        <v>0</v>
      </c>
      <c r="M76" s="15">
        <f t="shared" si="23"/>
        <v>100.99</v>
      </c>
      <c r="N76" s="15">
        <f t="shared" si="24"/>
        <v>18178.2</v>
      </c>
      <c r="O76" s="15" t="str">
        <f t="shared" si="25"/>
        <v/>
      </c>
      <c r="P76" s="14">
        <f t="shared" si="26"/>
        <v>91567.800000000017</v>
      </c>
      <c r="Q76" s="112">
        <f t="shared" si="27"/>
        <v>-25.647486471973235</v>
      </c>
      <c r="R76" s="116"/>
      <c r="S76" s="3">
        <v>2540</v>
      </c>
      <c r="U76" s="1" t="str">
        <f t="shared" si="19"/>
        <v>180.00</v>
      </c>
      <c r="V76" s="1">
        <f t="shared" si="20"/>
        <v>18178.2</v>
      </c>
      <c r="Z76" s="16">
        <v>5.36</v>
      </c>
    </row>
    <row r="77" spans="1:26" s="3" customFormat="1" ht="18.75">
      <c r="A77" s="113">
        <v>69</v>
      </c>
      <c r="B77" s="28" t="s">
        <v>854</v>
      </c>
      <c r="C77" s="24" t="s">
        <v>747</v>
      </c>
      <c r="D77" s="28" t="s">
        <v>62</v>
      </c>
      <c r="E77" s="28" t="s">
        <v>1023</v>
      </c>
      <c r="F77" s="27">
        <f t="shared" si="21"/>
        <v>33163.199999999997</v>
      </c>
      <c r="G77" s="114">
        <v>4151.8500000000004</v>
      </c>
      <c r="H77" s="29">
        <f t="shared" si="22"/>
        <v>46500.72</v>
      </c>
      <c r="I77" s="77">
        <v>8.73</v>
      </c>
      <c r="J77" s="268">
        <f t="shared" si="17"/>
        <v>25849.530000000002</v>
      </c>
      <c r="K77" s="16"/>
      <c r="L77" s="270">
        <f t="shared" si="18"/>
        <v>0</v>
      </c>
      <c r="M77" s="15">
        <f t="shared" si="23"/>
        <v>8.73</v>
      </c>
      <c r="N77" s="15">
        <f t="shared" si="24"/>
        <v>25849.530000000002</v>
      </c>
      <c r="O77" s="15" t="str">
        <f t="shared" si="25"/>
        <v/>
      </c>
      <c r="P77" s="14">
        <f t="shared" si="26"/>
        <v>7313.6699999999946</v>
      </c>
      <c r="Q77" s="112">
        <f t="shared" si="27"/>
        <v>-28.682394595180465</v>
      </c>
      <c r="R77" s="116"/>
      <c r="S77" s="3">
        <v>38600</v>
      </c>
      <c r="U77" s="1" t="str">
        <f t="shared" si="19"/>
        <v>2961.00</v>
      </c>
      <c r="V77" s="1">
        <f t="shared" si="20"/>
        <v>25849.530000000002</v>
      </c>
      <c r="Z77" s="16">
        <v>83.65</v>
      </c>
    </row>
    <row r="78" spans="1:26" s="3" customFormat="1" ht="49.5">
      <c r="A78" s="113">
        <v>70</v>
      </c>
      <c r="B78" s="28" t="s">
        <v>905</v>
      </c>
      <c r="C78" s="24" t="s">
        <v>748</v>
      </c>
      <c r="D78" s="28" t="s">
        <v>62</v>
      </c>
      <c r="E78" s="28" t="s">
        <v>1024</v>
      </c>
      <c r="F78" s="27">
        <f t="shared" si="21"/>
        <v>595051</v>
      </c>
      <c r="G78" s="114">
        <v>6899.97</v>
      </c>
      <c r="H78" s="29">
        <f t="shared" si="22"/>
        <v>832826.37900000007</v>
      </c>
      <c r="I78" s="77">
        <v>65.959999999999994</v>
      </c>
      <c r="J78" s="268">
        <f t="shared" si="17"/>
        <v>325182.8</v>
      </c>
      <c r="K78" s="16"/>
      <c r="L78" s="270">
        <f t="shared" si="18"/>
        <v>0</v>
      </c>
      <c r="M78" s="15">
        <f t="shared" si="23"/>
        <v>65.959999999999994</v>
      </c>
      <c r="N78" s="15">
        <f t="shared" si="24"/>
        <v>325182.8</v>
      </c>
      <c r="O78" s="15" t="str">
        <f t="shared" si="25"/>
        <v/>
      </c>
      <c r="P78" s="14">
        <f t="shared" si="26"/>
        <v>269868.2</v>
      </c>
      <c r="Q78" s="112">
        <f t="shared" si="27"/>
        <v>-28.550413987307195</v>
      </c>
      <c r="R78" s="116"/>
      <c r="S78" s="3">
        <v>38600</v>
      </c>
      <c r="U78" s="1" t="str">
        <f t="shared" si="19"/>
        <v>4930.00</v>
      </c>
      <c r="V78" s="1">
        <f t="shared" si="20"/>
        <v>325182.8</v>
      </c>
      <c r="Z78" s="16"/>
    </row>
    <row r="79" spans="1:26" s="3" customFormat="1" ht="18.75">
      <c r="A79" s="113">
        <v>71</v>
      </c>
      <c r="B79" s="28" t="s">
        <v>906</v>
      </c>
      <c r="C79" s="24" t="s">
        <v>704</v>
      </c>
      <c r="D79" s="28" t="s">
        <v>62</v>
      </c>
      <c r="E79" s="28" t="s">
        <v>1025</v>
      </c>
      <c r="F79" s="27">
        <f t="shared" si="21"/>
        <v>193806</v>
      </c>
      <c r="G79" s="114">
        <v>6998.86</v>
      </c>
      <c r="H79" s="29">
        <f t="shared" si="22"/>
        <v>271555.76799999998</v>
      </c>
      <c r="I79" s="77">
        <v>35.270000000000003</v>
      </c>
      <c r="J79" s="268">
        <f t="shared" si="17"/>
        <v>176173.65000000002</v>
      </c>
      <c r="K79" s="16"/>
      <c r="L79" s="270">
        <f t="shared" si="18"/>
        <v>0</v>
      </c>
      <c r="M79" s="15">
        <f t="shared" si="23"/>
        <v>35.270000000000003</v>
      </c>
      <c r="N79" s="15">
        <f t="shared" si="24"/>
        <v>176173.65000000002</v>
      </c>
      <c r="O79" s="15" t="str">
        <f t="shared" si="25"/>
        <v/>
      </c>
      <c r="P79" s="14">
        <f t="shared" si="26"/>
        <v>17632.349999999977</v>
      </c>
      <c r="Q79" s="112">
        <f t="shared" si="27"/>
        <v>-28.631234229574527</v>
      </c>
      <c r="R79" s="116"/>
      <c r="S79" s="3">
        <v>38600</v>
      </c>
      <c r="U79" s="1" t="str">
        <f t="shared" si="19"/>
        <v>4995.00</v>
      </c>
      <c r="V79" s="1">
        <f t="shared" si="20"/>
        <v>176173.65000000002</v>
      </c>
      <c r="Z79" s="16">
        <v>0</v>
      </c>
    </row>
    <row r="80" spans="1:26" s="3" customFormat="1" ht="18.75">
      <c r="A80" s="113">
        <v>72</v>
      </c>
      <c r="B80" s="28" t="s">
        <v>907</v>
      </c>
      <c r="C80" s="24" t="s">
        <v>39</v>
      </c>
      <c r="D80" s="28" t="s">
        <v>62</v>
      </c>
      <c r="E80" s="28" t="s">
        <v>1026</v>
      </c>
      <c r="F80" s="27">
        <f t="shared" si="21"/>
        <v>185525.00000000003</v>
      </c>
      <c r="G80" s="114">
        <v>7193.56</v>
      </c>
      <c r="H80" s="29">
        <f t="shared" si="22"/>
        <v>260406.87200000003</v>
      </c>
      <c r="I80" s="77">
        <v>36.76</v>
      </c>
      <c r="J80" s="268">
        <f t="shared" si="17"/>
        <v>188395</v>
      </c>
      <c r="K80" s="16"/>
      <c r="L80" s="270">
        <f t="shared" si="18"/>
        <v>0</v>
      </c>
      <c r="M80" s="15">
        <f t="shared" si="23"/>
        <v>36.76</v>
      </c>
      <c r="N80" s="15">
        <f t="shared" si="24"/>
        <v>188395</v>
      </c>
      <c r="O80" s="15">
        <f t="shared" si="25"/>
        <v>2869.9999999999709</v>
      </c>
      <c r="P80" s="14" t="str">
        <f t="shared" si="26"/>
        <v/>
      </c>
      <c r="Q80" s="112">
        <f t="shared" si="27"/>
        <v>-28.755720394352728</v>
      </c>
      <c r="R80" s="116"/>
      <c r="S80" s="3">
        <v>38600</v>
      </c>
      <c r="U80" s="1" t="str">
        <f t="shared" si="19"/>
        <v>5125.00</v>
      </c>
      <c r="V80" s="1">
        <f t="shared" si="20"/>
        <v>188395</v>
      </c>
      <c r="Z80" s="16">
        <v>0</v>
      </c>
    </row>
    <row r="81" spans="1:26" s="3" customFormat="1" ht="18.75">
      <c r="A81" s="113">
        <v>73</v>
      </c>
      <c r="B81" s="28" t="s">
        <v>908</v>
      </c>
      <c r="C81" s="24" t="s">
        <v>40</v>
      </c>
      <c r="D81" s="28" t="s">
        <v>62</v>
      </c>
      <c r="E81" s="28" t="s">
        <v>1027</v>
      </c>
      <c r="F81" s="27">
        <f t="shared" si="21"/>
        <v>195448.80000000002</v>
      </c>
      <c r="G81" s="114">
        <v>7388.26</v>
      </c>
      <c r="H81" s="29">
        <f t="shared" si="22"/>
        <v>274843.27200000006</v>
      </c>
      <c r="I81" s="77">
        <v>33.18</v>
      </c>
      <c r="J81" s="268">
        <f t="shared" si="17"/>
        <v>174327.72</v>
      </c>
      <c r="K81" s="16"/>
      <c r="L81" s="270">
        <f t="shared" si="18"/>
        <v>0</v>
      </c>
      <c r="M81" s="15">
        <f t="shared" si="23"/>
        <v>33.18</v>
      </c>
      <c r="N81" s="15">
        <f t="shared" si="24"/>
        <v>174327.72</v>
      </c>
      <c r="O81" s="15" t="str">
        <f t="shared" si="25"/>
        <v/>
      </c>
      <c r="P81" s="14">
        <f t="shared" si="26"/>
        <v>21121.080000000016</v>
      </c>
      <c r="Q81" s="112">
        <f t="shared" si="27"/>
        <v>-28.887180472804154</v>
      </c>
      <c r="R81" s="116"/>
      <c r="S81" s="3">
        <v>6100</v>
      </c>
      <c r="U81" s="1" t="str">
        <f t="shared" si="19"/>
        <v>5254.00</v>
      </c>
      <c r="V81" s="1">
        <f t="shared" si="20"/>
        <v>174327.72</v>
      </c>
      <c r="Z81" s="16">
        <v>0</v>
      </c>
    </row>
    <row r="82" spans="1:26" s="3" customFormat="1" ht="18.75">
      <c r="A82" s="113">
        <v>74</v>
      </c>
      <c r="B82" s="28" t="s">
        <v>909</v>
      </c>
      <c r="C82" s="24" t="s">
        <v>44</v>
      </c>
      <c r="D82" s="28" t="s">
        <v>62</v>
      </c>
      <c r="E82" s="28" t="s">
        <v>1028</v>
      </c>
      <c r="F82" s="27">
        <f t="shared" si="21"/>
        <v>165288.79999999999</v>
      </c>
      <c r="G82" s="114">
        <v>7582.96</v>
      </c>
      <c r="H82" s="29">
        <f t="shared" si="22"/>
        <v>232796.872</v>
      </c>
      <c r="I82" s="77">
        <v>22.24</v>
      </c>
      <c r="J82" s="268">
        <f t="shared" si="17"/>
        <v>119740.15999999999</v>
      </c>
      <c r="K82" s="16"/>
      <c r="L82" s="270">
        <f t="shared" si="18"/>
        <v>0</v>
      </c>
      <c r="M82" s="15">
        <f t="shared" si="23"/>
        <v>22.24</v>
      </c>
      <c r="N82" s="15">
        <f t="shared" si="24"/>
        <v>119740.15999999999</v>
      </c>
      <c r="O82" s="15" t="str">
        <f t="shared" si="25"/>
        <v/>
      </c>
      <c r="P82" s="14">
        <f t="shared" si="26"/>
        <v>45548.639999999999</v>
      </c>
      <c r="Q82" s="112">
        <f t="shared" si="27"/>
        <v>-28.998702353698292</v>
      </c>
      <c r="R82" s="116"/>
      <c r="U82" s="1" t="str">
        <f t="shared" si="19"/>
        <v>5384.00</v>
      </c>
      <c r="V82" s="1">
        <f t="shared" si="20"/>
        <v>119740.15999999999</v>
      </c>
      <c r="Z82" s="16"/>
    </row>
    <row r="83" spans="1:26" ht="49.5">
      <c r="A83" s="113">
        <v>75</v>
      </c>
      <c r="B83" s="28" t="s">
        <v>910</v>
      </c>
      <c r="C83" s="24" t="s">
        <v>749</v>
      </c>
      <c r="D83" s="28" t="s">
        <v>967</v>
      </c>
      <c r="E83" s="28" t="s">
        <v>1029</v>
      </c>
      <c r="F83" s="27">
        <f t="shared" si="21"/>
        <v>2386.6999999999998</v>
      </c>
      <c r="G83" s="114">
        <v>1256.8900000000001</v>
      </c>
      <c r="H83" s="29">
        <f t="shared" si="22"/>
        <v>3644.9810000000002</v>
      </c>
      <c r="I83" s="77"/>
      <c r="J83" s="268">
        <f t="shared" si="17"/>
        <v>0</v>
      </c>
      <c r="K83" s="16"/>
      <c r="L83" s="270">
        <f t="shared" si="18"/>
        <v>0</v>
      </c>
      <c r="M83" s="15">
        <f t="shared" si="23"/>
        <v>0</v>
      </c>
      <c r="N83" s="15">
        <f t="shared" si="24"/>
        <v>0</v>
      </c>
      <c r="O83" s="15" t="str">
        <f t="shared" si="25"/>
        <v/>
      </c>
      <c r="P83" s="14">
        <f t="shared" si="26"/>
        <v>2386.6999999999998</v>
      </c>
      <c r="Q83" s="112">
        <f t="shared" si="27"/>
        <v>-34.520920685183277</v>
      </c>
      <c r="R83" s="116"/>
      <c r="S83" s="1">
        <v>5500</v>
      </c>
      <c r="U83" s="1" t="str">
        <f t="shared" si="19"/>
        <v>823.00</v>
      </c>
      <c r="V83" s="1">
        <f t="shared" si="20"/>
        <v>0</v>
      </c>
      <c r="Z83" s="16">
        <v>126</v>
      </c>
    </row>
    <row r="84" spans="1:26" ht="18.75">
      <c r="A84" s="113">
        <v>76</v>
      </c>
      <c r="B84" s="28" t="s">
        <v>911</v>
      </c>
      <c r="C84" s="24" t="s">
        <v>750</v>
      </c>
      <c r="D84" s="28" t="s">
        <v>967</v>
      </c>
      <c r="E84" s="28" t="s">
        <v>1030</v>
      </c>
      <c r="F84" s="27">
        <f t="shared" si="21"/>
        <v>19080.600000000002</v>
      </c>
      <c r="G84" s="114">
        <v>1260.82</v>
      </c>
      <c r="H84" s="29">
        <f t="shared" si="22"/>
        <v>29124.941999999999</v>
      </c>
      <c r="I84" s="77"/>
      <c r="J84" s="268">
        <f t="shared" si="17"/>
        <v>0</v>
      </c>
      <c r="K84" s="16"/>
      <c r="L84" s="270">
        <f t="shared" si="18"/>
        <v>0</v>
      </c>
      <c r="M84" s="15">
        <f t="shared" si="23"/>
        <v>0</v>
      </c>
      <c r="N84" s="15">
        <f t="shared" si="24"/>
        <v>0</v>
      </c>
      <c r="O84" s="15" t="str">
        <f t="shared" si="25"/>
        <v/>
      </c>
      <c r="P84" s="14">
        <f t="shared" si="26"/>
        <v>19080.600000000002</v>
      </c>
      <c r="Q84" s="112">
        <f t="shared" si="27"/>
        <v>-34.487079836931514</v>
      </c>
      <c r="R84" s="116"/>
      <c r="S84" s="1">
        <v>5500</v>
      </c>
      <c r="U84" s="1" t="str">
        <f t="shared" si="19"/>
        <v>826.00</v>
      </c>
      <c r="V84" s="1">
        <f t="shared" si="20"/>
        <v>0</v>
      </c>
      <c r="Z84" s="16">
        <v>20.12</v>
      </c>
    </row>
    <row r="85" spans="1:26" ht="18.75">
      <c r="A85" s="113">
        <v>77</v>
      </c>
      <c r="B85" s="28" t="s">
        <v>899</v>
      </c>
      <c r="C85" s="24" t="s">
        <v>751</v>
      </c>
      <c r="D85" s="28" t="s">
        <v>967</v>
      </c>
      <c r="E85" s="28" t="s">
        <v>1031</v>
      </c>
      <c r="F85" s="27">
        <f t="shared" si="21"/>
        <v>21554</v>
      </c>
      <c r="G85" s="114">
        <v>1264.75</v>
      </c>
      <c r="H85" s="29">
        <f t="shared" si="22"/>
        <v>32883.5</v>
      </c>
      <c r="I85" s="77"/>
      <c r="J85" s="268">
        <f t="shared" si="17"/>
        <v>0</v>
      </c>
      <c r="K85" s="16"/>
      <c r="L85" s="270">
        <f t="shared" si="18"/>
        <v>0</v>
      </c>
      <c r="M85" s="15">
        <f t="shared" si="23"/>
        <v>0</v>
      </c>
      <c r="N85" s="15">
        <f t="shared" si="24"/>
        <v>0</v>
      </c>
      <c r="O85" s="15" t="str">
        <f t="shared" si="25"/>
        <v/>
      </c>
      <c r="P85" s="14">
        <f t="shared" si="26"/>
        <v>21554</v>
      </c>
      <c r="Q85" s="112">
        <f t="shared" si="27"/>
        <v>-34.45344929828029</v>
      </c>
      <c r="R85" s="116"/>
      <c r="S85" s="1">
        <v>5500</v>
      </c>
      <c r="U85" s="1" t="str">
        <f t="shared" si="19"/>
        <v>829.00</v>
      </c>
      <c r="V85" s="1">
        <f t="shared" si="20"/>
        <v>0</v>
      </c>
      <c r="Z85" s="16">
        <v>0</v>
      </c>
    </row>
    <row r="86" spans="1:26" ht="18.75">
      <c r="A86" s="113">
        <v>78</v>
      </c>
      <c r="B86" s="28" t="s">
        <v>912</v>
      </c>
      <c r="C86" s="24" t="s">
        <v>752</v>
      </c>
      <c r="D86" s="28" t="s">
        <v>967</v>
      </c>
      <c r="E86" s="28" t="s">
        <v>1032</v>
      </c>
      <c r="F86" s="27">
        <f t="shared" si="21"/>
        <v>9639.6</v>
      </c>
      <c r="G86" s="114">
        <v>1268.68</v>
      </c>
      <c r="H86" s="29">
        <f t="shared" si="22"/>
        <v>14716.688</v>
      </c>
      <c r="I86" s="77"/>
      <c r="J86" s="268">
        <f t="shared" si="17"/>
        <v>0</v>
      </c>
      <c r="K86" s="16"/>
      <c r="L86" s="270">
        <f t="shared" si="18"/>
        <v>0</v>
      </c>
      <c r="M86" s="15">
        <f t="shared" si="23"/>
        <v>0</v>
      </c>
      <c r="N86" s="15">
        <f t="shared" si="24"/>
        <v>0</v>
      </c>
      <c r="O86" s="15" t="str">
        <f t="shared" si="25"/>
        <v/>
      </c>
      <c r="P86" s="14">
        <f t="shared" si="26"/>
        <v>9639.6</v>
      </c>
      <c r="Q86" s="112">
        <f t="shared" si="27"/>
        <v>-34.498849197591205</v>
      </c>
      <c r="R86" s="116"/>
      <c r="S86" s="1">
        <f>M86-3335</f>
        <v>-3335</v>
      </c>
      <c r="U86" s="1" t="str">
        <f t="shared" si="19"/>
        <v>831.00</v>
      </c>
      <c r="V86" s="1">
        <f t="shared" si="20"/>
        <v>0</v>
      </c>
      <c r="Z86" s="16">
        <v>0</v>
      </c>
    </row>
    <row r="87" spans="1:26" ht="49.5">
      <c r="A87" s="113">
        <v>79</v>
      </c>
      <c r="B87" s="28" t="s">
        <v>913</v>
      </c>
      <c r="C87" s="24" t="s">
        <v>753</v>
      </c>
      <c r="D87" s="28" t="s">
        <v>967</v>
      </c>
      <c r="E87" s="28" t="s">
        <v>1033</v>
      </c>
      <c r="F87" s="27">
        <f t="shared" si="21"/>
        <v>732.80000000000007</v>
      </c>
      <c r="G87" s="114">
        <v>1387.13</v>
      </c>
      <c r="H87" s="29">
        <f t="shared" si="22"/>
        <v>1109.7040000000002</v>
      </c>
      <c r="I87" s="77"/>
      <c r="J87" s="268">
        <f t="shared" si="17"/>
        <v>0</v>
      </c>
      <c r="K87" s="16"/>
      <c r="L87" s="270">
        <f t="shared" si="18"/>
        <v>0</v>
      </c>
      <c r="M87" s="15">
        <f t="shared" si="23"/>
        <v>0</v>
      </c>
      <c r="N87" s="15">
        <f t="shared" si="24"/>
        <v>0</v>
      </c>
      <c r="O87" s="15" t="str">
        <f t="shared" si="25"/>
        <v/>
      </c>
      <c r="P87" s="14">
        <f t="shared" si="26"/>
        <v>732.80000000000007</v>
      </c>
      <c r="Q87" s="112">
        <f t="shared" si="27"/>
        <v>-33.964372481310335</v>
      </c>
      <c r="R87" s="116"/>
      <c r="S87" s="1">
        <v>5500</v>
      </c>
      <c r="U87" s="1" t="str">
        <f t="shared" si="19"/>
        <v>916.00</v>
      </c>
      <c r="V87" s="1">
        <f t="shared" si="20"/>
        <v>0</v>
      </c>
      <c r="Z87" s="16">
        <v>8.25</v>
      </c>
    </row>
    <row r="88" spans="1:26" ht="18.75">
      <c r="A88" s="113">
        <v>80</v>
      </c>
      <c r="B88" s="28" t="s">
        <v>914</v>
      </c>
      <c r="C88" s="24" t="s">
        <v>45</v>
      </c>
      <c r="D88" s="28" t="s">
        <v>967</v>
      </c>
      <c r="E88" s="28" t="s">
        <v>1034</v>
      </c>
      <c r="F88" s="27">
        <f t="shared" si="21"/>
        <v>5341.8</v>
      </c>
      <c r="G88" s="114">
        <v>1394.99</v>
      </c>
      <c r="H88" s="29">
        <f t="shared" si="22"/>
        <v>8090.942</v>
      </c>
      <c r="I88" s="77"/>
      <c r="J88" s="268">
        <f t="shared" si="17"/>
        <v>0</v>
      </c>
      <c r="K88" s="16"/>
      <c r="L88" s="270">
        <f t="shared" si="18"/>
        <v>0</v>
      </c>
      <c r="M88" s="15">
        <f t="shared" si="23"/>
        <v>0</v>
      </c>
      <c r="N88" s="15">
        <f t="shared" si="24"/>
        <v>0</v>
      </c>
      <c r="O88" s="15" t="str">
        <f t="shared" si="25"/>
        <v/>
      </c>
      <c r="P88" s="14">
        <f t="shared" si="26"/>
        <v>5341.8</v>
      </c>
      <c r="Q88" s="112">
        <f t="shared" si="27"/>
        <v>-33.978021347823287</v>
      </c>
      <c r="R88" s="116"/>
      <c r="S88" s="1">
        <v>11200</v>
      </c>
      <c r="U88" s="1" t="str">
        <f t="shared" si="19"/>
        <v>921.00</v>
      </c>
      <c r="V88" s="1">
        <f t="shared" si="20"/>
        <v>0</v>
      </c>
      <c r="Z88" s="16">
        <v>3507.24</v>
      </c>
    </row>
    <row r="89" spans="1:26" ht="18.75">
      <c r="A89" s="113">
        <v>81</v>
      </c>
      <c r="B89" s="28" t="s">
        <v>915</v>
      </c>
      <c r="C89" s="24" t="s">
        <v>46</v>
      </c>
      <c r="D89" s="28" t="s">
        <v>967</v>
      </c>
      <c r="E89" s="28" t="s">
        <v>1035</v>
      </c>
      <c r="F89" s="27">
        <f t="shared" si="21"/>
        <v>6674.4000000000005</v>
      </c>
      <c r="G89" s="114">
        <v>1402.85</v>
      </c>
      <c r="H89" s="29">
        <f t="shared" si="22"/>
        <v>10100.52</v>
      </c>
      <c r="I89" s="77"/>
      <c r="J89" s="268">
        <f t="shared" si="17"/>
        <v>0</v>
      </c>
      <c r="K89" s="16"/>
      <c r="L89" s="270">
        <f t="shared" si="18"/>
        <v>0</v>
      </c>
      <c r="M89" s="15">
        <f t="shared" si="23"/>
        <v>0</v>
      </c>
      <c r="N89" s="15">
        <f t="shared" si="24"/>
        <v>0</v>
      </c>
      <c r="O89" s="15" t="str">
        <f t="shared" si="25"/>
        <v/>
      </c>
      <c r="P89" s="14">
        <f t="shared" si="26"/>
        <v>6674.4000000000005</v>
      </c>
      <c r="Q89" s="112">
        <f t="shared" si="27"/>
        <v>-33.920233809744445</v>
      </c>
      <c r="R89" s="116"/>
      <c r="S89" s="1">
        <v>16960</v>
      </c>
      <c r="U89" s="1" t="str">
        <f t="shared" si="19"/>
        <v>927.00</v>
      </c>
      <c r="V89" s="1">
        <f t="shared" si="20"/>
        <v>0</v>
      </c>
      <c r="Z89" s="16">
        <v>0</v>
      </c>
    </row>
    <row r="90" spans="1:26" ht="18.75">
      <c r="A90" s="113">
        <v>82</v>
      </c>
      <c r="B90" s="28" t="s">
        <v>914</v>
      </c>
      <c r="C90" s="24" t="s">
        <v>44</v>
      </c>
      <c r="D90" s="28" t="s">
        <v>967</v>
      </c>
      <c r="E90" s="28" t="s">
        <v>1036</v>
      </c>
      <c r="F90" s="27">
        <f t="shared" si="21"/>
        <v>5405.5999999999995</v>
      </c>
      <c r="G90" s="114">
        <v>1410.71</v>
      </c>
      <c r="H90" s="29">
        <f t="shared" si="22"/>
        <v>8182.1180000000004</v>
      </c>
      <c r="I90" s="77"/>
      <c r="J90" s="268">
        <f t="shared" si="17"/>
        <v>0</v>
      </c>
      <c r="K90" s="16"/>
      <c r="L90" s="270">
        <f t="shared" si="18"/>
        <v>0</v>
      </c>
      <c r="M90" s="15">
        <f t="shared" si="23"/>
        <v>0</v>
      </c>
      <c r="N90" s="15">
        <f t="shared" si="24"/>
        <v>0</v>
      </c>
      <c r="O90" s="15" t="str">
        <f t="shared" si="25"/>
        <v/>
      </c>
      <c r="P90" s="14">
        <f t="shared" si="26"/>
        <v>5405.5999999999995</v>
      </c>
      <c r="Q90" s="112">
        <f t="shared" si="27"/>
        <v>-33.933976508283067</v>
      </c>
      <c r="R90" s="116"/>
      <c r="S90" s="1">
        <v>16960</v>
      </c>
      <c r="U90" s="1" t="str">
        <f t="shared" si="19"/>
        <v>932.00</v>
      </c>
      <c r="V90" s="1">
        <f t="shared" si="20"/>
        <v>0</v>
      </c>
      <c r="Z90" s="16">
        <v>934.07</v>
      </c>
    </row>
    <row r="91" spans="1:26" ht="66">
      <c r="A91" s="113">
        <v>83</v>
      </c>
      <c r="B91" s="28" t="s">
        <v>916</v>
      </c>
      <c r="C91" s="24" t="s">
        <v>754</v>
      </c>
      <c r="D91" s="28" t="s">
        <v>967</v>
      </c>
      <c r="E91" s="28" t="s">
        <v>1037</v>
      </c>
      <c r="F91" s="27">
        <f t="shared" si="21"/>
        <v>3658.6000000000004</v>
      </c>
      <c r="G91" s="114">
        <v>2537.0500000000002</v>
      </c>
      <c r="H91" s="29">
        <f t="shared" si="22"/>
        <v>5581.5100000000011</v>
      </c>
      <c r="I91" s="77"/>
      <c r="J91" s="268">
        <f t="shared" si="17"/>
        <v>0</v>
      </c>
      <c r="K91" s="16"/>
      <c r="L91" s="270">
        <f t="shared" si="18"/>
        <v>0</v>
      </c>
      <c r="M91" s="15">
        <f t="shared" si="23"/>
        <v>0</v>
      </c>
      <c r="N91" s="15">
        <f t="shared" si="24"/>
        <v>0</v>
      </c>
      <c r="O91" s="15" t="str">
        <f t="shared" si="25"/>
        <v/>
      </c>
      <c r="P91" s="14">
        <f t="shared" si="26"/>
        <v>3658.6000000000004</v>
      </c>
      <c r="Q91" s="112">
        <f t="shared" si="27"/>
        <v>-34.451429810212652</v>
      </c>
      <c r="R91" s="116"/>
      <c r="S91" s="1">
        <v>16960</v>
      </c>
      <c r="U91" s="1" t="str">
        <f t="shared" si="19"/>
        <v>1663.00</v>
      </c>
      <c r="V91" s="1">
        <f t="shared" si="20"/>
        <v>0</v>
      </c>
      <c r="Z91" s="16"/>
    </row>
    <row r="92" spans="1:26" ht="49.5">
      <c r="A92" s="113">
        <v>84</v>
      </c>
      <c r="B92" s="28" t="s">
        <v>917</v>
      </c>
      <c r="C92" s="24" t="s">
        <v>755</v>
      </c>
      <c r="D92" s="28" t="s">
        <v>63</v>
      </c>
      <c r="E92" s="28" t="s">
        <v>1038</v>
      </c>
      <c r="F92" s="27">
        <f t="shared" si="21"/>
        <v>162185.4</v>
      </c>
      <c r="G92" s="114">
        <v>722.82</v>
      </c>
      <c r="H92" s="29">
        <f t="shared" si="22"/>
        <v>245252.82600000003</v>
      </c>
      <c r="I92" s="77">
        <v>170.98</v>
      </c>
      <c r="J92" s="268">
        <f t="shared" si="17"/>
        <v>81728.44</v>
      </c>
      <c r="K92" s="16"/>
      <c r="L92" s="270">
        <f t="shared" si="18"/>
        <v>0</v>
      </c>
      <c r="M92" s="15">
        <f t="shared" si="23"/>
        <v>170.98</v>
      </c>
      <c r="N92" s="15">
        <f t="shared" si="24"/>
        <v>81728.44</v>
      </c>
      <c r="O92" s="15" t="str">
        <f t="shared" si="25"/>
        <v/>
      </c>
      <c r="P92" s="14">
        <f t="shared" si="26"/>
        <v>80456.959999999992</v>
      </c>
      <c r="Q92" s="112">
        <f t="shared" si="27"/>
        <v>-33.870119808527718</v>
      </c>
      <c r="R92" s="116"/>
      <c r="S92" s="1">
        <v>16960</v>
      </c>
      <c r="U92" s="1" t="str">
        <f t="shared" si="19"/>
        <v>478.00</v>
      </c>
      <c r="V92" s="1">
        <f t="shared" si="20"/>
        <v>81728.44</v>
      </c>
      <c r="Z92" s="16">
        <v>67.58</v>
      </c>
    </row>
    <row r="93" spans="1:26" ht="49.5">
      <c r="A93" s="113">
        <v>85</v>
      </c>
      <c r="B93" s="28" t="s">
        <v>918</v>
      </c>
      <c r="C93" s="24" t="s">
        <v>47</v>
      </c>
      <c r="D93" s="28" t="s">
        <v>63</v>
      </c>
      <c r="E93" s="28" t="s">
        <v>1039</v>
      </c>
      <c r="F93" s="27">
        <f t="shared" si="21"/>
        <v>555706.19999999995</v>
      </c>
      <c r="G93" s="114">
        <v>813.94</v>
      </c>
      <c r="H93" s="29">
        <f t="shared" si="22"/>
        <v>832986.196</v>
      </c>
      <c r="I93" s="77">
        <v>906.37</v>
      </c>
      <c r="J93" s="268">
        <f t="shared" si="17"/>
        <v>492158.91</v>
      </c>
      <c r="K93" s="16"/>
      <c r="L93" s="270">
        <f t="shared" si="18"/>
        <v>0</v>
      </c>
      <c r="M93" s="15">
        <f t="shared" si="23"/>
        <v>906.37</v>
      </c>
      <c r="N93" s="15">
        <f t="shared" si="24"/>
        <v>492158.91</v>
      </c>
      <c r="O93" s="15" t="str">
        <f t="shared" si="25"/>
        <v/>
      </c>
      <c r="P93" s="14">
        <f t="shared" si="26"/>
        <v>63547.289999999979</v>
      </c>
      <c r="Q93" s="112">
        <f t="shared" si="27"/>
        <v>-33.287465906577886</v>
      </c>
      <c r="R93" s="116"/>
      <c r="S93" s="1">
        <v>315000</v>
      </c>
      <c r="U93" s="1" t="str">
        <f t="shared" si="19"/>
        <v>543.00</v>
      </c>
      <c r="V93" s="1">
        <f t="shared" si="20"/>
        <v>492158.91</v>
      </c>
      <c r="Z93" s="16">
        <v>67.58</v>
      </c>
    </row>
    <row r="94" spans="1:26" ht="33">
      <c r="A94" s="113">
        <v>86</v>
      </c>
      <c r="B94" s="28" t="s">
        <v>919</v>
      </c>
      <c r="C94" s="24" t="s">
        <v>48</v>
      </c>
      <c r="D94" s="28" t="s">
        <v>63</v>
      </c>
      <c r="E94" s="28" t="s">
        <v>1040</v>
      </c>
      <c r="F94" s="27">
        <f t="shared" si="21"/>
        <v>322896</v>
      </c>
      <c r="G94" s="114">
        <v>976.73</v>
      </c>
      <c r="H94" s="29">
        <f t="shared" si="22"/>
        <v>484458.08</v>
      </c>
      <c r="I94" s="77">
        <v>379.27</v>
      </c>
      <c r="J94" s="268">
        <f t="shared" si="17"/>
        <v>246904.77</v>
      </c>
      <c r="K94" s="16"/>
      <c r="L94" s="270">
        <f t="shared" si="18"/>
        <v>0</v>
      </c>
      <c r="M94" s="15">
        <f t="shared" si="23"/>
        <v>379.27</v>
      </c>
      <c r="N94" s="15">
        <f t="shared" si="24"/>
        <v>246904.77</v>
      </c>
      <c r="O94" s="15" t="str">
        <f t="shared" si="25"/>
        <v/>
      </c>
      <c r="P94" s="14">
        <f t="shared" si="26"/>
        <v>75991.23000000001</v>
      </c>
      <c r="Q94" s="112">
        <f t="shared" si="27"/>
        <v>-33.349031974035817</v>
      </c>
      <c r="R94" s="116"/>
      <c r="S94" s="1">
        <v>118750</v>
      </c>
      <c r="U94" s="1" t="str">
        <f t="shared" si="19"/>
        <v>651.00</v>
      </c>
      <c r="V94" s="1">
        <f t="shared" si="20"/>
        <v>246904.77</v>
      </c>
      <c r="Z94" s="16">
        <v>67.58</v>
      </c>
    </row>
    <row r="95" spans="1:26" ht="18.75">
      <c r="A95" s="113">
        <v>87</v>
      </c>
      <c r="B95" s="28" t="s">
        <v>920</v>
      </c>
      <c r="C95" s="24" t="s">
        <v>49</v>
      </c>
      <c r="D95" s="28" t="s">
        <v>63</v>
      </c>
      <c r="E95" s="28" t="s">
        <v>1041</v>
      </c>
      <c r="F95" s="27">
        <f t="shared" si="21"/>
        <v>16596.600000000002</v>
      </c>
      <c r="G95" s="114">
        <v>895.33</v>
      </c>
      <c r="H95" s="29">
        <f t="shared" si="22"/>
        <v>24890.174000000003</v>
      </c>
      <c r="I95" s="77">
        <v>28.42</v>
      </c>
      <c r="J95" s="268">
        <f t="shared" si="17"/>
        <v>16966.740000000002</v>
      </c>
      <c r="K95" s="16"/>
      <c r="L95" s="270">
        <f t="shared" si="18"/>
        <v>0</v>
      </c>
      <c r="M95" s="15">
        <f t="shared" si="23"/>
        <v>28.42</v>
      </c>
      <c r="N95" s="15">
        <f t="shared" si="24"/>
        <v>16966.740000000002</v>
      </c>
      <c r="O95" s="15">
        <f t="shared" si="25"/>
        <v>370.13999999999942</v>
      </c>
      <c r="P95" s="14" t="str">
        <f t="shared" si="26"/>
        <v/>
      </c>
      <c r="Q95" s="112">
        <f t="shared" si="27"/>
        <v>-33.320675058358376</v>
      </c>
      <c r="R95" s="116"/>
      <c r="S95" s="1">
        <v>12120</v>
      </c>
      <c r="U95" s="1" t="str">
        <f t="shared" si="19"/>
        <v>597.00</v>
      </c>
      <c r="V95" s="1">
        <f t="shared" si="20"/>
        <v>16966.740000000002</v>
      </c>
      <c r="Z95" s="16">
        <v>868.53</v>
      </c>
    </row>
    <row r="96" spans="1:26" ht="18.75">
      <c r="A96" s="113">
        <v>88</v>
      </c>
      <c r="B96" s="28" t="s">
        <v>921</v>
      </c>
      <c r="C96" s="24" t="s">
        <v>756</v>
      </c>
      <c r="D96" s="28" t="s">
        <v>63</v>
      </c>
      <c r="E96" s="28" t="s">
        <v>1042</v>
      </c>
      <c r="F96" s="27">
        <f t="shared" si="21"/>
        <v>59910.399999999994</v>
      </c>
      <c r="G96" s="114">
        <v>1220.9100000000001</v>
      </c>
      <c r="H96" s="29">
        <f t="shared" si="22"/>
        <v>89858.975999999995</v>
      </c>
      <c r="I96" s="77">
        <v>63.24</v>
      </c>
      <c r="J96" s="268">
        <f t="shared" si="17"/>
        <v>51477.36</v>
      </c>
      <c r="K96" s="16"/>
      <c r="L96" s="270">
        <f t="shared" si="18"/>
        <v>0</v>
      </c>
      <c r="M96" s="15">
        <f t="shared" si="23"/>
        <v>63.24</v>
      </c>
      <c r="N96" s="15">
        <f t="shared" si="24"/>
        <v>51477.36</v>
      </c>
      <c r="O96" s="15" t="str">
        <f t="shared" si="25"/>
        <v/>
      </c>
      <c r="P96" s="14">
        <f t="shared" si="26"/>
        <v>8433.0399999999936</v>
      </c>
      <c r="Q96" s="112">
        <f t="shared" si="27"/>
        <v>-33.328418966180969</v>
      </c>
      <c r="R96" s="116"/>
      <c r="S96" s="1">
        <v>1796640</v>
      </c>
      <c r="U96" s="1" t="str">
        <f t="shared" si="19"/>
        <v>814.00</v>
      </c>
      <c r="V96" s="1">
        <f t="shared" si="20"/>
        <v>51477.36</v>
      </c>
      <c r="Z96" s="16">
        <v>2556.9</v>
      </c>
    </row>
    <row r="97" spans="1:26" ht="33">
      <c r="A97" s="113">
        <v>89</v>
      </c>
      <c r="B97" s="28" t="s">
        <v>922</v>
      </c>
      <c r="C97" s="24" t="s">
        <v>757</v>
      </c>
      <c r="D97" s="28" t="s">
        <v>63</v>
      </c>
      <c r="E97" s="28" t="s">
        <v>1043</v>
      </c>
      <c r="F97" s="27">
        <f t="shared" si="21"/>
        <v>39394.399999999994</v>
      </c>
      <c r="G97" s="114">
        <v>2828</v>
      </c>
      <c r="H97" s="29">
        <f t="shared" si="22"/>
        <v>52035.199999999997</v>
      </c>
      <c r="I97" s="77"/>
      <c r="J97" s="268">
        <f t="shared" si="17"/>
        <v>0</v>
      </c>
      <c r="K97" s="16"/>
      <c r="L97" s="270">
        <f t="shared" si="18"/>
        <v>0</v>
      </c>
      <c r="M97" s="15">
        <f t="shared" si="23"/>
        <v>0</v>
      </c>
      <c r="N97" s="15">
        <f t="shared" si="24"/>
        <v>0</v>
      </c>
      <c r="O97" s="15" t="str">
        <f t="shared" si="25"/>
        <v/>
      </c>
      <c r="P97" s="14">
        <f t="shared" si="26"/>
        <v>39394.399999999994</v>
      </c>
      <c r="Q97" s="14">
        <f t="shared" si="27"/>
        <v>-24.292786421499294</v>
      </c>
      <c r="R97" s="116"/>
      <c r="S97" s="1">
        <v>18180</v>
      </c>
      <c r="U97" s="1" t="str">
        <f t="shared" si="19"/>
        <v>2141.00</v>
      </c>
      <c r="V97" s="1">
        <f t="shared" si="20"/>
        <v>0</v>
      </c>
      <c r="Z97" s="16">
        <v>100.73</v>
      </c>
    </row>
    <row r="98" spans="1:26" ht="66">
      <c r="A98" s="113">
        <v>90</v>
      </c>
      <c r="B98" s="28" t="s">
        <v>923</v>
      </c>
      <c r="C98" s="24" t="s">
        <v>758</v>
      </c>
      <c r="D98" s="28" t="s">
        <v>64</v>
      </c>
      <c r="E98" s="28" t="s">
        <v>1044</v>
      </c>
      <c r="F98" s="27">
        <f t="shared" si="21"/>
        <v>4776</v>
      </c>
      <c r="G98" s="114">
        <v>2347.2800000000002</v>
      </c>
      <c r="H98" s="29">
        <f t="shared" si="22"/>
        <v>7041.84</v>
      </c>
      <c r="I98" s="77" t="str">
        <f t="shared" ref="I98" si="28">B98</f>
        <v>3.00</v>
      </c>
      <c r="J98" s="268">
        <f t="shared" si="17"/>
        <v>4776</v>
      </c>
      <c r="K98" s="16"/>
      <c r="L98" s="270">
        <f t="shared" si="18"/>
        <v>0</v>
      </c>
      <c r="M98" s="15">
        <f t="shared" si="23"/>
        <v>3</v>
      </c>
      <c r="N98" s="15">
        <f t="shared" si="24"/>
        <v>4776</v>
      </c>
      <c r="O98" s="15" t="str">
        <f t="shared" si="25"/>
        <v/>
      </c>
      <c r="P98" s="14" t="str">
        <f t="shared" si="26"/>
        <v/>
      </c>
      <c r="Q98" s="112">
        <f t="shared" si="27"/>
        <v>-32.176817422719068</v>
      </c>
      <c r="R98" s="116"/>
      <c r="S98" s="1">
        <v>119000</v>
      </c>
      <c r="U98" s="1" t="str">
        <f t="shared" si="19"/>
        <v>1592.00</v>
      </c>
      <c r="V98" s="1">
        <f t="shared" si="20"/>
        <v>4776</v>
      </c>
      <c r="Z98" s="16">
        <v>126.07</v>
      </c>
    </row>
    <row r="99" spans="1:26" ht="18.75">
      <c r="A99" s="113">
        <v>91</v>
      </c>
      <c r="B99" s="28" t="s">
        <v>924</v>
      </c>
      <c r="C99" s="24" t="s">
        <v>759</v>
      </c>
      <c r="D99" s="28" t="s">
        <v>64</v>
      </c>
      <c r="E99" s="28" t="s">
        <v>1045</v>
      </c>
      <c r="F99" s="27">
        <f t="shared" si="21"/>
        <v>27285</v>
      </c>
      <c r="G99" s="114">
        <v>2365.02</v>
      </c>
      <c r="H99" s="29">
        <f t="shared" si="22"/>
        <v>40205.339999999997</v>
      </c>
      <c r="I99" s="77">
        <v>14</v>
      </c>
      <c r="J99" s="268">
        <f t="shared" si="17"/>
        <v>22470</v>
      </c>
      <c r="K99" s="16"/>
      <c r="L99" s="270">
        <f t="shared" si="18"/>
        <v>0</v>
      </c>
      <c r="M99" s="15">
        <f t="shared" si="23"/>
        <v>14</v>
      </c>
      <c r="N99" s="15">
        <f t="shared" si="24"/>
        <v>22470</v>
      </c>
      <c r="O99" s="15" t="str">
        <f t="shared" si="25"/>
        <v/>
      </c>
      <c r="P99" s="14">
        <f t="shared" si="26"/>
        <v>4815</v>
      </c>
      <c r="Q99" s="112">
        <f t="shared" si="27"/>
        <v>-32.135880457670545</v>
      </c>
      <c r="R99" s="116"/>
      <c r="S99" s="1">
        <v>193500</v>
      </c>
      <c r="U99" s="1">
        <v>1400</v>
      </c>
      <c r="V99" s="1">
        <f t="shared" si="20"/>
        <v>19600</v>
      </c>
      <c r="Z99" s="16">
        <v>0</v>
      </c>
    </row>
    <row r="100" spans="1:26" ht="49.5">
      <c r="A100" s="113">
        <v>92</v>
      </c>
      <c r="B100" s="28" t="s">
        <v>920</v>
      </c>
      <c r="C100" s="24" t="s">
        <v>760</v>
      </c>
      <c r="D100" s="28" t="s">
        <v>63</v>
      </c>
      <c r="E100" s="28" t="s">
        <v>1046</v>
      </c>
      <c r="F100" s="27">
        <f t="shared" si="21"/>
        <v>80508.800000000003</v>
      </c>
      <c r="G100" s="114">
        <v>3966.1</v>
      </c>
      <c r="H100" s="29">
        <f t="shared" si="22"/>
        <v>110257.58</v>
      </c>
      <c r="I100" s="77"/>
      <c r="J100" s="268">
        <f t="shared" si="17"/>
        <v>0</v>
      </c>
      <c r="K100" s="16"/>
      <c r="L100" s="270">
        <f t="shared" si="18"/>
        <v>0</v>
      </c>
      <c r="M100" s="15">
        <f t="shared" si="23"/>
        <v>0</v>
      </c>
      <c r="N100" s="15">
        <f t="shared" si="24"/>
        <v>0</v>
      </c>
      <c r="O100" s="15" t="str">
        <f t="shared" si="25"/>
        <v/>
      </c>
      <c r="P100" s="14">
        <f t="shared" si="26"/>
        <v>80508.800000000003</v>
      </c>
      <c r="Q100" s="112">
        <f t="shared" si="27"/>
        <v>-26.981165376566395</v>
      </c>
      <c r="R100" s="116"/>
      <c r="S100" s="1">
        <v>19590</v>
      </c>
      <c r="U100" s="1" t="str">
        <f>E100</f>
        <v>2896.00</v>
      </c>
      <c r="V100" s="1">
        <f>U100*I100</f>
        <v>0</v>
      </c>
      <c r="Z100" s="16">
        <v>23.76</v>
      </c>
    </row>
    <row r="101" spans="1:26" ht="49.5">
      <c r="A101" s="113">
        <v>93</v>
      </c>
      <c r="B101" s="28" t="s">
        <v>925</v>
      </c>
      <c r="C101" s="24" t="s">
        <v>761</v>
      </c>
      <c r="D101" s="28" t="s">
        <v>63</v>
      </c>
      <c r="E101" s="28" t="s">
        <v>1047</v>
      </c>
      <c r="F101" s="27">
        <f t="shared" si="21"/>
        <v>35015.4</v>
      </c>
      <c r="G101" s="114">
        <v>3635.52</v>
      </c>
      <c r="H101" s="29">
        <f t="shared" si="22"/>
        <v>45807.551999999996</v>
      </c>
      <c r="I101" s="77"/>
      <c r="J101" s="268">
        <f t="shared" si="17"/>
        <v>0</v>
      </c>
      <c r="K101" s="16"/>
      <c r="L101" s="270">
        <f t="shared" si="18"/>
        <v>0</v>
      </c>
      <c r="M101" s="15">
        <f t="shared" si="23"/>
        <v>0</v>
      </c>
      <c r="N101" s="15">
        <f t="shared" si="24"/>
        <v>0</v>
      </c>
      <c r="O101" s="15" t="str">
        <f t="shared" si="25"/>
        <v/>
      </c>
      <c r="P101" s="14">
        <f t="shared" si="26"/>
        <v>35015.4</v>
      </c>
      <c r="Q101" s="14">
        <f t="shared" si="27"/>
        <v>-23.559765865680838</v>
      </c>
      <c r="R101" s="116"/>
      <c r="S101" s="1">
        <v>239200</v>
      </c>
      <c r="U101" s="1" t="str">
        <f t="shared" ref="U101:U180" si="29">E101</f>
        <v>2779.00</v>
      </c>
      <c r="V101" s="1">
        <f t="shared" si="20"/>
        <v>0</v>
      </c>
      <c r="Z101" s="16">
        <v>10</v>
      </c>
    </row>
    <row r="102" spans="1:26" ht="49.5">
      <c r="A102" s="113">
        <v>94</v>
      </c>
      <c r="B102" s="28" t="s">
        <v>926</v>
      </c>
      <c r="C102" s="24" t="s">
        <v>762</v>
      </c>
      <c r="D102" s="28" t="s">
        <v>63</v>
      </c>
      <c r="E102" s="28" t="s">
        <v>1048</v>
      </c>
      <c r="F102" s="27">
        <f t="shared" si="21"/>
        <v>73625</v>
      </c>
      <c r="G102" s="114">
        <v>3247.17</v>
      </c>
      <c r="H102" s="29">
        <f t="shared" si="22"/>
        <v>100662.27</v>
      </c>
      <c r="I102" s="77"/>
      <c r="J102" s="268">
        <f t="shared" si="17"/>
        <v>0</v>
      </c>
      <c r="K102" s="16"/>
      <c r="L102" s="270">
        <f t="shared" si="18"/>
        <v>0</v>
      </c>
      <c r="M102" s="15">
        <f t="shared" si="23"/>
        <v>0</v>
      </c>
      <c r="N102" s="15">
        <f t="shared" si="24"/>
        <v>0</v>
      </c>
      <c r="O102" s="15" t="str">
        <f t="shared" si="25"/>
        <v/>
      </c>
      <c r="P102" s="14">
        <f t="shared" si="26"/>
        <v>73625</v>
      </c>
      <c r="Q102" s="112">
        <f t="shared" si="27"/>
        <v>-26.8593883289141</v>
      </c>
      <c r="R102" s="116"/>
      <c r="S102" s="1">
        <f>10*0.88*2.1</f>
        <v>18.480000000000004</v>
      </c>
      <c r="U102" s="1" t="str">
        <f t="shared" si="29"/>
        <v>2375.00</v>
      </c>
      <c r="V102" s="1">
        <f t="shared" si="20"/>
        <v>0</v>
      </c>
      <c r="Z102" s="16">
        <v>10</v>
      </c>
    </row>
    <row r="103" spans="1:26" ht="18.75">
      <c r="A103" s="113">
        <v>95</v>
      </c>
      <c r="B103" s="28" t="s">
        <v>927</v>
      </c>
      <c r="C103" s="24" t="s">
        <v>763</v>
      </c>
      <c r="D103" s="28" t="s">
        <v>63</v>
      </c>
      <c r="E103" s="28" t="s">
        <v>1049</v>
      </c>
      <c r="F103" s="27">
        <f t="shared" si="21"/>
        <v>12058.900000000001</v>
      </c>
      <c r="G103" s="114">
        <v>3359.98</v>
      </c>
      <c r="H103" s="29">
        <f t="shared" si="22"/>
        <v>16463.902000000002</v>
      </c>
      <c r="I103" s="77"/>
      <c r="J103" s="268">
        <f t="shared" si="17"/>
        <v>0</v>
      </c>
      <c r="K103" s="16"/>
      <c r="L103" s="270">
        <f t="shared" si="18"/>
        <v>0</v>
      </c>
      <c r="M103" s="15">
        <f t="shared" si="23"/>
        <v>0</v>
      </c>
      <c r="N103" s="15">
        <f t="shared" si="24"/>
        <v>0</v>
      </c>
      <c r="O103" s="15" t="str">
        <f t="shared" si="25"/>
        <v/>
      </c>
      <c r="P103" s="14">
        <f t="shared" si="26"/>
        <v>12058.900000000001</v>
      </c>
      <c r="Q103" s="112">
        <f t="shared" si="27"/>
        <v>-26.755516401883344</v>
      </c>
      <c r="R103" s="116"/>
      <c r="U103" s="1" t="str">
        <f t="shared" si="29"/>
        <v>2461.00</v>
      </c>
      <c r="V103" s="1">
        <f t="shared" si="20"/>
        <v>0</v>
      </c>
      <c r="Z103" s="16"/>
    </row>
    <row r="104" spans="1:26" ht="33">
      <c r="A104" s="113">
        <v>96</v>
      </c>
      <c r="B104" s="28" t="s">
        <v>928</v>
      </c>
      <c r="C104" s="24" t="s">
        <v>764</v>
      </c>
      <c r="D104" s="28" t="s">
        <v>63</v>
      </c>
      <c r="E104" s="28" t="s">
        <v>1050</v>
      </c>
      <c r="F104" s="27">
        <f t="shared" si="21"/>
        <v>30303</v>
      </c>
      <c r="G104" s="114">
        <v>704.8</v>
      </c>
      <c r="H104" s="29">
        <f t="shared" si="22"/>
        <v>41230.799999999996</v>
      </c>
      <c r="I104" s="77"/>
      <c r="J104" s="268">
        <f t="shared" si="17"/>
        <v>0</v>
      </c>
      <c r="K104" s="16"/>
      <c r="L104" s="270">
        <f t="shared" si="18"/>
        <v>0</v>
      </c>
      <c r="M104" s="15">
        <f t="shared" si="23"/>
        <v>0</v>
      </c>
      <c r="N104" s="15">
        <f t="shared" si="24"/>
        <v>0</v>
      </c>
      <c r="O104" s="15" t="str">
        <f t="shared" si="25"/>
        <v/>
      </c>
      <c r="P104" s="14">
        <f t="shared" si="26"/>
        <v>30303</v>
      </c>
      <c r="Q104" s="112">
        <f t="shared" si="27"/>
        <v>-26.503972758229281</v>
      </c>
      <c r="R104" s="116"/>
      <c r="S104" s="1">
        <v>19590</v>
      </c>
      <c r="U104" s="1" t="str">
        <f>E104</f>
        <v>518.00</v>
      </c>
      <c r="V104" s="1">
        <f t="shared" si="20"/>
        <v>0</v>
      </c>
      <c r="Z104" s="16">
        <v>23.76</v>
      </c>
    </row>
    <row r="105" spans="1:26" ht="33">
      <c r="A105" s="113">
        <v>97</v>
      </c>
      <c r="B105" s="28" t="s">
        <v>895</v>
      </c>
      <c r="C105" s="24" t="s">
        <v>765</v>
      </c>
      <c r="D105" s="28" t="s">
        <v>64</v>
      </c>
      <c r="E105" s="28" t="s">
        <v>1051</v>
      </c>
      <c r="F105" s="27">
        <f t="shared" si="21"/>
        <v>5706</v>
      </c>
      <c r="G105" s="114" t="s">
        <v>212</v>
      </c>
      <c r="H105" s="29">
        <f t="shared" si="22"/>
        <v>7463.7</v>
      </c>
      <c r="I105" s="77"/>
      <c r="J105" s="268">
        <f t="shared" si="17"/>
        <v>0</v>
      </c>
      <c r="K105" s="16"/>
      <c r="L105" s="270">
        <f t="shared" si="18"/>
        <v>0</v>
      </c>
      <c r="M105" s="15">
        <f t="shared" si="23"/>
        <v>0</v>
      </c>
      <c r="N105" s="15">
        <f t="shared" si="24"/>
        <v>0</v>
      </c>
      <c r="O105" s="15" t="str">
        <f t="shared" si="25"/>
        <v/>
      </c>
      <c r="P105" s="14">
        <f t="shared" si="26"/>
        <v>5706</v>
      </c>
      <c r="Q105" s="14">
        <f t="shared" si="27"/>
        <v>-23.549981912456285</v>
      </c>
      <c r="R105" s="116"/>
      <c r="S105" s="1">
        <v>101000</v>
      </c>
      <c r="U105" s="1" t="str">
        <f>E105</f>
        <v>5706.00</v>
      </c>
      <c r="V105" s="1">
        <f t="shared" si="20"/>
        <v>0</v>
      </c>
      <c r="Z105" s="16">
        <v>20.88</v>
      </c>
    </row>
    <row r="106" spans="1:26" ht="49.5">
      <c r="A106" s="113">
        <v>98</v>
      </c>
      <c r="B106" s="28" t="s">
        <v>929</v>
      </c>
      <c r="C106" s="24" t="s">
        <v>766</v>
      </c>
      <c r="D106" s="28" t="s">
        <v>63</v>
      </c>
      <c r="E106" s="28" t="s">
        <v>1052</v>
      </c>
      <c r="F106" s="27">
        <f t="shared" si="21"/>
        <v>2305.8000000000002</v>
      </c>
      <c r="G106" s="114" t="s">
        <v>971</v>
      </c>
      <c r="H106" s="29">
        <f t="shared" si="22"/>
        <v>3016.404</v>
      </c>
      <c r="I106" s="77"/>
      <c r="J106" s="268">
        <f t="shared" si="17"/>
        <v>0</v>
      </c>
      <c r="K106" s="16"/>
      <c r="L106" s="270">
        <f t="shared" si="18"/>
        <v>0</v>
      </c>
      <c r="M106" s="15">
        <f t="shared" si="23"/>
        <v>0</v>
      </c>
      <c r="N106" s="15">
        <f t="shared" si="24"/>
        <v>0</v>
      </c>
      <c r="O106" s="15" t="str">
        <f t="shared" si="25"/>
        <v/>
      </c>
      <c r="P106" s="14">
        <f t="shared" si="26"/>
        <v>2305.8000000000002</v>
      </c>
      <c r="Q106" s="14">
        <f t="shared" si="27"/>
        <v>-23.557984938357063</v>
      </c>
      <c r="R106" s="116"/>
      <c r="S106" s="1">
        <v>103000</v>
      </c>
      <c r="U106" s="1">
        <v>600</v>
      </c>
      <c r="V106" s="1">
        <f t="shared" si="20"/>
        <v>0</v>
      </c>
      <c r="Z106" s="16">
        <v>14.4</v>
      </c>
    </row>
    <row r="107" spans="1:26" ht="18.75">
      <c r="A107" s="113">
        <v>99</v>
      </c>
      <c r="B107" s="28" t="s">
        <v>930</v>
      </c>
      <c r="C107" s="24" t="s">
        <v>767</v>
      </c>
      <c r="D107" s="28" t="s">
        <v>63</v>
      </c>
      <c r="E107" s="28" t="s">
        <v>1031</v>
      </c>
      <c r="F107" s="27">
        <f t="shared" si="21"/>
        <v>87210.8</v>
      </c>
      <c r="G107" s="114">
        <v>1199.67</v>
      </c>
      <c r="H107" s="29">
        <f t="shared" si="22"/>
        <v>126205.28400000001</v>
      </c>
      <c r="I107" s="77"/>
      <c r="J107" s="268">
        <f t="shared" si="17"/>
        <v>0</v>
      </c>
      <c r="K107" s="16"/>
      <c r="L107" s="270">
        <f t="shared" si="18"/>
        <v>0</v>
      </c>
      <c r="M107" s="15">
        <f t="shared" si="23"/>
        <v>0</v>
      </c>
      <c r="N107" s="15">
        <f t="shared" si="24"/>
        <v>0</v>
      </c>
      <c r="O107" s="15" t="str">
        <f t="shared" si="25"/>
        <v/>
      </c>
      <c r="P107" s="14">
        <f t="shared" si="26"/>
        <v>87210.8</v>
      </c>
      <c r="Q107" s="112">
        <f t="shared" si="27"/>
        <v>-30.897663524135808</v>
      </c>
      <c r="R107" s="116"/>
      <c r="S107" s="1">
        <v>592800</v>
      </c>
      <c r="U107" s="1">
        <v>700</v>
      </c>
      <c r="V107" s="1">
        <f t="shared" si="20"/>
        <v>0</v>
      </c>
      <c r="Z107" s="16"/>
    </row>
    <row r="108" spans="1:26" ht="33">
      <c r="A108" s="113">
        <v>100</v>
      </c>
      <c r="B108" s="28" t="s">
        <v>931</v>
      </c>
      <c r="C108" s="24" t="s">
        <v>768</v>
      </c>
      <c r="D108" s="28" t="s">
        <v>63</v>
      </c>
      <c r="E108" s="28" t="s">
        <v>1053</v>
      </c>
      <c r="F108" s="27">
        <f t="shared" si="21"/>
        <v>19872</v>
      </c>
      <c r="G108" s="114">
        <v>1048.55</v>
      </c>
      <c r="H108" s="29">
        <f t="shared" si="22"/>
        <v>28310.85</v>
      </c>
      <c r="I108" s="77"/>
      <c r="J108" s="268">
        <f t="shared" si="17"/>
        <v>0</v>
      </c>
      <c r="K108" s="16"/>
      <c r="L108" s="270">
        <f t="shared" si="18"/>
        <v>0</v>
      </c>
      <c r="M108" s="15">
        <f t="shared" si="23"/>
        <v>0</v>
      </c>
      <c r="N108" s="15">
        <f t="shared" si="24"/>
        <v>0</v>
      </c>
      <c r="O108" s="15" t="str">
        <f t="shared" si="25"/>
        <v/>
      </c>
      <c r="P108" s="14">
        <f t="shared" si="26"/>
        <v>19872</v>
      </c>
      <c r="Q108" s="112">
        <f t="shared" si="27"/>
        <v>-29.807829860283245</v>
      </c>
      <c r="R108" s="116"/>
      <c r="U108" s="1">
        <v>30</v>
      </c>
      <c r="V108" s="1">
        <f t="shared" si="20"/>
        <v>0</v>
      </c>
      <c r="Z108" s="16">
        <v>7.18</v>
      </c>
    </row>
    <row r="109" spans="1:26" ht="49.5">
      <c r="A109" s="113">
        <v>101</v>
      </c>
      <c r="B109" s="28" t="s">
        <v>932</v>
      </c>
      <c r="C109" s="24" t="s">
        <v>769</v>
      </c>
      <c r="D109" s="28" t="s">
        <v>967</v>
      </c>
      <c r="E109" s="28" t="s">
        <v>1054</v>
      </c>
      <c r="F109" s="27">
        <f t="shared" si="21"/>
        <v>130378</v>
      </c>
      <c r="G109" s="114">
        <v>1268.22</v>
      </c>
      <c r="H109" s="29">
        <f t="shared" si="22"/>
        <v>185160.12</v>
      </c>
      <c r="I109" s="77"/>
      <c r="J109" s="268">
        <f t="shared" si="17"/>
        <v>0</v>
      </c>
      <c r="K109" s="16"/>
      <c r="L109" s="270">
        <f t="shared" si="18"/>
        <v>0</v>
      </c>
      <c r="M109" s="15">
        <f t="shared" si="23"/>
        <v>0</v>
      </c>
      <c r="N109" s="15">
        <f t="shared" si="24"/>
        <v>0</v>
      </c>
      <c r="O109" s="15" t="str">
        <f t="shared" si="25"/>
        <v/>
      </c>
      <c r="P109" s="14">
        <f t="shared" si="26"/>
        <v>130378</v>
      </c>
      <c r="Q109" s="112">
        <f t="shared" si="27"/>
        <v>-29.586349371560139</v>
      </c>
      <c r="R109" s="116"/>
      <c r="S109" s="1">
        <f>I109/8</f>
        <v>0</v>
      </c>
      <c r="U109" s="1" t="str">
        <f t="shared" ref="U109:U119" si="30">E109</f>
        <v>893.00</v>
      </c>
      <c r="V109" s="1">
        <f t="shared" si="20"/>
        <v>0</v>
      </c>
      <c r="Z109" s="16">
        <v>6.48</v>
      </c>
    </row>
    <row r="110" spans="1:26" ht="33">
      <c r="A110" s="113">
        <v>102</v>
      </c>
      <c r="B110" s="28" t="s">
        <v>933</v>
      </c>
      <c r="C110" s="24" t="s">
        <v>770</v>
      </c>
      <c r="D110" s="28" t="s">
        <v>63</v>
      </c>
      <c r="E110" s="28" t="s">
        <v>961</v>
      </c>
      <c r="F110" s="27">
        <f t="shared" si="21"/>
        <v>61285</v>
      </c>
      <c r="G110" s="114">
        <v>52.84</v>
      </c>
      <c r="H110" s="29">
        <f t="shared" si="22"/>
        <v>92522.840000000011</v>
      </c>
      <c r="I110" s="77"/>
      <c r="J110" s="268">
        <f t="shared" si="17"/>
        <v>0</v>
      </c>
      <c r="K110" s="16"/>
      <c r="L110" s="270">
        <f t="shared" si="18"/>
        <v>0</v>
      </c>
      <c r="M110" s="15">
        <f t="shared" si="23"/>
        <v>0</v>
      </c>
      <c r="N110" s="15">
        <f t="shared" si="24"/>
        <v>0</v>
      </c>
      <c r="O110" s="15" t="str">
        <f t="shared" si="25"/>
        <v/>
      </c>
      <c r="P110" s="14">
        <f t="shared" si="26"/>
        <v>61285</v>
      </c>
      <c r="Q110" s="112">
        <f t="shared" si="27"/>
        <v>-33.76230128690387</v>
      </c>
      <c r="R110" s="116"/>
      <c r="S110" s="1">
        <v>20000</v>
      </c>
      <c r="U110" s="1" t="str">
        <f t="shared" si="30"/>
        <v>35.00</v>
      </c>
      <c r="V110" s="1">
        <f t="shared" si="20"/>
        <v>0</v>
      </c>
      <c r="Z110" s="16">
        <v>2.88</v>
      </c>
    </row>
    <row r="111" spans="1:26" ht="33">
      <c r="A111" s="113">
        <v>103</v>
      </c>
      <c r="B111" s="28" t="s">
        <v>933</v>
      </c>
      <c r="C111" s="24" t="s">
        <v>771</v>
      </c>
      <c r="D111" s="28" t="s">
        <v>63</v>
      </c>
      <c r="E111" s="28" t="s">
        <v>937</v>
      </c>
      <c r="F111" s="27">
        <f t="shared" si="21"/>
        <v>126072</v>
      </c>
      <c r="G111" s="114">
        <v>107.65</v>
      </c>
      <c r="H111" s="29">
        <f t="shared" si="22"/>
        <v>188495.15000000002</v>
      </c>
      <c r="I111" s="77"/>
      <c r="J111" s="268">
        <f t="shared" si="17"/>
        <v>0</v>
      </c>
      <c r="K111" s="16"/>
      <c r="L111" s="270">
        <f t="shared" si="18"/>
        <v>0</v>
      </c>
      <c r="M111" s="15">
        <f t="shared" si="23"/>
        <v>0</v>
      </c>
      <c r="N111" s="15">
        <f t="shared" si="24"/>
        <v>0</v>
      </c>
      <c r="O111" s="15" t="str">
        <f t="shared" si="25"/>
        <v/>
      </c>
      <c r="P111" s="14">
        <f t="shared" si="26"/>
        <v>126072</v>
      </c>
      <c r="Q111" s="112">
        <f t="shared" si="27"/>
        <v>-33.116581514166285</v>
      </c>
      <c r="R111" s="116"/>
      <c r="S111" s="1">
        <v>70000</v>
      </c>
      <c r="U111" s="1" t="str">
        <f t="shared" si="30"/>
        <v>72.00</v>
      </c>
      <c r="V111" s="1">
        <f t="shared" si="20"/>
        <v>0</v>
      </c>
      <c r="Z111" s="16"/>
    </row>
    <row r="112" spans="1:26" ht="49.5">
      <c r="A112" s="113">
        <v>104</v>
      </c>
      <c r="B112" s="28">
        <v>30.815999999999999</v>
      </c>
      <c r="C112" s="24" t="s">
        <v>772</v>
      </c>
      <c r="D112" s="28" t="s">
        <v>66</v>
      </c>
      <c r="E112" s="28" t="s">
        <v>1055</v>
      </c>
      <c r="F112" s="27">
        <f t="shared" si="21"/>
        <v>1583819.1359999999</v>
      </c>
      <c r="G112" s="114">
        <v>71117</v>
      </c>
      <c r="H112" s="29">
        <f t="shared" si="22"/>
        <v>2191541.4720000001</v>
      </c>
      <c r="I112" s="77">
        <v>22.277999999999999</v>
      </c>
      <c r="J112" s="268">
        <f t="shared" si="17"/>
        <v>1145000.088</v>
      </c>
      <c r="K112" s="16"/>
      <c r="L112" s="270">
        <f t="shared" si="18"/>
        <v>0</v>
      </c>
      <c r="M112" s="15">
        <f t="shared" si="23"/>
        <v>22.277999999999999</v>
      </c>
      <c r="N112" s="15">
        <f t="shared" si="24"/>
        <v>1145000.088</v>
      </c>
      <c r="O112" s="15" t="str">
        <f t="shared" si="25"/>
        <v/>
      </c>
      <c r="P112" s="14">
        <f t="shared" si="26"/>
        <v>438819.04799999995</v>
      </c>
      <c r="Q112" s="112">
        <f t="shared" si="27"/>
        <v>-27.730359829576614</v>
      </c>
      <c r="R112" s="116"/>
      <c r="U112" s="1" t="str">
        <f t="shared" si="30"/>
        <v>51396.00</v>
      </c>
      <c r="V112" s="1">
        <f t="shared" si="20"/>
        <v>1145000.088</v>
      </c>
      <c r="Z112" s="16"/>
    </row>
    <row r="113" spans="1:26" ht="66">
      <c r="A113" s="113">
        <v>105</v>
      </c>
      <c r="B113" s="28" t="s">
        <v>934</v>
      </c>
      <c r="C113" s="24" t="s">
        <v>773</v>
      </c>
      <c r="D113" s="28" t="s">
        <v>64</v>
      </c>
      <c r="E113" s="28" t="s">
        <v>1056</v>
      </c>
      <c r="F113" s="27">
        <f t="shared" si="21"/>
        <v>7980</v>
      </c>
      <c r="G113" s="114">
        <v>3020.44</v>
      </c>
      <c r="H113" s="29">
        <f t="shared" si="22"/>
        <v>21143.08</v>
      </c>
      <c r="I113" s="77"/>
      <c r="J113" s="268">
        <f t="shared" si="17"/>
        <v>0</v>
      </c>
      <c r="K113" s="16"/>
      <c r="L113" s="270">
        <f t="shared" si="18"/>
        <v>0</v>
      </c>
      <c r="M113" s="15">
        <f t="shared" si="23"/>
        <v>0</v>
      </c>
      <c r="N113" s="15">
        <f t="shared" si="24"/>
        <v>0</v>
      </c>
      <c r="O113" s="15" t="str">
        <f t="shared" si="25"/>
        <v/>
      </c>
      <c r="P113" s="14">
        <f t="shared" si="26"/>
        <v>7980</v>
      </c>
      <c r="Q113" s="112">
        <f t="shared" si="27"/>
        <v>-62.257154586748953</v>
      </c>
      <c r="R113" s="116"/>
      <c r="S113" s="1">
        <v>67800</v>
      </c>
      <c r="U113" s="1" t="str">
        <f t="shared" si="30"/>
        <v>1140.00</v>
      </c>
      <c r="V113" s="1">
        <f t="shared" si="20"/>
        <v>0</v>
      </c>
      <c r="Z113" s="16">
        <v>0</v>
      </c>
    </row>
    <row r="114" spans="1:26" ht="18.75">
      <c r="A114" s="113">
        <v>106</v>
      </c>
      <c r="B114" s="28" t="s">
        <v>935</v>
      </c>
      <c r="C114" s="24" t="s">
        <v>13</v>
      </c>
      <c r="D114" s="28" t="s">
        <v>65</v>
      </c>
      <c r="E114" s="28" t="s">
        <v>1057</v>
      </c>
      <c r="F114" s="27">
        <f t="shared" si="21"/>
        <v>5859</v>
      </c>
      <c r="G114" s="114">
        <v>418.52</v>
      </c>
      <c r="H114" s="29">
        <f t="shared" si="22"/>
        <v>8788.92</v>
      </c>
      <c r="I114" s="77"/>
      <c r="J114" s="268">
        <f t="shared" si="17"/>
        <v>0</v>
      </c>
      <c r="K114" s="16"/>
      <c r="L114" s="270">
        <f t="shared" si="18"/>
        <v>0</v>
      </c>
      <c r="M114" s="15">
        <f t="shared" si="23"/>
        <v>0</v>
      </c>
      <c r="N114" s="15">
        <f t="shared" si="24"/>
        <v>0</v>
      </c>
      <c r="O114" s="15" t="str">
        <f t="shared" si="25"/>
        <v/>
      </c>
      <c r="P114" s="14">
        <f t="shared" si="26"/>
        <v>5859</v>
      </c>
      <c r="Q114" s="112">
        <f t="shared" si="27"/>
        <v>-33.33651916276402</v>
      </c>
      <c r="R114" s="116"/>
      <c r="S114" s="1">
        <v>3828720</v>
      </c>
      <c r="U114" s="1" t="str">
        <f t="shared" si="30"/>
        <v>279.00</v>
      </c>
      <c r="V114" s="1">
        <f t="shared" si="20"/>
        <v>0</v>
      </c>
      <c r="Z114" s="16">
        <v>66</v>
      </c>
    </row>
    <row r="115" spans="1:26" ht="49.5">
      <c r="A115" s="113">
        <v>107</v>
      </c>
      <c r="B115" s="28" t="s">
        <v>934</v>
      </c>
      <c r="C115" s="24" t="s">
        <v>774</v>
      </c>
      <c r="D115" s="28" t="s">
        <v>64</v>
      </c>
      <c r="E115" s="28" t="s">
        <v>1058</v>
      </c>
      <c r="F115" s="27">
        <f t="shared" si="21"/>
        <v>5964</v>
      </c>
      <c r="G115" s="114" t="s">
        <v>972</v>
      </c>
      <c r="H115" s="29">
        <f t="shared" si="22"/>
        <v>7798</v>
      </c>
      <c r="I115" s="77"/>
      <c r="J115" s="268">
        <f t="shared" si="17"/>
        <v>0</v>
      </c>
      <c r="K115" s="16"/>
      <c r="L115" s="270">
        <f t="shared" si="18"/>
        <v>0</v>
      </c>
      <c r="M115" s="15">
        <f t="shared" si="23"/>
        <v>0</v>
      </c>
      <c r="N115" s="15">
        <f t="shared" si="24"/>
        <v>0</v>
      </c>
      <c r="O115" s="15" t="str">
        <f t="shared" si="25"/>
        <v/>
      </c>
      <c r="P115" s="14">
        <f t="shared" si="26"/>
        <v>5964</v>
      </c>
      <c r="Q115" s="14">
        <f t="shared" si="27"/>
        <v>-23.518850987432675</v>
      </c>
      <c r="R115" s="116"/>
      <c r="S115" s="1">
        <v>70738</v>
      </c>
      <c r="U115" s="1" t="str">
        <f t="shared" si="30"/>
        <v>852.00</v>
      </c>
      <c r="V115" s="1">
        <f t="shared" si="20"/>
        <v>0</v>
      </c>
      <c r="Z115" s="16">
        <v>0</v>
      </c>
    </row>
    <row r="116" spans="1:26" ht="33">
      <c r="A116" s="113">
        <v>108</v>
      </c>
      <c r="B116" s="28" t="s">
        <v>936</v>
      </c>
      <c r="C116" s="24" t="s">
        <v>775</v>
      </c>
      <c r="D116" s="28" t="s">
        <v>65</v>
      </c>
      <c r="E116" s="28" t="s">
        <v>1059</v>
      </c>
      <c r="F116" s="27">
        <f t="shared" si="21"/>
        <v>19038</v>
      </c>
      <c r="G116" s="114">
        <v>316.45999999999998</v>
      </c>
      <c r="H116" s="29">
        <f t="shared" si="22"/>
        <v>26424.41</v>
      </c>
      <c r="I116" s="77"/>
      <c r="J116" s="268">
        <f t="shared" si="17"/>
        <v>0</v>
      </c>
      <c r="K116" s="16"/>
      <c r="L116" s="270">
        <f t="shared" si="18"/>
        <v>0</v>
      </c>
      <c r="M116" s="15">
        <f t="shared" si="23"/>
        <v>0</v>
      </c>
      <c r="N116" s="15">
        <f t="shared" si="24"/>
        <v>0</v>
      </c>
      <c r="O116" s="15" t="str">
        <f t="shared" si="25"/>
        <v/>
      </c>
      <c r="P116" s="14">
        <f t="shared" si="26"/>
        <v>19038</v>
      </c>
      <c r="Q116" s="112">
        <f t="shared" si="27"/>
        <v>-27.952979839474178</v>
      </c>
      <c r="R116" s="116"/>
      <c r="S116" s="1">
        <v>70738</v>
      </c>
      <c r="U116" s="1" t="str">
        <f t="shared" si="30"/>
        <v>228.00</v>
      </c>
      <c r="V116" s="1">
        <f t="shared" si="20"/>
        <v>0</v>
      </c>
      <c r="Z116" s="16">
        <v>0</v>
      </c>
    </row>
    <row r="117" spans="1:26" ht="18.75">
      <c r="A117" s="113">
        <v>109</v>
      </c>
      <c r="B117" s="28" t="s">
        <v>875</v>
      </c>
      <c r="C117" s="24" t="s">
        <v>776</v>
      </c>
      <c r="D117" s="28" t="s">
        <v>63</v>
      </c>
      <c r="E117" s="28" t="s">
        <v>1060</v>
      </c>
      <c r="F117" s="27">
        <f t="shared" si="21"/>
        <v>2494.6999999999998</v>
      </c>
      <c r="G117" s="114">
        <v>347.44</v>
      </c>
      <c r="H117" s="29">
        <f t="shared" si="22"/>
        <v>3509.1439999999998</v>
      </c>
      <c r="I117" s="77"/>
      <c r="J117" s="268">
        <f t="shared" si="17"/>
        <v>0</v>
      </c>
      <c r="K117" s="16"/>
      <c r="L117" s="270">
        <f t="shared" si="18"/>
        <v>0</v>
      </c>
      <c r="M117" s="15">
        <f t="shared" si="23"/>
        <v>0</v>
      </c>
      <c r="N117" s="15">
        <f t="shared" si="24"/>
        <v>0</v>
      </c>
      <c r="O117" s="15" t="str">
        <f t="shared" si="25"/>
        <v/>
      </c>
      <c r="P117" s="14">
        <f t="shared" si="26"/>
        <v>2494.6999999999998</v>
      </c>
      <c r="Q117" s="112">
        <f t="shared" si="27"/>
        <v>-28.908588533271935</v>
      </c>
      <c r="R117" s="116"/>
      <c r="S117" s="1">
        <v>70738</v>
      </c>
      <c r="U117" s="1" t="str">
        <f t="shared" si="30"/>
        <v>247.00</v>
      </c>
      <c r="V117" s="1">
        <f t="shared" si="20"/>
        <v>0</v>
      </c>
      <c r="Z117" s="16">
        <v>0</v>
      </c>
    </row>
    <row r="118" spans="1:26" ht="33">
      <c r="A118" s="113">
        <v>110</v>
      </c>
      <c r="B118" s="28" t="s">
        <v>937</v>
      </c>
      <c r="C118" s="24" t="s">
        <v>777</v>
      </c>
      <c r="D118" s="28" t="s">
        <v>65</v>
      </c>
      <c r="E118" s="28" t="s">
        <v>1061</v>
      </c>
      <c r="F118" s="27">
        <f t="shared" si="21"/>
        <v>9936</v>
      </c>
      <c r="G118" s="114">
        <v>202.75</v>
      </c>
      <c r="H118" s="29">
        <f t="shared" si="22"/>
        <v>14598</v>
      </c>
      <c r="I118" s="77"/>
      <c r="J118" s="268">
        <f t="shared" si="17"/>
        <v>0</v>
      </c>
      <c r="K118" s="16"/>
      <c r="L118" s="270">
        <f t="shared" si="18"/>
        <v>0</v>
      </c>
      <c r="M118" s="15">
        <f t="shared" si="23"/>
        <v>0</v>
      </c>
      <c r="N118" s="15">
        <f t="shared" si="24"/>
        <v>0</v>
      </c>
      <c r="O118" s="15" t="str">
        <f t="shared" si="25"/>
        <v/>
      </c>
      <c r="P118" s="14">
        <f t="shared" si="26"/>
        <v>9936</v>
      </c>
      <c r="Q118" s="112">
        <f t="shared" si="27"/>
        <v>-31.935881627620223</v>
      </c>
      <c r="R118" s="116"/>
      <c r="S118" s="1">
        <v>1013840</v>
      </c>
      <c r="U118" s="1" t="str">
        <f t="shared" si="30"/>
        <v>138.00</v>
      </c>
      <c r="V118" s="1">
        <f t="shared" si="20"/>
        <v>0</v>
      </c>
      <c r="Z118" s="16">
        <v>0</v>
      </c>
    </row>
    <row r="119" spans="1:26" ht="49.5">
      <c r="A119" s="113">
        <v>111</v>
      </c>
      <c r="B119" s="28" t="s">
        <v>895</v>
      </c>
      <c r="C119" s="24" t="s">
        <v>778</v>
      </c>
      <c r="D119" s="28" t="s">
        <v>64</v>
      </c>
      <c r="E119" s="28" t="s">
        <v>946</v>
      </c>
      <c r="F119" s="27">
        <f t="shared" si="21"/>
        <v>130</v>
      </c>
      <c r="G119" s="114">
        <v>178.5</v>
      </c>
      <c r="H119" s="29">
        <f t="shared" si="22"/>
        <v>178.5</v>
      </c>
      <c r="I119" s="77"/>
      <c r="J119" s="268">
        <f t="shared" si="17"/>
        <v>0</v>
      </c>
      <c r="K119" s="16"/>
      <c r="L119" s="270">
        <f t="shared" si="18"/>
        <v>0</v>
      </c>
      <c r="M119" s="15">
        <f t="shared" si="23"/>
        <v>0</v>
      </c>
      <c r="N119" s="15">
        <f t="shared" si="24"/>
        <v>0</v>
      </c>
      <c r="O119" s="15" t="str">
        <f t="shared" si="25"/>
        <v/>
      </c>
      <c r="P119" s="14">
        <f t="shared" si="26"/>
        <v>130</v>
      </c>
      <c r="Q119" s="112">
        <f t="shared" si="27"/>
        <v>-27.170868347338935</v>
      </c>
      <c r="R119" s="116"/>
      <c r="S119" s="1">
        <v>6800</v>
      </c>
      <c r="U119" s="1" t="str">
        <f t="shared" si="30"/>
        <v>130.00</v>
      </c>
      <c r="V119" s="1">
        <f t="shared" si="20"/>
        <v>0</v>
      </c>
      <c r="Z119" s="16">
        <v>1</v>
      </c>
    </row>
    <row r="120" spans="1:26" ht="33">
      <c r="A120" s="113">
        <v>112</v>
      </c>
      <c r="B120" s="28" t="s">
        <v>923</v>
      </c>
      <c r="C120" s="24" t="s">
        <v>779</v>
      </c>
      <c r="D120" s="28" t="s">
        <v>64</v>
      </c>
      <c r="E120" s="28" t="s">
        <v>1062</v>
      </c>
      <c r="F120" s="27">
        <f t="shared" si="21"/>
        <v>4152</v>
      </c>
      <c r="G120" s="114">
        <v>1828</v>
      </c>
      <c r="H120" s="29">
        <f t="shared" si="22"/>
        <v>5484</v>
      </c>
      <c r="I120" s="77"/>
      <c r="J120" s="268">
        <f t="shared" si="17"/>
        <v>0</v>
      </c>
      <c r="K120" s="16"/>
      <c r="L120" s="270">
        <f t="shared" si="18"/>
        <v>0</v>
      </c>
      <c r="M120" s="15">
        <f t="shared" si="23"/>
        <v>0</v>
      </c>
      <c r="N120" s="15">
        <f t="shared" si="24"/>
        <v>0</v>
      </c>
      <c r="O120" s="15" t="str">
        <f t="shared" si="25"/>
        <v/>
      </c>
      <c r="P120" s="14">
        <f t="shared" si="26"/>
        <v>4152</v>
      </c>
      <c r="Q120" s="14">
        <f t="shared" si="27"/>
        <v>-24.288840262582056</v>
      </c>
      <c r="R120" s="116"/>
      <c r="Z120" s="16"/>
    </row>
    <row r="121" spans="1:26" ht="18.75">
      <c r="A121" s="113">
        <v>113</v>
      </c>
      <c r="B121" s="28" t="s">
        <v>934</v>
      </c>
      <c r="C121" s="24" t="s">
        <v>780</v>
      </c>
      <c r="D121" s="28" t="s">
        <v>64</v>
      </c>
      <c r="E121" s="28" t="s">
        <v>1063</v>
      </c>
      <c r="F121" s="27">
        <f t="shared" si="21"/>
        <v>15246</v>
      </c>
      <c r="G121" s="114">
        <v>3399.82</v>
      </c>
      <c r="H121" s="29">
        <f t="shared" si="22"/>
        <v>23798.74</v>
      </c>
      <c r="I121" s="77"/>
      <c r="J121" s="268">
        <f t="shared" si="17"/>
        <v>0</v>
      </c>
      <c r="K121" s="16"/>
      <c r="L121" s="270">
        <f t="shared" si="18"/>
        <v>0</v>
      </c>
      <c r="M121" s="15">
        <f t="shared" si="23"/>
        <v>0</v>
      </c>
      <c r="N121" s="15">
        <f t="shared" si="24"/>
        <v>0</v>
      </c>
      <c r="O121" s="15" t="str">
        <f t="shared" si="25"/>
        <v/>
      </c>
      <c r="P121" s="14">
        <f t="shared" si="26"/>
        <v>15246</v>
      </c>
      <c r="Q121" s="112">
        <f t="shared" si="27"/>
        <v>-35.937784941555734</v>
      </c>
      <c r="R121" s="116"/>
      <c r="S121" s="1">
        <v>1064250</v>
      </c>
      <c r="U121" s="1">
        <v>200</v>
      </c>
      <c r="V121" s="1">
        <f t="shared" ref="V121:V147" si="31">U121*I121</f>
        <v>0</v>
      </c>
      <c r="Z121" s="16">
        <v>0</v>
      </c>
    </row>
    <row r="122" spans="1:26" ht="33">
      <c r="A122" s="113">
        <v>114</v>
      </c>
      <c r="B122" s="28" t="s">
        <v>924</v>
      </c>
      <c r="C122" s="24" t="s">
        <v>781</v>
      </c>
      <c r="D122" s="28" t="s">
        <v>64</v>
      </c>
      <c r="E122" s="28" t="s">
        <v>1064</v>
      </c>
      <c r="F122" s="27">
        <f t="shared" si="21"/>
        <v>5780</v>
      </c>
      <c r="G122" s="114">
        <v>464</v>
      </c>
      <c r="H122" s="29">
        <f t="shared" si="22"/>
        <v>7888</v>
      </c>
      <c r="I122" s="77"/>
      <c r="J122" s="268">
        <f t="shared" si="17"/>
        <v>0</v>
      </c>
      <c r="K122" s="16"/>
      <c r="L122" s="270">
        <f t="shared" si="18"/>
        <v>0</v>
      </c>
      <c r="M122" s="15">
        <f t="shared" si="23"/>
        <v>0</v>
      </c>
      <c r="N122" s="15">
        <f t="shared" si="24"/>
        <v>0</v>
      </c>
      <c r="O122" s="15" t="str">
        <f t="shared" si="25"/>
        <v/>
      </c>
      <c r="P122" s="14">
        <f t="shared" si="26"/>
        <v>5780</v>
      </c>
      <c r="Q122" s="112">
        <f t="shared" si="27"/>
        <v>-26.72413793103448</v>
      </c>
      <c r="R122" s="116"/>
      <c r="S122" s="1">
        <v>1026375</v>
      </c>
      <c r="U122" s="1" t="str">
        <f>E122</f>
        <v>340.00</v>
      </c>
      <c r="V122" s="1">
        <f t="shared" si="31"/>
        <v>0</v>
      </c>
      <c r="Z122" s="16">
        <v>0</v>
      </c>
    </row>
    <row r="123" spans="1:26" ht="33">
      <c r="A123" s="113">
        <v>115</v>
      </c>
      <c r="B123" s="28" t="s">
        <v>873</v>
      </c>
      <c r="C123" s="24" t="s">
        <v>782</v>
      </c>
      <c r="D123" s="28" t="s">
        <v>64</v>
      </c>
      <c r="E123" s="28" t="s">
        <v>1065</v>
      </c>
      <c r="F123" s="27">
        <f t="shared" si="21"/>
        <v>5472</v>
      </c>
      <c r="G123" s="114">
        <v>416</v>
      </c>
      <c r="H123" s="29">
        <f t="shared" si="22"/>
        <v>7488</v>
      </c>
      <c r="I123" s="77"/>
      <c r="J123" s="268">
        <f t="shared" si="17"/>
        <v>0</v>
      </c>
      <c r="K123" s="16"/>
      <c r="L123" s="270">
        <f t="shared" si="18"/>
        <v>0</v>
      </c>
      <c r="M123" s="15">
        <f t="shared" si="23"/>
        <v>0</v>
      </c>
      <c r="N123" s="15">
        <f t="shared" si="24"/>
        <v>0</v>
      </c>
      <c r="O123" s="15" t="str">
        <f t="shared" si="25"/>
        <v/>
      </c>
      <c r="P123" s="14">
        <f t="shared" si="26"/>
        <v>5472</v>
      </c>
      <c r="Q123" s="112">
        <f t="shared" si="27"/>
        <v>-26.923076923076923</v>
      </c>
      <c r="R123" s="116"/>
      <c r="U123" s="1">
        <v>100</v>
      </c>
      <c r="V123" s="1">
        <f t="shared" si="31"/>
        <v>0</v>
      </c>
      <c r="Z123" s="16"/>
    </row>
    <row r="124" spans="1:26" ht="49.5">
      <c r="A124" s="113">
        <v>116</v>
      </c>
      <c r="B124" s="28" t="s">
        <v>895</v>
      </c>
      <c r="C124" s="24" t="s">
        <v>783</v>
      </c>
      <c r="D124" s="28" t="s">
        <v>64</v>
      </c>
      <c r="E124" s="28" t="s">
        <v>1066</v>
      </c>
      <c r="F124" s="27">
        <f t="shared" si="21"/>
        <v>2067</v>
      </c>
      <c r="G124" s="114">
        <v>2965.56</v>
      </c>
      <c r="H124" s="29">
        <f t="shared" si="22"/>
        <v>2965.56</v>
      </c>
      <c r="I124" s="77"/>
      <c r="J124" s="268">
        <f t="shared" si="17"/>
        <v>0</v>
      </c>
      <c r="K124" s="16"/>
      <c r="L124" s="270">
        <f t="shared" si="18"/>
        <v>0</v>
      </c>
      <c r="M124" s="15">
        <f t="shared" si="23"/>
        <v>0</v>
      </c>
      <c r="N124" s="15">
        <f t="shared" si="24"/>
        <v>0</v>
      </c>
      <c r="O124" s="15" t="str">
        <f t="shared" si="25"/>
        <v/>
      </c>
      <c r="P124" s="14">
        <f t="shared" si="26"/>
        <v>2067</v>
      </c>
      <c r="Q124" s="112">
        <f t="shared" si="27"/>
        <v>-30.299842188321936</v>
      </c>
      <c r="R124" s="116"/>
      <c r="S124" s="1">
        <v>1026375</v>
      </c>
      <c r="U124" s="1">
        <v>80</v>
      </c>
      <c r="V124" s="1">
        <f t="shared" si="31"/>
        <v>0</v>
      </c>
      <c r="Z124" s="16">
        <v>0</v>
      </c>
    </row>
    <row r="125" spans="1:26" ht="49.5">
      <c r="A125" s="113">
        <v>117</v>
      </c>
      <c r="B125" s="28" t="s">
        <v>895</v>
      </c>
      <c r="C125" s="24" t="s">
        <v>784</v>
      </c>
      <c r="D125" s="28" t="s">
        <v>64</v>
      </c>
      <c r="E125" s="28" t="s">
        <v>1067</v>
      </c>
      <c r="F125" s="27">
        <f t="shared" si="21"/>
        <v>3238</v>
      </c>
      <c r="G125" s="114">
        <v>4630.97</v>
      </c>
      <c r="H125" s="29">
        <f t="shared" si="22"/>
        <v>4630.97</v>
      </c>
      <c r="I125" s="77"/>
      <c r="J125" s="268">
        <f t="shared" si="17"/>
        <v>0</v>
      </c>
      <c r="K125" s="16"/>
      <c r="L125" s="270">
        <f t="shared" si="18"/>
        <v>0</v>
      </c>
      <c r="M125" s="15">
        <f t="shared" si="23"/>
        <v>0</v>
      </c>
      <c r="N125" s="15">
        <f t="shared" si="24"/>
        <v>0</v>
      </c>
      <c r="O125" s="15" t="str">
        <f t="shared" si="25"/>
        <v/>
      </c>
      <c r="P125" s="14">
        <f t="shared" si="26"/>
        <v>3238</v>
      </c>
      <c r="Q125" s="112">
        <f t="shared" si="27"/>
        <v>-30.079443399546967</v>
      </c>
      <c r="R125" s="116"/>
      <c r="S125" s="1">
        <v>1036150</v>
      </c>
      <c r="U125" s="1" t="str">
        <f>E125</f>
        <v>3238.00</v>
      </c>
      <c r="V125" s="1">
        <f t="shared" si="31"/>
        <v>0</v>
      </c>
      <c r="Z125" s="16">
        <v>0</v>
      </c>
    </row>
    <row r="126" spans="1:26" ht="33">
      <c r="A126" s="113">
        <v>118</v>
      </c>
      <c r="B126" s="28" t="s">
        <v>934</v>
      </c>
      <c r="C126" s="24" t="s">
        <v>785</v>
      </c>
      <c r="D126" s="28" t="s">
        <v>64</v>
      </c>
      <c r="E126" s="28" t="s">
        <v>1068</v>
      </c>
      <c r="F126" s="27">
        <f t="shared" si="21"/>
        <v>31486</v>
      </c>
      <c r="G126" s="114">
        <v>6410.25</v>
      </c>
      <c r="H126" s="29">
        <f t="shared" si="22"/>
        <v>44871.75</v>
      </c>
      <c r="I126" s="77"/>
      <c r="J126" s="268">
        <f t="shared" si="17"/>
        <v>0</v>
      </c>
      <c r="K126" s="16"/>
      <c r="L126" s="270">
        <f t="shared" si="18"/>
        <v>0</v>
      </c>
      <c r="M126" s="15">
        <f t="shared" si="23"/>
        <v>0</v>
      </c>
      <c r="N126" s="15">
        <f t="shared" si="24"/>
        <v>0</v>
      </c>
      <c r="O126" s="15" t="str">
        <f t="shared" si="25"/>
        <v/>
      </c>
      <c r="P126" s="14">
        <f t="shared" si="26"/>
        <v>31486</v>
      </c>
      <c r="Q126" s="112">
        <f t="shared" si="27"/>
        <v>-29.831129831129832</v>
      </c>
      <c r="R126" s="116"/>
      <c r="S126" s="1">
        <v>1045925</v>
      </c>
      <c r="U126" s="1" t="str">
        <f>E126</f>
        <v>4498.00</v>
      </c>
      <c r="V126" s="1">
        <f t="shared" si="31"/>
        <v>0</v>
      </c>
      <c r="Z126" s="16"/>
    </row>
    <row r="127" spans="1:26" ht="49.5">
      <c r="A127" s="113">
        <v>119</v>
      </c>
      <c r="B127" s="28" t="s">
        <v>938</v>
      </c>
      <c r="C127" s="24" t="s">
        <v>786</v>
      </c>
      <c r="D127" s="28" t="s">
        <v>65</v>
      </c>
      <c r="E127" s="28" t="s">
        <v>1069</v>
      </c>
      <c r="F127" s="27">
        <f t="shared" si="21"/>
        <v>36982</v>
      </c>
      <c r="G127" s="114">
        <v>641.9</v>
      </c>
      <c r="H127" s="29">
        <f t="shared" si="22"/>
        <v>52635.799999999996</v>
      </c>
      <c r="I127" s="77"/>
      <c r="J127" s="268">
        <f t="shared" si="17"/>
        <v>0</v>
      </c>
      <c r="K127" s="16"/>
      <c r="L127" s="270">
        <f t="shared" si="18"/>
        <v>0</v>
      </c>
      <c r="M127" s="15">
        <f t="shared" si="23"/>
        <v>0</v>
      </c>
      <c r="N127" s="15">
        <f t="shared" si="24"/>
        <v>0</v>
      </c>
      <c r="O127" s="15" t="str">
        <f t="shared" si="25"/>
        <v/>
      </c>
      <c r="P127" s="14">
        <f t="shared" si="26"/>
        <v>36982</v>
      </c>
      <c r="Q127" s="112">
        <f t="shared" si="27"/>
        <v>-29.739834865243804</v>
      </c>
      <c r="R127" s="116"/>
      <c r="S127" s="1">
        <v>1045925</v>
      </c>
      <c r="U127" s="1" t="str">
        <f>E127</f>
        <v>451.00</v>
      </c>
      <c r="V127" s="1">
        <f t="shared" si="31"/>
        <v>0</v>
      </c>
      <c r="Z127" s="16"/>
    </row>
    <row r="128" spans="1:26" ht="18.75">
      <c r="A128" s="113">
        <v>120</v>
      </c>
      <c r="B128" s="28" t="s">
        <v>939</v>
      </c>
      <c r="C128" s="24" t="s">
        <v>51</v>
      </c>
      <c r="D128" s="28" t="s">
        <v>65</v>
      </c>
      <c r="E128" s="28" t="s">
        <v>1070</v>
      </c>
      <c r="F128" s="27">
        <f t="shared" si="21"/>
        <v>39093.599999999999</v>
      </c>
      <c r="G128" s="114">
        <v>529.1</v>
      </c>
      <c r="H128" s="29">
        <f t="shared" si="22"/>
        <v>56825.340000000004</v>
      </c>
      <c r="I128" s="77"/>
      <c r="J128" s="268">
        <f t="shared" si="17"/>
        <v>0</v>
      </c>
      <c r="K128" s="16"/>
      <c r="L128" s="270">
        <f t="shared" si="18"/>
        <v>0</v>
      </c>
      <c r="M128" s="15">
        <f t="shared" si="23"/>
        <v>0</v>
      </c>
      <c r="N128" s="15">
        <f t="shared" si="24"/>
        <v>0</v>
      </c>
      <c r="O128" s="15" t="str">
        <f t="shared" si="25"/>
        <v/>
      </c>
      <c r="P128" s="14">
        <f t="shared" si="26"/>
        <v>39093.599999999999</v>
      </c>
      <c r="Q128" s="112">
        <f t="shared" si="27"/>
        <v>-31.203931203931205</v>
      </c>
      <c r="R128" s="116"/>
      <c r="S128" s="1">
        <v>1055700</v>
      </c>
      <c r="U128" s="1">
        <v>1700</v>
      </c>
      <c r="V128" s="1">
        <f t="shared" si="31"/>
        <v>0</v>
      </c>
      <c r="Z128" s="16">
        <v>285.86</v>
      </c>
    </row>
    <row r="129" spans="1:26" ht="49.5">
      <c r="A129" s="113">
        <v>121</v>
      </c>
      <c r="B129" s="28" t="s">
        <v>902</v>
      </c>
      <c r="C129" s="24" t="s">
        <v>787</v>
      </c>
      <c r="D129" s="28" t="s">
        <v>65</v>
      </c>
      <c r="E129" s="28" t="s">
        <v>959</v>
      </c>
      <c r="F129" s="27">
        <f t="shared" si="21"/>
        <v>1860</v>
      </c>
      <c r="G129" s="114">
        <v>81.2</v>
      </c>
      <c r="H129" s="29">
        <f t="shared" si="22"/>
        <v>2436</v>
      </c>
      <c r="I129" s="77"/>
      <c r="J129" s="268">
        <f t="shared" si="17"/>
        <v>0</v>
      </c>
      <c r="K129" s="16"/>
      <c r="L129" s="270">
        <f t="shared" si="18"/>
        <v>0</v>
      </c>
      <c r="M129" s="15">
        <f t="shared" si="23"/>
        <v>0</v>
      </c>
      <c r="N129" s="15">
        <f t="shared" si="24"/>
        <v>0</v>
      </c>
      <c r="O129" s="15" t="str">
        <f t="shared" si="25"/>
        <v/>
      </c>
      <c r="P129" s="14">
        <f t="shared" si="26"/>
        <v>1860</v>
      </c>
      <c r="Q129" s="14">
        <f t="shared" si="27"/>
        <v>-23.645320197044338</v>
      </c>
      <c r="R129" s="116"/>
      <c r="S129" s="1">
        <v>1065475</v>
      </c>
      <c r="U129" s="1" t="str">
        <f>E129</f>
        <v>62.00</v>
      </c>
      <c r="V129" s="1">
        <f t="shared" si="31"/>
        <v>0</v>
      </c>
      <c r="Z129" s="16">
        <v>1497.41</v>
      </c>
    </row>
    <row r="130" spans="1:26" ht="33">
      <c r="A130" s="113">
        <v>122</v>
      </c>
      <c r="B130" s="28" t="s">
        <v>895</v>
      </c>
      <c r="C130" s="24" t="s">
        <v>788</v>
      </c>
      <c r="D130" s="28" t="s">
        <v>64</v>
      </c>
      <c r="E130" s="28" t="s">
        <v>1071</v>
      </c>
      <c r="F130" s="27">
        <f t="shared" si="21"/>
        <v>338</v>
      </c>
      <c r="G130" s="114">
        <v>441.7</v>
      </c>
      <c r="H130" s="29">
        <f t="shared" si="22"/>
        <v>441.7</v>
      </c>
      <c r="I130" s="77"/>
      <c r="J130" s="268">
        <f t="shared" si="17"/>
        <v>0</v>
      </c>
      <c r="K130" s="16"/>
      <c r="L130" s="270">
        <f t="shared" si="18"/>
        <v>0</v>
      </c>
      <c r="M130" s="15">
        <f t="shared" si="23"/>
        <v>0</v>
      </c>
      <c r="N130" s="15">
        <f t="shared" si="24"/>
        <v>0</v>
      </c>
      <c r="O130" s="15" t="str">
        <f t="shared" si="25"/>
        <v/>
      </c>
      <c r="P130" s="14">
        <f t="shared" si="26"/>
        <v>338</v>
      </c>
      <c r="Q130" s="14">
        <f t="shared" si="27"/>
        <v>-23.477473398234096</v>
      </c>
      <c r="R130" s="116"/>
      <c r="S130" s="1">
        <v>1075250</v>
      </c>
      <c r="U130" s="1" t="str">
        <f>E130</f>
        <v>338.00</v>
      </c>
      <c r="V130" s="1">
        <f t="shared" si="31"/>
        <v>0</v>
      </c>
      <c r="Z130" s="16">
        <v>382.05</v>
      </c>
    </row>
    <row r="131" spans="1:26" ht="49.5">
      <c r="A131" s="113">
        <v>123</v>
      </c>
      <c r="B131" s="28" t="s">
        <v>940</v>
      </c>
      <c r="C131" s="24" t="s">
        <v>789</v>
      </c>
      <c r="D131" s="28" t="s">
        <v>65</v>
      </c>
      <c r="E131" s="28" t="s">
        <v>1072</v>
      </c>
      <c r="F131" s="27">
        <f t="shared" si="21"/>
        <v>11340</v>
      </c>
      <c r="G131" s="114">
        <v>359.93</v>
      </c>
      <c r="H131" s="29">
        <f t="shared" si="22"/>
        <v>16196.85</v>
      </c>
      <c r="I131" s="77"/>
      <c r="J131" s="268">
        <f t="shared" si="17"/>
        <v>0</v>
      </c>
      <c r="K131" s="16"/>
      <c r="L131" s="270">
        <f t="shared" si="18"/>
        <v>0</v>
      </c>
      <c r="M131" s="15">
        <f t="shared" si="23"/>
        <v>0</v>
      </c>
      <c r="N131" s="15">
        <f t="shared" si="24"/>
        <v>0</v>
      </c>
      <c r="O131" s="15" t="str">
        <f t="shared" si="25"/>
        <v/>
      </c>
      <c r="P131" s="14">
        <f t="shared" si="26"/>
        <v>11340</v>
      </c>
      <c r="Q131" s="112">
        <f t="shared" si="27"/>
        <v>-29.986386241769235</v>
      </c>
      <c r="R131" s="116"/>
      <c r="S131" s="1">
        <v>1085025</v>
      </c>
      <c r="U131" s="1">
        <v>2200</v>
      </c>
      <c r="V131" s="1">
        <f t="shared" si="31"/>
        <v>0</v>
      </c>
      <c r="Z131" s="16">
        <v>0</v>
      </c>
    </row>
    <row r="132" spans="1:26" ht="18.75">
      <c r="A132" s="113">
        <v>124</v>
      </c>
      <c r="B132" s="28" t="s">
        <v>873</v>
      </c>
      <c r="C132" s="24" t="s">
        <v>52</v>
      </c>
      <c r="D132" s="28" t="s">
        <v>65</v>
      </c>
      <c r="E132" s="28" t="s">
        <v>1073</v>
      </c>
      <c r="F132" s="27">
        <f t="shared" si="21"/>
        <v>7506</v>
      </c>
      <c r="G132" s="114">
        <v>587.20000000000005</v>
      </c>
      <c r="H132" s="29">
        <f t="shared" si="22"/>
        <v>10569.6</v>
      </c>
      <c r="I132" s="77"/>
      <c r="J132" s="268">
        <f t="shared" si="17"/>
        <v>0</v>
      </c>
      <c r="K132" s="16"/>
      <c r="L132" s="270">
        <f t="shared" si="18"/>
        <v>0</v>
      </c>
      <c r="M132" s="15">
        <f t="shared" si="23"/>
        <v>0</v>
      </c>
      <c r="N132" s="15">
        <f t="shared" si="24"/>
        <v>0</v>
      </c>
      <c r="O132" s="15" t="str">
        <f t="shared" si="25"/>
        <v/>
      </c>
      <c r="P132" s="14">
        <f t="shared" si="26"/>
        <v>7506</v>
      </c>
      <c r="Q132" s="112">
        <f t="shared" si="27"/>
        <v>-28.985013623978205</v>
      </c>
      <c r="R132" s="116"/>
      <c r="S132" s="1">
        <v>1094800</v>
      </c>
      <c r="U132" s="1">
        <v>2900</v>
      </c>
      <c r="V132" s="1">
        <f t="shared" si="31"/>
        <v>0</v>
      </c>
      <c r="Z132" s="16">
        <v>18.899999999999999</v>
      </c>
    </row>
    <row r="133" spans="1:26" ht="33">
      <c r="A133" s="113">
        <v>125</v>
      </c>
      <c r="B133" s="28" t="s">
        <v>941</v>
      </c>
      <c r="C133" s="24" t="s">
        <v>790</v>
      </c>
      <c r="D133" s="28" t="s">
        <v>64</v>
      </c>
      <c r="E133" s="28" t="s">
        <v>1074</v>
      </c>
      <c r="F133" s="27">
        <f t="shared" si="21"/>
        <v>238</v>
      </c>
      <c r="G133" s="114">
        <v>160</v>
      </c>
      <c r="H133" s="29">
        <f t="shared" si="22"/>
        <v>320</v>
      </c>
      <c r="I133" s="77"/>
      <c r="J133" s="268">
        <f t="shared" si="17"/>
        <v>0</v>
      </c>
      <c r="K133" s="16"/>
      <c r="L133" s="270">
        <f t="shared" si="18"/>
        <v>0</v>
      </c>
      <c r="M133" s="15">
        <f t="shared" si="23"/>
        <v>0</v>
      </c>
      <c r="N133" s="15">
        <f t="shared" si="24"/>
        <v>0</v>
      </c>
      <c r="O133" s="15" t="str">
        <f t="shared" si="25"/>
        <v/>
      </c>
      <c r="P133" s="14">
        <f t="shared" si="26"/>
        <v>238</v>
      </c>
      <c r="Q133" s="112">
        <f t="shared" si="27"/>
        <v>-25.624999999999996</v>
      </c>
      <c r="R133" s="116"/>
      <c r="S133" s="1">
        <v>1104575</v>
      </c>
      <c r="U133" s="1">
        <v>3900</v>
      </c>
      <c r="V133" s="1">
        <f t="shared" si="31"/>
        <v>0</v>
      </c>
      <c r="Z133" s="16"/>
    </row>
    <row r="134" spans="1:26" ht="18.75">
      <c r="A134" s="113">
        <v>126</v>
      </c>
      <c r="B134" s="28" t="s">
        <v>941</v>
      </c>
      <c r="C134" s="24" t="s">
        <v>791</v>
      </c>
      <c r="D134" s="28" t="s">
        <v>64</v>
      </c>
      <c r="E134" s="28" t="s">
        <v>1075</v>
      </c>
      <c r="F134" s="27">
        <f t="shared" si="21"/>
        <v>760</v>
      </c>
      <c r="G134" s="114">
        <v>510</v>
      </c>
      <c r="H134" s="29">
        <f t="shared" si="22"/>
        <v>1020</v>
      </c>
      <c r="I134" s="77"/>
      <c r="J134" s="268">
        <f t="shared" si="17"/>
        <v>0</v>
      </c>
      <c r="K134" s="16"/>
      <c r="L134" s="270">
        <f t="shared" si="18"/>
        <v>0</v>
      </c>
      <c r="M134" s="15">
        <f t="shared" si="23"/>
        <v>0</v>
      </c>
      <c r="N134" s="15">
        <f t="shared" si="24"/>
        <v>0</v>
      </c>
      <c r="O134" s="15" t="str">
        <f t="shared" si="25"/>
        <v/>
      </c>
      <c r="P134" s="14">
        <f t="shared" si="26"/>
        <v>760</v>
      </c>
      <c r="Q134" s="112">
        <f t="shared" si="27"/>
        <v>-25.490196078431371</v>
      </c>
      <c r="R134" s="116"/>
      <c r="U134" s="1" t="str">
        <f>E134</f>
        <v>380.00</v>
      </c>
      <c r="V134" s="1">
        <f t="shared" si="31"/>
        <v>0</v>
      </c>
      <c r="Z134" s="16"/>
    </row>
    <row r="135" spans="1:26" ht="33">
      <c r="A135" s="113">
        <v>127</v>
      </c>
      <c r="B135" s="28" t="s">
        <v>941</v>
      </c>
      <c r="C135" s="24" t="s">
        <v>792</v>
      </c>
      <c r="D135" s="28" t="s">
        <v>64</v>
      </c>
      <c r="E135" s="28" t="s">
        <v>1076</v>
      </c>
      <c r="F135" s="27">
        <f t="shared" si="21"/>
        <v>284</v>
      </c>
      <c r="G135" s="114">
        <v>237</v>
      </c>
      <c r="H135" s="29">
        <f t="shared" si="22"/>
        <v>474</v>
      </c>
      <c r="I135" s="77"/>
      <c r="J135" s="268">
        <f t="shared" si="17"/>
        <v>0</v>
      </c>
      <c r="K135" s="16"/>
      <c r="L135" s="270">
        <f t="shared" si="18"/>
        <v>0</v>
      </c>
      <c r="M135" s="15">
        <f t="shared" si="23"/>
        <v>0</v>
      </c>
      <c r="N135" s="15">
        <f t="shared" si="24"/>
        <v>0</v>
      </c>
      <c r="O135" s="15" t="str">
        <f t="shared" si="25"/>
        <v/>
      </c>
      <c r="P135" s="14">
        <f t="shared" si="26"/>
        <v>284</v>
      </c>
      <c r="Q135" s="112">
        <f t="shared" si="27"/>
        <v>-40.084388185654007</v>
      </c>
      <c r="R135" s="116"/>
      <c r="S135" s="1">
        <v>1114350</v>
      </c>
      <c r="U135" s="1">
        <v>350</v>
      </c>
      <c r="V135" s="1">
        <f t="shared" si="31"/>
        <v>0</v>
      </c>
      <c r="Z135" s="16">
        <v>21</v>
      </c>
    </row>
    <row r="136" spans="1:26" ht="18.75">
      <c r="A136" s="113">
        <v>128</v>
      </c>
      <c r="B136" s="28" t="s">
        <v>941</v>
      </c>
      <c r="C136" s="24" t="s">
        <v>793</v>
      </c>
      <c r="D136" s="28" t="s">
        <v>64</v>
      </c>
      <c r="E136" s="28" t="s">
        <v>1077</v>
      </c>
      <c r="F136" s="27">
        <f t="shared" si="21"/>
        <v>502</v>
      </c>
      <c r="G136" s="114">
        <v>464</v>
      </c>
      <c r="H136" s="29">
        <f t="shared" si="22"/>
        <v>928</v>
      </c>
      <c r="I136" s="77"/>
      <c r="J136" s="268">
        <f t="shared" si="17"/>
        <v>0</v>
      </c>
      <c r="K136" s="16"/>
      <c r="L136" s="270">
        <f t="shared" si="18"/>
        <v>0</v>
      </c>
      <c r="M136" s="15">
        <f t="shared" si="23"/>
        <v>0</v>
      </c>
      <c r="N136" s="15">
        <f t="shared" si="24"/>
        <v>0</v>
      </c>
      <c r="O136" s="15" t="str">
        <f t="shared" si="25"/>
        <v/>
      </c>
      <c r="P136" s="14">
        <f t="shared" si="26"/>
        <v>502</v>
      </c>
      <c r="Q136" s="112">
        <f t="shared" si="27"/>
        <v>-45.905172413793103</v>
      </c>
      <c r="R136" s="116"/>
      <c r="S136" s="1">
        <v>1124125</v>
      </c>
      <c r="U136" s="1">
        <v>250</v>
      </c>
      <c r="V136" s="1">
        <f t="shared" si="31"/>
        <v>0</v>
      </c>
      <c r="Z136" s="16">
        <v>63</v>
      </c>
    </row>
    <row r="137" spans="1:26" ht="66">
      <c r="A137" s="113">
        <v>129</v>
      </c>
      <c r="B137" s="28" t="s">
        <v>942</v>
      </c>
      <c r="C137" s="24" t="s">
        <v>794</v>
      </c>
      <c r="D137" s="28" t="s">
        <v>64</v>
      </c>
      <c r="E137" s="28" t="s">
        <v>1078</v>
      </c>
      <c r="F137" s="27">
        <f t="shared" si="21"/>
        <v>69000</v>
      </c>
      <c r="G137" s="114">
        <v>1340</v>
      </c>
      <c r="H137" s="29">
        <f t="shared" si="22"/>
        <v>100500</v>
      </c>
      <c r="I137" s="77"/>
      <c r="J137" s="268">
        <f t="shared" si="17"/>
        <v>0</v>
      </c>
      <c r="K137" s="16"/>
      <c r="L137" s="270">
        <f t="shared" si="18"/>
        <v>0</v>
      </c>
      <c r="M137" s="15">
        <f t="shared" si="23"/>
        <v>0</v>
      </c>
      <c r="N137" s="15">
        <f t="shared" si="24"/>
        <v>0</v>
      </c>
      <c r="O137" s="15" t="str">
        <f t="shared" si="25"/>
        <v/>
      </c>
      <c r="P137" s="14">
        <f t="shared" si="26"/>
        <v>69000</v>
      </c>
      <c r="Q137" s="112">
        <f t="shared" si="27"/>
        <v>-31.343283582089555</v>
      </c>
      <c r="R137" s="116"/>
      <c r="U137" s="1" t="str">
        <f>E137</f>
        <v>920.00</v>
      </c>
      <c r="V137" s="1">
        <f t="shared" si="31"/>
        <v>0</v>
      </c>
      <c r="Z137" s="16"/>
    </row>
    <row r="138" spans="1:26" ht="18.75">
      <c r="A138" s="113">
        <v>130</v>
      </c>
      <c r="B138" s="28" t="s">
        <v>860</v>
      </c>
      <c r="C138" s="24" t="s">
        <v>53</v>
      </c>
      <c r="D138" s="28" t="s">
        <v>64</v>
      </c>
      <c r="E138" s="28" t="s">
        <v>1079</v>
      </c>
      <c r="F138" s="27">
        <f t="shared" si="21"/>
        <v>36920</v>
      </c>
      <c r="G138" s="114">
        <v>1344</v>
      </c>
      <c r="H138" s="29">
        <f t="shared" si="22"/>
        <v>53760</v>
      </c>
      <c r="I138" s="77"/>
      <c r="J138" s="268">
        <f t="shared" ref="J138:J196" si="32">E138*I138</f>
        <v>0</v>
      </c>
      <c r="K138" s="16"/>
      <c r="L138" s="270">
        <f t="shared" ref="L138:L196" si="33">E138*K138</f>
        <v>0</v>
      </c>
      <c r="M138" s="15">
        <f t="shared" si="23"/>
        <v>0</v>
      </c>
      <c r="N138" s="15">
        <f t="shared" si="24"/>
        <v>0</v>
      </c>
      <c r="O138" s="15" t="str">
        <f t="shared" si="25"/>
        <v/>
      </c>
      <c r="P138" s="14">
        <f t="shared" si="26"/>
        <v>36920</v>
      </c>
      <c r="Q138" s="112">
        <f t="shared" si="27"/>
        <v>-31.324404761904763</v>
      </c>
      <c r="R138" s="116"/>
      <c r="U138" s="1" t="str">
        <f>E138</f>
        <v>923.00</v>
      </c>
      <c r="V138" s="1">
        <f t="shared" si="31"/>
        <v>0</v>
      </c>
      <c r="Z138" s="16"/>
    </row>
    <row r="139" spans="1:26" ht="18.75">
      <c r="A139" s="113">
        <v>131</v>
      </c>
      <c r="B139" s="28" t="s">
        <v>943</v>
      </c>
      <c r="C139" s="24" t="s">
        <v>795</v>
      </c>
      <c r="D139" s="28" t="s">
        <v>64</v>
      </c>
      <c r="E139" s="28" t="s">
        <v>1080</v>
      </c>
      <c r="F139" s="27">
        <f t="shared" ref="F139:F196" si="34">B139*E139</f>
        <v>3776</v>
      </c>
      <c r="G139" s="114">
        <v>1372</v>
      </c>
      <c r="H139" s="29">
        <f t="shared" ref="H139:H195" si="35">G139*B139</f>
        <v>5488</v>
      </c>
      <c r="I139" s="77"/>
      <c r="J139" s="268">
        <f t="shared" si="32"/>
        <v>0</v>
      </c>
      <c r="K139" s="16"/>
      <c r="L139" s="270">
        <f t="shared" si="33"/>
        <v>0</v>
      </c>
      <c r="M139" s="15">
        <f t="shared" ref="M139:M196" si="36">I139+K139</f>
        <v>0</v>
      </c>
      <c r="N139" s="15">
        <f t="shared" ref="N139:N196" si="37">M139*E139</f>
        <v>0</v>
      </c>
      <c r="O139" s="15" t="str">
        <f t="shared" ref="O139:O196" si="38">IF(N139&gt;F139,(N139-F139),"")</f>
        <v/>
      </c>
      <c r="P139" s="14">
        <f t="shared" ref="P139:P196" si="39">IF(F139&gt;N139,(F139-N139),"")</f>
        <v>3776</v>
      </c>
      <c r="Q139" s="112">
        <f t="shared" ref="Q139:Q196" si="40">((E139-G139)/G139)*100</f>
        <v>-31.195335276967928</v>
      </c>
      <c r="R139" s="116"/>
      <c r="S139" s="1">
        <v>1133900</v>
      </c>
      <c r="U139" s="1">
        <v>250</v>
      </c>
      <c r="V139" s="1">
        <f t="shared" si="31"/>
        <v>0</v>
      </c>
      <c r="Z139" s="16"/>
    </row>
    <row r="140" spans="1:26" ht="49.5">
      <c r="A140" s="113">
        <v>132</v>
      </c>
      <c r="B140" s="28" t="s">
        <v>902</v>
      </c>
      <c r="C140" s="24" t="s">
        <v>796</v>
      </c>
      <c r="D140" s="28" t="s">
        <v>64</v>
      </c>
      <c r="E140" s="28" t="s">
        <v>1081</v>
      </c>
      <c r="F140" s="27">
        <f t="shared" si="34"/>
        <v>28920</v>
      </c>
      <c r="G140" s="114">
        <v>1398</v>
      </c>
      <c r="H140" s="29">
        <f t="shared" si="35"/>
        <v>41940</v>
      </c>
      <c r="I140" s="77"/>
      <c r="J140" s="268">
        <f t="shared" si="32"/>
        <v>0</v>
      </c>
      <c r="K140" s="16"/>
      <c r="L140" s="270">
        <f t="shared" si="33"/>
        <v>0</v>
      </c>
      <c r="M140" s="15">
        <f t="shared" si="36"/>
        <v>0</v>
      </c>
      <c r="N140" s="15">
        <f t="shared" si="37"/>
        <v>0</v>
      </c>
      <c r="O140" s="15" t="str">
        <f t="shared" si="38"/>
        <v/>
      </c>
      <c r="P140" s="14">
        <f t="shared" si="39"/>
        <v>28920</v>
      </c>
      <c r="Q140" s="112">
        <f t="shared" si="40"/>
        <v>-31.044349070100139</v>
      </c>
      <c r="R140" s="116"/>
      <c r="S140" s="1">
        <v>1001520</v>
      </c>
      <c r="U140" s="1">
        <v>400</v>
      </c>
      <c r="V140" s="1">
        <f t="shared" si="31"/>
        <v>0</v>
      </c>
      <c r="Z140" s="16">
        <v>38.75</v>
      </c>
    </row>
    <row r="141" spans="1:26" ht="66">
      <c r="A141" s="113">
        <v>133</v>
      </c>
      <c r="B141" s="28" t="s">
        <v>943</v>
      </c>
      <c r="C141" s="24" t="s">
        <v>797</v>
      </c>
      <c r="D141" s="28" t="s">
        <v>64</v>
      </c>
      <c r="E141" s="28" t="s">
        <v>1082</v>
      </c>
      <c r="F141" s="27">
        <f t="shared" si="34"/>
        <v>6824</v>
      </c>
      <c r="G141" s="114">
        <v>2506</v>
      </c>
      <c r="H141" s="29">
        <f t="shared" si="35"/>
        <v>10024</v>
      </c>
      <c r="I141" s="77"/>
      <c r="J141" s="268">
        <f t="shared" si="32"/>
        <v>0</v>
      </c>
      <c r="K141" s="16"/>
      <c r="L141" s="270">
        <f t="shared" si="33"/>
        <v>0</v>
      </c>
      <c r="M141" s="15">
        <f t="shared" si="36"/>
        <v>0</v>
      </c>
      <c r="N141" s="15">
        <f t="shared" si="37"/>
        <v>0</v>
      </c>
      <c r="O141" s="15" t="str">
        <f t="shared" si="38"/>
        <v/>
      </c>
      <c r="P141" s="14">
        <f t="shared" si="39"/>
        <v>6824</v>
      </c>
      <c r="Q141" s="112">
        <f t="shared" si="40"/>
        <v>-31.923383878691141</v>
      </c>
      <c r="R141" s="116"/>
      <c r="U141" s="1" t="str">
        <f>E141</f>
        <v>1706.00</v>
      </c>
      <c r="V141" s="1">
        <f t="shared" si="31"/>
        <v>0</v>
      </c>
      <c r="Z141" s="16"/>
    </row>
    <row r="142" spans="1:26" ht="66">
      <c r="A142" s="113">
        <v>134</v>
      </c>
      <c r="B142" s="28" t="s">
        <v>944</v>
      </c>
      <c r="C142" s="24" t="s">
        <v>798</v>
      </c>
      <c r="D142" s="28" t="s">
        <v>64</v>
      </c>
      <c r="E142" s="28" t="s">
        <v>1083</v>
      </c>
      <c r="F142" s="27">
        <f t="shared" si="34"/>
        <v>13104</v>
      </c>
      <c r="G142" s="114">
        <v>688</v>
      </c>
      <c r="H142" s="29">
        <f t="shared" si="35"/>
        <v>19264</v>
      </c>
      <c r="I142" s="77"/>
      <c r="J142" s="268">
        <f t="shared" si="32"/>
        <v>0</v>
      </c>
      <c r="K142" s="16"/>
      <c r="L142" s="270">
        <f t="shared" si="33"/>
        <v>0</v>
      </c>
      <c r="M142" s="15">
        <f t="shared" si="36"/>
        <v>0</v>
      </c>
      <c r="N142" s="15">
        <f t="shared" si="37"/>
        <v>0</v>
      </c>
      <c r="O142" s="15" t="str">
        <f t="shared" si="38"/>
        <v/>
      </c>
      <c r="P142" s="14">
        <f t="shared" si="39"/>
        <v>13104</v>
      </c>
      <c r="Q142" s="112">
        <f t="shared" si="40"/>
        <v>-31.976744186046513</v>
      </c>
      <c r="R142" s="116"/>
      <c r="S142" s="1">
        <v>1133900</v>
      </c>
      <c r="U142" s="1">
        <v>250</v>
      </c>
      <c r="V142" s="1">
        <f t="shared" si="31"/>
        <v>0</v>
      </c>
      <c r="Z142" s="16"/>
    </row>
    <row r="143" spans="1:26" ht="66">
      <c r="A143" s="113">
        <v>135</v>
      </c>
      <c r="B143" s="28" t="s">
        <v>940</v>
      </c>
      <c r="C143" s="24" t="s">
        <v>799</v>
      </c>
      <c r="D143" s="28" t="s">
        <v>64</v>
      </c>
      <c r="E143" s="28" t="s">
        <v>1084</v>
      </c>
      <c r="F143" s="27">
        <f t="shared" si="34"/>
        <v>28980</v>
      </c>
      <c r="G143" s="114">
        <v>932</v>
      </c>
      <c r="H143" s="29">
        <f t="shared" si="35"/>
        <v>41940</v>
      </c>
      <c r="I143" s="77"/>
      <c r="J143" s="268">
        <f t="shared" si="32"/>
        <v>0</v>
      </c>
      <c r="K143" s="16"/>
      <c r="L143" s="270">
        <f t="shared" si="33"/>
        <v>0</v>
      </c>
      <c r="M143" s="15">
        <f t="shared" si="36"/>
        <v>0</v>
      </c>
      <c r="N143" s="15">
        <f t="shared" si="37"/>
        <v>0</v>
      </c>
      <c r="O143" s="15" t="str">
        <f t="shared" si="38"/>
        <v/>
      </c>
      <c r="P143" s="14">
        <f t="shared" si="39"/>
        <v>28980</v>
      </c>
      <c r="Q143" s="112">
        <f t="shared" si="40"/>
        <v>-30.901287553648071</v>
      </c>
      <c r="R143" s="116"/>
      <c r="U143" s="1" t="str">
        <f>E143</f>
        <v>644.00</v>
      </c>
      <c r="V143" s="1">
        <f t="shared" si="31"/>
        <v>0</v>
      </c>
      <c r="Z143" s="16"/>
    </row>
    <row r="144" spans="1:26" ht="33">
      <c r="A144" s="113">
        <v>136</v>
      </c>
      <c r="B144" s="28" t="s">
        <v>902</v>
      </c>
      <c r="C144" s="24" t="s">
        <v>800</v>
      </c>
      <c r="D144" s="28" t="s">
        <v>64</v>
      </c>
      <c r="E144" s="28" t="s">
        <v>1085</v>
      </c>
      <c r="F144" s="27">
        <f t="shared" si="34"/>
        <v>29160</v>
      </c>
      <c r="G144" s="114">
        <v>1284.5</v>
      </c>
      <c r="H144" s="29">
        <f t="shared" si="35"/>
        <v>38535</v>
      </c>
      <c r="I144" s="77"/>
      <c r="J144" s="268">
        <f t="shared" si="32"/>
        <v>0</v>
      </c>
      <c r="K144" s="16"/>
      <c r="L144" s="270">
        <f t="shared" si="33"/>
        <v>0</v>
      </c>
      <c r="M144" s="15">
        <f t="shared" si="36"/>
        <v>0</v>
      </c>
      <c r="N144" s="15">
        <f t="shared" si="37"/>
        <v>0</v>
      </c>
      <c r="O144" s="15" t="str">
        <f t="shared" si="38"/>
        <v/>
      </c>
      <c r="P144" s="14">
        <f t="shared" si="39"/>
        <v>29160</v>
      </c>
      <c r="Q144" s="14">
        <f t="shared" si="40"/>
        <v>-24.328532502919423</v>
      </c>
      <c r="R144" s="116"/>
      <c r="S144" s="1">
        <v>1133900</v>
      </c>
      <c r="U144" s="1">
        <v>250</v>
      </c>
      <c r="V144" s="1">
        <f t="shared" si="31"/>
        <v>0</v>
      </c>
      <c r="Z144" s="16"/>
    </row>
    <row r="145" spans="1:26" ht="49.5">
      <c r="A145" s="113">
        <v>137</v>
      </c>
      <c r="B145" s="28" t="s">
        <v>945</v>
      </c>
      <c r="C145" s="24" t="s">
        <v>801</v>
      </c>
      <c r="D145" s="28" t="s">
        <v>65</v>
      </c>
      <c r="E145" s="28" t="s">
        <v>1086</v>
      </c>
      <c r="F145" s="27">
        <f t="shared" si="34"/>
        <v>96285</v>
      </c>
      <c r="G145" s="114">
        <v>187</v>
      </c>
      <c r="H145" s="29">
        <f t="shared" si="35"/>
        <v>137445</v>
      </c>
      <c r="I145" s="77"/>
      <c r="J145" s="268">
        <f t="shared" si="32"/>
        <v>0</v>
      </c>
      <c r="K145" s="16"/>
      <c r="L145" s="270">
        <f t="shared" si="33"/>
        <v>0</v>
      </c>
      <c r="M145" s="15">
        <f t="shared" si="36"/>
        <v>0</v>
      </c>
      <c r="N145" s="15">
        <f t="shared" si="37"/>
        <v>0</v>
      </c>
      <c r="O145" s="15" t="str">
        <f t="shared" si="38"/>
        <v/>
      </c>
      <c r="P145" s="14">
        <f t="shared" si="39"/>
        <v>96285</v>
      </c>
      <c r="Q145" s="112">
        <f t="shared" si="40"/>
        <v>-29.946524064171122</v>
      </c>
      <c r="R145" s="116"/>
      <c r="U145" s="1" t="str">
        <f>E145</f>
        <v>131.00</v>
      </c>
      <c r="V145" s="1">
        <f t="shared" si="31"/>
        <v>0</v>
      </c>
      <c r="Z145" s="16"/>
    </row>
    <row r="146" spans="1:26" ht="18.75">
      <c r="A146" s="113">
        <v>138</v>
      </c>
      <c r="B146" s="28" t="s">
        <v>895</v>
      </c>
      <c r="C146" s="24" t="s">
        <v>802</v>
      </c>
      <c r="D146" s="28" t="s">
        <v>64</v>
      </c>
      <c r="E146" s="28" t="s">
        <v>1032</v>
      </c>
      <c r="F146" s="27">
        <f t="shared" si="34"/>
        <v>831</v>
      </c>
      <c r="G146" s="114">
        <v>1170</v>
      </c>
      <c r="H146" s="29">
        <f t="shared" si="35"/>
        <v>1170</v>
      </c>
      <c r="I146" s="77"/>
      <c r="J146" s="268">
        <f t="shared" si="32"/>
        <v>0</v>
      </c>
      <c r="K146" s="16"/>
      <c r="L146" s="270">
        <f t="shared" si="33"/>
        <v>0</v>
      </c>
      <c r="M146" s="15">
        <f t="shared" si="36"/>
        <v>0</v>
      </c>
      <c r="N146" s="15">
        <f t="shared" si="37"/>
        <v>0</v>
      </c>
      <c r="O146" s="15" t="str">
        <f t="shared" si="38"/>
        <v/>
      </c>
      <c r="P146" s="14">
        <f t="shared" si="39"/>
        <v>831</v>
      </c>
      <c r="Q146" s="112">
        <f t="shared" si="40"/>
        <v>-28.974358974358978</v>
      </c>
      <c r="R146" s="116"/>
      <c r="S146" s="1">
        <v>513890</v>
      </c>
      <c r="U146" s="1">
        <v>750</v>
      </c>
      <c r="V146" s="1">
        <f t="shared" si="31"/>
        <v>0</v>
      </c>
      <c r="Z146" s="16"/>
    </row>
    <row r="147" spans="1:26" ht="33">
      <c r="A147" s="113">
        <v>139</v>
      </c>
      <c r="B147" s="28" t="s">
        <v>883</v>
      </c>
      <c r="C147" s="24" t="s">
        <v>803</v>
      </c>
      <c r="D147" s="28" t="s">
        <v>64</v>
      </c>
      <c r="E147" s="28" t="s">
        <v>1087</v>
      </c>
      <c r="F147" s="27">
        <f t="shared" si="34"/>
        <v>17000</v>
      </c>
      <c r="G147" s="114">
        <v>2993.1</v>
      </c>
      <c r="H147" s="29">
        <f t="shared" si="35"/>
        <v>23944.799999999999</v>
      </c>
      <c r="I147" s="77"/>
      <c r="J147" s="268">
        <f t="shared" si="32"/>
        <v>0</v>
      </c>
      <c r="K147" s="16"/>
      <c r="L147" s="270">
        <f t="shared" si="33"/>
        <v>0</v>
      </c>
      <c r="M147" s="15">
        <f t="shared" si="36"/>
        <v>0</v>
      </c>
      <c r="N147" s="15">
        <f t="shared" si="37"/>
        <v>0</v>
      </c>
      <c r="O147" s="15" t="str">
        <f t="shared" si="38"/>
        <v/>
      </c>
      <c r="P147" s="14">
        <f t="shared" si="39"/>
        <v>17000</v>
      </c>
      <c r="Q147" s="112">
        <f t="shared" si="40"/>
        <v>-29.003374427850719</v>
      </c>
      <c r="R147" s="116"/>
      <c r="S147" s="1">
        <v>87465</v>
      </c>
      <c r="U147" s="1">
        <v>750</v>
      </c>
      <c r="V147" s="1">
        <f t="shared" si="31"/>
        <v>0</v>
      </c>
      <c r="Z147" s="16">
        <v>2</v>
      </c>
    </row>
    <row r="148" spans="1:26" ht="49.5">
      <c r="A148" s="113">
        <v>140</v>
      </c>
      <c r="B148" s="28" t="s">
        <v>946</v>
      </c>
      <c r="C148" s="24" t="s">
        <v>804</v>
      </c>
      <c r="D148" s="28" t="s">
        <v>65</v>
      </c>
      <c r="E148" s="28" t="s">
        <v>1088</v>
      </c>
      <c r="F148" s="27">
        <f t="shared" si="34"/>
        <v>20150</v>
      </c>
      <c r="G148" s="114">
        <v>219</v>
      </c>
      <c r="H148" s="29">
        <f t="shared" si="35"/>
        <v>28470</v>
      </c>
      <c r="I148" s="77"/>
      <c r="J148" s="268">
        <f t="shared" si="32"/>
        <v>0</v>
      </c>
      <c r="K148" s="16"/>
      <c r="L148" s="270">
        <f t="shared" si="33"/>
        <v>0</v>
      </c>
      <c r="M148" s="15">
        <f t="shared" si="36"/>
        <v>0</v>
      </c>
      <c r="N148" s="15">
        <f t="shared" si="37"/>
        <v>0</v>
      </c>
      <c r="O148" s="15" t="str">
        <f t="shared" si="38"/>
        <v/>
      </c>
      <c r="P148" s="14">
        <f t="shared" si="39"/>
        <v>20150</v>
      </c>
      <c r="Q148" s="112">
        <f t="shared" si="40"/>
        <v>-29.223744292237441</v>
      </c>
      <c r="R148" s="116"/>
      <c r="Z148" s="16"/>
    </row>
    <row r="149" spans="1:26" ht="18.75">
      <c r="A149" s="113">
        <v>141</v>
      </c>
      <c r="B149" s="28" t="s">
        <v>947</v>
      </c>
      <c r="C149" s="24" t="s">
        <v>805</v>
      </c>
      <c r="D149" s="28" t="s">
        <v>65</v>
      </c>
      <c r="E149" s="28" t="s">
        <v>1089</v>
      </c>
      <c r="F149" s="27">
        <f t="shared" si="34"/>
        <v>1240</v>
      </c>
      <c r="G149" s="114">
        <v>165</v>
      </c>
      <c r="H149" s="29">
        <f t="shared" si="35"/>
        <v>1650</v>
      </c>
      <c r="I149" s="77"/>
      <c r="J149" s="268">
        <f t="shared" si="32"/>
        <v>0</v>
      </c>
      <c r="K149" s="16"/>
      <c r="L149" s="270">
        <f t="shared" si="33"/>
        <v>0</v>
      </c>
      <c r="M149" s="15">
        <f t="shared" si="36"/>
        <v>0</v>
      </c>
      <c r="N149" s="15">
        <f t="shared" si="37"/>
        <v>0</v>
      </c>
      <c r="O149" s="15" t="str">
        <f t="shared" si="38"/>
        <v/>
      </c>
      <c r="P149" s="14">
        <f t="shared" si="39"/>
        <v>1240</v>
      </c>
      <c r="Q149" s="14">
        <f t="shared" si="40"/>
        <v>-24.848484848484848</v>
      </c>
      <c r="R149" s="116"/>
      <c r="S149" s="1">
        <v>460000</v>
      </c>
      <c r="U149" s="1">
        <v>750</v>
      </c>
      <c r="V149" s="1">
        <f t="shared" ref="V149:V182" si="41">U149*I149</f>
        <v>0</v>
      </c>
      <c r="Z149" s="16">
        <v>122.85</v>
      </c>
    </row>
    <row r="150" spans="1:26" ht="18.75">
      <c r="A150" s="113">
        <v>142</v>
      </c>
      <c r="B150" s="28" t="s">
        <v>948</v>
      </c>
      <c r="C150" s="24" t="s">
        <v>806</v>
      </c>
      <c r="D150" s="28" t="s">
        <v>63</v>
      </c>
      <c r="E150" s="28" t="s">
        <v>1090</v>
      </c>
      <c r="F150" s="27">
        <f t="shared" si="34"/>
        <v>3112.6</v>
      </c>
      <c r="G150" s="114">
        <v>231.32</v>
      </c>
      <c r="H150" s="29">
        <f t="shared" si="35"/>
        <v>4557.0039999999999</v>
      </c>
      <c r="I150" s="77"/>
      <c r="J150" s="268">
        <f t="shared" si="32"/>
        <v>0</v>
      </c>
      <c r="K150" s="16"/>
      <c r="L150" s="270">
        <f t="shared" si="33"/>
        <v>0</v>
      </c>
      <c r="M150" s="15">
        <f t="shared" si="36"/>
        <v>0</v>
      </c>
      <c r="N150" s="15">
        <f t="shared" si="37"/>
        <v>0</v>
      </c>
      <c r="O150" s="15" t="str">
        <f t="shared" si="38"/>
        <v/>
      </c>
      <c r="P150" s="14">
        <f t="shared" si="39"/>
        <v>3112.6</v>
      </c>
      <c r="Q150" s="112">
        <f t="shared" si="40"/>
        <v>-31.696351374719001</v>
      </c>
      <c r="R150" s="116"/>
      <c r="S150" s="1">
        <v>470000</v>
      </c>
      <c r="U150" s="1">
        <v>1200</v>
      </c>
      <c r="V150" s="1">
        <f t="shared" si="41"/>
        <v>0</v>
      </c>
      <c r="Z150" s="16">
        <v>30.54</v>
      </c>
    </row>
    <row r="151" spans="1:26" ht="49.5">
      <c r="A151" s="113">
        <v>143</v>
      </c>
      <c r="B151" s="28" t="s">
        <v>949</v>
      </c>
      <c r="C151" s="24" t="s">
        <v>807</v>
      </c>
      <c r="D151" s="28" t="s">
        <v>65</v>
      </c>
      <c r="E151" s="28" t="s">
        <v>1091</v>
      </c>
      <c r="F151" s="27">
        <f t="shared" si="34"/>
        <v>19740</v>
      </c>
      <c r="G151" s="114">
        <v>403</v>
      </c>
      <c r="H151" s="29">
        <f t="shared" si="35"/>
        <v>28210</v>
      </c>
      <c r="I151" s="77"/>
      <c r="J151" s="268">
        <f t="shared" si="32"/>
        <v>0</v>
      </c>
      <c r="K151" s="16"/>
      <c r="L151" s="270">
        <f t="shared" si="33"/>
        <v>0</v>
      </c>
      <c r="M151" s="15">
        <f t="shared" si="36"/>
        <v>0</v>
      </c>
      <c r="N151" s="15">
        <f t="shared" si="37"/>
        <v>0</v>
      </c>
      <c r="O151" s="14" t="str">
        <f t="shared" si="38"/>
        <v/>
      </c>
      <c r="P151" s="14">
        <f t="shared" si="39"/>
        <v>19740</v>
      </c>
      <c r="Q151" s="112">
        <f t="shared" si="40"/>
        <v>-30.024813895781637</v>
      </c>
      <c r="R151" s="116"/>
      <c r="S151" s="1">
        <v>480000</v>
      </c>
      <c r="U151" s="1">
        <v>450</v>
      </c>
      <c r="V151" s="1">
        <f t="shared" si="41"/>
        <v>0</v>
      </c>
      <c r="Z151" s="16">
        <v>200.84</v>
      </c>
    </row>
    <row r="152" spans="1:26" ht="18.75">
      <c r="A152" s="113">
        <v>144</v>
      </c>
      <c r="B152" s="28" t="s">
        <v>950</v>
      </c>
      <c r="C152" s="24" t="s">
        <v>808</v>
      </c>
      <c r="D152" s="28" t="s">
        <v>64</v>
      </c>
      <c r="E152" s="28" t="s">
        <v>215</v>
      </c>
      <c r="F152" s="27">
        <f t="shared" si="34"/>
        <v>13992</v>
      </c>
      <c r="G152" s="114">
        <v>1768</v>
      </c>
      <c r="H152" s="29">
        <f t="shared" si="35"/>
        <v>19448</v>
      </c>
      <c r="I152" s="77"/>
      <c r="J152" s="268">
        <f t="shared" si="32"/>
        <v>0</v>
      </c>
      <c r="K152" s="16"/>
      <c r="L152" s="270">
        <f t="shared" si="33"/>
        <v>0</v>
      </c>
      <c r="M152" s="15">
        <f t="shared" si="36"/>
        <v>0</v>
      </c>
      <c r="N152" s="15">
        <f t="shared" si="37"/>
        <v>0</v>
      </c>
      <c r="O152" s="15" t="str">
        <f t="shared" si="38"/>
        <v/>
      </c>
      <c r="P152" s="14">
        <f t="shared" si="39"/>
        <v>13992</v>
      </c>
      <c r="Q152" s="112">
        <f t="shared" si="40"/>
        <v>-28.054298642533936</v>
      </c>
      <c r="R152" s="116"/>
      <c r="S152" s="1">
        <v>490000</v>
      </c>
      <c r="U152" s="1">
        <v>450</v>
      </c>
      <c r="V152" s="1">
        <f t="shared" si="41"/>
        <v>0</v>
      </c>
      <c r="Z152" s="16">
        <v>0</v>
      </c>
    </row>
    <row r="153" spans="1:26" ht="33">
      <c r="A153" s="113">
        <v>145</v>
      </c>
      <c r="B153" s="28" t="s">
        <v>943</v>
      </c>
      <c r="C153" s="24" t="s">
        <v>809</v>
      </c>
      <c r="D153" s="28" t="s">
        <v>64</v>
      </c>
      <c r="E153" s="28" t="s">
        <v>1092</v>
      </c>
      <c r="F153" s="27">
        <f t="shared" si="34"/>
        <v>25268</v>
      </c>
      <c r="G153" s="114">
        <v>8462</v>
      </c>
      <c r="H153" s="29">
        <f t="shared" si="35"/>
        <v>33848</v>
      </c>
      <c r="I153" s="77"/>
      <c r="J153" s="268">
        <f t="shared" si="32"/>
        <v>0</v>
      </c>
      <c r="K153" s="16"/>
      <c r="L153" s="270">
        <f t="shared" si="33"/>
        <v>0</v>
      </c>
      <c r="M153" s="15">
        <f t="shared" si="36"/>
        <v>0</v>
      </c>
      <c r="N153" s="15">
        <f t="shared" si="37"/>
        <v>0</v>
      </c>
      <c r="O153" s="15" t="str">
        <f t="shared" si="38"/>
        <v/>
      </c>
      <c r="P153" s="14">
        <f t="shared" si="39"/>
        <v>25268</v>
      </c>
      <c r="Q153" s="112">
        <f t="shared" si="40"/>
        <v>-25.348617348144646</v>
      </c>
      <c r="R153" s="116"/>
      <c r="S153" s="1">
        <v>500000</v>
      </c>
      <c r="U153" s="1">
        <f>13*15</f>
        <v>195</v>
      </c>
      <c r="V153" s="1">
        <f t="shared" si="41"/>
        <v>0</v>
      </c>
      <c r="Z153" s="16">
        <v>2289.09</v>
      </c>
    </row>
    <row r="154" spans="1:26" s="13" customFormat="1" ht="33">
      <c r="A154" s="113">
        <v>146</v>
      </c>
      <c r="B154" s="28" t="s">
        <v>895</v>
      </c>
      <c r="C154" s="24" t="s">
        <v>810</v>
      </c>
      <c r="D154" s="28" t="s">
        <v>64</v>
      </c>
      <c r="E154" s="28" t="s">
        <v>1093</v>
      </c>
      <c r="F154" s="27">
        <f t="shared" si="34"/>
        <v>6544</v>
      </c>
      <c r="G154" s="114">
        <v>9758.34</v>
      </c>
      <c r="H154" s="29">
        <f t="shared" si="35"/>
        <v>9758.34</v>
      </c>
      <c r="I154" s="77"/>
      <c r="J154" s="268">
        <f t="shared" si="32"/>
        <v>0</v>
      </c>
      <c r="K154" s="16"/>
      <c r="L154" s="270">
        <f t="shared" si="33"/>
        <v>0</v>
      </c>
      <c r="M154" s="15">
        <f t="shared" si="36"/>
        <v>0</v>
      </c>
      <c r="N154" s="15">
        <f t="shared" si="37"/>
        <v>0</v>
      </c>
      <c r="O154" s="15" t="str">
        <f t="shared" si="38"/>
        <v/>
      </c>
      <c r="P154" s="14">
        <f t="shared" si="39"/>
        <v>6544</v>
      </c>
      <c r="Q154" s="112">
        <f t="shared" si="40"/>
        <v>-32.939413875720668</v>
      </c>
      <c r="R154" s="116"/>
      <c r="S154" s="13">
        <v>520000</v>
      </c>
      <c r="U154" s="1">
        <v>1000</v>
      </c>
      <c r="V154" s="1">
        <f t="shared" si="41"/>
        <v>0</v>
      </c>
      <c r="Z154" s="20">
        <v>44.375999999999998</v>
      </c>
    </row>
    <row r="155" spans="1:26" s="13" customFormat="1" ht="49.5">
      <c r="A155" s="113">
        <v>147</v>
      </c>
      <c r="B155" s="28" t="s">
        <v>895</v>
      </c>
      <c r="C155" s="24" t="s">
        <v>811</v>
      </c>
      <c r="D155" s="28" t="s">
        <v>64</v>
      </c>
      <c r="E155" s="28" t="s">
        <v>1094</v>
      </c>
      <c r="F155" s="27">
        <f t="shared" si="34"/>
        <v>21287</v>
      </c>
      <c r="G155" s="114">
        <v>28679</v>
      </c>
      <c r="H155" s="29">
        <f t="shared" si="35"/>
        <v>28679</v>
      </c>
      <c r="I155" s="77"/>
      <c r="J155" s="268">
        <f t="shared" si="32"/>
        <v>0</v>
      </c>
      <c r="K155" s="16"/>
      <c r="L155" s="270">
        <f t="shared" si="33"/>
        <v>0</v>
      </c>
      <c r="M155" s="15">
        <f t="shared" si="36"/>
        <v>0</v>
      </c>
      <c r="N155" s="15">
        <f t="shared" si="37"/>
        <v>0</v>
      </c>
      <c r="O155" s="15" t="str">
        <f t="shared" si="38"/>
        <v/>
      </c>
      <c r="P155" s="14">
        <f t="shared" si="39"/>
        <v>21287</v>
      </c>
      <c r="Q155" s="112">
        <f t="shared" si="40"/>
        <v>-25.774957285818889</v>
      </c>
      <c r="R155" s="116"/>
      <c r="S155" s="13">
        <v>530000</v>
      </c>
      <c r="U155" s="1" t="str">
        <f t="shared" ref="U155:U167" si="42">E155</f>
        <v>21287.00</v>
      </c>
      <c r="V155" s="1">
        <f t="shared" si="41"/>
        <v>0</v>
      </c>
      <c r="Z155" s="16"/>
    </row>
    <row r="156" spans="1:26" s="13" customFormat="1" ht="82.5">
      <c r="A156" s="113">
        <v>148</v>
      </c>
      <c r="B156" s="28" t="s">
        <v>943</v>
      </c>
      <c r="C156" s="24" t="s">
        <v>812</v>
      </c>
      <c r="D156" s="28" t="s">
        <v>64</v>
      </c>
      <c r="E156" s="28" t="s">
        <v>1095</v>
      </c>
      <c r="F156" s="27">
        <f t="shared" si="34"/>
        <v>23064</v>
      </c>
      <c r="G156" s="114" t="s">
        <v>217</v>
      </c>
      <c r="H156" s="29">
        <f t="shared" si="35"/>
        <v>30168</v>
      </c>
      <c r="I156" s="77"/>
      <c r="J156" s="268">
        <f t="shared" si="32"/>
        <v>0</v>
      </c>
      <c r="K156" s="16"/>
      <c r="L156" s="270">
        <f t="shared" si="33"/>
        <v>0</v>
      </c>
      <c r="M156" s="15">
        <f t="shared" si="36"/>
        <v>0</v>
      </c>
      <c r="N156" s="15">
        <f t="shared" si="37"/>
        <v>0</v>
      </c>
      <c r="O156" s="15" t="str">
        <f t="shared" si="38"/>
        <v/>
      </c>
      <c r="P156" s="14">
        <f t="shared" si="39"/>
        <v>23064</v>
      </c>
      <c r="Q156" s="14">
        <f t="shared" si="40"/>
        <v>-23.548130469371522</v>
      </c>
      <c r="R156" s="116"/>
      <c r="S156" s="13">
        <v>329400</v>
      </c>
      <c r="U156" s="1" t="str">
        <f t="shared" si="42"/>
        <v>5766.00</v>
      </c>
      <c r="V156" s="1">
        <f t="shared" si="41"/>
        <v>0</v>
      </c>
      <c r="Z156" s="16">
        <v>0</v>
      </c>
    </row>
    <row r="157" spans="1:26" s="13" customFormat="1" ht="33">
      <c r="A157" s="113">
        <v>149</v>
      </c>
      <c r="B157" s="28" t="s">
        <v>883</v>
      </c>
      <c r="C157" s="24" t="s">
        <v>813</v>
      </c>
      <c r="D157" s="28" t="s">
        <v>969</v>
      </c>
      <c r="E157" s="28" t="s">
        <v>1096</v>
      </c>
      <c r="F157" s="27">
        <f t="shared" si="34"/>
        <v>592</v>
      </c>
      <c r="G157" s="114">
        <v>100</v>
      </c>
      <c r="H157" s="29">
        <f t="shared" si="35"/>
        <v>800</v>
      </c>
      <c r="I157" s="77"/>
      <c r="J157" s="268">
        <f t="shared" si="32"/>
        <v>0</v>
      </c>
      <c r="K157" s="16"/>
      <c r="L157" s="270">
        <f t="shared" si="33"/>
        <v>0</v>
      </c>
      <c r="M157" s="15">
        <f t="shared" si="36"/>
        <v>0</v>
      </c>
      <c r="N157" s="15">
        <f t="shared" si="37"/>
        <v>0</v>
      </c>
      <c r="O157" s="15" t="str">
        <f t="shared" si="38"/>
        <v/>
      </c>
      <c r="P157" s="14">
        <f t="shared" si="39"/>
        <v>592</v>
      </c>
      <c r="Q157" s="112">
        <f t="shared" si="40"/>
        <v>-26</v>
      </c>
      <c r="R157" s="116"/>
      <c r="S157" s="13">
        <v>81200</v>
      </c>
      <c r="U157" s="1" t="str">
        <f t="shared" si="42"/>
        <v>74.00</v>
      </c>
      <c r="V157" s="1">
        <f t="shared" si="41"/>
        <v>0</v>
      </c>
      <c r="Z157" s="16">
        <v>62.8</v>
      </c>
    </row>
    <row r="158" spans="1:26" ht="33">
      <c r="A158" s="113">
        <v>150</v>
      </c>
      <c r="B158" s="28" t="s">
        <v>947</v>
      </c>
      <c r="C158" s="24" t="s">
        <v>814</v>
      </c>
      <c r="D158" s="28" t="s">
        <v>969</v>
      </c>
      <c r="E158" s="28" t="s">
        <v>1097</v>
      </c>
      <c r="F158" s="27">
        <f t="shared" si="34"/>
        <v>1150</v>
      </c>
      <c r="G158" s="114">
        <v>155</v>
      </c>
      <c r="H158" s="29">
        <f t="shared" si="35"/>
        <v>1550</v>
      </c>
      <c r="I158" s="77"/>
      <c r="J158" s="268">
        <f t="shared" si="32"/>
        <v>0</v>
      </c>
      <c r="K158" s="16"/>
      <c r="L158" s="270">
        <f t="shared" si="33"/>
        <v>0</v>
      </c>
      <c r="M158" s="15">
        <f t="shared" si="36"/>
        <v>0</v>
      </c>
      <c r="N158" s="15">
        <f t="shared" si="37"/>
        <v>0</v>
      </c>
      <c r="O158" s="15" t="str">
        <f t="shared" si="38"/>
        <v/>
      </c>
      <c r="P158" s="14">
        <f t="shared" si="39"/>
        <v>1150</v>
      </c>
      <c r="Q158" s="112">
        <f t="shared" si="40"/>
        <v>-25.806451612903224</v>
      </c>
      <c r="R158" s="116"/>
      <c r="S158" s="1">
        <v>17000</v>
      </c>
      <c r="U158" s="1" t="str">
        <f t="shared" si="42"/>
        <v>115.00</v>
      </c>
      <c r="V158" s="1">
        <f t="shared" si="41"/>
        <v>0</v>
      </c>
      <c r="Z158" s="16">
        <v>22.7</v>
      </c>
    </row>
    <row r="159" spans="1:26" s="13" customFormat="1" ht="33">
      <c r="A159" s="113">
        <v>151</v>
      </c>
      <c r="B159" s="28" t="s">
        <v>951</v>
      </c>
      <c r="C159" s="24" t="s">
        <v>815</v>
      </c>
      <c r="D159" s="28" t="s">
        <v>63</v>
      </c>
      <c r="E159" s="28" t="s">
        <v>1061</v>
      </c>
      <c r="F159" s="27">
        <f t="shared" si="34"/>
        <v>150088.79999999999</v>
      </c>
      <c r="G159" s="114">
        <v>203.84</v>
      </c>
      <c r="H159" s="29">
        <f t="shared" si="35"/>
        <v>221696.38399999999</v>
      </c>
      <c r="I159" s="77"/>
      <c r="J159" s="268">
        <f t="shared" si="32"/>
        <v>0</v>
      </c>
      <c r="K159" s="16"/>
      <c r="L159" s="270">
        <f t="shared" si="33"/>
        <v>0</v>
      </c>
      <c r="M159" s="15">
        <f t="shared" si="36"/>
        <v>0</v>
      </c>
      <c r="N159" s="15">
        <f t="shared" si="37"/>
        <v>0</v>
      </c>
      <c r="O159" s="15" t="str">
        <f t="shared" si="38"/>
        <v/>
      </c>
      <c r="P159" s="14">
        <f t="shared" si="39"/>
        <v>150088.79999999999</v>
      </c>
      <c r="Q159" s="112">
        <f t="shared" si="40"/>
        <v>-32.299843014128733</v>
      </c>
      <c r="R159" s="116"/>
      <c r="S159" s="13">
        <v>283750</v>
      </c>
      <c r="U159" s="1" t="str">
        <f t="shared" si="42"/>
        <v>138.00</v>
      </c>
      <c r="V159" s="1">
        <f t="shared" si="41"/>
        <v>0</v>
      </c>
      <c r="Z159" s="16">
        <v>0</v>
      </c>
    </row>
    <row r="160" spans="1:26" s="13" customFormat="1" ht="33">
      <c r="A160" s="113">
        <v>152</v>
      </c>
      <c r="B160" s="28" t="s">
        <v>952</v>
      </c>
      <c r="C160" s="24" t="s">
        <v>816</v>
      </c>
      <c r="D160" s="28" t="s">
        <v>64</v>
      </c>
      <c r="E160" s="28" t="s">
        <v>1098</v>
      </c>
      <c r="F160" s="27">
        <f t="shared" si="34"/>
        <v>26091</v>
      </c>
      <c r="G160" s="114">
        <v>2650</v>
      </c>
      <c r="H160" s="29">
        <f t="shared" si="35"/>
        <v>34450</v>
      </c>
      <c r="I160" s="77"/>
      <c r="J160" s="268">
        <f t="shared" si="32"/>
        <v>0</v>
      </c>
      <c r="K160" s="16"/>
      <c r="L160" s="270">
        <f t="shared" si="33"/>
        <v>0</v>
      </c>
      <c r="M160" s="15">
        <f t="shared" si="36"/>
        <v>0</v>
      </c>
      <c r="N160" s="15">
        <f t="shared" si="37"/>
        <v>0</v>
      </c>
      <c r="O160" s="15" t="str">
        <f t="shared" si="38"/>
        <v/>
      </c>
      <c r="P160" s="14">
        <f t="shared" si="39"/>
        <v>26091</v>
      </c>
      <c r="Q160" s="14">
        <f t="shared" si="40"/>
        <v>-24.264150943396228</v>
      </c>
      <c r="R160" s="116"/>
      <c r="S160" s="13">
        <v>283750</v>
      </c>
      <c r="U160" s="1" t="str">
        <f t="shared" si="42"/>
        <v>2007.00</v>
      </c>
      <c r="V160" s="1">
        <f t="shared" si="41"/>
        <v>0</v>
      </c>
      <c r="Z160" s="16">
        <v>0</v>
      </c>
    </row>
    <row r="161" spans="1:26" s="13" customFormat="1" ht="18.75">
      <c r="A161" s="113">
        <v>153</v>
      </c>
      <c r="B161" s="28" t="s">
        <v>898</v>
      </c>
      <c r="C161" s="24" t="s">
        <v>817</v>
      </c>
      <c r="D161" s="28" t="s">
        <v>64</v>
      </c>
      <c r="E161" s="28" t="s">
        <v>1099</v>
      </c>
      <c r="F161" s="27">
        <f t="shared" si="34"/>
        <v>3069</v>
      </c>
      <c r="G161" s="114" t="s">
        <v>973</v>
      </c>
      <c r="H161" s="29">
        <f t="shared" si="35"/>
        <v>4014</v>
      </c>
      <c r="I161" s="77"/>
      <c r="J161" s="268">
        <f t="shared" si="32"/>
        <v>0</v>
      </c>
      <c r="K161" s="16"/>
      <c r="L161" s="270">
        <f t="shared" si="33"/>
        <v>0</v>
      </c>
      <c r="M161" s="15">
        <f t="shared" si="36"/>
        <v>0</v>
      </c>
      <c r="N161" s="15">
        <f t="shared" si="37"/>
        <v>0</v>
      </c>
      <c r="O161" s="15" t="str">
        <f t="shared" si="38"/>
        <v/>
      </c>
      <c r="P161" s="14">
        <f t="shared" si="39"/>
        <v>3069</v>
      </c>
      <c r="Q161" s="14">
        <f t="shared" si="40"/>
        <v>-23.542600896860989</v>
      </c>
      <c r="R161" s="116"/>
      <c r="U161" s="1" t="str">
        <f t="shared" si="42"/>
        <v>341.00</v>
      </c>
      <c r="V161" s="1">
        <f t="shared" si="41"/>
        <v>0</v>
      </c>
      <c r="Z161" s="16"/>
    </row>
    <row r="162" spans="1:26" s="13" customFormat="1" ht="18.75">
      <c r="A162" s="113">
        <v>154</v>
      </c>
      <c r="B162" s="28" t="s">
        <v>953</v>
      </c>
      <c r="C162" s="24" t="s">
        <v>818</v>
      </c>
      <c r="D162" s="28" t="s">
        <v>66</v>
      </c>
      <c r="E162" s="28" t="s">
        <v>1100</v>
      </c>
      <c r="F162" s="27">
        <f t="shared" si="34"/>
        <v>6749.94</v>
      </c>
      <c r="G162" s="114">
        <v>2566.5</v>
      </c>
      <c r="H162" s="29">
        <f t="shared" si="35"/>
        <v>9804.0299999999988</v>
      </c>
      <c r="I162" s="77"/>
      <c r="J162" s="268">
        <f t="shared" si="32"/>
        <v>0</v>
      </c>
      <c r="K162" s="16"/>
      <c r="L162" s="270">
        <f t="shared" si="33"/>
        <v>0</v>
      </c>
      <c r="M162" s="15">
        <f t="shared" si="36"/>
        <v>0</v>
      </c>
      <c r="N162" s="15">
        <f t="shared" si="37"/>
        <v>0</v>
      </c>
      <c r="O162" s="15" t="str">
        <f t="shared" si="38"/>
        <v/>
      </c>
      <c r="P162" s="14">
        <f t="shared" si="39"/>
        <v>6749.94</v>
      </c>
      <c r="Q162" s="112">
        <f t="shared" si="40"/>
        <v>-31.151373465809467</v>
      </c>
      <c r="R162" s="116"/>
      <c r="S162" s="13">
        <v>283750</v>
      </c>
      <c r="U162" s="1" t="str">
        <f t="shared" si="42"/>
        <v>1767.00</v>
      </c>
      <c r="V162" s="1">
        <f t="shared" si="41"/>
        <v>0</v>
      </c>
      <c r="Z162" s="16"/>
    </row>
    <row r="163" spans="1:26" s="13" customFormat="1" ht="33">
      <c r="A163" s="113">
        <v>155</v>
      </c>
      <c r="B163" s="28" t="s">
        <v>894</v>
      </c>
      <c r="C163" s="24" t="s">
        <v>819</v>
      </c>
      <c r="D163" s="28" t="s">
        <v>64</v>
      </c>
      <c r="E163" s="28" t="s">
        <v>1101</v>
      </c>
      <c r="F163" s="27">
        <f t="shared" si="34"/>
        <v>1645</v>
      </c>
      <c r="G163" s="114" t="s">
        <v>219</v>
      </c>
      <c r="H163" s="29">
        <f t="shared" si="35"/>
        <v>2155</v>
      </c>
      <c r="I163" s="77"/>
      <c r="J163" s="268">
        <f t="shared" si="32"/>
        <v>0</v>
      </c>
      <c r="K163" s="16"/>
      <c r="L163" s="270">
        <f t="shared" si="33"/>
        <v>0</v>
      </c>
      <c r="M163" s="15">
        <f t="shared" si="36"/>
        <v>0</v>
      </c>
      <c r="N163" s="15">
        <f t="shared" si="37"/>
        <v>0</v>
      </c>
      <c r="O163" s="15" t="str">
        <f t="shared" si="38"/>
        <v/>
      </c>
      <c r="P163" s="14">
        <f t="shared" si="39"/>
        <v>1645</v>
      </c>
      <c r="Q163" s="14">
        <f t="shared" si="40"/>
        <v>-23.665893271461716</v>
      </c>
      <c r="R163" s="116"/>
      <c r="S163" s="13">
        <v>283750</v>
      </c>
      <c r="U163" s="1" t="str">
        <f t="shared" si="42"/>
        <v>329.00</v>
      </c>
      <c r="V163" s="1">
        <f t="shared" si="41"/>
        <v>0</v>
      </c>
      <c r="Z163" s="16">
        <v>132</v>
      </c>
    </row>
    <row r="164" spans="1:26" s="13" customFormat="1" ht="49.5">
      <c r="A164" s="113">
        <v>156</v>
      </c>
      <c r="B164" s="28" t="s">
        <v>954</v>
      </c>
      <c r="C164" s="24" t="s">
        <v>820</v>
      </c>
      <c r="D164" s="28" t="s">
        <v>64</v>
      </c>
      <c r="E164" s="28" t="s">
        <v>959</v>
      </c>
      <c r="F164" s="27">
        <f t="shared" si="34"/>
        <v>2418</v>
      </c>
      <c r="G164" s="114" t="s">
        <v>220</v>
      </c>
      <c r="H164" s="29">
        <f t="shared" si="35"/>
        <v>3159</v>
      </c>
      <c r="I164" s="77"/>
      <c r="J164" s="268">
        <f t="shared" si="32"/>
        <v>0</v>
      </c>
      <c r="K164" s="16"/>
      <c r="L164" s="270">
        <f t="shared" si="33"/>
        <v>0</v>
      </c>
      <c r="M164" s="15">
        <f t="shared" si="36"/>
        <v>0</v>
      </c>
      <c r="N164" s="15">
        <f t="shared" si="37"/>
        <v>0</v>
      </c>
      <c r="O164" s="15" t="str">
        <f t="shared" si="38"/>
        <v/>
      </c>
      <c r="P164" s="14">
        <f t="shared" si="39"/>
        <v>2418</v>
      </c>
      <c r="Q164" s="14">
        <f t="shared" si="40"/>
        <v>-23.456790123456788</v>
      </c>
      <c r="R164" s="116"/>
      <c r="S164" s="13">
        <v>283750</v>
      </c>
      <c r="U164" s="1" t="str">
        <f t="shared" si="42"/>
        <v>62.00</v>
      </c>
      <c r="V164" s="1">
        <f t="shared" si="41"/>
        <v>0</v>
      </c>
      <c r="Z164" s="16"/>
    </row>
    <row r="165" spans="1:26" s="13" customFormat="1" ht="18.75">
      <c r="A165" s="113">
        <v>157</v>
      </c>
      <c r="B165" s="28" t="s">
        <v>894</v>
      </c>
      <c r="C165" s="24" t="s">
        <v>821</v>
      </c>
      <c r="D165" s="28" t="s">
        <v>64</v>
      </c>
      <c r="E165" s="28" t="s">
        <v>946</v>
      </c>
      <c r="F165" s="27">
        <f t="shared" si="34"/>
        <v>650</v>
      </c>
      <c r="G165" s="114" t="s">
        <v>213</v>
      </c>
      <c r="H165" s="29">
        <f t="shared" si="35"/>
        <v>850</v>
      </c>
      <c r="I165" s="77"/>
      <c r="J165" s="268">
        <f t="shared" si="32"/>
        <v>0</v>
      </c>
      <c r="K165" s="16"/>
      <c r="L165" s="270">
        <f t="shared" si="33"/>
        <v>0</v>
      </c>
      <c r="M165" s="15">
        <f t="shared" si="36"/>
        <v>0</v>
      </c>
      <c r="N165" s="15">
        <f t="shared" si="37"/>
        <v>0</v>
      </c>
      <c r="O165" s="15" t="str">
        <f t="shared" si="38"/>
        <v/>
      </c>
      <c r="P165" s="14">
        <f t="shared" si="39"/>
        <v>650</v>
      </c>
      <c r="Q165" s="14">
        <f t="shared" si="40"/>
        <v>-23.52941176470588</v>
      </c>
      <c r="R165" s="116"/>
      <c r="S165" s="13">
        <v>283750</v>
      </c>
      <c r="U165" s="1" t="str">
        <f t="shared" si="42"/>
        <v>130.00</v>
      </c>
      <c r="V165" s="1">
        <f t="shared" si="41"/>
        <v>0</v>
      </c>
      <c r="Z165" s="16">
        <v>90</v>
      </c>
    </row>
    <row r="166" spans="1:26" s="13" customFormat="1" ht="33">
      <c r="A166" s="113">
        <v>158</v>
      </c>
      <c r="B166" s="28" t="s">
        <v>934</v>
      </c>
      <c r="C166" s="24" t="s">
        <v>822</v>
      </c>
      <c r="D166" s="28" t="s">
        <v>64</v>
      </c>
      <c r="E166" s="28" t="s">
        <v>1102</v>
      </c>
      <c r="F166" s="27">
        <f t="shared" si="34"/>
        <v>1988</v>
      </c>
      <c r="G166" s="114">
        <v>375.7</v>
      </c>
      <c r="H166" s="29">
        <f t="shared" si="35"/>
        <v>2629.9</v>
      </c>
      <c r="I166" s="77"/>
      <c r="J166" s="268">
        <f t="shared" si="32"/>
        <v>0</v>
      </c>
      <c r="K166" s="16"/>
      <c r="L166" s="270">
        <f t="shared" si="33"/>
        <v>0</v>
      </c>
      <c r="M166" s="15">
        <f t="shared" si="36"/>
        <v>0</v>
      </c>
      <c r="N166" s="15">
        <f t="shared" si="37"/>
        <v>0</v>
      </c>
      <c r="O166" s="15" t="str">
        <f t="shared" si="38"/>
        <v/>
      </c>
      <c r="P166" s="14">
        <f t="shared" si="39"/>
        <v>1988</v>
      </c>
      <c r="Q166" s="14">
        <f t="shared" si="40"/>
        <v>-24.407772158637208</v>
      </c>
      <c r="R166" s="116"/>
      <c r="S166" s="13">
        <v>283750</v>
      </c>
      <c r="U166" s="1" t="str">
        <f t="shared" si="42"/>
        <v>284.00</v>
      </c>
      <c r="V166" s="1">
        <f t="shared" si="41"/>
        <v>0</v>
      </c>
      <c r="Z166" s="16">
        <v>90</v>
      </c>
    </row>
    <row r="167" spans="1:26" s="13" customFormat="1" ht="18.75">
      <c r="A167" s="113">
        <v>159</v>
      </c>
      <c r="B167" s="28" t="s">
        <v>955</v>
      </c>
      <c r="C167" s="24" t="s">
        <v>823</v>
      </c>
      <c r="D167" s="28" t="s">
        <v>63</v>
      </c>
      <c r="E167" s="28" t="s">
        <v>1103</v>
      </c>
      <c r="F167" s="27">
        <f t="shared" si="34"/>
        <v>68764.799999999988</v>
      </c>
      <c r="G167" s="114">
        <v>1299.55</v>
      </c>
      <c r="H167" s="29">
        <f t="shared" si="35"/>
        <v>96296.654999999984</v>
      </c>
      <c r="I167" s="77"/>
      <c r="J167" s="268">
        <f t="shared" si="32"/>
        <v>0</v>
      </c>
      <c r="K167" s="16"/>
      <c r="L167" s="270">
        <f t="shared" si="33"/>
        <v>0</v>
      </c>
      <c r="M167" s="15">
        <f t="shared" si="36"/>
        <v>0</v>
      </c>
      <c r="N167" s="15">
        <f t="shared" si="37"/>
        <v>0</v>
      </c>
      <c r="O167" s="15" t="str">
        <f t="shared" si="38"/>
        <v/>
      </c>
      <c r="P167" s="14">
        <f t="shared" si="39"/>
        <v>68764.799999999988</v>
      </c>
      <c r="Q167" s="112">
        <f t="shared" si="40"/>
        <v>-28.590665999769151</v>
      </c>
      <c r="R167" s="116"/>
      <c r="U167" s="1" t="str">
        <f t="shared" si="42"/>
        <v>928.00</v>
      </c>
      <c r="V167" s="1">
        <f t="shared" si="41"/>
        <v>0</v>
      </c>
      <c r="Z167" s="16"/>
    </row>
    <row r="168" spans="1:26" ht="18.75">
      <c r="A168" s="113">
        <v>160</v>
      </c>
      <c r="B168" s="28" t="s">
        <v>956</v>
      </c>
      <c r="C168" s="24" t="s">
        <v>824</v>
      </c>
      <c r="D168" s="28" t="s">
        <v>63</v>
      </c>
      <c r="E168" s="28" t="s">
        <v>1104</v>
      </c>
      <c r="F168" s="27">
        <f t="shared" si="34"/>
        <v>167481.59999999998</v>
      </c>
      <c r="G168" s="114">
        <v>1123.71</v>
      </c>
      <c r="H168" s="29">
        <f t="shared" si="35"/>
        <v>237327.552</v>
      </c>
      <c r="I168" s="77"/>
      <c r="J168" s="268">
        <f t="shared" si="32"/>
        <v>0</v>
      </c>
      <c r="K168" s="16"/>
      <c r="L168" s="270">
        <f t="shared" si="33"/>
        <v>0</v>
      </c>
      <c r="M168" s="15">
        <f t="shared" si="36"/>
        <v>0</v>
      </c>
      <c r="N168" s="15">
        <f t="shared" si="37"/>
        <v>0</v>
      </c>
      <c r="O168" s="15" t="str">
        <f t="shared" si="38"/>
        <v/>
      </c>
      <c r="P168" s="14">
        <f t="shared" si="39"/>
        <v>167481.59999999998</v>
      </c>
      <c r="Q168" s="112">
        <f t="shared" si="40"/>
        <v>-29.430191063530632</v>
      </c>
      <c r="R168" s="116"/>
      <c r="S168" s="1">
        <v>16600</v>
      </c>
      <c r="U168" s="1" t="str">
        <f t="shared" si="29"/>
        <v>793.00</v>
      </c>
      <c r="V168" s="1">
        <f t="shared" si="41"/>
        <v>0</v>
      </c>
      <c r="Z168" s="16">
        <v>0</v>
      </c>
    </row>
    <row r="169" spans="1:26" s="13" customFormat="1" ht="49.5">
      <c r="A169" s="113">
        <v>161</v>
      </c>
      <c r="B169" s="28" t="s">
        <v>957</v>
      </c>
      <c r="C169" s="24" t="s">
        <v>825</v>
      </c>
      <c r="D169" s="28" t="s">
        <v>65</v>
      </c>
      <c r="E169" s="28" t="s">
        <v>1105</v>
      </c>
      <c r="F169" s="27">
        <f t="shared" si="34"/>
        <v>1324.8</v>
      </c>
      <c r="G169" s="114" t="s">
        <v>222</v>
      </c>
      <c r="H169" s="29">
        <f t="shared" si="35"/>
        <v>1728</v>
      </c>
      <c r="I169" s="77"/>
      <c r="J169" s="268">
        <f t="shared" si="32"/>
        <v>0</v>
      </c>
      <c r="K169" s="16"/>
      <c r="L169" s="270">
        <f t="shared" si="33"/>
        <v>0</v>
      </c>
      <c r="M169" s="15">
        <f t="shared" si="36"/>
        <v>0</v>
      </c>
      <c r="N169" s="15">
        <f t="shared" si="37"/>
        <v>0</v>
      </c>
      <c r="O169" s="15" t="str">
        <f t="shared" si="38"/>
        <v/>
      </c>
      <c r="P169" s="14">
        <f t="shared" si="39"/>
        <v>1324.8</v>
      </c>
      <c r="Q169" s="14">
        <f t="shared" si="40"/>
        <v>-23.333333333333332</v>
      </c>
      <c r="R169" s="116"/>
      <c r="U169" s="1" t="str">
        <f>E169</f>
        <v>69.00</v>
      </c>
      <c r="V169" s="1">
        <f>U169*I169</f>
        <v>0</v>
      </c>
      <c r="Z169" s="16"/>
    </row>
    <row r="170" spans="1:26" s="13" customFormat="1" ht="33">
      <c r="A170" s="113">
        <v>162</v>
      </c>
      <c r="B170" s="28" t="s">
        <v>958</v>
      </c>
      <c r="C170" s="24" t="s">
        <v>826</v>
      </c>
      <c r="D170" s="28" t="s">
        <v>63</v>
      </c>
      <c r="E170" s="28" t="s">
        <v>1106</v>
      </c>
      <c r="F170" s="27">
        <f t="shared" si="34"/>
        <v>83920</v>
      </c>
      <c r="G170" s="114">
        <v>1458.41</v>
      </c>
      <c r="H170" s="29">
        <f t="shared" si="35"/>
        <v>116672.8</v>
      </c>
      <c r="I170" s="77"/>
      <c r="J170" s="268">
        <f t="shared" si="32"/>
        <v>0</v>
      </c>
      <c r="K170" s="16"/>
      <c r="L170" s="270">
        <f t="shared" si="33"/>
        <v>0</v>
      </c>
      <c r="M170" s="15">
        <f t="shared" si="36"/>
        <v>0</v>
      </c>
      <c r="N170" s="15">
        <f t="shared" si="37"/>
        <v>0</v>
      </c>
      <c r="O170" s="15" t="str">
        <f t="shared" si="38"/>
        <v/>
      </c>
      <c r="P170" s="14">
        <f t="shared" si="39"/>
        <v>83920</v>
      </c>
      <c r="Q170" s="112">
        <f t="shared" si="40"/>
        <v>-28.072352767740217</v>
      </c>
      <c r="R170" s="116"/>
      <c r="U170" s="1" t="str">
        <f>E170</f>
        <v>1049.00</v>
      </c>
      <c r="V170" s="1">
        <f>U170*I170</f>
        <v>0</v>
      </c>
      <c r="Z170" s="16"/>
    </row>
    <row r="171" spans="1:26" ht="18.75">
      <c r="A171" s="113">
        <v>163</v>
      </c>
      <c r="B171" s="28" t="s">
        <v>934</v>
      </c>
      <c r="C171" s="24" t="s">
        <v>827</v>
      </c>
      <c r="D171" s="28" t="s">
        <v>64</v>
      </c>
      <c r="E171" s="28" t="s">
        <v>958</v>
      </c>
      <c r="F171" s="27">
        <f t="shared" si="34"/>
        <v>560</v>
      </c>
      <c r="G171" s="114">
        <v>118.08</v>
      </c>
      <c r="H171" s="29">
        <f t="shared" si="35"/>
        <v>826.56</v>
      </c>
      <c r="I171" s="77"/>
      <c r="J171" s="268">
        <f t="shared" si="32"/>
        <v>0</v>
      </c>
      <c r="K171" s="20"/>
      <c r="L171" s="270">
        <f t="shared" si="33"/>
        <v>0</v>
      </c>
      <c r="M171" s="15">
        <f t="shared" si="36"/>
        <v>0</v>
      </c>
      <c r="N171" s="15">
        <f t="shared" si="37"/>
        <v>0</v>
      </c>
      <c r="O171" s="15" t="str">
        <f t="shared" si="38"/>
        <v/>
      </c>
      <c r="P171" s="14">
        <f t="shared" si="39"/>
        <v>560</v>
      </c>
      <c r="Q171" s="112">
        <f t="shared" si="40"/>
        <v>-32.24932249322493</v>
      </c>
      <c r="R171" s="116"/>
      <c r="S171" s="1">
        <v>106860</v>
      </c>
      <c r="U171" s="1" t="str">
        <f t="shared" si="29"/>
        <v>80.00</v>
      </c>
      <c r="V171" s="1">
        <f t="shared" si="41"/>
        <v>0</v>
      </c>
      <c r="Z171" s="16">
        <v>7</v>
      </c>
    </row>
    <row r="172" spans="1:26" s="13" customFormat="1" ht="33">
      <c r="A172" s="113">
        <v>164</v>
      </c>
      <c r="B172" s="28" t="s">
        <v>895</v>
      </c>
      <c r="C172" s="24" t="s">
        <v>828</v>
      </c>
      <c r="D172" s="28" t="s">
        <v>64</v>
      </c>
      <c r="E172" s="28" t="s">
        <v>949</v>
      </c>
      <c r="F172" s="27">
        <f t="shared" si="34"/>
        <v>70</v>
      </c>
      <c r="G172" s="114">
        <v>97</v>
      </c>
      <c r="H172" s="29">
        <f t="shared" si="35"/>
        <v>97</v>
      </c>
      <c r="I172" s="77" t="str">
        <f t="shared" ref="I172:I185" si="43">B172</f>
        <v>1.00</v>
      </c>
      <c r="J172" s="268">
        <f t="shared" si="32"/>
        <v>70</v>
      </c>
      <c r="K172" s="16"/>
      <c r="L172" s="270">
        <f t="shared" si="33"/>
        <v>0</v>
      </c>
      <c r="M172" s="15">
        <f t="shared" si="36"/>
        <v>1</v>
      </c>
      <c r="N172" s="15">
        <f t="shared" si="37"/>
        <v>70</v>
      </c>
      <c r="O172" s="15" t="str">
        <f t="shared" si="38"/>
        <v/>
      </c>
      <c r="P172" s="14" t="str">
        <f t="shared" si="39"/>
        <v/>
      </c>
      <c r="Q172" s="112">
        <f t="shared" si="40"/>
        <v>-27.835051546391753</v>
      </c>
      <c r="R172" s="116"/>
      <c r="U172" s="1" t="str">
        <f>E172</f>
        <v>70.00</v>
      </c>
      <c r="V172" s="1">
        <f>U172*I172</f>
        <v>70</v>
      </c>
      <c r="Z172" s="16"/>
    </row>
    <row r="173" spans="1:26" s="13" customFormat="1" ht="18.75">
      <c r="A173" s="113">
        <v>165</v>
      </c>
      <c r="B173" s="28" t="s">
        <v>959</v>
      </c>
      <c r="C173" s="24" t="s">
        <v>829</v>
      </c>
      <c r="D173" s="28" t="s">
        <v>969</v>
      </c>
      <c r="E173" s="28" t="s">
        <v>1107</v>
      </c>
      <c r="F173" s="27">
        <f t="shared" si="34"/>
        <v>2852</v>
      </c>
      <c r="G173" s="114">
        <v>60.6</v>
      </c>
      <c r="H173" s="29">
        <f t="shared" si="35"/>
        <v>3757.2000000000003</v>
      </c>
      <c r="I173" s="77"/>
      <c r="J173" s="268">
        <f t="shared" si="32"/>
        <v>0</v>
      </c>
      <c r="K173" s="16"/>
      <c r="L173" s="270">
        <f t="shared" si="33"/>
        <v>0</v>
      </c>
      <c r="M173" s="15">
        <f t="shared" si="36"/>
        <v>0</v>
      </c>
      <c r="N173" s="15">
        <f t="shared" si="37"/>
        <v>0</v>
      </c>
      <c r="O173" s="15" t="str">
        <f t="shared" si="38"/>
        <v/>
      </c>
      <c r="P173" s="14">
        <f t="shared" si="39"/>
        <v>2852</v>
      </c>
      <c r="Q173" s="14">
        <f t="shared" si="40"/>
        <v>-24.092409240924095</v>
      </c>
      <c r="R173" s="116"/>
      <c r="U173" s="1" t="str">
        <f>E173</f>
        <v>46.00</v>
      </c>
      <c r="V173" s="1">
        <f>U173*I173</f>
        <v>0</v>
      </c>
      <c r="Z173" s="16"/>
    </row>
    <row r="174" spans="1:26" s="13" customFormat="1" ht="49.5">
      <c r="A174" s="113">
        <v>166</v>
      </c>
      <c r="B174" s="28" t="s">
        <v>960</v>
      </c>
      <c r="C174" s="24" t="s">
        <v>830</v>
      </c>
      <c r="D174" s="28" t="s">
        <v>65</v>
      </c>
      <c r="E174" s="28" t="s">
        <v>1108</v>
      </c>
      <c r="F174" s="27">
        <f t="shared" si="34"/>
        <v>8050</v>
      </c>
      <c r="G174" s="114">
        <v>442</v>
      </c>
      <c r="H174" s="29">
        <f t="shared" si="35"/>
        <v>11050</v>
      </c>
      <c r="I174" s="77" t="str">
        <f t="shared" si="43"/>
        <v>25.00</v>
      </c>
      <c r="J174" s="268">
        <f t="shared" si="32"/>
        <v>8050</v>
      </c>
      <c r="K174" s="16"/>
      <c r="L174" s="270">
        <f t="shared" si="33"/>
        <v>0</v>
      </c>
      <c r="M174" s="15">
        <f t="shared" si="36"/>
        <v>25</v>
      </c>
      <c r="N174" s="15">
        <f t="shared" si="37"/>
        <v>8050</v>
      </c>
      <c r="O174" s="15" t="str">
        <f t="shared" si="38"/>
        <v/>
      </c>
      <c r="P174" s="14" t="str">
        <f t="shared" si="39"/>
        <v/>
      </c>
      <c r="Q174" s="112">
        <f t="shared" si="40"/>
        <v>-27.149321266968325</v>
      </c>
      <c r="R174" s="116"/>
      <c r="S174" s="13">
        <v>283750</v>
      </c>
      <c r="U174" s="1" t="str">
        <f>E174</f>
        <v>322.00</v>
      </c>
      <c r="V174" s="1">
        <f>U174*I174</f>
        <v>8050</v>
      </c>
      <c r="Z174" s="16">
        <v>90</v>
      </c>
    </row>
    <row r="175" spans="1:26" s="13" customFormat="1" ht="66">
      <c r="A175" s="113">
        <v>167</v>
      </c>
      <c r="B175" s="28" t="s">
        <v>961</v>
      </c>
      <c r="C175" s="24" t="s">
        <v>831</v>
      </c>
      <c r="D175" s="28" t="s">
        <v>65</v>
      </c>
      <c r="E175" s="28" t="s">
        <v>1109</v>
      </c>
      <c r="F175" s="27">
        <f t="shared" si="34"/>
        <v>19320</v>
      </c>
      <c r="G175" s="114" t="s">
        <v>224</v>
      </c>
      <c r="H175" s="29">
        <f t="shared" si="35"/>
        <v>25270</v>
      </c>
      <c r="I175" s="77">
        <v>34</v>
      </c>
      <c r="J175" s="268">
        <f t="shared" si="32"/>
        <v>18768</v>
      </c>
      <c r="K175" s="16"/>
      <c r="L175" s="270">
        <f t="shared" si="33"/>
        <v>0</v>
      </c>
      <c r="M175" s="15">
        <f t="shared" si="36"/>
        <v>34</v>
      </c>
      <c r="N175" s="15">
        <f t="shared" si="37"/>
        <v>18768</v>
      </c>
      <c r="O175" s="15" t="str">
        <f t="shared" si="38"/>
        <v/>
      </c>
      <c r="P175" s="14">
        <f t="shared" si="39"/>
        <v>552</v>
      </c>
      <c r="Q175" s="14">
        <f t="shared" si="40"/>
        <v>-23.545706371191137</v>
      </c>
      <c r="R175" s="116"/>
      <c r="S175" s="13">
        <v>283750</v>
      </c>
      <c r="U175" s="1" t="str">
        <f>E175</f>
        <v>552.00</v>
      </c>
      <c r="V175" s="1">
        <f>U175*I175</f>
        <v>18768</v>
      </c>
      <c r="Z175" s="16">
        <v>3</v>
      </c>
    </row>
    <row r="176" spans="1:26" s="13" customFormat="1" ht="49.5">
      <c r="A176" s="113">
        <v>168</v>
      </c>
      <c r="B176" s="28" t="s">
        <v>223</v>
      </c>
      <c r="C176" s="24" t="s">
        <v>832</v>
      </c>
      <c r="D176" s="28" t="s">
        <v>969</v>
      </c>
      <c r="E176" s="28" t="s">
        <v>1110</v>
      </c>
      <c r="F176" s="27">
        <f t="shared" si="34"/>
        <v>13140</v>
      </c>
      <c r="G176" s="114">
        <v>325.89999999999998</v>
      </c>
      <c r="H176" s="29">
        <f t="shared" si="35"/>
        <v>19554</v>
      </c>
      <c r="I176" s="77">
        <v>59</v>
      </c>
      <c r="J176" s="268">
        <f t="shared" si="32"/>
        <v>12921</v>
      </c>
      <c r="K176" s="16"/>
      <c r="L176" s="270">
        <f t="shared" si="33"/>
        <v>0</v>
      </c>
      <c r="M176" s="15">
        <f t="shared" si="36"/>
        <v>59</v>
      </c>
      <c r="N176" s="15">
        <f t="shared" si="37"/>
        <v>12921</v>
      </c>
      <c r="O176" s="15" t="str">
        <f t="shared" si="38"/>
        <v/>
      </c>
      <c r="P176" s="14">
        <f t="shared" si="39"/>
        <v>219</v>
      </c>
      <c r="Q176" s="112">
        <f t="shared" si="40"/>
        <v>-32.801472844430805</v>
      </c>
      <c r="R176" s="116"/>
      <c r="S176" s="13">
        <v>283750</v>
      </c>
      <c r="U176" s="1" t="str">
        <f>E176</f>
        <v>219.00</v>
      </c>
      <c r="V176" s="1">
        <f>U176*I176</f>
        <v>12921</v>
      </c>
      <c r="Z176" s="16">
        <v>3</v>
      </c>
    </row>
    <row r="177" spans="1:26" ht="33">
      <c r="A177" s="113">
        <v>169</v>
      </c>
      <c r="B177" s="28" t="s">
        <v>895</v>
      </c>
      <c r="C177" s="24" t="s">
        <v>833</v>
      </c>
      <c r="D177" s="28" t="s">
        <v>64</v>
      </c>
      <c r="E177" s="28" t="s">
        <v>1111</v>
      </c>
      <c r="F177" s="27">
        <f t="shared" si="34"/>
        <v>4205</v>
      </c>
      <c r="G177" s="114">
        <v>5544</v>
      </c>
      <c r="H177" s="29">
        <f t="shared" si="35"/>
        <v>5544</v>
      </c>
      <c r="I177" s="77"/>
      <c r="J177" s="268">
        <f t="shared" si="32"/>
        <v>0</v>
      </c>
      <c r="K177" s="16"/>
      <c r="L177" s="270">
        <f t="shared" si="33"/>
        <v>0</v>
      </c>
      <c r="M177" s="15">
        <f t="shared" si="36"/>
        <v>0</v>
      </c>
      <c r="N177" s="15">
        <f t="shared" si="37"/>
        <v>0</v>
      </c>
      <c r="O177" s="15" t="str">
        <f t="shared" si="38"/>
        <v/>
      </c>
      <c r="P177" s="14">
        <f t="shared" si="39"/>
        <v>4205</v>
      </c>
      <c r="Q177" s="14">
        <f t="shared" si="40"/>
        <v>-24.152236652236653</v>
      </c>
      <c r="R177" s="116"/>
      <c r="S177" s="1">
        <v>130130</v>
      </c>
      <c r="U177" s="1" t="str">
        <f t="shared" si="29"/>
        <v>4205.00</v>
      </c>
      <c r="V177" s="1">
        <f t="shared" si="41"/>
        <v>0</v>
      </c>
      <c r="Z177" s="16">
        <v>50</v>
      </c>
    </row>
    <row r="178" spans="1:26" ht="33">
      <c r="A178" s="113">
        <v>170</v>
      </c>
      <c r="B178" s="28" t="s">
        <v>962</v>
      </c>
      <c r="C178" s="24" t="s">
        <v>834</v>
      </c>
      <c r="D178" s="28" t="s">
        <v>969</v>
      </c>
      <c r="E178" s="28" t="s">
        <v>1112</v>
      </c>
      <c r="F178" s="27">
        <f t="shared" si="34"/>
        <v>2800</v>
      </c>
      <c r="G178" s="114" t="s">
        <v>225</v>
      </c>
      <c r="H178" s="29">
        <f t="shared" si="35"/>
        <v>3695.0000000000005</v>
      </c>
      <c r="I178" s="77"/>
      <c r="J178" s="268">
        <f t="shared" si="32"/>
        <v>0</v>
      </c>
      <c r="K178" s="16"/>
      <c r="L178" s="270">
        <f t="shared" si="33"/>
        <v>0</v>
      </c>
      <c r="M178" s="15">
        <f t="shared" si="36"/>
        <v>0</v>
      </c>
      <c r="N178" s="15">
        <f t="shared" si="37"/>
        <v>0</v>
      </c>
      <c r="O178" s="15" t="str">
        <f t="shared" si="38"/>
        <v/>
      </c>
      <c r="P178" s="14">
        <f t="shared" si="39"/>
        <v>2800</v>
      </c>
      <c r="Q178" s="14">
        <f t="shared" si="40"/>
        <v>-24.221921515561576</v>
      </c>
      <c r="R178" s="116"/>
      <c r="S178" s="1">
        <f>83.697-78.055</f>
        <v>5.6419999999999959</v>
      </c>
      <c r="U178" s="1" t="str">
        <f t="shared" si="29"/>
        <v>56.00</v>
      </c>
      <c r="V178" s="1">
        <f t="shared" si="41"/>
        <v>0</v>
      </c>
      <c r="Z178" s="16">
        <v>0</v>
      </c>
    </row>
    <row r="179" spans="1:26" ht="49.5">
      <c r="A179" s="113">
        <v>171</v>
      </c>
      <c r="B179" s="28" t="s">
        <v>895</v>
      </c>
      <c r="C179" s="24" t="s">
        <v>835</v>
      </c>
      <c r="D179" s="28" t="s">
        <v>64</v>
      </c>
      <c r="E179" s="28" t="s">
        <v>1113</v>
      </c>
      <c r="F179" s="27">
        <f t="shared" si="34"/>
        <v>647</v>
      </c>
      <c r="G179" s="114">
        <v>746</v>
      </c>
      <c r="H179" s="29">
        <f t="shared" si="35"/>
        <v>746</v>
      </c>
      <c r="I179" s="77"/>
      <c r="J179" s="268">
        <f t="shared" si="32"/>
        <v>0</v>
      </c>
      <c r="K179" s="16"/>
      <c r="L179" s="270">
        <f t="shared" si="33"/>
        <v>0</v>
      </c>
      <c r="M179" s="15">
        <f t="shared" si="36"/>
        <v>0</v>
      </c>
      <c r="N179" s="15">
        <f t="shared" si="37"/>
        <v>0</v>
      </c>
      <c r="O179" s="15" t="str">
        <f t="shared" si="38"/>
        <v/>
      </c>
      <c r="P179" s="14">
        <f t="shared" si="39"/>
        <v>647</v>
      </c>
      <c r="Q179" s="14">
        <f t="shared" si="40"/>
        <v>-13.270777479892763</v>
      </c>
      <c r="R179" s="116"/>
      <c r="U179" s="1" t="str">
        <f t="shared" si="29"/>
        <v>647.00</v>
      </c>
      <c r="V179" s="1">
        <f t="shared" si="41"/>
        <v>0</v>
      </c>
      <c r="Z179" s="16"/>
    </row>
    <row r="180" spans="1:26" ht="33">
      <c r="A180" s="113">
        <v>172</v>
      </c>
      <c r="B180" s="28" t="s">
        <v>223</v>
      </c>
      <c r="C180" s="24" t="s">
        <v>836</v>
      </c>
      <c r="D180" s="28" t="s">
        <v>65</v>
      </c>
      <c r="E180" s="28" t="s">
        <v>1114</v>
      </c>
      <c r="F180" s="27">
        <f t="shared" si="34"/>
        <v>4980</v>
      </c>
      <c r="G180" s="114">
        <v>111</v>
      </c>
      <c r="H180" s="29">
        <f t="shared" si="35"/>
        <v>6660</v>
      </c>
      <c r="I180" s="77"/>
      <c r="J180" s="268">
        <f t="shared" si="32"/>
        <v>0</v>
      </c>
      <c r="K180" s="16"/>
      <c r="L180" s="270">
        <f t="shared" si="33"/>
        <v>0</v>
      </c>
      <c r="M180" s="15">
        <f t="shared" si="36"/>
        <v>0</v>
      </c>
      <c r="N180" s="15">
        <f t="shared" si="37"/>
        <v>0</v>
      </c>
      <c r="O180" s="15" t="str">
        <f t="shared" si="38"/>
        <v/>
      </c>
      <c r="P180" s="14">
        <f t="shared" si="39"/>
        <v>4980</v>
      </c>
      <c r="Q180" s="112">
        <f t="shared" si="40"/>
        <v>-25.225225225225223</v>
      </c>
      <c r="R180" s="116"/>
      <c r="S180" s="1">
        <v>10000</v>
      </c>
      <c r="U180" s="1" t="str">
        <f t="shared" si="29"/>
        <v>83.00</v>
      </c>
      <c r="V180" s="1">
        <f t="shared" si="41"/>
        <v>0</v>
      </c>
      <c r="Z180" s="16">
        <v>0</v>
      </c>
    </row>
    <row r="181" spans="1:26" ht="33">
      <c r="A181" s="113">
        <v>173</v>
      </c>
      <c r="B181" s="28" t="s">
        <v>942</v>
      </c>
      <c r="C181" s="24" t="s">
        <v>837</v>
      </c>
      <c r="D181" s="28" t="s">
        <v>65</v>
      </c>
      <c r="E181" s="28" t="s">
        <v>1115</v>
      </c>
      <c r="F181" s="27">
        <f t="shared" si="34"/>
        <v>27525</v>
      </c>
      <c r="G181" s="114" t="s">
        <v>226</v>
      </c>
      <c r="H181" s="29">
        <f t="shared" si="35"/>
        <v>36000</v>
      </c>
      <c r="I181" s="77"/>
      <c r="J181" s="268">
        <f t="shared" si="32"/>
        <v>0</v>
      </c>
      <c r="K181" s="16"/>
      <c r="L181" s="270">
        <f t="shared" si="33"/>
        <v>0</v>
      </c>
      <c r="M181" s="15">
        <f t="shared" si="36"/>
        <v>0</v>
      </c>
      <c r="N181" s="15">
        <f t="shared" si="37"/>
        <v>0</v>
      </c>
      <c r="O181" s="15" t="str">
        <f t="shared" si="38"/>
        <v/>
      </c>
      <c r="P181" s="14">
        <f t="shared" si="39"/>
        <v>27525</v>
      </c>
      <c r="Q181" s="14">
        <f t="shared" si="40"/>
        <v>-23.541666666666668</v>
      </c>
      <c r="R181" s="116"/>
      <c r="S181" s="1">
        <v>15150</v>
      </c>
      <c r="U181" s="1">
        <v>1500</v>
      </c>
      <c r="V181" s="1">
        <f t="shared" si="41"/>
        <v>0</v>
      </c>
      <c r="Z181" s="16">
        <v>34.92</v>
      </c>
    </row>
    <row r="182" spans="1:26" s="13" customFormat="1" ht="66">
      <c r="A182" s="113">
        <v>174</v>
      </c>
      <c r="B182" s="28" t="s">
        <v>943</v>
      </c>
      <c r="C182" s="24" t="s">
        <v>838</v>
      </c>
      <c r="D182" s="28" t="s">
        <v>64</v>
      </c>
      <c r="E182" s="28" t="s">
        <v>1116</v>
      </c>
      <c r="F182" s="27">
        <f t="shared" si="34"/>
        <v>5432</v>
      </c>
      <c r="G182" s="114">
        <v>1830</v>
      </c>
      <c r="H182" s="29">
        <f t="shared" si="35"/>
        <v>7320</v>
      </c>
      <c r="I182" s="77"/>
      <c r="J182" s="268">
        <f t="shared" si="32"/>
        <v>0</v>
      </c>
      <c r="K182" s="16"/>
      <c r="L182" s="270">
        <f t="shared" si="33"/>
        <v>0</v>
      </c>
      <c r="M182" s="15">
        <f t="shared" si="36"/>
        <v>0</v>
      </c>
      <c r="N182" s="15">
        <f t="shared" si="37"/>
        <v>0</v>
      </c>
      <c r="O182" s="15" t="str">
        <f t="shared" si="38"/>
        <v/>
      </c>
      <c r="P182" s="14">
        <f t="shared" si="39"/>
        <v>5432</v>
      </c>
      <c r="Q182" s="112">
        <f t="shared" si="40"/>
        <v>-25.792349726775953</v>
      </c>
      <c r="R182" s="116"/>
      <c r="S182" s="13">
        <v>283750</v>
      </c>
      <c r="U182" s="1" t="str">
        <f t="shared" ref="U182" si="44">E182</f>
        <v>1358.00</v>
      </c>
      <c r="V182" s="1">
        <f t="shared" si="41"/>
        <v>0</v>
      </c>
      <c r="Z182" s="16">
        <v>3</v>
      </c>
    </row>
    <row r="183" spans="1:26" s="13" customFormat="1" ht="82.5">
      <c r="A183" s="113">
        <v>175</v>
      </c>
      <c r="B183" s="28" t="s">
        <v>223</v>
      </c>
      <c r="C183" s="24" t="s">
        <v>839</v>
      </c>
      <c r="D183" s="28" t="s">
        <v>969</v>
      </c>
      <c r="E183" s="28" t="s">
        <v>1117</v>
      </c>
      <c r="F183" s="27">
        <f t="shared" si="34"/>
        <v>43740</v>
      </c>
      <c r="G183" s="114">
        <v>1491.39</v>
      </c>
      <c r="H183" s="29">
        <f t="shared" si="35"/>
        <v>89483.400000000009</v>
      </c>
      <c r="I183" s="77">
        <v>59</v>
      </c>
      <c r="J183" s="268">
        <f t="shared" si="32"/>
        <v>43011</v>
      </c>
      <c r="K183" s="16"/>
      <c r="L183" s="270">
        <f t="shared" si="33"/>
        <v>0</v>
      </c>
      <c r="M183" s="15">
        <f t="shared" si="36"/>
        <v>59</v>
      </c>
      <c r="N183" s="15">
        <f t="shared" si="37"/>
        <v>43011</v>
      </c>
      <c r="O183" s="15" t="str">
        <f t="shared" si="38"/>
        <v/>
      </c>
      <c r="P183" s="14">
        <f t="shared" si="39"/>
        <v>729</v>
      </c>
      <c r="Q183" s="112">
        <f t="shared" si="40"/>
        <v>-51.119425502383685</v>
      </c>
      <c r="R183" s="116"/>
      <c r="U183" s="1"/>
      <c r="V183" s="1"/>
      <c r="Z183" s="16"/>
    </row>
    <row r="184" spans="1:26" s="13" customFormat="1" ht="66">
      <c r="A184" s="113">
        <v>176</v>
      </c>
      <c r="B184" s="28" t="s">
        <v>223</v>
      </c>
      <c r="C184" s="24" t="s">
        <v>840</v>
      </c>
      <c r="D184" s="28" t="s">
        <v>65</v>
      </c>
      <c r="E184" s="28" t="s">
        <v>1118</v>
      </c>
      <c r="F184" s="27">
        <f t="shared" si="34"/>
        <v>12360</v>
      </c>
      <c r="G184" s="114">
        <v>374.5</v>
      </c>
      <c r="H184" s="29">
        <f t="shared" si="35"/>
        <v>22470</v>
      </c>
      <c r="I184" s="77">
        <v>59</v>
      </c>
      <c r="J184" s="268">
        <f t="shared" si="32"/>
        <v>12154</v>
      </c>
      <c r="K184" s="16"/>
      <c r="L184" s="270">
        <f t="shared" si="33"/>
        <v>0</v>
      </c>
      <c r="M184" s="15">
        <f t="shared" si="36"/>
        <v>59</v>
      </c>
      <c r="N184" s="15">
        <f t="shared" si="37"/>
        <v>12154</v>
      </c>
      <c r="O184" s="15" t="str">
        <f t="shared" si="38"/>
        <v/>
      </c>
      <c r="P184" s="14">
        <f t="shared" si="39"/>
        <v>206</v>
      </c>
      <c r="Q184" s="112">
        <f t="shared" si="40"/>
        <v>-44.99332443257677</v>
      </c>
      <c r="R184" s="116"/>
      <c r="U184" s="1"/>
      <c r="V184" s="1"/>
      <c r="Z184" s="16"/>
    </row>
    <row r="185" spans="1:26" s="13" customFormat="1" ht="49.5">
      <c r="A185" s="113">
        <v>177</v>
      </c>
      <c r="B185" s="28" t="s">
        <v>883</v>
      </c>
      <c r="C185" s="24" t="s">
        <v>841</v>
      </c>
      <c r="D185" s="28" t="s">
        <v>970</v>
      </c>
      <c r="E185" s="28" t="s">
        <v>1119</v>
      </c>
      <c r="F185" s="27">
        <f t="shared" si="34"/>
        <v>9168</v>
      </c>
      <c r="G185" s="114">
        <v>1909.45</v>
      </c>
      <c r="H185" s="29">
        <f t="shared" si="35"/>
        <v>15275.6</v>
      </c>
      <c r="I185" s="77" t="str">
        <f t="shared" si="43"/>
        <v>8.00</v>
      </c>
      <c r="J185" s="268">
        <f t="shared" si="32"/>
        <v>9168</v>
      </c>
      <c r="K185" s="16"/>
      <c r="L185" s="270">
        <f t="shared" si="33"/>
        <v>0</v>
      </c>
      <c r="M185" s="15">
        <f t="shared" si="36"/>
        <v>8</v>
      </c>
      <c r="N185" s="15">
        <f t="shared" si="37"/>
        <v>9168</v>
      </c>
      <c r="O185" s="15" t="str">
        <f t="shared" si="38"/>
        <v/>
      </c>
      <c r="P185" s="14" t="str">
        <f t="shared" si="39"/>
        <v/>
      </c>
      <c r="Q185" s="112">
        <f t="shared" si="40"/>
        <v>-39.982717536463383</v>
      </c>
      <c r="R185" s="116"/>
      <c r="S185" s="13">
        <v>140000</v>
      </c>
      <c r="U185" s="1" t="str">
        <f>E185</f>
        <v>1146.00</v>
      </c>
      <c r="V185" s="1">
        <f t="shared" ref="V185:V190" si="45">U185*I185</f>
        <v>9168</v>
      </c>
      <c r="Z185" s="16">
        <v>13</v>
      </c>
    </row>
    <row r="186" spans="1:26" s="13" customFormat="1" ht="66">
      <c r="A186" s="113">
        <v>178</v>
      </c>
      <c r="B186" s="28" t="s">
        <v>895</v>
      </c>
      <c r="C186" s="24" t="s">
        <v>842</v>
      </c>
      <c r="D186" s="28" t="s">
        <v>64</v>
      </c>
      <c r="E186" s="28" t="s">
        <v>1120</v>
      </c>
      <c r="F186" s="27">
        <f t="shared" si="34"/>
        <v>25300</v>
      </c>
      <c r="G186" s="114">
        <v>39046</v>
      </c>
      <c r="H186" s="29">
        <f t="shared" si="35"/>
        <v>39046</v>
      </c>
      <c r="I186" s="77"/>
      <c r="J186" s="268">
        <f t="shared" si="32"/>
        <v>0</v>
      </c>
      <c r="K186" s="16"/>
      <c r="L186" s="270">
        <f t="shared" si="33"/>
        <v>0</v>
      </c>
      <c r="M186" s="15">
        <f t="shared" si="36"/>
        <v>0</v>
      </c>
      <c r="N186" s="15">
        <f t="shared" si="37"/>
        <v>0</v>
      </c>
      <c r="O186" s="15" t="str">
        <f t="shared" si="38"/>
        <v/>
      </c>
      <c r="P186" s="14">
        <f t="shared" si="39"/>
        <v>25300</v>
      </c>
      <c r="Q186" s="112">
        <f t="shared" si="40"/>
        <v>-35.204630435896121</v>
      </c>
      <c r="R186" s="116"/>
      <c r="S186" s="13">
        <v>29050</v>
      </c>
      <c r="U186" s="1" t="str">
        <f>E186</f>
        <v>25300.00</v>
      </c>
      <c r="V186" s="1">
        <f t="shared" si="45"/>
        <v>0</v>
      </c>
      <c r="Z186" s="16">
        <v>16</v>
      </c>
    </row>
    <row r="187" spans="1:26" s="13" customFormat="1" ht="82.5">
      <c r="A187" s="113">
        <v>179</v>
      </c>
      <c r="B187" s="28" t="s">
        <v>923</v>
      </c>
      <c r="C187" s="24" t="s">
        <v>843</v>
      </c>
      <c r="D187" s="28" t="s">
        <v>64</v>
      </c>
      <c r="E187" s="28" t="s">
        <v>1121</v>
      </c>
      <c r="F187" s="27">
        <f t="shared" si="34"/>
        <v>4242</v>
      </c>
      <c r="G187" s="114" t="s">
        <v>228</v>
      </c>
      <c r="H187" s="29">
        <f t="shared" si="35"/>
        <v>5550</v>
      </c>
      <c r="I187" s="77"/>
      <c r="J187" s="268">
        <f t="shared" si="32"/>
        <v>0</v>
      </c>
      <c r="K187" s="16"/>
      <c r="L187" s="270">
        <f t="shared" si="33"/>
        <v>0</v>
      </c>
      <c r="M187" s="15">
        <f t="shared" si="36"/>
        <v>0</v>
      </c>
      <c r="N187" s="15">
        <f t="shared" si="37"/>
        <v>0</v>
      </c>
      <c r="O187" s="15" t="str">
        <f t="shared" si="38"/>
        <v/>
      </c>
      <c r="P187" s="14">
        <f t="shared" si="39"/>
        <v>4242</v>
      </c>
      <c r="Q187" s="14">
        <f t="shared" si="40"/>
        <v>-23.567567567567568</v>
      </c>
      <c r="R187" s="116"/>
      <c r="S187" s="13">
        <v>29050</v>
      </c>
      <c r="U187" s="1">
        <v>600</v>
      </c>
      <c r="V187" s="1">
        <f t="shared" si="45"/>
        <v>0</v>
      </c>
      <c r="Z187" s="16">
        <v>15</v>
      </c>
    </row>
    <row r="188" spans="1:26" s="13" customFormat="1" ht="66">
      <c r="A188" s="113">
        <v>180</v>
      </c>
      <c r="B188" s="28" t="s">
        <v>941</v>
      </c>
      <c r="C188" s="24" t="s">
        <v>844</v>
      </c>
      <c r="D188" s="28" t="s">
        <v>64</v>
      </c>
      <c r="E188" s="28" t="s">
        <v>1122</v>
      </c>
      <c r="F188" s="27">
        <f t="shared" si="34"/>
        <v>8792</v>
      </c>
      <c r="G188" s="114" t="s">
        <v>229</v>
      </c>
      <c r="H188" s="29">
        <f t="shared" si="35"/>
        <v>11500</v>
      </c>
      <c r="I188" s="77"/>
      <c r="J188" s="268">
        <f t="shared" si="32"/>
        <v>0</v>
      </c>
      <c r="K188" s="16"/>
      <c r="L188" s="270">
        <f t="shared" si="33"/>
        <v>0</v>
      </c>
      <c r="M188" s="15">
        <f t="shared" si="36"/>
        <v>0</v>
      </c>
      <c r="N188" s="15">
        <f t="shared" si="37"/>
        <v>0</v>
      </c>
      <c r="O188" s="15" t="str">
        <f t="shared" si="38"/>
        <v/>
      </c>
      <c r="P188" s="14">
        <f t="shared" si="39"/>
        <v>8792</v>
      </c>
      <c r="Q188" s="14">
        <f t="shared" si="40"/>
        <v>-23.547826086956523</v>
      </c>
      <c r="R188" s="116"/>
      <c r="S188" s="13">
        <v>29050</v>
      </c>
      <c r="U188" s="1">
        <v>900</v>
      </c>
      <c r="V188" s="1">
        <f t="shared" si="45"/>
        <v>0</v>
      </c>
      <c r="Z188" s="16">
        <v>7</v>
      </c>
    </row>
    <row r="189" spans="1:26" s="13" customFormat="1" ht="49.5">
      <c r="A189" s="113">
        <v>181</v>
      </c>
      <c r="B189" s="28" t="s">
        <v>223</v>
      </c>
      <c r="C189" s="24" t="s">
        <v>845</v>
      </c>
      <c r="D189" s="28" t="s">
        <v>64</v>
      </c>
      <c r="E189" s="28" t="s">
        <v>1123</v>
      </c>
      <c r="F189" s="27">
        <f t="shared" si="34"/>
        <v>27540</v>
      </c>
      <c r="G189" s="114" t="s">
        <v>230</v>
      </c>
      <c r="H189" s="29">
        <f t="shared" si="35"/>
        <v>36000</v>
      </c>
      <c r="I189" s="77"/>
      <c r="J189" s="268">
        <f t="shared" si="32"/>
        <v>0</v>
      </c>
      <c r="K189" s="16"/>
      <c r="L189" s="270">
        <f t="shared" si="33"/>
        <v>0</v>
      </c>
      <c r="M189" s="15">
        <f t="shared" si="36"/>
        <v>0</v>
      </c>
      <c r="N189" s="15">
        <f t="shared" si="37"/>
        <v>0</v>
      </c>
      <c r="O189" s="15" t="str">
        <f t="shared" si="38"/>
        <v/>
      </c>
      <c r="P189" s="14">
        <f t="shared" si="39"/>
        <v>27540</v>
      </c>
      <c r="Q189" s="14">
        <f t="shared" si="40"/>
        <v>-23.5</v>
      </c>
      <c r="R189" s="116"/>
      <c r="S189" s="13">
        <v>29050</v>
      </c>
      <c r="U189" s="1" t="str">
        <f>E189</f>
        <v>459.00</v>
      </c>
      <c r="V189" s="1">
        <f t="shared" si="45"/>
        <v>0</v>
      </c>
      <c r="Z189" s="16"/>
    </row>
    <row r="190" spans="1:26" s="13" customFormat="1" ht="33">
      <c r="A190" s="113">
        <v>182</v>
      </c>
      <c r="B190" s="28" t="s">
        <v>895</v>
      </c>
      <c r="C190" s="24" t="s">
        <v>846</v>
      </c>
      <c r="D190" s="28" t="s">
        <v>64</v>
      </c>
      <c r="E190" s="28" t="s">
        <v>1124</v>
      </c>
      <c r="F190" s="27">
        <f t="shared" si="34"/>
        <v>3211</v>
      </c>
      <c r="G190" s="114" t="s">
        <v>231</v>
      </c>
      <c r="H190" s="29">
        <f t="shared" si="35"/>
        <v>4200</v>
      </c>
      <c r="I190" s="77"/>
      <c r="J190" s="268">
        <f t="shared" si="32"/>
        <v>0</v>
      </c>
      <c r="K190" s="16"/>
      <c r="L190" s="270">
        <f t="shared" si="33"/>
        <v>0</v>
      </c>
      <c r="M190" s="15">
        <f t="shared" si="36"/>
        <v>0</v>
      </c>
      <c r="N190" s="15">
        <f t="shared" si="37"/>
        <v>0</v>
      </c>
      <c r="O190" s="15" t="str">
        <f t="shared" si="38"/>
        <v/>
      </c>
      <c r="P190" s="14">
        <f t="shared" si="39"/>
        <v>3211</v>
      </c>
      <c r="Q190" s="14">
        <f t="shared" si="40"/>
        <v>-23.547619047619047</v>
      </c>
      <c r="R190" s="116"/>
      <c r="S190" s="13">
        <v>29050</v>
      </c>
      <c r="U190" s="1" t="str">
        <f>E190</f>
        <v>3211.00</v>
      </c>
      <c r="V190" s="1">
        <f t="shared" si="45"/>
        <v>0</v>
      </c>
      <c r="Z190" s="16">
        <v>132</v>
      </c>
    </row>
    <row r="191" spans="1:26" s="13" customFormat="1" ht="49.5">
      <c r="A191" s="113">
        <v>183</v>
      </c>
      <c r="B191" s="28" t="s">
        <v>903</v>
      </c>
      <c r="C191" s="24" t="s">
        <v>847</v>
      </c>
      <c r="D191" s="28" t="s">
        <v>64</v>
      </c>
      <c r="E191" s="28" t="s">
        <v>1125</v>
      </c>
      <c r="F191" s="27">
        <f t="shared" si="34"/>
        <v>12840</v>
      </c>
      <c r="G191" s="114" t="s">
        <v>232</v>
      </c>
      <c r="H191" s="29">
        <f t="shared" si="35"/>
        <v>16800</v>
      </c>
      <c r="I191" s="77"/>
      <c r="J191" s="268">
        <f t="shared" si="32"/>
        <v>0</v>
      </c>
      <c r="K191" s="16"/>
      <c r="L191" s="270">
        <f t="shared" si="33"/>
        <v>0</v>
      </c>
      <c r="M191" s="15">
        <f t="shared" si="36"/>
        <v>0</v>
      </c>
      <c r="N191" s="15">
        <f t="shared" si="37"/>
        <v>0</v>
      </c>
      <c r="O191" s="15" t="str">
        <f t="shared" si="38"/>
        <v/>
      </c>
      <c r="P191" s="14">
        <f t="shared" si="39"/>
        <v>12840</v>
      </c>
      <c r="Q191" s="14">
        <f t="shared" si="40"/>
        <v>-23.571428571428569</v>
      </c>
      <c r="R191" s="116"/>
      <c r="U191" s="1"/>
      <c r="V191" s="1"/>
      <c r="Z191" s="16"/>
    </row>
    <row r="192" spans="1:26" s="13" customFormat="1" ht="18.75">
      <c r="A192" s="113">
        <v>184</v>
      </c>
      <c r="B192" s="28" t="s">
        <v>963</v>
      </c>
      <c r="C192" s="24" t="s">
        <v>848</v>
      </c>
      <c r="D192" s="28" t="s">
        <v>64</v>
      </c>
      <c r="E192" s="28" t="s">
        <v>1126</v>
      </c>
      <c r="F192" s="27">
        <f t="shared" si="34"/>
        <v>8250</v>
      </c>
      <c r="G192" s="114" t="s">
        <v>233</v>
      </c>
      <c r="H192" s="29">
        <f t="shared" si="35"/>
        <v>10800</v>
      </c>
      <c r="I192" s="77"/>
      <c r="J192" s="268">
        <f t="shared" si="32"/>
        <v>0</v>
      </c>
      <c r="K192" s="16"/>
      <c r="L192" s="270">
        <f t="shared" si="33"/>
        <v>0</v>
      </c>
      <c r="M192" s="15">
        <f t="shared" si="36"/>
        <v>0</v>
      </c>
      <c r="N192" s="15">
        <f t="shared" si="37"/>
        <v>0</v>
      </c>
      <c r="O192" s="15" t="str">
        <f t="shared" si="38"/>
        <v/>
      </c>
      <c r="P192" s="14">
        <f t="shared" si="39"/>
        <v>8250</v>
      </c>
      <c r="Q192" s="14">
        <f t="shared" si="40"/>
        <v>-23.611111111111111</v>
      </c>
      <c r="R192" s="116"/>
      <c r="U192" s="1"/>
      <c r="V192" s="1"/>
      <c r="Z192" s="16"/>
    </row>
    <row r="193" spans="1:26" s="13" customFormat="1" ht="49.5">
      <c r="A193" s="113">
        <v>185</v>
      </c>
      <c r="B193" s="28" t="s">
        <v>964</v>
      </c>
      <c r="C193" s="24" t="s">
        <v>849</v>
      </c>
      <c r="D193" s="28" t="s">
        <v>64</v>
      </c>
      <c r="E193" s="28" t="s">
        <v>1127</v>
      </c>
      <c r="F193" s="27">
        <f t="shared" si="34"/>
        <v>7105</v>
      </c>
      <c r="G193" s="114" t="s">
        <v>234</v>
      </c>
      <c r="H193" s="29">
        <f t="shared" si="35"/>
        <v>9280</v>
      </c>
      <c r="I193" s="77"/>
      <c r="J193" s="268">
        <f t="shared" si="32"/>
        <v>0</v>
      </c>
      <c r="K193" s="16"/>
      <c r="L193" s="270">
        <f t="shared" si="33"/>
        <v>0</v>
      </c>
      <c r="M193" s="15">
        <f t="shared" si="36"/>
        <v>0</v>
      </c>
      <c r="N193" s="15">
        <f t="shared" si="37"/>
        <v>0</v>
      </c>
      <c r="O193" s="15" t="str">
        <f t="shared" si="38"/>
        <v/>
      </c>
      <c r="P193" s="14">
        <f t="shared" si="39"/>
        <v>7105</v>
      </c>
      <c r="Q193" s="14">
        <f t="shared" si="40"/>
        <v>-23.4375</v>
      </c>
      <c r="R193" s="116"/>
      <c r="U193" s="1"/>
      <c r="V193" s="1"/>
      <c r="Z193" s="16"/>
    </row>
    <row r="194" spans="1:26" s="13" customFormat="1" ht="18.75">
      <c r="A194" s="113">
        <v>186</v>
      </c>
      <c r="B194" s="28" t="s">
        <v>895</v>
      </c>
      <c r="C194" s="24" t="s">
        <v>850</v>
      </c>
      <c r="D194" s="28" t="s">
        <v>64</v>
      </c>
      <c r="E194" s="28" t="s">
        <v>1128</v>
      </c>
      <c r="F194" s="27">
        <f t="shared" si="34"/>
        <v>344</v>
      </c>
      <c r="G194" s="114" t="s">
        <v>235</v>
      </c>
      <c r="H194" s="29">
        <f t="shared" si="35"/>
        <v>450</v>
      </c>
      <c r="I194" s="77"/>
      <c r="J194" s="268">
        <f t="shared" si="32"/>
        <v>0</v>
      </c>
      <c r="K194" s="16"/>
      <c r="L194" s="270">
        <f t="shared" si="33"/>
        <v>0</v>
      </c>
      <c r="M194" s="15">
        <f t="shared" si="36"/>
        <v>0</v>
      </c>
      <c r="N194" s="15">
        <f t="shared" si="37"/>
        <v>0</v>
      </c>
      <c r="O194" s="15" t="str">
        <f t="shared" si="38"/>
        <v/>
      </c>
      <c r="P194" s="14">
        <f t="shared" si="39"/>
        <v>344</v>
      </c>
      <c r="Q194" s="14">
        <f t="shared" si="40"/>
        <v>-23.555555555555554</v>
      </c>
      <c r="R194" s="116"/>
      <c r="U194" s="1"/>
      <c r="V194" s="1"/>
      <c r="Z194" s="16"/>
    </row>
    <row r="195" spans="1:26" s="13" customFormat="1" ht="66">
      <c r="A195" s="113">
        <v>187</v>
      </c>
      <c r="B195" s="28" t="s">
        <v>965</v>
      </c>
      <c r="C195" s="24" t="s">
        <v>851</v>
      </c>
      <c r="D195" s="28" t="s">
        <v>63</v>
      </c>
      <c r="E195" s="28" t="s">
        <v>1129</v>
      </c>
      <c r="F195" s="27">
        <f t="shared" si="34"/>
        <v>35910</v>
      </c>
      <c r="G195" s="114">
        <v>918.23</v>
      </c>
      <c r="H195" s="29">
        <f t="shared" si="35"/>
        <v>52339.11</v>
      </c>
      <c r="I195" s="77"/>
      <c r="J195" s="268">
        <f t="shared" si="32"/>
        <v>0</v>
      </c>
      <c r="K195" s="16"/>
      <c r="L195" s="270">
        <f t="shared" si="33"/>
        <v>0</v>
      </c>
      <c r="M195" s="15">
        <f t="shared" si="36"/>
        <v>0</v>
      </c>
      <c r="N195" s="15">
        <f t="shared" si="37"/>
        <v>0</v>
      </c>
      <c r="O195" s="15" t="str">
        <f t="shared" si="38"/>
        <v/>
      </c>
      <c r="P195" s="14">
        <f t="shared" si="39"/>
        <v>35910</v>
      </c>
      <c r="Q195" s="112">
        <f t="shared" si="40"/>
        <v>-31.3897389542925</v>
      </c>
      <c r="R195" s="116"/>
      <c r="U195" s="1"/>
      <c r="V195" s="1"/>
      <c r="Z195" s="16"/>
    </row>
    <row r="196" spans="1:26" s="13" customFormat="1" ht="66">
      <c r="A196" s="113">
        <v>188</v>
      </c>
      <c r="B196" s="28" t="s">
        <v>963</v>
      </c>
      <c r="C196" s="24" t="s">
        <v>852</v>
      </c>
      <c r="D196" s="28" t="s">
        <v>64</v>
      </c>
      <c r="E196" s="28" t="s">
        <v>214</v>
      </c>
      <c r="F196" s="27">
        <f t="shared" si="34"/>
        <v>6675</v>
      </c>
      <c r="G196" s="114">
        <v>636.53</v>
      </c>
      <c r="H196" s="29">
        <f>G196*B196</f>
        <v>9547.9499999999989</v>
      </c>
      <c r="I196" s="77"/>
      <c r="J196" s="268">
        <f t="shared" si="32"/>
        <v>0</v>
      </c>
      <c r="K196" s="16"/>
      <c r="L196" s="270">
        <f t="shared" si="33"/>
        <v>0</v>
      </c>
      <c r="M196" s="15">
        <f t="shared" si="36"/>
        <v>0</v>
      </c>
      <c r="N196" s="15">
        <f t="shared" si="37"/>
        <v>0</v>
      </c>
      <c r="O196" s="15" t="str">
        <f t="shared" si="38"/>
        <v/>
      </c>
      <c r="P196" s="14">
        <f t="shared" si="39"/>
        <v>6675</v>
      </c>
      <c r="Q196" s="112">
        <f t="shared" si="40"/>
        <v>-30.089705119947212</v>
      </c>
      <c r="R196" s="116"/>
      <c r="U196" s="1"/>
      <c r="V196" s="1"/>
      <c r="Z196" s="16"/>
    </row>
    <row r="197" spans="1:26" s="37" customFormat="1" ht="18.75">
      <c r="A197" s="127"/>
      <c r="B197" s="32"/>
      <c r="C197" s="19" t="s">
        <v>79</v>
      </c>
      <c r="D197" s="33"/>
      <c r="E197" s="34"/>
      <c r="F197" s="35">
        <f>SUM(F9:F196)</f>
        <v>8933289.7280000001</v>
      </c>
      <c r="G197" s="35"/>
      <c r="H197" s="104">
        <f>SUM(H9:H196)+0.05</f>
        <v>12719308.760999998</v>
      </c>
      <c r="I197" s="78"/>
      <c r="J197" s="35">
        <f>SUM(J9:J196)</f>
        <v>4090286.8840000001</v>
      </c>
      <c r="K197" s="36"/>
      <c r="L197" s="36"/>
      <c r="M197" s="211"/>
      <c r="N197" s="273">
        <f>SUM(N9:N196)+0.05</f>
        <v>4090286.9339999999</v>
      </c>
      <c r="O197" s="273">
        <f>SUM(O9:O196)+0.05</f>
        <v>120344.64</v>
      </c>
      <c r="P197" s="273">
        <f>SUM(P9:P196)+0.05</f>
        <v>4963347.4839999992</v>
      </c>
      <c r="Q197" s="35"/>
      <c r="R197" s="117"/>
      <c r="U197" s="8"/>
      <c r="V197" s="8"/>
    </row>
    <row r="198" spans="1:26" s="13" customFormat="1" ht="18.75">
      <c r="A198" s="118"/>
      <c r="B198" s="14"/>
      <c r="C198" s="25" t="s">
        <v>80</v>
      </c>
      <c r="D198" s="17"/>
      <c r="E198" s="16"/>
      <c r="F198" s="15">
        <f>F197*0.12</f>
        <v>1071994.7673599999</v>
      </c>
      <c r="G198" s="15"/>
      <c r="H198" s="15">
        <f>H197*0.12</f>
        <v>1526317.0513199996</v>
      </c>
      <c r="I198" s="16"/>
      <c r="J198" s="15">
        <f>J197*0.12</f>
        <v>490834.42608</v>
      </c>
      <c r="K198" s="16"/>
      <c r="L198" s="16"/>
      <c r="M198" s="15"/>
      <c r="N198" s="15">
        <f>N197*0.12</f>
        <v>490834.43207999994</v>
      </c>
      <c r="O198" s="15">
        <f>O197*0.12</f>
        <v>14441.3568</v>
      </c>
      <c r="P198" s="15">
        <f>P197*0.12</f>
        <v>595601.69807999989</v>
      </c>
      <c r="Q198" s="15"/>
      <c r="R198" s="119"/>
      <c r="V198" s="13">
        <f>SUM(V10:V196)</f>
        <v>4011256.8840000001</v>
      </c>
    </row>
    <row r="199" spans="1:26" ht="27.75" customHeight="1">
      <c r="A199" s="120"/>
      <c r="B199" s="128"/>
      <c r="C199" s="121" t="s">
        <v>11</v>
      </c>
      <c r="D199" s="122"/>
      <c r="E199" s="123"/>
      <c r="F199" s="124">
        <f>SUM(F197:F198)</f>
        <v>10005284.49536</v>
      </c>
      <c r="G199" s="124"/>
      <c r="H199" s="124">
        <f>SUM(H197:H198)</f>
        <v>14245625.812319998</v>
      </c>
      <c r="I199" s="123"/>
      <c r="J199" s="124">
        <f>SUM(J197:J198)</f>
        <v>4581121.3100800002</v>
      </c>
      <c r="K199" s="123"/>
      <c r="L199" s="123"/>
      <c r="M199" s="125"/>
      <c r="N199" s="124">
        <f>SUM(N197:N198)</f>
        <v>4581121.3660800001</v>
      </c>
      <c r="O199" s="124">
        <f>SUM(O197:O198)</f>
        <v>134785.99679999999</v>
      </c>
      <c r="P199" s="124">
        <f>SUM(P197:P198)</f>
        <v>5558949.1820799988</v>
      </c>
      <c r="Q199" s="124"/>
      <c r="R199" s="126"/>
      <c r="S199" s="1">
        <f>SUM(S9:S196)</f>
        <v>44592643.122000001</v>
      </c>
      <c r="W199" s="18"/>
    </row>
    <row r="200" spans="1:26" s="8" customFormat="1" ht="18.75">
      <c r="A200" s="10"/>
      <c r="B200" s="10"/>
      <c r="C200" s="210"/>
      <c r="D200" s="11"/>
      <c r="E200" s="11"/>
      <c r="F200" s="7"/>
      <c r="G200" s="7"/>
      <c r="H200" s="7"/>
      <c r="I200" s="11"/>
      <c r="J200" s="11"/>
      <c r="K200" s="11"/>
      <c r="L200" s="11"/>
      <c r="M200" s="4"/>
      <c r="N200" s="4"/>
      <c r="O200" s="10"/>
      <c r="P200" s="7"/>
      <c r="Q200" s="7"/>
      <c r="R200" s="210"/>
      <c r="W200" s="18"/>
    </row>
    <row r="201" spans="1:26" s="8" customFormat="1" ht="18.75">
      <c r="A201" s="10"/>
      <c r="B201" s="10"/>
      <c r="C201" s="12"/>
      <c r="D201" s="11"/>
      <c r="E201" s="11"/>
      <c r="F201" s="4"/>
      <c r="G201" s="4"/>
      <c r="H201" s="4"/>
      <c r="I201" s="11"/>
      <c r="J201" s="11"/>
      <c r="K201" s="11"/>
      <c r="L201" s="11"/>
      <c r="M201" s="4"/>
      <c r="N201" s="4">
        <f>F199-N199</f>
        <v>5424163.12928</v>
      </c>
      <c r="O201" s="10"/>
      <c r="P201" s="7"/>
      <c r="Q201" s="7"/>
      <c r="R201" s="210"/>
      <c r="W201" s="18"/>
    </row>
    <row r="202" spans="1:26" s="8" customFormat="1" ht="18.75">
      <c r="A202" s="10"/>
      <c r="B202" s="10"/>
      <c r="C202" s="12"/>
      <c r="D202" s="11"/>
      <c r="E202" s="11"/>
      <c r="F202" s="4"/>
      <c r="G202" s="4"/>
      <c r="H202" s="4"/>
      <c r="I202" s="11"/>
      <c r="J202" s="11"/>
      <c r="K202" s="11"/>
      <c r="L202" s="11"/>
      <c r="M202" s="4"/>
      <c r="N202" s="4"/>
      <c r="O202" s="4"/>
      <c r="P202" s="10"/>
      <c r="Q202" s="10"/>
      <c r="R202" s="210"/>
      <c r="S202" s="8">
        <f>O199-P199</f>
        <v>-5424163.1852799989</v>
      </c>
      <c r="W202" s="18"/>
    </row>
    <row r="203" spans="1:26" s="8" customFormat="1" ht="23.25" customHeight="1">
      <c r="A203" s="10" t="s">
        <v>10</v>
      </c>
      <c r="B203" s="10"/>
      <c r="C203" s="12"/>
      <c r="D203" s="11" t="s">
        <v>0</v>
      </c>
      <c r="E203" s="11">
        <v>12433000</v>
      </c>
      <c r="F203" s="11"/>
      <c r="G203" s="11"/>
      <c r="H203" s="11"/>
      <c r="I203" s="7"/>
      <c r="J203" s="7"/>
      <c r="K203" s="485" t="s">
        <v>9</v>
      </c>
      <c r="L203" s="485"/>
      <c r="M203" s="485"/>
      <c r="N203" s="485"/>
      <c r="O203" s="485"/>
      <c r="P203" s="274">
        <f>O199</f>
        <v>134785.99679999999</v>
      </c>
      <c r="Q203" s="11"/>
      <c r="R203" s="9"/>
      <c r="S203" s="13"/>
      <c r="W203" s="18"/>
    </row>
    <row r="204" spans="1:26" ht="23.25" customHeight="1">
      <c r="A204" s="502" t="s">
        <v>8</v>
      </c>
      <c r="B204" s="502"/>
      <c r="C204" s="502"/>
      <c r="D204" s="11" t="s">
        <v>0</v>
      </c>
      <c r="E204" s="11">
        <v>12400000</v>
      </c>
      <c r="F204" s="4"/>
      <c r="G204" s="4"/>
      <c r="H204" s="4"/>
      <c r="I204" s="4"/>
      <c r="J204" s="4"/>
      <c r="K204" s="485" t="s">
        <v>7</v>
      </c>
      <c r="L204" s="485"/>
      <c r="M204" s="485"/>
      <c r="N204" s="485"/>
      <c r="O204" s="485"/>
      <c r="P204" s="4">
        <f>P199</f>
        <v>5558949.1820799988</v>
      </c>
      <c r="Q204" s="4"/>
      <c r="R204" s="6"/>
      <c r="S204" s="79"/>
      <c r="W204" s="18"/>
    </row>
    <row r="205" spans="1:26" ht="23.25" customHeight="1">
      <c r="A205" s="502" t="s">
        <v>6</v>
      </c>
      <c r="B205" s="502"/>
      <c r="C205" s="502"/>
      <c r="D205" s="11" t="s">
        <v>0</v>
      </c>
      <c r="E205" s="11">
        <v>12107763.609999999</v>
      </c>
      <c r="F205" s="4"/>
      <c r="G205" s="4"/>
      <c r="H205" s="4"/>
      <c r="I205" s="4"/>
      <c r="J205" s="4"/>
      <c r="K205" s="485" t="s">
        <v>193</v>
      </c>
      <c r="L205" s="485"/>
      <c r="M205" s="485"/>
      <c r="N205" s="485"/>
      <c r="O205" s="485"/>
      <c r="P205" s="4">
        <f>P204-P203</f>
        <v>5424163.1852799989</v>
      </c>
      <c r="Q205" s="4"/>
      <c r="R205" s="6"/>
      <c r="S205" s="79"/>
      <c r="W205" s="17"/>
    </row>
    <row r="206" spans="1:26" ht="23.25" customHeight="1">
      <c r="A206" s="502" t="s">
        <v>5</v>
      </c>
      <c r="B206" s="502"/>
      <c r="C206" s="502"/>
      <c r="D206" s="11" t="s">
        <v>0</v>
      </c>
      <c r="E206" s="4">
        <v>8755105.7899999991</v>
      </c>
      <c r="F206" s="4"/>
      <c r="G206" s="4"/>
      <c r="H206" s="4"/>
      <c r="I206" s="4"/>
      <c r="J206" s="4"/>
      <c r="K206" s="4"/>
      <c r="L206" s="4"/>
      <c r="M206" s="4"/>
      <c r="N206" s="4"/>
      <c r="O206" s="4"/>
      <c r="P206" s="4"/>
      <c r="Q206" s="4"/>
      <c r="R206" s="6"/>
      <c r="S206" s="79"/>
    </row>
    <row r="207" spans="1:26" ht="23.25" customHeight="1">
      <c r="A207" s="502" t="s">
        <v>4</v>
      </c>
      <c r="B207" s="502"/>
      <c r="C207" s="502"/>
      <c r="D207" s="11" t="s">
        <v>0</v>
      </c>
      <c r="E207" s="4">
        <f>E205-E206</f>
        <v>3352657.8200000003</v>
      </c>
      <c r="F207" s="4"/>
      <c r="G207" s="4"/>
      <c r="H207" s="4"/>
      <c r="I207" s="4"/>
      <c r="J207" s="4"/>
      <c r="K207" s="4"/>
      <c r="L207" s="4"/>
      <c r="M207" s="4"/>
      <c r="N207" s="7"/>
      <c r="O207" s="4"/>
      <c r="P207" s="4"/>
      <c r="Q207" s="4"/>
      <c r="R207" s="6"/>
      <c r="S207" s="79"/>
    </row>
    <row r="208" spans="1:26" ht="23.25" customHeight="1">
      <c r="A208" s="502" t="s">
        <v>3</v>
      </c>
      <c r="B208" s="502"/>
      <c r="C208" s="502"/>
      <c r="D208" s="11"/>
      <c r="E208" s="108">
        <f>E207/E205</f>
        <v>0.27690149295869848</v>
      </c>
      <c r="F208" s="4"/>
      <c r="G208" s="4"/>
      <c r="H208" s="4"/>
      <c r="I208" s="4"/>
      <c r="J208" s="4"/>
      <c r="K208" s="4"/>
      <c r="L208" s="4"/>
      <c r="M208" s="4"/>
      <c r="N208" s="4"/>
      <c r="O208" s="4"/>
      <c r="P208" s="4"/>
      <c r="Q208" s="4"/>
      <c r="R208" s="6"/>
      <c r="S208" s="79"/>
    </row>
    <row r="209" spans="1:19" ht="23.25" customHeight="1">
      <c r="A209" s="502" t="s">
        <v>90</v>
      </c>
      <c r="B209" s="502"/>
      <c r="C209" s="502"/>
      <c r="D209" s="11" t="s">
        <v>0</v>
      </c>
      <c r="E209" s="4">
        <f>N199</f>
        <v>4581121.3660800001</v>
      </c>
      <c r="F209" s="4"/>
      <c r="G209" s="4"/>
      <c r="H209" s="4"/>
      <c r="I209" s="4"/>
      <c r="J209" s="4"/>
      <c r="K209" s="4"/>
      <c r="L209" s="4"/>
      <c r="M209" s="4"/>
      <c r="N209" s="4"/>
      <c r="O209" s="4"/>
      <c r="P209" s="275"/>
      <c r="Q209" s="111"/>
      <c r="R209" s="6"/>
      <c r="S209" s="79"/>
    </row>
    <row r="210" spans="1:19" ht="23.25" customHeight="1">
      <c r="A210" s="502" t="s">
        <v>2</v>
      </c>
      <c r="B210" s="502"/>
      <c r="C210" s="502"/>
      <c r="D210" s="11" t="s">
        <v>0</v>
      </c>
      <c r="E210" s="4">
        <f>O199</f>
        <v>134785.99679999999</v>
      </c>
      <c r="F210" s="4"/>
      <c r="G210" s="4"/>
      <c r="H210" s="4"/>
      <c r="I210" s="4"/>
      <c r="J210" s="4"/>
      <c r="K210" s="4"/>
      <c r="L210" s="4"/>
      <c r="M210" s="4"/>
      <c r="N210" s="4"/>
      <c r="O210" s="4"/>
      <c r="P210" s="4"/>
      <c r="Q210" s="4"/>
      <c r="R210" s="6"/>
      <c r="S210" s="79"/>
    </row>
    <row r="211" spans="1:19" ht="23.25" customHeight="1">
      <c r="A211" s="502" t="s">
        <v>1</v>
      </c>
      <c r="B211" s="502"/>
      <c r="C211" s="502"/>
      <c r="D211" s="11" t="s">
        <v>0</v>
      </c>
      <c r="E211" s="4">
        <f>P199</f>
        <v>5558949.1820799988</v>
      </c>
      <c r="F211" s="4"/>
      <c r="G211" s="4"/>
      <c r="H211" s="4"/>
      <c r="I211" s="4"/>
      <c r="J211" s="4"/>
      <c r="K211" s="4"/>
      <c r="L211" s="4"/>
      <c r="M211" s="4"/>
      <c r="N211" s="4"/>
      <c r="O211" s="4"/>
      <c r="P211" s="4"/>
      <c r="Q211" s="4"/>
      <c r="R211" s="6"/>
      <c r="S211" s="79"/>
    </row>
    <row r="212" spans="1:19" ht="23.25" customHeight="1">
      <c r="A212" s="501" t="s">
        <v>194</v>
      </c>
      <c r="B212" s="501"/>
      <c r="C212" s="501"/>
      <c r="D212" s="11" t="s">
        <v>0</v>
      </c>
      <c r="E212" s="7">
        <f>E206-E209</f>
        <v>4173984.423919999</v>
      </c>
      <c r="F212" s="7"/>
      <c r="G212" s="7"/>
      <c r="H212" s="7"/>
      <c r="I212" s="4"/>
      <c r="J212" s="4"/>
      <c r="K212" s="4"/>
      <c r="L212" s="4"/>
      <c r="M212" s="4"/>
      <c r="N212" s="4"/>
      <c r="O212" s="4"/>
      <c r="P212" s="4"/>
      <c r="Q212" s="4"/>
      <c r="R212" s="6"/>
      <c r="S212" s="79"/>
    </row>
    <row r="213" spans="1:19" ht="23.25" customHeight="1">
      <c r="A213" s="501" t="s">
        <v>195</v>
      </c>
      <c r="B213" s="501"/>
      <c r="C213" s="501"/>
      <c r="D213" s="11" t="s">
        <v>0</v>
      </c>
      <c r="E213" s="109">
        <f>E212/E206</f>
        <v>0.47674859950721388</v>
      </c>
      <c r="F213" s="109"/>
      <c r="G213" s="109"/>
      <c r="H213" s="109"/>
      <c r="I213" s="4"/>
      <c r="J213" s="4"/>
      <c r="K213" s="4"/>
      <c r="L213" s="4"/>
      <c r="M213" s="4"/>
      <c r="N213" s="4"/>
      <c r="O213" s="4"/>
      <c r="P213" s="4"/>
      <c r="Q213" s="4"/>
      <c r="R213" s="6"/>
      <c r="S213" s="79"/>
    </row>
    <row r="214" spans="1:19" ht="23.25" customHeight="1">
      <c r="A214" s="501" t="s">
        <v>92</v>
      </c>
      <c r="B214" s="501"/>
      <c r="C214" s="501"/>
      <c r="D214" s="11" t="s">
        <v>0</v>
      </c>
      <c r="E214" s="7">
        <f>E205-N199</f>
        <v>7526642.2439199993</v>
      </c>
      <c r="F214" s="7"/>
      <c r="G214" s="7"/>
      <c r="H214" s="7"/>
      <c r="I214" s="4"/>
      <c r="J214" s="4"/>
      <c r="K214" s="4"/>
      <c r="L214" s="4"/>
      <c r="M214" s="4"/>
      <c r="N214" s="4"/>
      <c r="O214" s="4"/>
      <c r="P214" s="4"/>
      <c r="Q214" s="4"/>
      <c r="R214" s="6"/>
      <c r="S214" s="79"/>
    </row>
    <row r="215" spans="1:19" ht="23.25" customHeight="1">
      <c r="A215" s="501" t="s">
        <v>93</v>
      </c>
      <c r="B215" s="501"/>
      <c r="C215" s="501"/>
      <c r="D215" s="110" t="s">
        <v>91</v>
      </c>
      <c r="E215" s="7">
        <f>((E205-N199)/E205)*100</f>
        <v>62.163769349639622</v>
      </c>
      <c r="F215" s="7"/>
      <c r="G215" s="7"/>
      <c r="H215" s="7"/>
      <c r="I215" s="4"/>
      <c r="J215" s="4"/>
      <c r="K215" s="4"/>
      <c r="L215" s="4"/>
      <c r="M215" s="4"/>
      <c r="N215" s="4"/>
      <c r="O215" s="4"/>
      <c r="P215" s="4"/>
      <c r="Q215" s="4"/>
      <c r="R215" s="6"/>
      <c r="S215" s="79"/>
    </row>
    <row r="216" spans="1:19" ht="18.75">
      <c r="A216" s="7"/>
      <c r="B216" s="7"/>
      <c r="C216" s="210"/>
      <c r="D216" s="4"/>
      <c r="E216" s="4"/>
      <c r="F216" s="4"/>
      <c r="G216" s="4"/>
      <c r="H216" s="4"/>
      <c r="I216" s="4"/>
      <c r="J216" s="4"/>
      <c r="K216" s="4"/>
      <c r="L216" s="4"/>
      <c r="M216" s="4"/>
      <c r="N216" s="4"/>
      <c r="O216" s="4"/>
      <c r="P216" s="4"/>
      <c r="Q216" s="4"/>
      <c r="R216" s="5"/>
    </row>
    <row r="222" spans="1:19" ht="18.75">
      <c r="P222" s="4">
        <v>1117822.1207999999</v>
      </c>
      <c r="Q222" s="4"/>
    </row>
    <row r="226" spans="3:13" ht="19.5" thickBot="1">
      <c r="M226" s="26">
        <v>4670546.4287999999</v>
      </c>
    </row>
    <row r="229" spans="3:13">
      <c r="C229" s="2">
        <f>8*0.68*2.01</f>
        <v>10.9344</v>
      </c>
    </row>
  </sheetData>
  <autoFilter ref="Q1:Q229"/>
  <mergeCells count="41">
    <mergeCell ref="P6:S6"/>
    <mergeCell ref="A1:R1"/>
    <mergeCell ref="A2:R2"/>
    <mergeCell ref="A3:B3"/>
    <mergeCell ref="D3:I3"/>
    <mergeCell ref="K3:O3"/>
    <mergeCell ref="A4:C4"/>
    <mergeCell ref="D4:I4"/>
    <mergeCell ref="K4:O4"/>
    <mergeCell ref="A5:B5"/>
    <mergeCell ref="D5:I5"/>
    <mergeCell ref="K5:O5"/>
    <mergeCell ref="D6:I6"/>
    <mergeCell ref="K6:O6"/>
    <mergeCell ref="R7:R8"/>
    <mergeCell ref="K203:O203"/>
    <mergeCell ref="A204:C204"/>
    <mergeCell ref="K204:O204"/>
    <mergeCell ref="A205:C205"/>
    <mergeCell ref="K205:O205"/>
    <mergeCell ref="M7:N7"/>
    <mergeCell ref="O7:P7"/>
    <mergeCell ref="Q7:Q8"/>
    <mergeCell ref="A7:A8"/>
    <mergeCell ref="B7:B8"/>
    <mergeCell ref="C7:C8"/>
    <mergeCell ref="D7:F7"/>
    <mergeCell ref="G7:G8"/>
    <mergeCell ref="H7:H8"/>
    <mergeCell ref="K7:L7"/>
    <mergeCell ref="A213:C213"/>
    <mergeCell ref="A214:C214"/>
    <mergeCell ref="A215:C215"/>
    <mergeCell ref="I7:J7"/>
    <mergeCell ref="A210:C210"/>
    <mergeCell ref="A211:C211"/>
    <mergeCell ref="A206:C206"/>
    <mergeCell ref="A207:C207"/>
    <mergeCell ref="A208:C208"/>
    <mergeCell ref="A209:C209"/>
    <mergeCell ref="A212:C212"/>
  </mergeCells>
  <pageMargins left="0.78" right="0.32" top="0.6" bottom="0.43" header="0.19" footer="0.18"/>
  <pageSetup paperSize="9" scale="41" fitToHeight="0" orientation="landscape" verticalDpi="300" r:id="rId1"/>
</worksheet>
</file>

<file path=xl/worksheets/sheet7.xml><?xml version="1.0" encoding="utf-8"?>
<worksheet xmlns="http://schemas.openxmlformats.org/spreadsheetml/2006/main" xmlns:r="http://schemas.openxmlformats.org/officeDocument/2006/relationships">
  <dimension ref="A1:AF525"/>
  <sheetViews>
    <sheetView showZeros="0" tabSelected="1" view="pageBreakPreview" zoomScale="50" zoomScaleNormal="50" zoomScaleSheetLayoutView="50" workbookViewId="0">
      <pane xSplit="2" ySplit="6" topLeftCell="G7" activePane="bottomRight" state="frozen"/>
      <selection pane="topRight" activeCell="D1" sqref="D1"/>
      <selection pane="bottomLeft" activeCell="A7" sqref="A7"/>
      <selection pane="bottomRight" activeCell="L9" sqref="L9"/>
    </sheetView>
  </sheetViews>
  <sheetFormatPr defaultColWidth="9.140625" defaultRowHeight="21.75"/>
  <cols>
    <col min="1" max="1" width="11.140625" style="316" customWidth="1"/>
    <col min="2" max="2" width="55.5703125" style="295" customWidth="1"/>
    <col min="3" max="3" width="19" style="317" bestFit="1" customWidth="1"/>
    <col min="4" max="4" width="14.5703125" style="317" customWidth="1"/>
    <col min="5" max="5" width="19" style="317" bestFit="1" customWidth="1"/>
    <col min="6" max="6" width="26" style="317" customWidth="1"/>
    <col min="7" max="7" width="19" style="335" customWidth="1"/>
    <col min="8" max="8" width="25.42578125" style="317" customWidth="1"/>
    <col min="9" max="9" width="17.5703125" style="317" customWidth="1"/>
    <col min="10" max="10" width="22.42578125" style="317" customWidth="1"/>
    <col min="11" max="11" width="19.85546875" style="317" customWidth="1"/>
    <col min="12" max="12" width="26.42578125" style="317" customWidth="1"/>
    <col min="13" max="13" width="24.42578125" style="317" customWidth="1"/>
    <col min="14" max="14" width="24.140625" style="317" customWidth="1"/>
    <col min="15" max="15" width="22.5703125" style="327" hidden="1" customWidth="1"/>
    <col min="16" max="16" width="21.5703125" style="298" hidden="1" customWidth="1"/>
    <col min="17" max="17" width="18.7109375" style="327" hidden="1" customWidth="1"/>
    <col min="18" max="18" width="23.42578125" style="298" hidden="1" customWidth="1"/>
    <col min="19" max="19" width="17.5703125" style="328" hidden="1" customWidth="1"/>
    <col min="20" max="20" width="17" style="328" hidden="1" customWidth="1"/>
    <col min="21" max="21" width="66.85546875" style="302" customWidth="1"/>
    <col min="22" max="22" width="14" style="329" customWidth="1"/>
    <col min="23" max="23" width="15.85546875" style="295" customWidth="1"/>
    <col min="24" max="26" width="9.140625" style="295"/>
    <col min="27" max="27" width="13.42578125" style="295" bestFit="1" customWidth="1"/>
    <col min="28" max="16384" width="9.140625" style="295"/>
  </cols>
  <sheetData>
    <row r="1" spans="1:32" s="282" customFormat="1" ht="27.75" customHeight="1">
      <c r="A1" s="519" t="s">
        <v>1442</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row>
    <row r="2" spans="1:32" s="282" customFormat="1" ht="27.75" customHeight="1">
      <c r="A2" s="519" t="s">
        <v>1378</v>
      </c>
      <c r="B2" s="519"/>
      <c r="C2" s="519"/>
      <c r="D2" s="519"/>
      <c r="E2" s="519"/>
      <c r="F2" s="519"/>
      <c r="G2" s="519"/>
      <c r="H2" s="519"/>
      <c r="I2" s="519"/>
      <c r="J2" s="519"/>
      <c r="K2" s="519"/>
      <c r="L2" s="519"/>
      <c r="M2" s="519"/>
      <c r="N2" s="519"/>
      <c r="O2" s="519"/>
      <c r="P2" s="519"/>
      <c r="Q2" s="519"/>
      <c r="R2" s="519"/>
      <c r="S2" s="519"/>
      <c r="T2" s="519"/>
      <c r="U2" s="519"/>
      <c r="V2" s="519"/>
      <c r="W2" s="519"/>
      <c r="X2" s="519"/>
      <c r="Y2" s="519"/>
      <c r="Z2" s="519"/>
      <c r="AA2" s="519"/>
      <c r="AB2" s="519"/>
      <c r="AC2" s="519"/>
      <c r="AD2" s="519"/>
      <c r="AE2" s="519"/>
      <c r="AF2" s="519"/>
    </row>
    <row r="3" spans="1:32" s="282" customFormat="1" ht="27.75" customHeight="1">
      <c r="A3" s="519" t="s">
        <v>1379</v>
      </c>
      <c r="B3" s="519"/>
      <c r="C3" s="519"/>
      <c r="D3" s="519"/>
      <c r="E3" s="519"/>
      <c r="F3" s="519"/>
      <c r="G3" s="519"/>
      <c r="H3" s="519"/>
      <c r="I3" s="519"/>
      <c r="J3" s="519"/>
      <c r="K3" s="519"/>
      <c r="L3" s="519"/>
      <c r="M3" s="519"/>
      <c r="N3" s="519"/>
      <c r="O3" s="519"/>
      <c r="P3" s="519"/>
      <c r="Q3" s="519"/>
      <c r="R3" s="519"/>
      <c r="S3" s="519"/>
      <c r="T3" s="519"/>
      <c r="U3" s="519"/>
      <c r="V3" s="519"/>
      <c r="W3" s="519"/>
      <c r="X3" s="519"/>
      <c r="Y3" s="519"/>
      <c r="Z3" s="519"/>
      <c r="AA3" s="519"/>
      <c r="AB3" s="519"/>
      <c r="AC3" s="519"/>
      <c r="AD3" s="519"/>
      <c r="AE3" s="519"/>
      <c r="AF3" s="519"/>
    </row>
    <row r="4" spans="1:32" s="282" customFormat="1" ht="27.75" customHeight="1">
      <c r="A4" s="519"/>
      <c r="B4" s="519"/>
      <c r="C4" s="519" t="s">
        <v>1380</v>
      </c>
      <c r="D4" s="519"/>
      <c r="E4" s="519"/>
      <c r="F4" s="519"/>
      <c r="G4" s="519" t="s">
        <v>1381</v>
      </c>
      <c r="H4" s="519"/>
      <c r="I4" s="519"/>
      <c r="J4" s="519"/>
      <c r="K4" s="519" t="s">
        <v>1382</v>
      </c>
      <c r="L4" s="519"/>
      <c r="M4" s="519"/>
      <c r="N4" s="519"/>
      <c r="O4" s="283"/>
      <c r="P4" s="283"/>
      <c r="Q4" s="283"/>
      <c r="R4" s="283"/>
      <c r="S4" s="283"/>
      <c r="T4" s="283"/>
      <c r="U4" s="519" t="s">
        <v>1383</v>
      </c>
      <c r="V4" s="519"/>
    </row>
    <row r="5" spans="1:32" s="286" customFormat="1" ht="23.25" customHeight="1">
      <c r="A5" s="520" t="s">
        <v>121</v>
      </c>
      <c r="B5" s="521" t="s">
        <v>23</v>
      </c>
      <c r="C5" s="521" t="s">
        <v>1384</v>
      </c>
      <c r="D5" s="521" t="s">
        <v>18</v>
      </c>
      <c r="E5" s="521" t="s">
        <v>1385</v>
      </c>
      <c r="F5" s="521"/>
      <c r="G5" s="521" t="s">
        <v>1386</v>
      </c>
      <c r="H5" s="521"/>
      <c r="I5" s="521" t="s">
        <v>1387</v>
      </c>
      <c r="J5" s="521"/>
      <c r="K5" s="521" t="s">
        <v>1377</v>
      </c>
      <c r="L5" s="521"/>
      <c r="M5" s="284" t="s">
        <v>15</v>
      </c>
      <c r="N5" s="284" t="s">
        <v>14</v>
      </c>
      <c r="O5" s="521" t="s">
        <v>15</v>
      </c>
      <c r="P5" s="521"/>
      <c r="Q5" s="521" t="s">
        <v>14</v>
      </c>
      <c r="R5" s="521"/>
      <c r="S5" s="284"/>
      <c r="T5" s="284"/>
      <c r="U5" s="522" t="s">
        <v>1388</v>
      </c>
      <c r="V5" s="285"/>
    </row>
    <row r="6" spans="1:32" s="286" customFormat="1" ht="65.25" customHeight="1">
      <c r="A6" s="520"/>
      <c r="B6" s="521"/>
      <c r="C6" s="521"/>
      <c r="D6" s="521"/>
      <c r="E6" s="284" t="s">
        <v>1376</v>
      </c>
      <c r="F6" s="284" t="s">
        <v>21</v>
      </c>
      <c r="G6" s="331" t="s">
        <v>1376</v>
      </c>
      <c r="H6" s="284" t="s">
        <v>21</v>
      </c>
      <c r="I6" s="284" t="s">
        <v>1376</v>
      </c>
      <c r="J6" s="284" t="s">
        <v>21</v>
      </c>
      <c r="K6" s="284" t="s">
        <v>1376</v>
      </c>
      <c r="L6" s="284" t="s">
        <v>21</v>
      </c>
      <c r="M6" s="284" t="s">
        <v>21</v>
      </c>
      <c r="N6" s="284" t="s">
        <v>21</v>
      </c>
      <c r="O6" s="287" t="s">
        <v>1376</v>
      </c>
      <c r="P6" s="284" t="s">
        <v>21</v>
      </c>
      <c r="Q6" s="287" t="s">
        <v>1376</v>
      </c>
      <c r="R6" s="284" t="s">
        <v>21</v>
      </c>
      <c r="S6" s="284"/>
      <c r="T6" s="284"/>
      <c r="U6" s="522"/>
      <c r="V6" s="285" t="s">
        <v>1389</v>
      </c>
    </row>
    <row r="7" spans="1:32" ht="38.450000000000003" customHeight="1">
      <c r="A7" s="288"/>
      <c r="B7" s="289"/>
      <c r="C7" s="290"/>
      <c r="D7" s="290"/>
      <c r="E7" s="290"/>
      <c r="F7" s="290"/>
      <c r="G7" s="332"/>
      <c r="H7" s="290">
        <f>ROUND(C7*G7,2)</f>
        <v>0</v>
      </c>
      <c r="I7" s="291"/>
      <c r="J7" s="291">
        <f>ROUND(C7*I7,2)</f>
        <v>0</v>
      </c>
      <c r="K7" s="291">
        <f>ROUND(G7+I7,2)</f>
        <v>0</v>
      </c>
      <c r="L7" s="291">
        <f>ROUND(C7*K7,2)</f>
        <v>0</v>
      </c>
      <c r="M7" s="291"/>
      <c r="N7" s="291"/>
      <c r="O7" s="292">
        <f>ROUND(K7-E7,2)</f>
        <v>0</v>
      </c>
      <c r="P7" s="290">
        <f>ROUND(O7*C7,2)</f>
        <v>0</v>
      </c>
      <c r="Q7" s="292">
        <f>ROUND(E7-K7,2)</f>
        <v>0</v>
      </c>
      <c r="R7" s="290">
        <f>ROUND(C7*Q7,2)</f>
        <v>0</v>
      </c>
      <c r="S7" s="290"/>
      <c r="T7" s="290"/>
      <c r="U7" s="293"/>
      <c r="V7" s="294"/>
    </row>
    <row r="8" spans="1:32" ht="65.25">
      <c r="A8" s="288">
        <v>1</v>
      </c>
      <c r="B8" s="289" t="s">
        <v>692</v>
      </c>
      <c r="C8" s="290" t="s">
        <v>946</v>
      </c>
      <c r="D8" s="290" t="s">
        <v>966</v>
      </c>
      <c r="E8" s="290" t="s">
        <v>853</v>
      </c>
      <c r="F8" s="290">
        <f t="shared" ref="F8:F71" si="0">ROUND(C8*E8,2)</f>
        <v>45539</v>
      </c>
      <c r="G8" s="330">
        <v>161.5</v>
      </c>
      <c r="H8" s="290">
        <f t="shared" ref="H8:H71" si="1">ROUND(C8*G8,2)</f>
        <v>20995</v>
      </c>
      <c r="I8" s="291">
        <f>'DETAILED (2)'!I20</f>
        <v>151.25000000000003</v>
      </c>
      <c r="J8" s="291">
        <f>C8*I8</f>
        <v>19662.500000000004</v>
      </c>
      <c r="K8" s="291">
        <f>G8+I8</f>
        <v>312.75</v>
      </c>
      <c r="L8" s="291">
        <f>C8*K8</f>
        <v>40657.5</v>
      </c>
      <c r="M8" s="297">
        <f t="shared" ref="M8:M71" si="2">IF(L8&gt;F8,L8-F8,0)</f>
        <v>0</v>
      </c>
      <c r="N8" s="297">
        <f t="shared" ref="N8:N71" si="3">IF(F8&gt;L8,F8-L8,0)</f>
        <v>4881.5</v>
      </c>
      <c r="O8" s="292"/>
      <c r="P8" s="290">
        <f t="shared" ref="P8:P70" si="4">ROUND(O8*C8,2)</f>
        <v>0</v>
      </c>
      <c r="Q8" s="292">
        <f t="shared" ref="Q8:Q59" si="5">ROUND(E8-K8,2)</f>
        <v>37.549999999999997</v>
      </c>
      <c r="R8" s="290">
        <f t="shared" ref="R8:R59" si="6">ROUND(C8*Q8,2)</f>
        <v>4881.5</v>
      </c>
      <c r="S8" s="290">
        <f>P8-M8</f>
        <v>0</v>
      </c>
      <c r="T8" s="290">
        <f>N8-R8</f>
        <v>0</v>
      </c>
      <c r="U8" s="293"/>
      <c r="V8" s="294">
        <v>-33.517438887184205</v>
      </c>
    </row>
    <row r="9" spans="1:32" ht="87">
      <c r="A9" s="288">
        <v>2</v>
      </c>
      <c r="B9" s="289" t="s">
        <v>693</v>
      </c>
      <c r="C9" s="290" t="s">
        <v>974</v>
      </c>
      <c r="D9" s="290" t="s">
        <v>966</v>
      </c>
      <c r="E9" s="290" t="s">
        <v>854</v>
      </c>
      <c r="F9" s="290">
        <f>ROUND(C9*E9,2)</f>
        <v>1523.2</v>
      </c>
      <c r="G9" s="333">
        <v>77.5</v>
      </c>
      <c r="H9" s="290">
        <f>ROUND(C9*G9,2)</f>
        <v>10540</v>
      </c>
      <c r="I9" s="291"/>
      <c r="J9" s="291">
        <f t="shared" ref="J9:J72" si="7">C9*I9</f>
        <v>0</v>
      </c>
      <c r="K9" s="296">
        <f t="shared" ref="K9:K72" si="8">G9+I9</f>
        <v>77.5</v>
      </c>
      <c r="L9" s="291">
        <f t="shared" ref="L9:L72" si="9">C9*K9</f>
        <v>10540</v>
      </c>
      <c r="M9" s="297">
        <f t="shared" si="2"/>
        <v>9016.7999999999993</v>
      </c>
      <c r="N9" s="297">
        <f t="shared" si="3"/>
        <v>0</v>
      </c>
      <c r="O9" s="292">
        <f t="shared" ref="O9:O57" si="10">ROUND(K9-E9,2)</f>
        <v>66.3</v>
      </c>
      <c r="P9" s="290">
        <f t="shared" si="4"/>
        <v>9016.7999999999993</v>
      </c>
      <c r="Q9" s="292">
        <f t="shared" si="5"/>
        <v>-66.3</v>
      </c>
      <c r="R9" s="290">
        <f t="shared" si="6"/>
        <v>-9016.7999999999993</v>
      </c>
      <c r="S9" s="290">
        <f t="shared" ref="S9:S72" si="11">P9-M9</f>
        <v>0</v>
      </c>
      <c r="T9" s="290">
        <f t="shared" ref="T9:T72" si="12">N9-R9</f>
        <v>9016.7999999999993</v>
      </c>
      <c r="U9" s="293" t="s">
        <v>1763</v>
      </c>
      <c r="V9" s="294">
        <v>-33.215478295030444</v>
      </c>
    </row>
    <row r="10" spans="1:32" ht="87">
      <c r="A10" s="288">
        <v>3</v>
      </c>
      <c r="B10" s="289" t="s">
        <v>694</v>
      </c>
      <c r="C10" s="290" t="s">
        <v>975</v>
      </c>
      <c r="D10" s="290" t="s">
        <v>966</v>
      </c>
      <c r="E10" s="290" t="s">
        <v>855</v>
      </c>
      <c r="F10" s="290">
        <f t="shared" si="0"/>
        <v>5032.5</v>
      </c>
      <c r="G10" s="333">
        <v>74.209999999999994</v>
      </c>
      <c r="H10" s="290">
        <f t="shared" si="1"/>
        <v>4526.8100000000004</v>
      </c>
      <c r="I10" s="291"/>
      <c r="J10" s="291">
        <f t="shared" si="7"/>
        <v>0</v>
      </c>
      <c r="K10" s="296">
        <f t="shared" si="8"/>
        <v>74.209999999999994</v>
      </c>
      <c r="L10" s="291">
        <f t="shared" si="9"/>
        <v>4526.8099999999995</v>
      </c>
      <c r="M10" s="297">
        <f t="shared" si="2"/>
        <v>0</v>
      </c>
      <c r="N10" s="297">
        <f t="shared" si="3"/>
        <v>505.69000000000051</v>
      </c>
      <c r="O10" s="292">
        <f t="shared" si="10"/>
        <v>-8.2899999999999991</v>
      </c>
      <c r="P10" s="290">
        <f t="shared" si="4"/>
        <v>-505.69</v>
      </c>
      <c r="Q10" s="292"/>
      <c r="R10" s="290">
        <f t="shared" si="6"/>
        <v>0</v>
      </c>
      <c r="S10" s="290">
        <f t="shared" si="11"/>
        <v>-505.69</v>
      </c>
      <c r="T10" s="290">
        <f t="shared" si="12"/>
        <v>505.69000000000051</v>
      </c>
      <c r="U10" s="293"/>
      <c r="V10" s="294">
        <v>-34.054054054054056</v>
      </c>
    </row>
    <row r="11" spans="1:32">
      <c r="A11" s="288">
        <v>4</v>
      </c>
      <c r="B11" s="289" t="s">
        <v>693</v>
      </c>
      <c r="C11" s="290" t="s">
        <v>976</v>
      </c>
      <c r="D11" s="290" t="s">
        <v>966</v>
      </c>
      <c r="E11" s="290" t="s">
        <v>856</v>
      </c>
      <c r="F11" s="290">
        <f t="shared" si="0"/>
        <v>1092.0999999999999</v>
      </c>
      <c r="G11" s="333">
        <v>5.84</v>
      </c>
      <c r="H11" s="290">
        <f t="shared" si="1"/>
        <v>391.28</v>
      </c>
      <c r="I11" s="291"/>
      <c r="J11" s="291">
        <f t="shared" si="7"/>
        <v>0</v>
      </c>
      <c r="K11" s="296">
        <f t="shared" si="8"/>
        <v>5.84</v>
      </c>
      <c r="L11" s="291">
        <f t="shared" si="9"/>
        <v>391.28</v>
      </c>
      <c r="M11" s="297">
        <f t="shared" si="2"/>
        <v>0</v>
      </c>
      <c r="N11" s="297">
        <f t="shared" si="3"/>
        <v>700.81999999999994</v>
      </c>
      <c r="O11" s="292">
        <f t="shared" si="10"/>
        <v>-10.46</v>
      </c>
      <c r="P11" s="290">
        <f t="shared" si="4"/>
        <v>-700.82</v>
      </c>
      <c r="Q11" s="292"/>
      <c r="R11" s="290"/>
      <c r="S11" s="290">
        <f t="shared" si="11"/>
        <v>-700.82</v>
      </c>
      <c r="T11" s="290">
        <f t="shared" si="12"/>
        <v>700.81999999999994</v>
      </c>
      <c r="U11" s="293"/>
      <c r="V11" s="294">
        <v>-33.333333333333329</v>
      </c>
    </row>
    <row r="12" spans="1:32" ht="43.5">
      <c r="A12" s="288">
        <v>5</v>
      </c>
      <c r="B12" s="289" t="s">
        <v>695</v>
      </c>
      <c r="C12" s="290" t="s">
        <v>977</v>
      </c>
      <c r="D12" s="290" t="s">
        <v>966</v>
      </c>
      <c r="E12" s="290" t="s">
        <v>857</v>
      </c>
      <c r="F12" s="290">
        <f t="shared" si="0"/>
        <v>2913.6</v>
      </c>
      <c r="G12" s="333"/>
      <c r="H12" s="290">
        <f t="shared" si="1"/>
        <v>0</v>
      </c>
      <c r="I12" s="291">
        <f>'DETAILED (2)'!I23</f>
        <v>4.8</v>
      </c>
      <c r="J12" s="291">
        <f t="shared" si="7"/>
        <v>2913.6</v>
      </c>
      <c r="K12" s="296">
        <f t="shared" si="8"/>
        <v>4.8</v>
      </c>
      <c r="L12" s="291">
        <f t="shared" si="9"/>
        <v>2913.6</v>
      </c>
      <c r="M12" s="297">
        <f t="shared" si="2"/>
        <v>0</v>
      </c>
      <c r="N12" s="297">
        <f t="shared" si="3"/>
        <v>0</v>
      </c>
      <c r="O12" s="292"/>
      <c r="P12" s="290">
        <f t="shared" si="4"/>
        <v>0</v>
      </c>
      <c r="Q12" s="292">
        <f t="shared" si="5"/>
        <v>0</v>
      </c>
      <c r="R12" s="290">
        <f t="shared" si="6"/>
        <v>0</v>
      </c>
      <c r="S12" s="290">
        <f t="shared" si="11"/>
        <v>0</v>
      </c>
      <c r="T12" s="290">
        <f t="shared" si="12"/>
        <v>0</v>
      </c>
      <c r="U12" s="293"/>
      <c r="V12" s="294">
        <v>-24.711310668171617</v>
      </c>
    </row>
    <row r="13" spans="1:32" ht="43.5">
      <c r="A13" s="288">
        <v>6</v>
      </c>
      <c r="B13" s="289" t="s">
        <v>696</v>
      </c>
      <c r="C13" s="290" t="s">
        <v>978</v>
      </c>
      <c r="D13" s="290" t="s">
        <v>966</v>
      </c>
      <c r="E13" s="290" t="s">
        <v>858</v>
      </c>
      <c r="F13" s="290">
        <f t="shared" si="0"/>
        <v>1064</v>
      </c>
      <c r="G13" s="333"/>
      <c r="H13" s="290">
        <f t="shared" si="1"/>
        <v>0</v>
      </c>
      <c r="I13" s="291">
        <f>'DETAILED (2)'!I26</f>
        <v>1.6</v>
      </c>
      <c r="J13" s="291">
        <f t="shared" si="7"/>
        <v>1064</v>
      </c>
      <c r="K13" s="296">
        <f t="shared" si="8"/>
        <v>1.6</v>
      </c>
      <c r="L13" s="291">
        <f t="shared" si="9"/>
        <v>1064</v>
      </c>
      <c r="M13" s="297">
        <f t="shared" si="2"/>
        <v>0</v>
      </c>
      <c r="N13" s="297">
        <f t="shared" si="3"/>
        <v>0</v>
      </c>
      <c r="O13" s="292"/>
      <c r="P13" s="290">
        <f t="shared" si="4"/>
        <v>0</v>
      </c>
      <c r="Q13" s="292">
        <f t="shared" si="5"/>
        <v>0</v>
      </c>
      <c r="R13" s="290">
        <f t="shared" si="6"/>
        <v>0</v>
      </c>
      <c r="S13" s="290">
        <f t="shared" si="11"/>
        <v>0</v>
      </c>
      <c r="T13" s="290">
        <f t="shared" si="12"/>
        <v>0</v>
      </c>
      <c r="U13" s="293"/>
      <c r="V13" s="294">
        <v>-24.708173408964822</v>
      </c>
    </row>
    <row r="14" spans="1:32" ht="87">
      <c r="A14" s="288">
        <v>7</v>
      </c>
      <c r="B14" s="289" t="s">
        <v>697</v>
      </c>
      <c r="C14" s="290" t="s">
        <v>979</v>
      </c>
      <c r="D14" s="290" t="s">
        <v>966</v>
      </c>
      <c r="E14" s="290" t="s">
        <v>859</v>
      </c>
      <c r="F14" s="290">
        <f t="shared" si="0"/>
        <v>149354</v>
      </c>
      <c r="G14" s="333">
        <v>6.62</v>
      </c>
      <c r="H14" s="290">
        <f t="shared" si="1"/>
        <v>18655.16</v>
      </c>
      <c r="I14" s="472">
        <f>'DETAILED (2)'!I50</f>
        <v>55.830000000000005</v>
      </c>
      <c r="J14" s="291">
        <f t="shared" si="7"/>
        <v>157328.94</v>
      </c>
      <c r="K14" s="296">
        <f t="shared" si="8"/>
        <v>62.45</v>
      </c>
      <c r="L14" s="291">
        <f t="shared" si="9"/>
        <v>175984.1</v>
      </c>
      <c r="M14" s="297">
        <f t="shared" si="2"/>
        <v>26630.100000000006</v>
      </c>
      <c r="N14" s="297">
        <f t="shared" si="3"/>
        <v>0</v>
      </c>
      <c r="O14" s="292">
        <f t="shared" ref="O14:O15" si="13">ROUND(K14-E14,2)</f>
        <v>9.4499999999999993</v>
      </c>
      <c r="P14" s="290">
        <f t="shared" si="4"/>
        <v>26630.1</v>
      </c>
      <c r="Q14" s="292"/>
      <c r="R14" s="290">
        <f t="shared" si="6"/>
        <v>0</v>
      </c>
      <c r="S14" s="290">
        <f t="shared" si="11"/>
        <v>0</v>
      </c>
      <c r="T14" s="290">
        <f t="shared" si="12"/>
        <v>0</v>
      </c>
      <c r="U14" s="293" t="s">
        <v>1764</v>
      </c>
      <c r="V14" s="294">
        <v>-28.908936333386308</v>
      </c>
    </row>
    <row r="15" spans="1:32" ht="65.25">
      <c r="A15" s="288">
        <v>8</v>
      </c>
      <c r="B15" s="289" t="s">
        <v>698</v>
      </c>
      <c r="C15" s="290" t="s">
        <v>980</v>
      </c>
      <c r="D15" s="290" t="s">
        <v>966</v>
      </c>
      <c r="E15" s="290" t="s">
        <v>860</v>
      </c>
      <c r="F15" s="290">
        <f t="shared" si="0"/>
        <v>157480</v>
      </c>
      <c r="G15" s="333">
        <v>2.92</v>
      </c>
      <c r="H15" s="290">
        <f t="shared" si="1"/>
        <v>11496.04</v>
      </c>
      <c r="I15" s="472">
        <f>'DETAILED (2)'!I66</f>
        <v>32.33</v>
      </c>
      <c r="J15" s="291">
        <f t="shared" si="7"/>
        <v>127283.20999999999</v>
      </c>
      <c r="K15" s="296">
        <f t="shared" si="8"/>
        <v>35.25</v>
      </c>
      <c r="L15" s="291">
        <f t="shared" si="9"/>
        <v>138779.25</v>
      </c>
      <c r="M15" s="297">
        <f t="shared" si="2"/>
        <v>0</v>
      </c>
      <c r="N15" s="297">
        <f t="shared" si="3"/>
        <v>18700.75</v>
      </c>
      <c r="O15" s="292">
        <f t="shared" si="13"/>
        <v>-4.75</v>
      </c>
      <c r="P15" s="290">
        <f t="shared" si="4"/>
        <v>-18700.75</v>
      </c>
      <c r="Q15" s="292"/>
      <c r="R15" s="290"/>
      <c r="S15" s="290">
        <f t="shared" si="11"/>
        <v>-18700.75</v>
      </c>
      <c r="T15" s="290">
        <f t="shared" si="12"/>
        <v>18700.75</v>
      </c>
      <c r="U15" s="293"/>
      <c r="V15" s="294">
        <v>-27.709073548718798</v>
      </c>
    </row>
    <row r="16" spans="1:32" ht="43.5">
      <c r="A16" s="288">
        <v>9</v>
      </c>
      <c r="B16" s="289" t="s">
        <v>699</v>
      </c>
      <c r="C16" s="290" t="s">
        <v>981</v>
      </c>
      <c r="D16" s="290" t="s">
        <v>966</v>
      </c>
      <c r="E16" s="290">
        <v>0.2</v>
      </c>
      <c r="F16" s="290">
        <f t="shared" si="0"/>
        <v>484.4</v>
      </c>
      <c r="G16" s="333"/>
      <c r="H16" s="290">
        <f t="shared" si="1"/>
        <v>0</v>
      </c>
      <c r="I16" s="291">
        <f>'DETAILED (2)'!I69</f>
        <v>0.2</v>
      </c>
      <c r="J16" s="291">
        <f t="shared" si="7"/>
        <v>484.40000000000003</v>
      </c>
      <c r="K16" s="296">
        <f t="shared" si="8"/>
        <v>0.2</v>
      </c>
      <c r="L16" s="291">
        <f t="shared" si="9"/>
        <v>484.40000000000003</v>
      </c>
      <c r="M16" s="297">
        <f t="shared" si="2"/>
        <v>0</v>
      </c>
      <c r="N16" s="297">
        <f t="shared" si="3"/>
        <v>0</v>
      </c>
      <c r="O16" s="292">
        <f t="shared" si="10"/>
        <v>0</v>
      </c>
      <c r="P16" s="290">
        <f t="shared" si="4"/>
        <v>0</v>
      </c>
      <c r="Q16" s="292"/>
      <c r="R16" s="290">
        <f t="shared" si="6"/>
        <v>0</v>
      </c>
      <c r="S16" s="290">
        <f t="shared" si="11"/>
        <v>0</v>
      </c>
      <c r="T16" s="290">
        <f t="shared" si="12"/>
        <v>0</v>
      </c>
      <c r="U16" s="293"/>
      <c r="V16" s="294">
        <v>-29.320166223093803</v>
      </c>
      <c r="W16" s="299"/>
    </row>
    <row r="17" spans="1:23" ht="87">
      <c r="A17" s="288">
        <v>10</v>
      </c>
      <c r="B17" s="289" t="s">
        <v>700</v>
      </c>
      <c r="C17" s="290" t="s">
        <v>982</v>
      </c>
      <c r="D17" s="290" t="s">
        <v>966</v>
      </c>
      <c r="E17" s="290" t="s">
        <v>861</v>
      </c>
      <c r="F17" s="290">
        <f t="shared" si="0"/>
        <v>273699</v>
      </c>
      <c r="G17" s="333">
        <v>35.68</v>
      </c>
      <c r="H17" s="290">
        <f t="shared" si="1"/>
        <v>149320.79999999999</v>
      </c>
      <c r="I17" s="291">
        <f>'DETAILED (2)'!I78</f>
        <v>23.280000000000005</v>
      </c>
      <c r="J17" s="291">
        <f t="shared" si="7"/>
        <v>97426.800000000017</v>
      </c>
      <c r="K17" s="296">
        <f t="shared" si="8"/>
        <v>58.960000000000008</v>
      </c>
      <c r="L17" s="291">
        <f t="shared" si="9"/>
        <v>246747.60000000003</v>
      </c>
      <c r="M17" s="297">
        <f t="shared" si="2"/>
        <v>0</v>
      </c>
      <c r="N17" s="297">
        <f t="shared" si="3"/>
        <v>26951.399999999965</v>
      </c>
      <c r="O17" s="292">
        <f t="shared" si="10"/>
        <v>-6.44</v>
      </c>
      <c r="P17" s="290">
        <f t="shared" si="4"/>
        <v>-26951.4</v>
      </c>
      <c r="Q17" s="292">
        <f t="shared" si="5"/>
        <v>6.44</v>
      </c>
      <c r="R17" s="290">
        <f t="shared" si="6"/>
        <v>26951.4</v>
      </c>
      <c r="S17" s="290">
        <f t="shared" si="11"/>
        <v>-26951.4</v>
      </c>
      <c r="T17" s="290">
        <f t="shared" si="12"/>
        <v>-3.637978807091713E-11</v>
      </c>
      <c r="U17" s="293"/>
      <c r="V17" s="294">
        <v>-28.385271836502813</v>
      </c>
      <c r="W17" s="299"/>
    </row>
    <row r="18" spans="1:23" ht="65.25">
      <c r="A18" s="288">
        <v>11</v>
      </c>
      <c r="B18" s="289" t="s">
        <v>701</v>
      </c>
      <c r="C18" s="290" t="s">
        <v>983</v>
      </c>
      <c r="D18" s="290" t="s">
        <v>967</v>
      </c>
      <c r="E18" s="290" t="s">
        <v>862</v>
      </c>
      <c r="F18" s="290">
        <f t="shared" si="0"/>
        <v>9451.7999999999993</v>
      </c>
      <c r="G18" s="333"/>
      <c r="H18" s="290">
        <f t="shared" si="1"/>
        <v>0</v>
      </c>
      <c r="I18" s="472">
        <f>'DETAILED (2)'!I86</f>
        <v>15.790000000000001</v>
      </c>
      <c r="J18" s="291">
        <f t="shared" si="7"/>
        <v>8431.86</v>
      </c>
      <c r="K18" s="296">
        <f t="shared" si="8"/>
        <v>15.790000000000001</v>
      </c>
      <c r="L18" s="291">
        <f t="shared" si="9"/>
        <v>8431.86</v>
      </c>
      <c r="M18" s="297">
        <f t="shared" si="2"/>
        <v>0</v>
      </c>
      <c r="N18" s="297">
        <f t="shared" si="3"/>
        <v>1019.9399999999987</v>
      </c>
      <c r="O18" s="292">
        <f t="shared" si="10"/>
        <v>-1.91</v>
      </c>
      <c r="P18" s="290">
        <f t="shared" si="4"/>
        <v>-1019.94</v>
      </c>
      <c r="Q18" s="292"/>
      <c r="R18" s="290">
        <f t="shared" si="6"/>
        <v>0</v>
      </c>
      <c r="S18" s="290">
        <f t="shared" si="11"/>
        <v>-1019.94</v>
      </c>
      <c r="T18" s="290">
        <f t="shared" si="12"/>
        <v>1019.9399999999987</v>
      </c>
      <c r="U18" s="293"/>
      <c r="V18" s="294">
        <v>-24.25531914893617</v>
      </c>
      <c r="W18" s="299"/>
    </row>
    <row r="19" spans="1:23" ht="130.5">
      <c r="A19" s="288">
        <v>12</v>
      </c>
      <c r="B19" s="289" t="s">
        <v>702</v>
      </c>
      <c r="C19" s="290" t="s">
        <v>984</v>
      </c>
      <c r="D19" s="290" t="s">
        <v>966</v>
      </c>
      <c r="E19" s="290" t="s">
        <v>863</v>
      </c>
      <c r="F19" s="290">
        <f t="shared" si="0"/>
        <v>65301.599999999999</v>
      </c>
      <c r="G19" s="333">
        <v>24.94</v>
      </c>
      <c r="H19" s="290">
        <f t="shared" si="1"/>
        <v>104398.84</v>
      </c>
      <c r="I19" s="291">
        <f>'DETAILED (2)'!I105</f>
        <v>14.389999999999999</v>
      </c>
      <c r="J19" s="291">
        <f t="shared" si="7"/>
        <v>60236.539999999994</v>
      </c>
      <c r="K19" s="296">
        <f>G19+I19</f>
        <v>39.33</v>
      </c>
      <c r="L19" s="291">
        <f t="shared" si="9"/>
        <v>164635.38</v>
      </c>
      <c r="M19" s="297">
        <f t="shared" si="2"/>
        <v>99333.78</v>
      </c>
      <c r="N19" s="297">
        <f t="shared" si="3"/>
        <v>0</v>
      </c>
      <c r="O19" s="292">
        <f t="shared" si="10"/>
        <v>23.73</v>
      </c>
      <c r="P19" s="290">
        <f t="shared" si="4"/>
        <v>99333.78</v>
      </c>
      <c r="Q19" s="292"/>
      <c r="R19" s="290">
        <f t="shared" si="6"/>
        <v>0</v>
      </c>
      <c r="S19" s="290">
        <f t="shared" si="11"/>
        <v>0</v>
      </c>
      <c r="T19" s="290">
        <f t="shared" si="12"/>
        <v>0</v>
      </c>
      <c r="U19" s="293" t="s">
        <v>1765</v>
      </c>
      <c r="V19" s="294">
        <v>-28.48368672916229</v>
      </c>
      <c r="W19" s="299"/>
    </row>
    <row r="20" spans="1:23" ht="108.75">
      <c r="A20" s="288">
        <v>13</v>
      </c>
      <c r="B20" s="289" t="s">
        <v>36</v>
      </c>
      <c r="C20" s="290" t="s">
        <v>985</v>
      </c>
      <c r="D20" s="290" t="s">
        <v>966</v>
      </c>
      <c r="E20" s="290" t="s">
        <v>864</v>
      </c>
      <c r="F20" s="290">
        <f t="shared" si="0"/>
        <v>136308.70000000001</v>
      </c>
      <c r="G20" s="333">
        <v>48.45</v>
      </c>
      <c r="H20" s="290">
        <f t="shared" si="1"/>
        <v>207026.85</v>
      </c>
      <c r="I20" s="291">
        <f>'DETAILED (2)'!I111</f>
        <v>0.54</v>
      </c>
      <c r="J20" s="291">
        <f t="shared" si="7"/>
        <v>2307.42</v>
      </c>
      <c r="K20" s="296">
        <f>G20+I20</f>
        <v>48.99</v>
      </c>
      <c r="L20" s="291">
        <f t="shared" si="9"/>
        <v>209334.27000000002</v>
      </c>
      <c r="M20" s="297">
        <f t="shared" si="2"/>
        <v>73025.570000000007</v>
      </c>
      <c r="N20" s="297">
        <f t="shared" si="3"/>
        <v>0</v>
      </c>
      <c r="O20" s="292">
        <f t="shared" si="10"/>
        <v>17.09</v>
      </c>
      <c r="P20" s="290">
        <f t="shared" si="4"/>
        <v>73025.570000000007</v>
      </c>
      <c r="Q20" s="292"/>
      <c r="R20" s="290">
        <f t="shared" si="6"/>
        <v>0</v>
      </c>
      <c r="S20" s="290">
        <f t="shared" si="11"/>
        <v>0</v>
      </c>
      <c r="T20" s="290">
        <f t="shared" si="12"/>
        <v>0</v>
      </c>
      <c r="U20" s="293" t="s">
        <v>1766</v>
      </c>
      <c r="V20" s="294">
        <v>-28.598164573460505</v>
      </c>
      <c r="W20" s="299"/>
    </row>
    <row r="21" spans="1:23" ht="108.75">
      <c r="A21" s="288">
        <v>14</v>
      </c>
      <c r="B21" s="289" t="s">
        <v>37</v>
      </c>
      <c r="C21" s="290" t="s">
        <v>986</v>
      </c>
      <c r="D21" s="290" t="s">
        <v>966</v>
      </c>
      <c r="E21" s="290" t="s">
        <v>865</v>
      </c>
      <c r="F21" s="290">
        <f t="shared" si="0"/>
        <v>203176</v>
      </c>
      <c r="G21" s="333">
        <v>42.85</v>
      </c>
      <c r="H21" s="290">
        <f t="shared" si="1"/>
        <v>186826</v>
      </c>
      <c r="I21" s="291">
        <f>'DETAILED (2)'!I126</f>
        <v>5.5100000000000007</v>
      </c>
      <c r="J21" s="291">
        <f t="shared" si="7"/>
        <v>24023.600000000002</v>
      </c>
      <c r="K21" s="296">
        <f t="shared" si="8"/>
        <v>48.36</v>
      </c>
      <c r="L21" s="291">
        <f t="shared" si="9"/>
        <v>210849.6</v>
      </c>
      <c r="M21" s="297">
        <f t="shared" si="2"/>
        <v>7673.6000000000058</v>
      </c>
      <c r="N21" s="297">
        <f t="shared" si="3"/>
        <v>0</v>
      </c>
      <c r="O21" s="292">
        <f t="shared" si="10"/>
        <v>1.76</v>
      </c>
      <c r="P21" s="290">
        <f t="shared" si="4"/>
        <v>7673.6</v>
      </c>
      <c r="Q21" s="292"/>
      <c r="R21" s="290">
        <f t="shared" si="6"/>
        <v>0</v>
      </c>
      <c r="S21" s="290">
        <f t="shared" si="11"/>
        <v>0</v>
      </c>
      <c r="T21" s="290">
        <f t="shared" si="12"/>
        <v>0</v>
      </c>
      <c r="U21" s="293" t="s">
        <v>1766</v>
      </c>
      <c r="V21" s="294">
        <v>-28.707729488347152</v>
      </c>
      <c r="W21" s="299"/>
    </row>
    <row r="22" spans="1:23" ht="108.75">
      <c r="A22" s="288">
        <v>15</v>
      </c>
      <c r="B22" s="289" t="s">
        <v>38</v>
      </c>
      <c r="C22" s="290" t="s">
        <v>987</v>
      </c>
      <c r="D22" s="290" t="s">
        <v>966</v>
      </c>
      <c r="E22" s="290" t="s">
        <v>866</v>
      </c>
      <c r="F22" s="290">
        <f t="shared" si="0"/>
        <v>174361.60000000001</v>
      </c>
      <c r="G22" s="333">
        <v>23.59</v>
      </c>
      <c r="H22" s="290">
        <f t="shared" si="1"/>
        <v>104928.32000000001</v>
      </c>
      <c r="I22" s="291">
        <f>'DETAILED (2)'!I154</f>
        <v>17.070000000000011</v>
      </c>
      <c r="J22" s="291">
        <f t="shared" si="7"/>
        <v>75927.360000000044</v>
      </c>
      <c r="K22" s="296">
        <f t="shared" si="8"/>
        <v>40.660000000000011</v>
      </c>
      <c r="L22" s="291">
        <f t="shared" si="9"/>
        <v>180855.68000000005</v>
      </c>
      <c r="M22" s="297">
        <f t="shared" si="2"/>
        <v>6494.0800000000454</v>
      </c>
      <c r="N22" s="297">
        <f t="shared" si="3"/>
        <v>0</v>
      </c>
      <c r="O22" s="292">
        <f t="shared" si="10"/>
        <v>1.46</v>
      </c>
      <c r="P22" s="290">
        <f t="shared" si="4"/>
        <v>6494.08</v>
      </c>
      <c r="Q22" s="292"/>
      <c r="R22" s="290">
        <f t="shared" si="6"/>
        <v>0</v>
      </c>
      <c r="S22" s="290">
        <f t="shared" si="11"/>
        <v>-4.5474735088646412E-11</v>
      </c>
      <c r="T22" s="290">
        <f t="shared" si="12"/>
        <v>0</v>
      </c>
      <c r="U22" s="293" t="s">
        <v>1766</v>
      </c>
      <c r="V22" s="294">
        <v>-28.7966831548448</v>
      </c>
      <c r="W22" s="299"/>
    </row>
    <row r="23" spans="1:23" ht="130.5">
      <c r="A23" s="300">
        <v>16</v>
      </c>
      <c r="B23" s="289" t="s">
        <v>703</v>
      </c>
      <c r="C23" s="290" t="s">
        <v>988</v>
      </c>
      <c r="D23" s="290" t="s">
        <v>967</v>
      </c>
      <c r="E23" s="290" t="s">
        <v>867</v>
      </c>
      <c r="F23" s="290">
        <f t="shared" si="0"/>
        <v>4376.3999999999996</v>
      </c>
      <c r="G23" s="333"/>
      <c r="H23" s="290">
        <f t="shared" si="1"/>
        <v>0</v>
      </c>
      <c r="I23" s="291">
        <f>'DETAILED (2)'!I158</f>
        <v>8.35</v>
      </c>
      <c r="J23" s="291">
        <f t="shared" si="7"/>
        <v>4350.3499999999995</v>
      </c>
      <c r="K23" s="296">
        <f t="shared" si="8"/>
        <v>8.35</v>
      </c>
      <c r="L23" s="291">
        <f t="shared" si="9"/>
        <v>4350.3499999999995</v>
      </c>
      <c r="M23" s="297">
        <f t="shared" si="2"/>
        <v>0</v>
      </c>
      <c r="N23" s="297">
        <f t="shared" si="3"/>
        <v>26.050000000000182</v>
      </c>
      <c r="O23" s="292">
        <f t="shared" si="10"/>
        <v>-0.05</v>
      </c>
      <c r="P23" s="290">
        <f t="shared" si="4"/>
        <v>-26.05</v>
      </c>
      <c r="Q23" s="292">
        <f t="shared" si="5"/>
        <v>0.05</v>
      </c>
      <c r="R23" s="290">
        <f t="shared" si="6"/>
        <v>26.05</v>
      </c>
      <c r="S23" s="290">
        <f t="shared" si="11"/>
        <v>-26.05</v>
      </c>
      <c r="T23" s="290">
        <f t="shared" si="12"/>
        <v>1.8118839761882555E-13</v>
      </c>
      <c r="U23" s="293"/>
      <c r="V23" s="294">
        <v>-29.324307825874623</v>
      </c>
      <c r="W23" s="299"/>
    </row>
    <row r="24" spans="1:23" ht="108.75">
      <c r="A24" s="300">
        <v>17</v>
      </c>
      <c r="B24" s="289" t="s">
        <v>704</v>
      </c>
      <c r="C24" s="290" t="s">
        <v>989</v>
      </c>
      <c r="D24" s="290" t="s">
        <v>967</v>
      </c>
      <c r="E24" s="290" t="s">
        <v>868</v>
      </c>
      <c r="F24" s="290">
        <f t="shared" si="0"/>
        <v>61384.2</v>
      </c>
      <c r="G24" s="333">
        <v>1.26</v>
      </c>
      <c r="H24" s="290">
        <f t="shared" si="1"/>
        <v>662.76</v>
      </c>
      <c r="I24" s="291">
        <f>'DETAILED (2)'!I170</f>
        <v>194.07</v>
      </c>
      <c r="J24" s="291">
        <f t="shared" si="7"/>
        <v>102080.81999999999</v>
      </c>
      <c r="K24" s="296">
        <f t="shared" si="8"/>
        <v>195.32999999999998</v>
      </c>
      <c r="L24" s="291">
        <f t="shared" si="9"/>
        <v>102743.57999999999</v>
      </c>
      <c r="M24" s="297">
        <f t="shared" si="2"/>
        <v>41359.37999999999</v>
      </c>
      <c r="N24" s="297">
        <f t="shared" si="3"/>
        <v>0</v>
      </c>
      <c r="O24" s="292"/>
      <c r="P24" s="290">
        <f t="shared" si="4"/>
        <v>0</v>
      </c>
      <c r="Q24" s="292">
        <f t="shared" si="5"/>
        <v>-78.63</v>
      </c>
      <c r="R24" s="290">
        <f t="shared" si="6"/>
        <v>-41359.379999999997</v>
      </c>
      <c r="S24" s="290">
        <f t="shared" si="11"/>
        <v>-41359.37999999999</v>
      </c>
      <c r="T24" s="290">
        <f t="shared" si="12"/>
        <v>41359.379999999997</v>
      </c>
      <c r="U24" s="293" t="s">
        <v>1767</v>
      </c>
      <c r="V24" s="294">
        <v>-29.357095851408161</v>
      </c>
      <c r="W24" s="299"/>
    </row>
    <row r="25" spans="1:23">
      <c r="A25" s="288">
        <v>18</v>
      </c>
      <c r="B25" s="289" t="s">
        <v>39</v>
      </c>
      <c r="C25" s="290" t="s">
        <v>990</v>
      </c>
      <c r="D25" s="290" t="s">
        <v>967</v>
      </c>
      <c r="E25" s="290" t="s">
        <v>869</v>
      </c>
      <c r="F25" s="290">
        <f t="shared" si="0"/>
        <v>52260</v>
      </c>
      <c r="G25" s="333">
        <v>31.69</v>
      </c>
      <c r="H25" s="290">
        <f t="shared" si="1"/>
        <v>16985.84</v>
      </c>
      <c r="I25" s="291">
        <f>'DETAILED (2)'!I191</f>
        <v>11.852849999999986</v>
      </c>
      <c r="J25" s="291">
        <f t="shared" si="7"/>
        <v>6353.1275999999925</v>
      </c>
      <c r="K25" s="296">
        <f t="shared" si="8"/>
        <v>43.542849999999987</v>
      </c>
      <c r="L25" s="291">
        <f t="shared" si="9"/>
        <v>23338.967599999993</v>
      </c>
      <c r="M25" s="297">
        <f t="shared" si="2"/>
        <v>0</v>
      </c>
      <c r="N25" s="297">
        <f t="shared" si="3"/>
        <v>28921.032400000007</v>
      </c>
      <c r="O25" s="292"/>
      <c r="P25" s="290">
        <f t="shared" si="4"/>
        <v>0</v>
      </c>
      <c r="Q25" s="292">
        <f t="shared" si="5"/>
        <v>53.96</v>
      </c>
      <c r="R25" s="290">
        <f t="shared" si="6"/>
        <v>28922.560000000001</v>
      </c>
      <c r="S25" s="290">
        <f t="shared" si="11"/>
        <v>0</v>
      </c>
      <c r="T25" s="290">
        <f t="shared" si="12"/>
        <v>-1.5275999999939813</v>
      </c>
      <c r="U25" s="293"/>
      <c r="V25" s="294">
        <v>-29.431900467382</v>
      </c>
      <c r="W25" s="299"/>
    </row>
    <row r="26" spans="1:23">
      <c r="A26" s="288">
        <v>19</v>
      </c>
      <c r="B26" s="289" t="s">
        <v>40</v>
      </c>
      <c r="C26" s="290" t="s">
        <v>991</v>
      </c>
      <c r="D26" s="290" t="s">
        <v>967</v>
      </c>
      <c r="E26" s="290" t="s">
        <v>870</v>
      </c>
      <c r="F26" s="290">
        <f t="shared" si="0"/>
        <v>42042</v>
      </c>
      <c r="G26" s="333">
        <v>34</v>
      </c>
      <c r="H26" s="290">
        <f t="shared" si="1"/>
        <v>18564</v>
      </c>
      <c r="I26" s="291">
        <f>'DETAILED (2)'!I211</f>
        <v>1.5854249999999723</v>
      </c>
      <c r="J26" s="291">
        <f t="shared" si="7"/>
        <v>865.64204999998492</v>
      </c>
      <c r="K26" s="296">
        <f t="shared" si="8"/>
        <v>35.585424999999972</v>
      </c>
      <c r="L26" s="291">
        <f t="shared" si="9"/>
        <v>19429.642049999984</v>
      </c>
      <c r="M26" s="297">
        <f t="shared" si="2"/>
        <v>0</v>
      </c>
      <c r="N26" s="297">
        <f t="shared" si="3"/>
        <v>22612.357950000016</v>
      </c>
      <c r="O26" s="292"/>
      <c r="P26" s="290">
        <f t="shared" si="4"/>
        <v>0</v>
      </c>
      <c r="Q26" s="292">
        <f t="shared" si="5"/>
        <v>41.41</v>
      </c>
      <c r="R26" s="290">
        <f t="shared" si="6"/>
        <v>22609.86</v>
      </c>
      <c r="S26" s="290">
        <f t="shared" si="11"/>
        <v>0</v>
      </c>
      <c r="T26" s="290">
        <f t="shared" si="12"/>
        <v>2.4979500000154076</v>
      </c>
      <c r="U26" s="293"/>
      <c r="V26" s="294">
        <v>-29.503815315489796</v>
      </c>
      <c r="W26" s="299"/>
    </row>
    <row r="27" spans="1:23" ht="108.75">
      <c r="A27" s="288">
        <v>20</v>
      </c>
      <c r="B27" s="289" t="s">
        <v>41</v>
      </c>
      <c r="C27" s="290" t="s">
        <v>992</v>
      </c>
      <c r="D27" s="290" t="s">
        <v>967</v>
      </c>
      <c r="E27" s="290" t="s">
        <v>871</v>
      </c>
      <c r="F27" s="290">
        <f t="shared" si="0"/>
        <v>17291.599999999999</v>
      </c>
      <c r="G27" s="333"/>
      <c r="H27" s="290">
        <f t="shared" si="1"/>
        <v>0</v>
      </c>
      <c r="I27" s="291">
        <f>'DETAILED (2)'!I225</f>
        <v>74.295899999999989</v>
      </c>
      <c r="J27" s="291">
        <f t="shared" si="7"/>
        <v>41308.520399999994</v>
      </c>
      <c r="K27" s="291">
        <f t="shared" si="8"/>
        <v>74.295899999999989</v>
      </c>
      <c r="L27" s="291">
        <f t="shared" si="9"/>
        <v>41308.520399999994</v>
      </c>
      <c r="M27" s="297">
        <f t="shared" si="2"/>
        <v>24016.920399999995</v>
      </c>
      <c r="N27" s="297">
        <f t="shared" si="3"/>
        <v>0</v>
      </c>
      <c r="O27" s="292"/>
      <c r="P27" s="290">
        <f t="shared" si="4"/>
        <v>0</v>
      </c>
      <c r="Q27" s="292">
        <f t="shared" si="5"/>
        <v>-43.2</v>
      </c>
      <c r="R27" s="290">
        <f t="shared" si="6"/>
        <v>-24019.200000000001</v>
      </c>
      <c r="S27" s="290">
        <f t="shared" si="11"/>
        <v>-24016.920399999995</v>
      </c>
      <c r="T27" s="290">
        <f t="shared" si="12"/>
        <v>24019.200000000001</v>
      </c>
      <c r="U27" s="293" t="s">
        <v>1775</v>
      </c>
      <c r="V27" s="294">
        <v>-29.573004674021814</v>
      </c>
      <c r="W27" s="299"/>
    </row>
    <row r="28" spans="1:23" ht="108.75">
      <c r="A28" s="288">
        <v>21</v>
      </c>
      <c r="B28" s="289" t="s">
        <v>705</v>
      </c>
      <c r="C28" s="290" t="s">
        <v>993</v>
      </c>
      <c r="D28" s="290" t="s">
        <v>967</v>
      </c>
      <c r="E28" s="290" t="s">
        <v>872</v>
      </c>
      <c r="F28" s="290">
        <f t="shared" si="0"/>
        <v>949</v>
      </c>
      <c r="G28" s="333">
        <v>1.89</v>
      </c>
      <c r="H28" s="290">
        <f t="shared" si="1"/>
        <v>689.85</v>
      </c>
      <c r="I28" s="291"/>
      <c r="J28" s="291">
        <f t="shared" si="7"/>
        <v>0</v>
      </c>
      <c r="K28" s="296">
        <f t="shared" si="8"/>
        <v>1.89</v>
      </c>
      <c r="L28" s="291">
        <f t="shared" si="9"/>
        <v>689.84999999999991</v>
      </c>
      <c r="M28" s="297">
        <f t="shared" si="2"/>
        <v>0</v>
      </c>
      <c r="N28" s="297">
        <f t="shared" si="3"/>
        <v>259.15000000000009</v>
      </c>
      <c r="O28" s="292"/>
      <c r="P28" s="290">
        <f t="shared" si="4"/>
        <v>0</v>
      </c>
      <c r="Q28" s="292">
        <f t="shared" si="5"/>
        <v>0.71</v>
      </c>
      <c r="R28" s="290">
        <f t="shared" si="6"/>
        <v>259.14999999999998</v>
      </c>
      <c r="S28" s="290">
        <f t="shared" si="11"/>
        <v>0</v>
      </c>
      <c r="T28" s="290">
        <f t="shared" si="12"/>
        <v>0</v>
      </c>
      <c r="U28" s="293"/>
      <c r="V28" s="294">
        <v>-29.645335389360056</v>
      </c>
      <c r="W28" s="299"/>
    </row>
    <row r="29" spans="1:23">
      <c r="A29" s="288">
        <v>22</v>
      </c>
      <c r="B29" s="289" t="s">
        <v>36</v>
      </c>
      <c r="C29" s="290" t="s">
        <v>221</v>
      </c>
      <c r="D29" s="290" t="s">
        <v>967</v>
      </c>
      <c r="E29" s="290" t="s">
        <v>873</v>
      </c>
      <c r="F29" s="290">
        <f t="shared" si="0"/>
        <v>6696</v>
      </c>
      <c r="G29" s="333">
        <v>12.29</v>
      </c>
      <c r="H29" s="290">
        <f t="shared" si="1"/>
        <v>4571.88</v>
      </c>
      <c r="I29" s="291"/>
      <c r="J29" s="291">
        <f t="shared" si="7"/>
        <v>0</v>
      </c>
      <c r="K29" s="296">
        <f t="shared" si="8"/>
        <v>12.29</v>
      </c>
      <c r="L29" s="291">
        <f t="shared" si="9"/>
        <v>4571.88</v>
      </c>
      <c r="M29" s="297">
        <f t="shared" si="2"/>
        <v>0</v>
      </c>
      <c r="N29" s="297">
        <f t="shared" si="3"/>
        <v>2124.12</v>
      </c>
      <c r="O29" s="292"/>
      <c r="P29" s="290">
        <f t="shared" si="4"/>
        <v>0</v>
      </c>
      <c r="Q29" s="292">
        <f t="shared" si="5"/>
        <v>5.71</v>
      </c>
      <c r="R29" s="290">
        <f t="shared" si="6"/>
        <v>2124.12</v>
      </c>
      <c r="S29" s="290">
        <f t="shared" si="11"/>
        <v>0</v>
      </c>
      <c r="T29" s="290">
        <f t="shared" si="12"/>
        <v>0</v>
      </c>
      <c r="U29" s="293"/>
      <c r="V29" s="294">
        <v>-29.630750605326874</v>
      </c>
      <c r="W29" s="299"/>
    </row>
    <row r="30" spans="1:23">
      <c r="A30" s="288">
        <v>23</v>
      </c>
      <c r="B30" s="289" t="s">
        <v>37</v>
      </c>
      <c r="C30" s="290" t="s">
        <v>994</v>
      </c>
      <c r="D30" s="290" t="s">
        <v>967</v>
      </c>
      <c r="E30" s="290" t="s">
        <v>874</v>
      </c>
      <c r="F30" s="290">
        <f t="shared" si="0"/>
        <v>7635.6</v>
      </c>
      <c r="G30" s="333"/>
      <c r="H30" s="290">
        <f>ROUND(C30*G30,2)</f>
        <v>0</v>
      </c>
      <c r="I30" s="291">
        <f>'DETAILED (2)'!I232</f>
        <v>10.4</v>
      </c>
      <c r="J30" s="291">
        <f t="shared" si="7"/>
        <v>3931.2000000000003</v>
      </c>
      <c r="K30" s="296">
        <f t="shared" si="8"/>
        <v>10.4</v>
      </c>
      <c r="L30" s="291">
        <f t="shared" si="9"/>
        <v>3931.2000000000003</v>
      </c>
      <c r="M30" s="297">
        <f t="shared" si="2"/>
        <v>0</v>
      </c>
      <c r="N30" s="297">
        <f t="shared" si="3"/>
        <v>3704.4</v>
      </c>
      <c r="O30" s="292"/>
      <c r="P30" s="290">
        <f>ROUND(O30*C30,2)</f>
        <v>0</v>
      </c>
      <c r="Q30" s="292">
        <f t="shared" si="5"/>
        <v>9.8000000000000007</v>
      </c>
      <c r="R30" s="290">
        <f t="shared" si="6"/>
        <v>3704.4</v>
      </c>
      <c r="S30" s="290">
        <f t="shared" si="11"/>
        <v>0</v>
      </c>
      <c r="T30" s="290">
        <f t="shared" si="12"/>
        <v>0</v>
      </c>
      <c r="U30" s="293"/>
      <c r="V30" s="294">
        <v>-29.802406774624874</v>
      </c>
      <c r="W30" s="299"/>
    </row>
    <row r="31" spans="1:23" ht="108.75">
      <c r="A31" s="288">
        <v>24</v>
      </c>
      <c r="B31" s="289" t="s">
        <v>38</v>
      </c>
      <c r="C31" s="290" t="s">
        <v>995</v>
      </c>
      <c r="D31" s="290" t="s">
        <v>967</v>
      </c>
      <c r="E31" s="290" t="s">
        <v>875</v>
      </c>
      <c r="F31" s="290">
        <f t="shared" si="0"/>
        <v>3888.5</v>
      </c>
      <c r="G31" s="333"/>
      <c r="H31" s="290">
        <f t="shared" ref="H31" si="14">ROUND(C31*G31,2)</f>
        <v>0</v>
      </c>
      <c r="I31" s="291">
        <f>'DETAILED (2)'!I236</f>
        <v>12.6</v>
      </c>
      <c r="J31" s="291">
        <f t="shared" si="7"/>
        <v>4851</v>
      </c>
      <c r="K31" s="296">
        <f t="shared" si="8"/>
        <v>12.6</v>
      </c>
      <c r="L31" s="291">
        <f t="shared" si="9"/>
        <v>4851</v>
      </c>
      <c r="M31" s="297">
        <f t="shared" si="2"/>
        <v>962.5</v>
      </c>
      <c r="N31" s="297">
        <f t="shared" si="3"/>
        <v>0</v>
      </c>
      <c r="O31" s="292"/>
      <c r="P31" s="290">
        <f t="shared" si="4"/>
        <v>0</v>
      </c>
      <c r="Q31" s="292">
        <f t="shared" si="5"/>
        <v>-2.5</v>
      </c>
      <c r="R31" s="290">
        <f t="shared" si="6"/>
        <v>-962.5</v>
      </c>
      <c r="S31" s="290">
        <f t="shared" si="11"/>
        <v>-962.5</v>
      </c>
      <c r="T31" s="290">
        <f t="shared" si="12"/>
        <v>962.5</v>
      </c>
      <c r="U31" s="293" t="s">
        <v>1775</v>
      </c>
      <c r="V31" s="294">
        <v>-29.785526699737385</v>
      </c>
      <c r="W31" s="299"/>
    </row>
    <row r="32" spans="1:23" ht="43.5">
      <c r="A32" s="288">
        <v>25</v>
      </c>
      <c r="B32" s="289" t="s">
        <v>706</v>
      </c>
      <c r="C32" s="290" t="s">
        <v>935</v>
      </c>
      <c r="D32" s="290" t="s">
        <v>966</v>
      </c>
      <c r="E32" s="290" t="s">
        <v>876</v>
      </c>
      <c r="F32" s="290">
        <f t="shared" si="0"/>
        <v>1717.8</v>
      </c>
      <c r="G32" s="333">
        <v>36.69</v>
      </c>
      <c r="H32" s="290">
        <f t="shared" si="1"/>
        <v>770.49</v>
      </c>
      <c r="I32" s="291"/>
      <c r="J32" s="291">
        <f t="shared" si="7"/>
        <v>0</v>
      </c>
      <c r="K32" s="296">
        <f t="shared" si="8"/>
        <v>36.69</v>
      </c>
      <c r="L32" s="291">
        <f t="shared" si="9"/>
        <v>770.49</v>
      </c>
      <c r="M32" s="297">
        <f t="shared" si="2"/>
        <v>0</v>
      </c>
      <c r="N32" s="297">
        <f t="shared" si="3"/>
        <v>947.31</v>
      </c>
      <c r="O32" s="292"/>
      <c r="P32" s="290">
        <f t="shared" si="4"/>
        <v>0</v>
      </c>
      <c r="Q32" s="292">
        <f t="shared" si="5"/>
        <v>45.11</v>
      </c>
      <c r="R32" s="290">
        <f t="shared" si="6"/>
        <v>947.31</v>
      </c>
      <c r="S32" s="290">
        <f t="shared" si="11"/>
        <v>0</v>
      </c>
      <c r="T32" s="290">
        <f t="shared" si="12"/>
        <v>0</v>
      </c>
      <c r="U32" s="293"/>
      <c r="V32" s="294">
        <v>-34.843313682904117</v>
      </c>
      <c r="W32" s="299"/>
    </row>
    <row r="33" spans="1:23" ht="43.5">
      <c r="A33" s="288">
        <v>26</v>
      </c>
      <c r="B33" s="289" t="s">
        <v>707</v>
      </c>
      <c r="C33" s="290" t="s">
        <v>860</v>
      </c>
      <c r="D33" s="290" t="s">
        <v>64</v>
      </c>
      <c r="E33" s="290" t="s">
        <v>877</v>
      </c>
      <c r="F33" s="290">
        <f t="shared" si="0"/>
        <v>760</v>
      </c>
      <c r="G33" s="333"/>
      <c r="H33" s="290">
        <f t="shared" si="1"/>
        <v>0</v>
      </c>
      <c r="I33" s="291"/>
      <c r="J33" s="291">
        <f t="shared" si="7"/>
        <v>0</v>
      </c>
      <c r="K33" s="296">
        <f t="shared" si="8"/>
        <v>0</v>
      </c>
      <c r="L33" s="291">
        <f t="shared" si="9"/>
        <v>0</v>
      </c>
      <c r="M33" s="297">
        <f t="shared" si="2"/>
        <v>0</v>
      </c>
      <c r="N33" s="297">
        <f t="shared" si="3"/>
        <v>760</v>
      </c>
      <c r="O33" s="292"/>
      <c r="P33" s="290">
        <f t="shared" si="4"/>
        <v>0</v>
      </c>
      <c r="Q33" s="292">
        <f t="shared" si="5"/>
        <v>19</v>
      </c>
      <c r="R33" s="290">
        <f t="shared" si="6"/>
        <v>760</v>
      </c>
      <c r="S33" s="290">
        <f t="shared" si="11"/>
        <v>0</v>
      </c>
      <c r="T33" s="290">
        <f t="shared" si="12"/>
        <v>0</v>
      </c>
      <c r="U33" s="293"/>
      <c r="V33" s="294">
        <v>-23.076923076923077</v>
      </c>
      <c r="W33" s="299"/>
    </row>
    <row r="34" spans="1:23" ht="43.5">
      <c r="A34" s="288">
        <v>27</v>
      </c>
      <c r="B34" s="289" t="s">
        <v>708</v>
      </c>
      <c r="C34" s="290" t="s">
        <v>996</v>
      </c>
      <c r="D34" s="290" t="s">
        <v>968</v>
      </c>
      <c r="E34" s="290" t="s">
        <v>878</v>
      </c>
      <c r="F34" s="290">
        <f t="shared" si="0"/>
        <v>95880</v>
      </c>
      <c r="G34" s="333"/>
      <c r="H34" s="290">
        <f t="shared" si="1"/>
        <v>0</v>
      </c>
      <c r="I34" s="291"/>
      <c r="J34" s="291">
        <f t="shared" si="7"/>
        <v>0</v>
      </c>
      <c r="K34" s="296">
        <f t="shared" si="8"/>
        <v>0</v>
      </c>
      <c r="L34" s="291">
        <f t="shared" si="9"/>
        <v>0</v>
      </c>
      <c r="M34" s="297">
        <f t="shared" si="2"/>
        <v>0</v>
      </c>
      <c r="N34" s="297">
        <f t="shared" si="3"/>
        <v>95880</v>
      </c>
      <c r="O34" s="292"/>
      <c r="P34" s="290">
        <f t="shared" si="4"/>
        <v>0</v>
      </c>
      <c r="Q34" s="292">
        <f t="shared" si="5"/>
        <v>2040</v>
      </c>
      <c r="R34" s="290">
        <f t="shared" si="6"/>
        <v>95880</v>
      </c>
      <c r="S34" s="290">
        <f t="shared" si="11"/>
        <v>0</v>
      </c>
      <c r="T34" s="290">
        <f t="shared" si="12"/>
        <v>0</v>
      </c>
      <c r="U34" s="293"/>
      <c r="V34" s="294">
        <v>-23.577235772357724</v>
      </c>
      <c r="W34" s="299"/>
    </row>
    <row r="35" spans="1:23">
      <c r="A35" s="288">
        <v>28</v>
      </c>
      <c r="B35" s="289" t="s">
        <v>709</v>
      </c>
      <c r="C35" s="290" t="s">
        <v>934</v>
      </c>
      <c r="D35" s="290" t="s">
        <v>64</v>
      </c>
      <c r="E35" s="290" t="s">
        <v>879</v>
      </c>
      <c r="F35" s="290">
        <f t="shared" si="0"/>
        <v>798</v>
      </c>
      <c r="G35" s="333"/>
      <c r="H35" s="290">
        <f t="shared" si="1"/>
        <v>0</v>
      </c>
      <c r="I35" s="291">
        <f>'DETAILED (2)'!I243</f>
        <v>102</v>
      </c>
      <c r="J35" s="291">
        <f t="shared" si="7"/>
        <v>714</v>
      </c>
      <c r="K35" s="296">
        <f t="shared" si="8"/>
        <v>102</v>
      </c>
      <c r="L35" s="291">
        <f t="shared" si="9"/>
        <v>714</v>
      </c>
      <c r="M35" s="297">
        <f t="shared" si="2"/>
        <v>0</v>
      </c>
      <c r="N35" s="297">
        <f t="shared" si="3"/>
        <v>84</v>
      </c>
      <c r="O35" s="292"/>
      <c r="P35" s="290">
        <f t="shared" si="4"/>
        <v>0</v>
      </c>
      <c r="Q35" s="292">
        <f t="shared" si="5"/>
        <v>12</v>
      </c>
      <c r="R35" s="290">
        <f t="shared" si="6"/>
        <v>84</v>
      </c>
      <c r="S35" s="290">
        <f t="shared" si="11"/>
        <v>0</v>
      </c>
      <c r="T35" s="290">
        <f t="shared" si="12"/>
        <v>0</v>
      </c>
      <c r="U35" s="293"/>
      <c r="V35" s="294">
        <v>-27.083333333333332</v>
      </c>
      <c r="W35" s="299"/>
    </row>
    <row r="36" spans="1:23">
      <c r="A36" s="288">
        <v>29</v>
      </c>
      <c r="B36" s="289" t="s">
        <v>710</v>
      </c>
      <c r="C36" s="290" t="s">
        <v>979</v>
      </c>
      <c r="D36" s="290" t="s">
        <v>966</v>
      </c>
      <c r="E36" s="290" t="s">
        <v>880</v>
      </c>
      <c r="F36" s="290">
        <f t="shared" si="0"/>
        <v>38043</v>
      </c>
      <c r="G36" s="333">
        <v>12.2</v>
      </c>
      <c r="H36" s="290">
        <f t="shared" si="1"/>
        <v>34379.599999999999</v>
      </c>
      <c r="I36" s="291"/>
      <c r="J36" s="291">
        <f t="shared" si="7"/>
        <v>0</v>
      </c>
      <c r="K36" s="296">
        <f t="shared" si="8"/>
        <v>12.2</v>
      </c>
      <c r="L36" s="291">
        <f t="shared" si="9"/>
        <v>34379.599999999999</v>
      </c>
      <c r="M36" s="297">
        <f t="shared" si="2"/>
        <v>0</v>
      </c>
      <c r="N36" s="297">
        <f t="shared" si="3"/>
        <v>3663.4000000000015</v>
      </c>
      <c r="O36" s="292"/>
      <c r="P36" s="290">
        <f t="shared" si="4"/>
        <v>0</v>
      </c>
      <c r="Q36" s="292">
        <f t="shared" si="5"/>
        <v>1.3</v>
      </c>
      <c r="R36" s="290">
        <f t="shared" si="6"/>
        <v>3663.4</v>
      </c>
      <c r="S36" s="290">
        <f t="shared" si="11"/>
        <v>0</v>
      </c>
      <c r="T36" s="290">
        <f t="shared" si="12"/>
        <v>0</v>
      </c>
      <c r="U36" s="293"/>
      <c r="V36" s="294">
        <v>-28.908936333386308</v>
      </c>
      <c r="W36" s="299"/>
    </row>
    <row r="37" spans="1:23" ht="43.5">
      <c r="A37" s="288">
        <v>30</v>
      </c>
      <c r="B37" s="289" t="s">
        <v>711</v>
      </c>
      <c r="C37" s="290" t="s">
        <v>997</v>
      </c>
      <c r="D37" s="290" t="s">
        <v>967</v>
      </c>
      <c r="E37" s="290" t="s">
        <v>881</v>
      </c>
      <c r="F37" s="290">
        <f t="shared" si="0"/>
        <v>1267.2</v>
      </c>
      <c r="G37" s="333"/>
      <c r="H37" s="290">
        <f t="shared" si="1"/>
        <v>0</v>
      </c>
      <c r="I37" s="291">
        <f>'DETAILED (2)'!I248</f>
        <v>4.32</v>
      </c>
      <c r="J37" s="291">
        <f t="shared" si="7"/>
        <v>1244.1600000000001</v>
      </c>
      <c r="K37" s="296">
        <f t="shared" si="8"/>
        <v>4.32</v>
      </c>
      <c r="L37" s="291">
        <f t="shared" si="9"/>
        <v>1244.1600000000001</v>
      </c>
      <c r="M37" s="297">
        <f t="shared" si="2"/>
        <v>0</v>
      </c>
      <c r="N37" s="297">
        <f t="shared" si="3"/>
        <v>23.039999999999964</v>
      </c>
      <c r="O37" s="292"/>
      <c r="P37" s="290">
        <f t="shared" si="4"/>
        <v>0</v>
      </c>
      <c r="Q37" s="292">
        <f t="shared" si="5"/>
        <v>0.08</v>
      </c>
      <c r="R37" s="290">
        <f t="shared" si="6"/>
        <v>23.04</v>
      </c>
      <c r="S37" s="290">
        <f t="shared" si="11"/>
        <v>0</v>
      </c>
      <c r="T37" s="290">
        <f t="shared" si="12"/>
        <v>-3.5527136788005009E-14</v>
      </c>
      <c r="U37" s="293"/>
      <c r="V37" s="294">
        <v>-32.364199995303075</v>
      </c>
      <c r="W37" s="299"/>
    </row>
    <row r="38" spans="1:23" ht="108.75">
      <c r="A38" s="288">
        <v>31</v>
      </c>
      <c r="B38" s="289" t="s">
        <v>712</v>
      </c>
      <c r="C38" s="290" t="s">
        <v>998</v>
      </c>
      <c r="D38" s="290" t="s">
        <v>967</v>
      </c>
      <c r="E38" s="290" t="s">
        <v>882</v>
      </c>
      <c r="F38" s="290">
        <f t="shared" si="0"/>
        <v>4272</v>
      </c>
      <c r="G38" s="333"/>
      <c r="H38" s="290">
        <f t="shared" si="1"/>
        <v>0</v>
      </c>
      <c r="I38" s="291">
        <f>'DETAILED (2)'!I257</f>
        <v>26.4</v>
      </c>
      <c r="J38" s="291">
        <f t="shared" si="7"/>
        <v>7048.7999999999993</v>
      </c>
      <c r="K38" s="296">
        <f t="shared" si="8"/>
        <v>26.4</v>
      </c>
      <c r="L38" s="291">
        <f t="shared" si="9"/>
        <v>7048.7999999999993</v>
      </c>
      <c r="M38" s="297">
        <f t="shared" si="2"/>
        <v>2776.7999999999993</v>
      </c>
      <c r="N38" s="297">
        <f t="shared" si="3"/>
        <v>0</v>
      </c>
      <c r="O38" s="292"/>
      <c r="P38" s="290">
        <f t="shared" si="4"/>
        <v>0</v>
      </c>
      <c r="Q38" s="292">
        <f t="shared" si="5"/>
        <v>-10.4</v>
      </c>
      <c r="R38" s="290">
        <f t="shared" si="6"/>
        <v>-2776.8</v>
      </c>
      <c r="S38" s="290">
        <f t="shared" si="11"/>
        <v>-2776.7999999999993</v>
      </c>
      <c r="T38" s="290">
        <f t="shared" si="12"/>
        <v>2776.8</v>
      </c>
      <c r="U38" s="293" t="s">
        <v>1775</v>
      </c>
      <c r="V38" s="294">
        <v>-30.891678529830468</v>
      </c>
      <c r="W38" s="299"/>
    </row>
    <row r="39" spans="1:23">
      <c r="A39" s="288">
        <v>32</v>
      </c>
      <c r="B39" s="289" t="s">
        <v>713</v>
      </c>
      <c r="C39" s="290" t="s">
        <v>999</v>
      </c>
      <c r="D39" s="290" t="s">
        <v>966</v>
      </c>
      <c r="E39" s="290" t="s">
        <v>883</v>
      </c>
      <c r="F39" s="290">
        <f t="shared" si="0"/>
        <v>19040</v>
      </c>
      <c r="G39" s="333"/>
      <c r="H39" s="290">
        <f t="shared" si="1"/>
        <v>0</v>
      </c>
      <c r="I39" s="291">
        <f>'DETAILED (2)'!I265</f>
        <v>7.96</v>
      </c>
      <c r="J39" s="291">
        <f t="shared" si="7"/>
        <v>18944.8</v>
      </c>
      <c r="K39" s="296">
        <f t="shared" si="8"/>
        <v>7.96</v>
      </c>
      <c r="L39" s="291">
        <f t="shared" si="9"/>
        <v>18944.8</v>
      </c>
      <c r="M39" s="297">
        <f t="shared" si="2"/>
        <v>0</v>
      </c>
      <c r="N39" s="297">
        <f t="shared" si="3"/>
        <v>95.200000000000728</v>
      </c>
      <c r="O39" s="292"/>
      <c r="P39" s="290">
        <f t="shared" si="4"/>
        <v>0</v>
      </c>
      <c r="Q39" s="292">
        <f t="shared" si="5"/>
        <v>0.04</v>
      </c>
      <c r="R39" s="290">
        <f t="shared" si="6"/>
        <v>95.2</v>
      </c>
      <c r="S39" s="290">
        <f t="shared" si="11"/>
        <v>0</v>
      </c>
      <c r="T39" s="290">
        <f t="shared" si="12"/>
        <v>7.2475359047530219E-13</v>
      </c>
      <c r="U39" s="293"/>
      <c r="V39" s="294">
        <v>-29.464971059892537</v>
      </c>
      <c r="W39" s="299"/>
    </row>
    <row r="40" spans="1:23" ht="130.5">
      <c r="A40" s="288">
        <v>33</v>
      </c>
      <c r="B40" s="289" t="s">
        <v>714</v>
      </c>
      <c r="C40" s="290" t="s">
        <v>1000</v>
      </c>
      <c r="D40" s="290" t="s">
        <v>967</v>
      </c>
      <c r="E40" s="290" t="s">
        <v>884</v>
      </c>
      <c r="F40" s="290">
        <f t="shared" si="0"/>
        <v>386820</v>
      </c>
      <c r="G40" s="333">
        <v>529.63</v>
      </c>
      <c r="H40" s="290">
        <f t="shared" si="1"/>
        <v>74148.2</v>
      </c>
      <c r="I40" s="472">
        <f>'DETAILED (2)'!I510</f>
        <v>2651.3499999999985</v>
      </c>
      <c r="J40" s="291">
        <f t="shared" si="7"/>
        <v>371188.99999999977</v>
      </c>
      <c r="K40" s="296">
        <f t="shared" si="8"/>
        <v>3180.9799999999987</v>
      </c>
      <c r="L40" s="291">
        <f t="shared" si="9"/>
        <v>445337.19999999984</v>
      </c>
      <c r="M40" s="297">
        <f t="shared" si="2"/>
        <v>58517.199999999837</v>
      </c>
      <c r="N40" s="297">
        <f t="shared" si="3"/>
        <v>0</v>
      </c>
      <c r="O40" s="292"/>
      <c r="P40" s="290">
        <f t="shared" si="4"/>
        <v>0</v>
      </c>
      <c r="Q40" s="292">
        <f t="shared" si="5"/>
        <v>-417.98</v>
      </c>
      <c r="R40" s="290">
        <f t="shared" si="6"/>
        <v>-58517.2</v>
      </c>
      <c r="S40" s="290">
        <f t="shared" si="11"/>
        <v>-58517.199999999837</v>
      </c>
      <c r="T40" s="290">
        <f t="shared" si="12"/>
        <v>58517.2</v>
      </c>
      <c r="U40" s="293" t="s">
        <v>1768</v>
      </c>
      <c r="V40" s="294">
        <v>-32.481311791656623</v>
      </c>
      <c r="W40" s="299"/>
    </row>
    <row r="41" spans="1:23" ht="130.5">
      <c r="A41" s="288">
        <v>34</v>
      </c>
      <c r="B41" s="289" t="s">
        <v>715</v>
      </c>
      <c r="C41" s="290" t="s">
        <v>1001</v>
      </c>
      <c r="D41" s="290" t="s">
        <v>967</v>
      </c>
      <c r="E41" s="290" t="s">
        <v>885</v>
      </c>
      <c r="F41" s="290">
        <f t="shared" si="0"/>
        <v>10195.200000000001</v>
      </c>
      <c r="G41" s="333">
        <v>57.77</v>
      </c>
      <c r="H41" s="290">
        <f t="shared" si="1"/>
        <v>8318.8799999999992</v>
      </c>
      <c r="I41" s="472">
        <f>'DETAILED (2)'!I527</f>
        <v>66.710000000000008</v>
      </c>
      <c r="J41" s="291">
        <f t="shared" si="7"/>
        <v>9606.2400000000016</v>
      </c>
      <c r="K41" s="296">
        <f t="shared" si="8"/>
        <v>124.48000000000002</v>
      </c>
      <c r="L41" s="291">
        <f t="shared" si="9"/>
        <v>17925.120000000003</v>
      </c>
      <c r="M41" s="297">
        <f t="shared" si="2"/>
        <v>7729.9200000000019</v>
      </c>
      <c r="N41" s="297">
        <f t="shared" si="3"/>
        <v>0</v>
      </c>
      <c r="O41" s="292">
        <f t="shared" si="10"/>
        <v>53.68</v>
      </c>
      <c r="P41" s="290">
        <f t="shared" si="4"/>
        <v>7729.92</v>
      </c>
      <c r="Q41" s="292"/>
      <c r="R41" s="290">
        <f t="shared" si="6"/>
        <v>0</v>
      </c>
      <c r="S41" s="290">
        <f t="shared" si="11"/>
        <v>0</v>
      </c>
      <c r="T41" s="290">
        <f t="shared" si="12"/>
        <v>0</v>
      </c>
      <c r="U41" s="293" t="s">
        <v>1769</v>
      </c>
      <c r="V41" s="294">
        <v>-32.457786116322694</v>
      </c>
      <c r="W41" s="299"/>
    </row>
    <row r="42" spans="1:23" ht="130.5">
      <c r="A42" s="288">
        <v>35</v>
      </c>
      <c r="B42" s="289" t="s">
        <v>716</v>
      </c>
      <c r="C42" s="290" t="s">
        <v>1002</v>
      </c>
      <c r="D42" s="290" t="s">
        <v>967</v>
      </c>
      <c r="E42" s="290" t="s">
        <v>886</v>
      </c>
      <c r="F42" s="290">
        <f t="shared" si="0"/>
        <v>96390</v>
      </c>
      <c r="G42" s="333">
        <v>390.03</v>
      </c>
      <c r="H42" s="290">
        <f t="shared" si="1"/>
        <v>63184.86</v>
      </c>
      <c r="I42" s="291">
        <f>'DETAILED (2)'!I632</f>
        <v>227.93999999999994</v>
      </c>
      <c r="J42" s="291">
        <f t="shared" si="7"/>
        <v>36926.279999999992</v>
      </c>
      <c r="K42" s="296">
        <f t="shared" si="8"/>
        <v>617.96999999999991</v>
      </c>
      <c r="L42" s="291">
        <f t="shared" si="9"/>
        <v>100111.13999999998</v>
      </c>
      <c r="M42" s="297">
        <f t="shared" si="2"/>
        <v>3721.1399999999849</v>
      </c>
      <c r="N42" s="297">
        <f t="shared" si="3"/>
        <v>0</v>
      </c>
      <c r="O42" s="292">
        <f t="shared" si="10"/>
        <v>22.97</v>
      </c>
      <c r="P42" s="290">
        <f t="shared" si="4"/>
        <v>3721.14</v>
      </c>
      <c r="Q42" s="292">
        <f t="shared" si="5"/>
        <v>-22.97</v>
      </c>
      <c r="R42" s="290">
        <f t="shared" si="6"/>
        <v>-3721.14</v>
      </c>
      <c r="S42" s="290">
        <f t="shared" si="11"/>
        <v>1.5006662579253316E-11</v>
      </c>
      <c r="T42" s="290">
        <f t="shared" si="12"/>
        <v>3721.14</v>
      </c>
      <c r="U42" s="293" t="s">
        <v>1770</v>
      </c>
      <c r="V42" s="294">
        <v>-32.805176490107428</v>
      </c>
      <c r="W42" s="299"/>
    </row>
    <row r="43" spans="1:23" ht="108.75">
      <c r="A43" s="288">
        <v>36</v>
      </c>
      <c r="B43" s="289" t="s">
        <v>717</v>
      </c>
      <c r="C43" s="290" t="s">
        <v>1003</v>
      </c>
      <c r="D43" s="290" t="s">
        <v>65</v>
      </c>
      <c r="E43" s="290" t="s">
        <v>887</v>
      </c>
      <c r="F43" s="290">
        <f t="shared" si="0"/>
        <v>3656.4</v>
      </c>
      <c r="G43" s="333"/>
      <c r="H43" s="290">
        <f>ROUND(C43*G43,2)</f>
        <v>0</v>
      </c>
      <c r="I43" s="291">
        <f>'DETAILED (2)'!I640</f>
        <v>98.58</v>
      </c>
      <c r="J43" s="291">
        <f t="shared" si="7"/>
        <v>4337.5199999999995</v>
      </c>
      <c r="K43" s="296">
        <f t="shared" si="8"/>
        <v>98.58</v>
      </c>
      <c r="L43" s="291">
        <f t="shared" si="9"/>
        <v>4337.5199999999995</v>
      </c>
      <c r="M43" s="297">
        <f t="shared" si="2"/>
        <v>681.11999999999944</v>
      </c>
      <c r="N43" s="297">
        <f t="shared" si="3"/>
        <v>0</v>
      </c>
      <c r="O43" s="292">
        <f t="shared" si="10"/>
        <v>15.48</v>
      </c>
      <c r="P43" s="290">
        <f t="shared" si="4"/>
        <v>681.12</v>
      </c>
      <c r="Q43" s="292"/>
      <c r="R43" s="290">
        <f t="shared" si="6"/>
        <v>0</v>
      </c>
      <c r="S43" s="290">
        <f t="shared" si="11"/>
        <v>0</v>
      </c>
      <c r="T43" s="290">
        <f t="shared" si="12"/>
        <v>0</v>
      </c>
      <c r="U43" s="293" t="s">
        <v>1775</v>
      </c>
      <c r="V43" s="294">
        <v>-34.718100890207722</v>
      </c>
      <c r="W43" s="299"/>
    </row>
    <row r="44" spans="1:23" ht="108.75">
      <c r="A44" s="288">
        <v>37</v>
      </c>
      <c r="B44" s="289" t="s">
        <v>42</v>
      </c>
      <c r="C44" s="290" t="s">
        <v>964</v>
      </c>
      <c r="D44" s="290" t="s">
        <v>65</v>
      </c>
      <c r="E44" s="290" t="s">
        <v>887</v>
      </c>
      <c r="F44" s="290">
        <f t="shared" si="0"/>
        <v>2409.9</v>
      </c>
      <c r="G44" s="333"/>
      <c r="H44" s="290">
        <f t="shared" si="1"/>
        <v>0</v>
      </c>
      <c r="I44" s="291">
        <f>'DETAILED (2)'!I653</f>
        <v>408.96</v>
      </c>
      <c r="J44" s="291">
        <f t="shared" si="7"/>
        <v>11859.84</v>
      </c>
      <c r="K44" s="296">
        <f t="shared" si="8"/>
        <v>408.96</v>
      </c>
      <c r="L44" s="291">
        <f t="shared" si="9"/>
        <v>11859.84</v>
      </c>
      <c r="M44" s="297">
        <f t="shared" si="2"/>
        <v>9449.94</v>
      </c>
      <c r="N44" s="297">
        <f t="shared" si="3"/>
        <v>0</v>
      </c>
      <c r="O44" s="292">
        <f t="shared" si="10"/>
        <v>325.86</v>
      </c>
      <c r="P44" s="290">
        <f t="shared" si="4"/>
        <v>9449.94</v>
      </c>
      <c r="Q44" s="292"/>
      <c r="R44" s="290">
        <f t="shared" si="6"/>
        <v>0</v>
      </c>
      <c r="S44" s="290">
        <f t="shared" si="11"/>
        <v>0</v>
      </c>
      <c r="T44" s="290">
        <f t="shared" si="12"/>
        <v>0</v>
      </c>
      <c r="U44" s="293" t="s">
        <v>1775</v>
      </c>
      <c r="V44" s="294">
        <v>-34.120854157201272</v>
      </c>
      <c r="W44" s="299"/>
    </row>
    <row r="45" spans="1:23" ht="108.75">
      <c r="A45" s="288">
        <v>38</v>
      </c>
      <c r="B45" s="289" t="s">
        <v>43</v>
      </c>
      <c r="C45" s="290" t="s">
        <v>935</v>
      </c>
      <c r="D45" s="290" t="s">
        <v>65</v>
      </c>
      <c r="E45" s="290" t="s">
        <v>888</v>
      </c>
      <c r="F45" s="290">
        <f t="shared" si="0"/>
        <v>2614.5</v>
      </c>
      <c r="G45" s="333"/>
      <c r="H45" s="290">
        <f t="shared" si="1"/>
        <v>0</v>
      </c>
      <c r="I45" s="291">
        <f>'DETAILED (2)'!I663</f>
        <v>239.6</v>
      </c>
      <c r="J45" s="291">
        <f t="shared" si="7"/>
        <v>5031.5999999999995</v>
      </c>
      <c r="K45" s="296">
        <f t="shared" si="8"/>
        <v>239.6</v>
      </c>
      <c r="L45" s="291">
        <f t="shared" si="9"/>
        <v>5031.5999999999995</v>
      </c>
      <c r="M45" s="297">
        <f t="shared" si="2"/>
        <v>2417.0999999999995</v>
      </c>
      <c r="N45" s="297">
        <f t="shared" si="3"/>
        <v>0</v>
      </c>
      <c r="O45" s="292">
        <f t="shared" si="10"/>
        <v>115.1</v>
      </c>
      <c r="P45" s="290">
        <f t="shared" si="4"/>
        <v>2417.1</v>
      </c>
      <c r="Q45" s="292"/>
      <c r="R45" s="290">
        <f t="shared" si="6"/>
        <v>0</v>
      </c>
      <c r="S45" s="290">
        <f t="shared" si="11"/>
        <v>0</v>
      </c>
      <c r="T45" s="290">
        <f t="shared" si="12"/>
        <v>0</v>
      </c>
      <c r="U45" s="293" t="s">
        <v>1775</v>
      </c>
      <c r="V45" s="294">
        <v>-35.995123437976225</v>
      </c>
      <c r="W45" s="299"/>
    </row>
    <row r="46" spans="1:23" ht="108.75">
      <c r="A46" s="288">
        <v>39</v>
      </c>
      <c r="B46" s="289" t="s">
        <v>718</v>
      </c>
      <c r="C46" s="290" t="s">
        <v>899</v>
      </c>
      <c r="D46" s="290" t="s">
        <v>967</v>
      </c>
      <c r="E46" s="290" t="s">
        <v>886</v>
      </c>
      <c r="F46" s="290">
        <f t="shared" si="0"/>
        <v>15470</v>
      </c>
      <c r="G46" s="333"/>
      <c r="H46" s="290">
        <f t="shared" si="1"/>
        <v>0</v>
      </c>
      <c r="I46" s="291">
        <f>'DETAILED (2)'!I697</f>
        <v>595.15999999999985</v>
      </c>
      <c r="J46" s="291">
        <f t="shared" si="7"/>
        <v>15474.159999999996</v>
      </c>
      <c r="K46" s="296">
        <f t="shared" si="8"/>
        <v>595.15999999999985</v>
      </c>
      <c r="L46" s="291">
        <f t="shared" si="9"/>
        <v>15474.159999999996</v>
      </c>
      <c r="M46" s="297">
        <f t="shared" si="2"/>
        <v>4.1599999999962165</v>
      </c>
      <c r="N46" s="297">
        <f t="shared" si="3"/>
        <v>0</v>
      </c>
      <c r="O46" s="292"/>
      <c r="P46" s="290">
        <f t="shared" si="4"/>
        <v>0</v>
      </c>
      <c r="Q46" s="292">
        <f t="shared" si="5"/>
        <v>-0.16</v>
      </c>
      <c r="R46" s="290">
        <f t="shared" si="6"/>
        <v>-4.16</v>
      </c>
      <c r="S46" s="290">
        <f t="shared" si="11"/>
        <v>-4.1599999999962165</v>
      </c>
      <c r="T46" s="290">
        <f t="shared" si="12"/>
        <v>4.16</v>
      </c>
      <c r="U46" s="293" t="s">
        <v>1775</v>
      </c>
      <c r="V46" s="294">
        <v>-32.537623248572913</v>
      </c>
      <c r="W46" s="299"/>
    </row>
    <row r="47" spans="1:23" ht="108.75">
      <c r="A47" s="288">
        <v>40</v>
      </c>
      <c r="B47" s="289" t="s">
        <v>719</v>
      </c>
      <c r="C47" s="290" t="s">
        <v>901</v>
      </c>
      <c r="D47" s="290" t="s">
        <v>968</v>
      </c>
      <c r="E47" s="290" t="s">
        <v>227</v>
      </c>
      <c r="F47" s="290">
        <f t="shared" si="0"/>
        <v>74592</v>
      </c>
      <c r="G47" s="333"/>
      <c r="H47" s="290">
        <f t="shared" si="1"/>
        <v>0</v>
      </c>
      <c r="I47" s="472">
        <f>'DETAILED (2)'!I712</f>
        <v>2771.57</v>
      </c>
      <c r="J47" s="472">
        <f t="shared" si="7"/>
        <v>116405.94</v>
      </c>
      <c r="K47" s="296">
        <f t="shared" si="8"/>
        <v>2771.57</v>
      </c>
      <c r="L47" s="291">
        <f t="shared" si="9"/>
        <v>116405.94</v>
      </c>
      <c r="M47" s="297">
        <f t="shared" si="2"/>
        <v>41813.94</v>
      </c>
      <c r="N47" s="297">
        <f t="shared" si="3"/>
        <v>0</v>
      </c>
      <c r="O47" s="292">
        <f t="shared" si="10"/>
        <v>995.57</v>
      </c>
      <c r="P47" s="290">
        <f t="shared" si="4"/>
        <v>41813.94</v>
      </c>
      <c r="Q47" s="292"/>
      <c r="R47" s="290">
        <f t="shared" si="6"/>
        <v>0</v>
      </c>
      <c r="S47" s="290">
        <f t="shared" si="11"/>
        <v>0</v>
      </c>
      <c r="T47" s="290">
        <f t="shared" si="12"/>
        <v>0</v>
      </c>
      <c r="U47" s="293" t="s">
        <v>1775</v>
      </c>
      <c r="V47" s="294">
        <v>-22.935779816513762</v>
      </c>
      <c r="W47" s="299"/>
    </row>
    <row r="48" spans="1:23" ht="43.5">
      <c r="A48" s="288">
        <v>41</v>
      </c>
      <c r="B48" s="289" t="s">
        <v>720</v>
      </c>
      <c r="C48" s="290" t="s">
        <v>1004</v>
      </c>
      <c r="D48" s="290" t="s">
        <v>967</v>
      </c>
      <c r="E48" s="290" t="s">
        <v>889</v>
      </c>
      <c r="F48" s="290">
        <f t="shared" si="0"/>
        <v>15602</v>
      </c>
      <c r="G48" s="333"/>
      <c r="H48" s="290">
        <f t="shared" si="1"/>
        <v>0</v>
      </c>
      <c r="I48" s="291">
        <f>'DETAILED (2)'!I717</f>
        <v>91.179999999999993</v>
      </c>
      <c r="J48" s="291">
        <f t="shared" si="7"/>
        <v>13221.099999999999</v>
      </c>
      <c r="K48" s="296">
        <f t="shared" si="8"/>
        <v>91.179999999999993</v>
      </c>
      <c r="L48" s="291">
        <f t="shared" si="9"/>
        <v>13221.099999999999</v>
      </c>
      <c r="M48" s="297">
        <f t="shared" si="2"/>
        <v>0</v>
      </c>
      <c r="N48" s="297">
        <f t="shared" si="3"/>
        <v>2380.9000000000015</v>
      </c>
      <c r="O48" s="292"/>
      <c r="P48" s="290">
        <f t="shared" si="4"/>
        <v>0</v>
      </c>
      <c r="Q48" s="292">
        <f t="shared" si="5"/>
        <v>16.420000000000002</v>
      </c>
      <c r="R48" s="290">
        <f t="shared" si="6"/>
        <v>2380.9</v>
      </c>
      <c r="S48" s="290">
        <f t="shared" si="11"/>
        <v>0</v>
      </c>
      <c r="T48" s="290">
        <f t="shared" si="12"/>
        <v>0</v>
      </c>
      <c r="U48" s="293"/>
      <c r="V48" s="294">
        <v>-30.711521001576912</v>
      </c>
      <c r="W48" s="299"/>
    </row>
    <row r="49" spans="1:23">
      <c r="A49" s="288">
        <v>42</v>
      </c>
      <c r="B49" s="289" t="s">
        <v>721</v>
      </c>
      <c r="C49" s="290" t="s">
        <v>1005</v>
      </c>
      <c r="D49" s="290" t="s">
        <v>967</v>
      </c>
      <c r="E49" s="290" t="s">
        <v>890</v>
      </c>
      <c r="F49" s="290">
        <f t="shared" si="0"/>
        <v>24234.799999999999</v>
      </c>
      <c r="G49" s="333"/>
      <c r="H49" s="290">
        <f t="shared" si="1"/>
        <v>0</v>
      </c>
      <c r="I49" s="291">
        <f>'DETAILED (2)'!I738</f>
        <v>248.91</v>
      </c>
      <c r="J49" s="291">
        <f t="shared" si="7"/>
        <v>21406.26</v>
      </c>
      <c r="K49" s="296">
        <f t="shared" si="8"/>
        <v>248.91</v>
      </c>
      <c r="L49" s="291">
        <f t="shared" si="9"/>
        <v>21406.26</v>
      </c>
      <c r="M49" s="297">
        <f t="shared" si="2"/>
        <v>0</v>
      </c>
      <c r="N49" s="297">
        <f t="shared" si="3"/>
        <v>2828.5400000000009</v>
      </c>
      <c r="O49" s="292"/>
      <c r="P49" s="290">
        <f t="shared" si="4"/>
        <v>0</v>
      </c>
      <c r="Q49" s="292">
        <f t="shared" si="5"/>
        <v>32.89</v>
      </c>
      <c r="R49" s="290">
        <f t="shared" si="6"/>
        <v>2828.54</v>
      </c>
      <c r="S49" s="290">
        <f t="shared" si="11"/>
        <v>0</v>
      </c>
      <c r="T49" s="290">
        <f t="shared" si="12"/>
        <v>0</v>
      </c>
      <c r="U49" s="293"/>
      <c r="V49" s="294">
        <v>-30.712213986464715</v>
      </c>
      <c r="W49" s="299"/>
    </row>
    <row r="50" spans="1:23" ht="43.5">
      <c r="A50" s="288">
        <v>43</v>
      </c>
      <c r="B50" s="289" t="s">
        <v>722</v>
      </c>
      <c r="C50" s="290" t="s">
        <v>1003</v>
      </c>
      <c r="D50" s="290" t="s">
        <v>65</v>
      </c>
      <c r="E50" s="290" t="s">
        <v>891</v>
      </c>
      <c r="F50" s="290">
        <f t="shared" si="0"/>
        <v>528</v>
      </c>
      <c r="G50" s="333"/>
      <c r="H50" s="290">
        <f t="shared" si="1"/>
        <v>0</v>
      </c>
      <c r="I50" s="291"/>
      <c r="J50" s="291">
        <f t="shared" si="7"/>
        <v>0</v>
      </c>
      <c r="K50" s="296">
        <f t="shared" si="8"/>
        <v>0</v>
      </c>
      <c r="L50" s="291">
        <f t="shared" si="9"/>
        <v>0</v>
      </c>
      <c r="M50" s="297">
        <f t="shared" si="2"/>
        <v>0</v>
      </c>
      <c r="N50" s="297">
        <f t="shared" si="3"/>
        <v>528</v>
      </c>
      <c r="O50" s="292"/>
      <c r="P50" s="290">
        <f t="shared" si="4"/>
        <v>0</v>
      </c>
      <c r="Q50" s="292">
        <f t="shared" si="5"/>
        <v>12</v>
      </c>
      <c r="R50" s="290">
        <f t="shared" si="6"/>
        <v>528</v>
      </c>
      <c r="S50" s="290">
        <f t="shared" si="11"/>
        <v>0</v>
      </c>
      <c r="T50" s="290">
        <f t="shared" si="12"/>
        <v>0</v>
      </c>
      <c r="U50" s="293"/>
      <c r="V50" s="294">
        <v>-24.137931034482758</v>
      </c>
      <c r="W50" s="299"/>
    </row>
    <row r="51" spans="1:23" ht="43.5">
      <c r="A51" s="288">
        <v>44</v>
      </c>
      <c r="B51" s="289" t="s">
        <v>723</v>
      </c>
      <c r="C51" s="290" t="s">
        <v>1006</v>
      </c>
      <c r="D51" s="290" t="s">
        <v>64</v>
      </c>
      <c r="E51" s="290" t="s">
        <v>882</v>
      </c>
      <c r="F51" s="290">
        <f t="shared" si="0"/>
        <v>1168</v>
      </c>
      <c r="G51" s="333"/>
      <c r="H51" s="290">
        <f t="shared" si="1"/>
        <v>0</v>
      </c>
      <c r="I51" s="291">
        <f>'DETAILED (2)'!I745</f>
        <v>16</v>
      </c>
      <c r="J51" s="291">
        <f t="shared" si="7"/>
        <v>1168</v>
      </c>
      <c r="K51" s="296">
        <f t="shared" si="8"/>
        <v>16</v>
      </c>
      <c r="L51" s="291">
        <f t="shared" si="9"/>
        <v>1168</v>
      </c>
      <c r="M51" s="297">
        <f t="shared" si="2"/>
        <v>0</v>
      </c>
      <c r="N51" s="297">
        <f t="shared" si="3"/>
        <v>0</v>
      </c>
      <c r="O51" s="292"/>
      <c r="P51" s="290">
        <f t="shared" si="4"/>
        <v>0</v>
      </c>
      <c r="Q51" s="292">
        <f t="shared" si="5"/>
        <v>0</v>
      </c>
      <c r="R51" s="290">
        <f t="shared" si="6"/>
        <v>0</v>
      </c>
      <c r="S51" s="290">
        <f t="shared" si="11"/>
        <v>0</v>
      </c>
      <c r="T51" s="290">
        <f t="shared" si="12"/>
        <v>0</v>
      </c>
      <c r="U51" s="293"/>
      <c r="V51" s="294">
        <v>-23.157894736842106</v>
      </c>
      <c r="W51" s="299"/>
    </row>
    <row r="52" spans="1:23">
      <c r="A52" s="288">
        <v>45</v>
      </c>
      <c r="B52" s="289" t="s">
        <v>724</v>
      </c>
      <c r="C52" s="290" t="s">
        <v>901</v>
      </c>
      <c r="D52" s="290" t="s">
        <v>64</v>
      </c>
      <c r="E52" s="290" t="s">
        <v>892</v>
      </c>
      <c r="F52" s="290">
        <f t="shared" si="0"/>
        <v>1344</v>
      </c>
      <c r="G52" s="333"/>
      <c r="H52" s="290">
        <f t="shared" si="1"/>
        <v>0</v>
      </c>
      <c r="I52" s="291">
        <f>'DETAILED (2)'!I758</f>
        <v>32</v>
      </c>
      <c r="J52" s="291">
        <f t="shared" si="7"/>
        <v>1344</v>
      </c>
      <c r="K52" s="296">
        <f t="shared" si="8"/>
        <v>32</v>
      </c>
      <c r="L52" s="291">
        <f t="shared" si="9"/>
        <v>1344</v>
      </c>
      <c r="M52" s="297">
        <f t="shared" si="2"/>
        <v>0</v>
      </c>
      <c r="N52" s="297">
        <f t="shared" si="3"/>
        <v>0</v>
      </c>
      <c r="O52" s="292">
        <f t="shared" ref="O52" si="15">ROUND(K52-E52,2)</f>
        <v>0</v>
      </c>
      <c r="P52" s="290">
        <f t="shared" si="4"/>
        <v>0</v>
      </c>
      <c r="Q52" s="292"/>
      <c r="R52" s="290"/>
      <c r="S52" s="290">
        <f t="shared" si="11"/>
        <v>0</v>
      </c>
      <c r="T52" s="290">
        <f t="shared" si="12"/>
        <v>0</v>
      </c>
      <c r="U52" s="293"/>
      <c r="V52" s="294">
        <v>-23.636363636363637</v>
      </c>
      <c r="W52" s="299"/>
    </row>
    <row r="53" spans="1:23" ht="43.5">
      <c r="A53" s="288">
        <v>46</v>
      </c>
      <c r="B53" s="289" t="s">
        <v>725</v>
      </c>
      <c r="C53" s="290" t="s">
        <v>895</v>
      </c>
      <c r="D53" s="290" t="s">
        <v>64</v>
      </c>
      <c r="E53" s="290" t="s">
        <v>209</v>
      </c>
      <c r="F53" s="290">
        <f t="shared" si="0"/>
        <v>128</v>
      </c>
      <c r="G53" s="333"/>
      <c r="H53" s="290">
        <f t="shared" si="1"/>
        <v>0</v>
      </c>
      <c r="I53" s="291">
        <f>'DETAILED (2)'!I764</f>
        <v>102</v>
      </c>
      <c r="J53" s="291">
        <f t="shared" si="7"/>
        <v>102</v>
      </c>
      <c r="K53" s="296">
        <f t="shared" si="8"/>
        <v>102</v>
      </c>
      <c r="L53" s="291">
        <f t="shared" si="9"/>
        <v>102</v>
      </c>
      <c r="M53" s="297">
        <f t="shared" si="2"/>
        <v>0</v>
      </c>
      <c r="N53" s="297">
        <f t="shared" si="3"/>
        <v>26</v>
      </c>
      <c r="O53" s="292"/>
      <c r="P53" s="290">
        <f t="shared" si="4"/>
        <v>0</v>
      </c>
      <c r="Q53" s="292">
        <f t="shared" ref="Q53" si="16">ROUND(E53-K53,2)</f>
        <v>26</v>
      </c>
      <c r="R53" s="290">
        <f t="shared" ref="R53" si="17">ROUND(C53*Q53,2)</f>
        <v>26</v>
      </c>
      <c r="S53" s="290">
        <f t="shared" si="11"/>
        <v>0</v>
      </c>
      <c r="T53" s="290">
        <f t="shared" si="12"/>
        <v>0</v>
      </c>
      <c r="U53" s="293"/>
      <c r="V53" s="294">
        <v>-33.333333333333329</v>
      </c>
      <c r="W53" s="299"/>
    </row>
    <row r="54" spans="1:23" ht="65.25">
      <c r="A54" s="288">
        <v>47</v>
      </c>
      <c r="B54" s="289" t="s">
        <v>726</v>
      </c>
      <c r="C54" s="290" t="s">
        <v>1007</v>
      </c>
      <c r="D54" s="290" t="s">
        <v>65</v>
      </c>
      <c r="E54" s="290" t="s">
        <v>893</v>
      </c>
      <c r="F54" s="290">
        <f t="shared" si="0"/>
        <v>21376</v>
      </c>
      <c r="G54" s="333"/>
      <c r="H54" s="290">
        <f t="shared" si="1"/>
        <v>0</v>
      </c>
      <c r="I54" s="291">
        <f>'DETAILED (2)'!I770</f>
        <v>71.3</v>
      </c>
      <c r="J54" s="291">
        <f t="shared" si="7"/>
        <v>11408</v>
      </c>
      <c r="K54" s="296">
        <f t="shared" si="8"/>
        <v>71.3</v>
      </c>
      <c r="L54" s="291">
        <f t="shared" si="9"/>
        <v>11408</v>
      </c>
      <c r="M54" s="297">
        <f t="shared" si="2"/>
        <v>0</v>
      </c>
      <c r="N54" s="297">
        <f t="shared" si="3"/>
        <v>9968</v>
      </c>
      <c r="O54" s="292"/>
      <c r="P54" s="290">
        <f t="shared" si="4"/>
        <v>0</v>
      </c>
      <c r="Q54" s="292">
        <f t="shared" si="5"/>
        <v>62.3</v>
      </c>
      <c r="R54" s="290">
        <f t="shared" si="6"/>
        <v>9968</v>
      </c>
      <c r="S54" s="290">
        <f t="shared" si="11"/>
        <v>0</v>
      </c>
      <c r="T54" s="290">
        <f t="shared" si="12"/>
        <v>0</v>
      </c>
      <c r="U54" s="293"/>
      <c r="V54" s="294">
        <v>-28.025191183085923</v>
      </c>
      <c r="W54" s="299"/>
    </row>
    <row r="55" spans="1:23" ht="43.5">
      <c r="A55" s="288">
        <v>48</v>
      </c>
      <c r="B55" s="289" t="s">
        <v>727</v>
      </c>
      <c r="C55" s="290" t="s">
        <v>1008</v>
      </c>
      <c r="D55" s="290" t="s">
        <v>64</v>
      </c>
      <c r="E55" s="290" t="s">
        <v>894</v>
      </c>
      <c r="F55" s="290">
        <f t="shared" si="0"/>
        <v>1190</v>
      </c>
      <c r="G55" s="333"/>
      <c r="H55" s="290">
        <f t="shared" si="1"/>
        <v>0</v>
      </c>
      <c r="I55" s="291">
        <f>'DETAILED (2)'!I773</f>
        <v>5</v>
      </c>
      <c r="J55" s="291">
        <f t="shared" si="7"/>
        <v>1190</v>
      </c>
      <c r="K55" s="296">
        <f t="shared" si="8"/>
        <v>5</v>
      </c>
      <c r="L55" s="291">
        <f t="shared" si="9"/>
        <v>1190</v>
      </c>
      <c r="M55" s="297">
        <f t="shared" si="2"/>
        <v>0</v>
      </c>
      <c r="N55" s="297">
        <f t="shared" si="3"/>
        <v>0</v>
      </c>
      <c r="O55" s="292">
        <f t="shared" si="10"/>
        <v>0</v>
      </c>
      <c r="P55" s="290">
        <f t="shared" si="4"/>
        <v>0</v>
      </c>
      <c r="Q55" s="292">
        <f t="shared" si="5"/>
        <v>0</v>
      </c>
      <c r="R55" s="290">
        <f t="shared" si="6"/>
        <v>0</v>
      </c>
      <c r="S55" s="290">
        <f t="shared" si="11"/>
        <v>0</v>
      </c>
      <c r="T55" s="290">
        <f t="shared" si="12"/>
        <v>0</v>
      </c>
      <c r="U55" s="293"/>
      <c r="V55" s="294">
        <v>-24.633458944235098</v>
      </c>
      <c r="W55" s="299"/>
    </row>
    <row r="56" spans="1:23">
      <c r="A56" s="288">
        <v>49</v>
      </c>
      <c r="B56" s="289" t="s">
        <v>728</v>
      </c>
      <c r="C56" s="290" t="s">
        <v>1009</v>
      </c>
      <c r="D56" s="290" t="s">
        <v>64</v>
      </c>
      <c r="E56" s="290" t="s">
        <v>894</v>
      </c>
      <c r="F56" s="290">
        <f t="shared" si="0"/>
        <v>2815</v>
      </c>
      <c r="G56" s="333"/>
      <c r="H56" s="290">
        <f t="shared" si="1"/>
        <v>0</v>
      </c>
      <c r="I56" s="291">
        <f>'DETAILED (2)'!I777</f>
        <v>5</v>
      </c>
      <c r="J56" s="291">
        <f t="shared" si="7"/>
        <v>2815</v>
      </c>
      <c r="K56" s="296">
        <f t="shared" si="8"/>
        <v>5</v>
      </c>
      <c r="L56" s="291">
        <f t="shared" si="9"/>
        <v>2815</v>
      </c>
      <c r="M56" s="297">
        <f t="shared" si="2"/>
        <v>0</v>
      </c>
      <c r="N56" s="297">
        <f t="shared" si="3"/>
        <v>0</v>
      </c>
      <c r="O56" s="292">
        <f t="shared" si="10"/>
        <v>0</v>
      </c>
      <c r="P56" s="290">
        <f t="shared" si="4"/>
        <v>0</v>
      </c>
      <c r="Q56" s="292"/>
      <c r="R56" s="290"/>
      <c r="S56" s="290">
        <f t="shared" si="11"/>
        <v>0</v>
      </c>
      <c r="T56" s="290">
        <f t="shared" si="12"/>
        <v>0</v>
      </c>
      <c r="U56" s="293"/>
      <c r="V56" s="294">
        <v>-28.788262079433345</v>
      </c>
      <c r="W56" s="299"/>
    </row>
    <row r="57" spans="1:23" ht="65.25">
      <c r="A57" s="288">
        <v>50</v>
      </c>
      <c r="B57" s="289" t="s">
        <v>729</v>
      </c>
      <c r="C57" s="290" t="s">
        <v>1010</v>
      </c>
      <c r="D57" s="290" t="s">
        <v>64</v>
      </c>
      <c r="E57" s="290" t="s">
        <v>895</v>
      </c>
      <c r="F57" s="290">
        <f t="shared" si="0"/>
        <v>11086</v>
      </c>
      <c r="G57" s="333"/>
      <c r="H57" s="290">
        <f t="shared" si="1"/>
        <v>0</v>
      </c>
      <c r="I57" s="291"/>
      <c r="J57" s="291">
        <f t="shared" si="7"/>
        <v>0</v>
      </c>
      <c r="K57" s="296">
        <f t="shared" si="8"/>
        <v>0</v>
      </c>
      <c r="L57" s="291">
        <f t="shared" si="9"/>
        <v>0</v>
      </c>
      <c r="M57" s="297">
        <f t="shared" si="2"/>
        <v>0</v>
      </c>
      <c r="N57" s="297">
        <f t="shared" si="3"/>
        <v>11086</v>
      </c>
      <c r="O57" s="292">
        <f t="shared" si="10"/>
        <v>-1</v>
      </c>
      <c r="P57" s="290">
        <f t="shared" si="4"/>
        <v>-11086</v>
      </c>
      <c r="Q57" s="292"/>
      <c r="R57" s="290"/>
      <c r="S57" s="290">
        <f t="shared" si="11"/>
        <v>-11086</v>
      </c>
      <c r="T57" s="290">
        <f t="shared" si="12"/>
        <v>11086</v>
      </c>
      <c r="U57" s="293"/>
      <c r="V57" s="294">
        <v>-27.81433581505468</v>
      </c>
      <c r="W57" s="299"/>
    </row>
    <row r="58" spans="1:23" ht="43.5">
      <c r="A58" s="288">
        <v>51</v>
      </c>
      <c r="B58" s="289" t="s">
        <v>730</v>
      </c>
      <c r="C58" s="290" t="s">
        <v>1011</v>
      </c>
      <c r="D58" s="290" t="s">
        <v>65</v>
      </c>
      <c r="E58" s="290" t="s">
        <v>896</v>
      </c>
      <c r="F58" s="290">
        <f t="shared" si="0"/>
        <v>20489.599999999999</v>
      </c>
      <c r="G58" s="333"/>
      <c r="H58" s="290">
        <f t="shared" si="1"/>
        <v>0</v>
      </c>
      <c r="I58" s="472">
        <f>'DETAILED (2)'!I784</f>
        <v>74</v>
      </c>
      <c r="J58" s="291">
        <f t="shared" si="7"/>
        <v>11248</v>
      </c>
      <c r="K58" s="296">
        <f t="shared" si="8"/>
        <v>74</v>
      </c>
      <c r="L58" s="291">
        <f t="shared" si="9"/>
        <v>11248</v>
      </c>
      <c r="M58" s="297">
        <f t="shared" si="2"/>
        <v>0</v>
      </c>
      <c r="N58" s="297">
        <f t="shared" si="3"/>
        <v>9241.5999999999985</v>
      </c>
      <c r="O58" s="292"/>
      <c r="P58" s="290">
        <f t="shared" si="4"/>
        <v>0</v>
      </c>
      <c r="Q58" s="292">
        <f t="shared" si="5"/>
        <v>60.8</v>
      </c>
      <c r="R58" s="290">
        <f t="shared" si="6"/>
        <v>9241.6</v>
      </c>
      <c r="S58" s="290">
        <f t="shared" si="11"/>
        <v>0</v>
      </c>
      <c r="T58" s="290">
        <f t="shared" si="12"/>
        <v>0</v>
      </c>
      <c r="U58" s="293"/>
      <c r="V58" s="294">
        <v>-31.623931623931629</v>
      </c>
      <c r="W58" s="299"/>
    </row>
    <row r="59" spans="1:23">
      <c r="A59" s="288">
        <v>52</v>
      </c>
      <c r="B59" s="289" t="s">
        <v>50</v>
      </c>
      <c r="C59" s="290" t="s">
        <v>1000</v>
      </c>
      <c r="D59" s="290" t="s">
        <v>65</v>
      </c>
      <c r="E59" s="290" t="s">
        <v>208</v>
      </c>
      <c r="F59" s="290">
        <f t="shared" si="0"/>
        <v>25620</v>
      </c>
      <c r="G59" s="333"/>
      <c r="H59" s="290">
        <f t="shared" si="1"/>
        <v>0</v>
      </c>
      <c r="I59" s="291">
        <f>'DETAILED (2)'!I795</f>
        <v>150</v>
      </c>
      <c r="J59" s="291">
        <f t="shared" si="7"/>
        <v>21000</v>
      </c>
      <c r="K59" s="296">
        <f t="shared" si="8"/>
        <v>150</v>
      </c>
      <c r="L59" s="291">
        <f t="shared" si="9"/>
        <v>21000</v>
      </c>
      <c r="M59" s="297">
        <f t="shared" si="2"/>
        <v>0</v>
      </c>
      <c r="N59" s="297">
        <f t="shared" si="3"/>
        <v>4620</v>
      </c>
      <c r="O59" s="292"/>
      <c r="P59" s="290">
        <f t="shared" si="4"/>
        <v>0</v>
      </c>
      <c r="Q59" s="292">
        <f t="shared" si="5"/>
        <v>33</v>
      </c>
      <c r="R59" s="290">
        <f t="shared" si="6"/>
        <v>4620</v>
      </c>
      <c r="S59" s="290">
        <f t="shared" si="11"/>
        <v>0</v>
      </c>
      <c r="T59" s="290">
        <f t="shared" si="12"/>
        <v>0</v>
      </c>
      <c r="U59" s="293"/>
      <c r="V59" s="294">
        <v>-31.886737374720248</v>
      </c>
      <c r="W59" s="299"/>
    </row>
    <row r="60" spans="1:23" ht="65.25">
      <c r="A60" s="288">
        <v>53</v>
      </c>
      <c r="B60" s="289" t="s">
        <v>731</v>
      </c>
      <c r="C60" s="290" t="s">
        <v>1012</v>
      </c>
      <c r="D60" s="290" t="s">
        <v>65</v>
      </c>
      <c r="E60" s="290" t="s">
        <v>897</v>
      </c>
      <c r="F60" s="290">
        <f t="shared" si="0"/>
        <v>4728</v>
      </c>
      <c r="G60" s="337"/>
      <c r="H60" s="290">
        <f t="shared" si="1"/>
        <v>0</v>
      </c>
      <c r="I60" s="291">
        <f>'DETAILED (2)'!I799</f>
        <v>6</v>
      </c>
      <c r="J60" s="291">
        <f t="shared" si="7"/>
        <v>1182</v>
      </c>
      <c r="K60" s="296">
        <f t="shared" si="8"/>
        <v>6</v>
      </c>
      <c r="L60" s="291">
        <f t="shared" si="9"/>
        <v>1182</v>
      </c>
      <c r="M60" s="297">
        <f t="shared" si="2"/>
        <v>0</v>
      </c>
      <c r="N60" s="297">
        <f t="shared" si="3"/>
        <v>3546</v>
      </c>
      <c r="O60" s="292">
        <f t="shared" ref="O60" si="18">ROUND(K60-E60,2)</f>
        <v>-18</v>
      </c>
      <c r="P60" s="290">
        <f t="shared" si="4"/>
        <v>-3546</v>
      </c>
      <c r="Q60" s="292"/>
      <c r="R60" s="290"/>
      <c r="S60" s="290">
        <f t="shared" si="11"/>
        <v>-3546</v>
      </c>
      <c r="T60" s="290">
        <f t="shared" si="12"/>
        <v>3546</v>
      </c>
      <c r="U60" s="293"/>
      <c r="V60" s="294">
        <v>-29.928149676317844</v>
      </c>
      <c r="W60" s="299"/>
    </row>
    <row r="61" spans="1:23">
      <c r="A61" s="288">
        <v>54</v>
      </c>
      <c r="B61" s="289" t="s">
        <v>732</v>
      </c>
      <c r="C61" s="290" t="s">
        <v>1013</v>
      </c>
      <c r="D61" s="290" t="s">
        <v>64</v>
      </c>
      <c r="E61" s="290" t="s">
        <v>883</v>
      </c>
      <c r="F61" s="290">
        <f t="shared" si="0"/>
        <v>184</v>
      </c>
      <c r="G61" s="337"/>
      <c r="H61" s="290">
        <f t="shared" si="1"/>
        <v>0</v>
      </c>
      <c r="I61" s="291">
        <f>'DETAILED (2)'!I803</f>
        <v>8</v>
      </c>
      <c r="J61" s="291">
        <f t="shared" si="7"/>
        <v>184</v>
      </c>
      <c r="K61" s="296">
        <f t="shared" si="8"/>
        <v>8</v>
      </c>
      <c r="L61" s="291">
        <f t="shared" si="9"/>
        <v>184</v>
      </c>
      <c r="M61" s="297">
        <f t="shared" si="2"/>
        <v>0</v>
      </c>
      <c r="N61" s="297">
        <f t="shared" si="3"/>
        <v>0</v>
      </c>
      <c r="O61" s="292"/>
      <c r="P61" s="290">
        <f t="shared" si="4"/>
        <v>0</v>
      </c>
      <c r="Q61" s="292">
        <f t="shared" ref="Q61:Q63" si="19">ROUND(E61-K61,2)</f>
        <v>0</v>
      </c>
      <c r="R61" s="290">
        <f t="shared" ref="R61:R72" si="20">ROUND(C61*Q61,2)</f>
        <v>0</v>
      </c>
      <c r="S61" s="290">
        <f t="shared" si="11"/>
        <v>0</v>
      </c>
      <c r="T61" s="290">
        <f t="shared" si="12"/>
        <v>0</v>
      </c>
      <c r="U61" s="293"/>
      <c r="V61" s="294">
        <v>-23.333333333333332</v>
      </c>
      <c r="W61" s="299"/>
    </row>
    <row r="62" spans="1:23" ht="108.75">
      <c r="A62" s="288">
        <v>55</v>
      </c>
      <c r="B62" s="289" t="s">
        <v>733</v>
      </c>
      <c r="C62" s="290" t="s">
        <v>1014</v>
      </c>
      <c r="D62" s="290" t="s">
        <v>64</v>
      </c>
      <c r="E62" s="290" t="s">
        <v>898</v>
      </c>
      <c r="F62" s="290">
        <f t="shared" si="0"/>
        <v>10359</v>
      </c>
      <c r="G62" s="333"/>
      <c r="H62" s="290">
        <f t="shared" si="1"/>
        <v>0</v>
      </c>
      <c r="I62" s="291">
        <f>'DETAILED (2)'!I806</f>
        <v>13</v>
      </c>
      <c r="J62" s="291">
        <f t="shared" si="7"/>
        <v>14963</v>
      </c>
      <c r="K62" s="296">
        <f t="shared" si="8"/>
        <v>13</v>
      </c>
      <c r="L62" s="291">
        <f t="shared" si="9"/>
        <v>14963</v>
      </c>
      <c r="M62" s="297">
        <f t="shared" si="2"/>
        <v>4604</v>
      </c>
      <c r="N62" s="297">
        <f t="shared" si="3"/>
        <v>0</v>
      </c>
      <c r="O62" s="292"/>
      <c r="P62" s="290">
        <f t="shared" si="4"/>
        <v>0</v>
      </c>
      <c r="Q62" s="292">
        <f t="shared" si="19"/>
        <v>-4</v>
      </c>
      <c r="R62" s="290">
        <f t="shared" si="20"/>
        <v>-4604</v>
      </c>
      <c r="S62" s="290">
        <f t="shared" si="11"/>
        <v>-4604</v>
      </c>
      <c r="T62" s="290">
        <f t="shared" si="12"/>
        <v>4604</v>
      </c>
      <c r="U62" s="293" t="s">
        <v>1775</v>
      </c>
      <c r="V62" s="294">
        <v>-32.601770740619287</v>
      </c>
      <c r="W62" s="299"/>
    </row>
    <row r="63" spans="1:23" ht="43.5">
      <c r="A63" s="288">
        <v>56</v>
      </c>
      <c r="B63" s="289" t="s">
        <v>734</v>
      </c>
      <c r="C63" s="290" t="s">
        <v>1015</v>
      </c>
      <c r="D63" s="290" t="s">
        <v>64</v>
      </c>
      <c r="E63" s="290" t="s">
        <v>899</v>
      </c>
      <c r="F63" s="290">
        <f t="shared" si="0"/>
        <v>2704</v>
      </c>
      <c r="G63" s="333"/>
      <c r="H63" s="290">
        <f t="shared" si="1"/>
        <v>0</v>
      </c>
      <c r="I63" s="291">
        <f>'DETAILED (2)'!I814</f>
        <v>26</v>
      </c>
      <c r="J63" s="291">
        <f t="shared" si="7"/>
        <v>2704</v>
      </c>
      <c r="K63" s="296">
        <f t="shared" si="8"/>
        <v>26</v>
      </c>
      <c r="L63" s="291">
        <f t="shared" si="9"/>
        <v>2704</v>
      </c>
      <c r="M63" s="297">
        <f t="shared" si="2"/>
        <v>0</v>
      </c>
      <c r="N63" s="297">
        <f t="shared" si="3"/>
        <v>0</v>
      </c>
      <c r="O63" s="292"/>
      <c r="P63" s="290">
        <f t="shared" si="4"/>
        <v>0</v>
      </c>
      <c r="Q63" s="292">
        <f t="shared" si="19"/>
        <v>0</v>
      </c>
      <c r="R63" s="290">
        <f t="shared" si="20"/>
        <v>0</v>
      </c>
      <c r="S63" s="290">
        <f t="shared" si="11"/>
        <v>0</v>
      </c>
      <c r="T63" s="290">
        <f t="shared" si="12"/>
        <v>0</v>
      </c>
      <c r="U63" s="293"/>
      <c r="V63" s="294">
        <v>-23.920994879297726</v>
      </c>
      <c r="W63" s="299"/>
    </row>
    <row r="64" spans="1:23" ht="65.25">
      <c r="A64" s="288">
        <v>57</v>
      </c>
      <c r="B64" s="289" t="s">
        <v>735</v>
      </c>
      <c r="C64" s="290" t="s">
        <v>1016</v>
      </c>
      <c r="D64" s="290" t="s">
        <v>65</v>
      </c>
      <c r="E64" s="290" t="s">
        <v>882</v>
      </c>
      <c r="F64" s="290">
        <f t="shared" si="0"/>
        <v>2464</v>
      </c>
      <c r="G64" s="337"/>
      <c r="H64" s="290">
        <f t="shared" si="1"/>
        <v>0</v>
      </c>
      <c r="I64" s="291">
        <f>'DETAILED (2)'!I818</f>
        <v>10</v>
      </c>
      <c r="J64" s="291">
        <f t="shared" si="7"/>
        <v>1540</v>
      </c>
      <c r="K64" s="296">
        <f t="shared" si="8"/>
        <v>10</v>
      </c>
      <c r="L64" s="291">
        <f t="shared" si="9"/>
        <v>1540</v>
      </c>
      <c r="M64" s="297">
        <f t="shared" si="2"/>
        <v>0</v>
      </c>
      <c r="N64" s="297">
        <f t="shared" si="3"/>
        <v>924</v>
      </c>
      <c r="O64" s="292">
        <f t="shared" ref="O64" si="21">ROUND(K64-E64,2)</f>
        <v>-6</v>
      </c>
      <c r="P64" s="290">
        <f t="shared" si="4"/>
        <v>-924</v>
      </c>
      <c r="Q64" s="292"/>
      <c r="R64" s="290">
        <f t="shared" si="20"/>
        <v>0</v>
      </c>
      <c r="S64" s="290">
        <f t="shared" si="11"/>
        <v>-924</v>
      </c>
      <c r="T64" s="290">
        <f t="shared" si="12"/>
        <v>924</v>
      </c>
      <c r="U64" s="293"/>
      <c r="V64" s="294">
        <v>-29.834153453617638</v>
      </c>
      <c r="W64" s="299"/>
    </row>
    <row r="65" spans="1:23" ht="43.5">
      <c r="A65" s="288">
        <v>58</v>
      </c>
      <c r="B65" s="289" t="s">
        <v>736</v>
      </c>
      <c r="C65" s="290" t="s">
        <v>1017</v>
      </c>
      <c r="D65" s="290" t="s">
        <v>64</v>
      </c>
      <c r="E65" s="290" t="s">
        <v>900</v>
      </c>
      <c r="F65" s="290">
        <f t="shared" si="0"/>
        <v>3724</v>
      </c>
      <c r="G65" s="333"/>
      <c r="H65" s="290">
        <f t="shared" si="1"/>
        <v>0</v>
      </c>
      <c r="I65" s="291">
        <f>'DETAILED (2)'!I839</f>
        <v>20</v>
      </c>
      <c r="J65" s="291">
        <f t="shared" si="7"/>
        <v>1960</v>
      </c>
      <c r="K65" s="296">
        <f t="shared" si="8"/>
        <v>20</v>
      </c>
      <c r="L65" s="291">
        <f t="shared" si="9"/>
        <v>1960</v>
      </c>
      <c r="M65" s="297">
        <f t="shared" si="2"/>
        <v>0</v>
      </c>
      <c r="N65" s="297">
        <f t="shared" si="3"/>
        <v>1764</v>
      </c>
      <c r="O65" s="292"/>
      <c r="P65" s="290">
        <f t="shared" si="4"/>
        <v>0</v>
      </c>
      <c r="Q65" s="292">
        <f t="shared" ref="Q65:Q72" si="22">ROUND(E65-K65,2)</f>
        <v>18</v>
      </c>
      <c r="R65" s="290">
        <f t="shared" si="20"/>
        <v>1764</v>
      </c>
      <c r="S65" s="290">
        <f t="shared" si="11"/>
        <v>0</v>
      </c>
      <c r="T65" s="290">
        <f t="shared" si="12"/>
        <v>0</v>
      </c>
      <c r="U65" s="293"/>
      <c r="V65" s="294">
        <v>-24.031007751937985</v>
      </c>
      <c r="W65" s="299"/>
    </row>
    <row r="66" spans="1:23">
      <c r="A66" s="288">
        <v>59</v>
      </c>
      <c r="B66" s="289" t="s">
        <v>737</v>
      </c>
      <c r="C66" s="290" t="s">
        <v>899</v>
      </c>
      <c r="D66" s="290" t="s">
        <v>64</v>
      </c>
      <c r="E66" s="290" t="s">
        <v>901</v>
      </c>
      <c r="F66" s="290">
        <f t="shared" si="0"/>
        <v>1092</v>
      </c>
      <c r="G66" s="333"/>
      <c r="H66" s="290">
        <f t="shared" si="1"/>
        <v>0</v>
      </c>
      <c r="I66" s="291">
        <f>'DETAILED (2)'!I865</f>
        <v>37</v>
      </c>
      <c r="J66" s="291">
        <f t="shared" si="7"/>
        <v>962</v>
      </c>
      <c r="K66" s="296">
        <f t="shared" si="8"/>
        <v>37</v>
      </c>
      <c r="L66" s="291">
        <f t="shared" si="9"/>
        <v>962</v>
      </c>
      <c r="M66" s="297">
        <f t="shared" si="2"/>
        <v>0</v>
      </c>
      <c r="N66" s="297">
        <f t="shared" si="3"/>
        <v>130</v>
      </c>
      <c r="O66" s="292"/>
      <c r="P66" s="290">
        <f t="shared" si="4"/>
        <v>0</v>
      </c>
      <c r="Q66" s="292">
        <f t="shared" si="22"/>
        <v>5</v>
      </c>
      <c r="R66" s="290">
        <f t="shared" si="20"/>
        <v>130</v>
      </c>
      <c r="S66" s="290">
        <f t="shared" si="11"/>
        <v>0</v>
      </c>
      <c r="T66" s="290">
        <f t="shared" si="12"/>
        <v>0</v>
      </c>
      <c r="U66" s="293"/>
      <c r="V66" s="294">
        <v>-23.303834808259584</v>
      </c>
      <c r="W66" s="299"/>
    </row>
    <row r="67" spans="1:23">
      <c r="A67" s="288">
        <v>60</v>
      </c>
      <c r="B67" s="289" t="s">
        <v>738</v>
      </c>
      <c r="C67" s="290" t="s">
        <v>1018</v>
      </c>
      <c r="D67" s="290" t="s">
        <v>64</v>
      </c>
      <c r="E67" s="290" t="s">
        <v>901</v>
      </c>
      <c r="F67" s="290">
        <f t="shared" si="0"/>
        <v>12978</v>
      </c>
      <c r="G67" s="333"/>
      <c r="H67" s="290">
        <f t="shared" si="1"/>
        <v>0</v>
      </c>
      <c r="I67" s="291">
        <f>'DETAILED (2)'!I889</f>
        <v>30</v>
      </c>
      <c r="J67" s="291">
        <f t="shared" si="7"/>
        <v>9270</v>
      </c>
      <c r="K67" s="296">
        <f t="shared" si="8"/>
        <v>30</v>
      </c>
      <c r="L67" s="291">
        <f t="shared" si="9"/>
        <v>9270</v>
      </c>
      <c r="M67" s="297">
        <f t="shared" si="2"/>
        <v>0</v>
      </c>
      <c r="N67" s="297">
        <f t="shared" si="3"/>
        <v>3708</v>
      </c>
      <c r="O67" s="292">
        <f t="shared" ref="O67:O69" si="23">ROUND(K67-E67,2)</f>
        <v>-12</v>
      </c>
      <c r="P67" s="290">
        <f t="shared" si="4"/>
        <v>-3708</v>
      </c>
      <c r="Q67" s="292">
        <f t="shared" si="22"/>
        <v>12</v>
      </c>
      <c r="R67" s="290">
        <f t="shared" si="20"/>
        <v>3708</v>
      </c>
      <c r="S67" s="290">
        <f t="shared" si="11"/>
        <v>-3708</v>
      </c>
      <c r="T67" s="290">
        <f t="shared" si="12"/>
        <v>0</v>
      </c>
      <c r="U67" s="293"/>
      <c r="V67" s="294">
        <v>-33.832976445396149</v>
      </c>
      <c r="W67" s="299"/>
    </row>
    <row r="68" spans="1:23">
      <c r="A68" s="288">
        <v>61</v>
      </c>
      <c r="B68" s="289" t="s">
        <v>739</v>
      </c>
      <c r="C68" s="290" t="s">
        <v>963</v>
      </c>
      <c r="D68" s="290" t="s">
        <v>65</v>
      </c>
      <c r="E68" s="290" t="s">
        <v>902</v>
      </c>
      <c r="F68" s="290">
        <f t="shared" si="0"/>
        <v>450</v>
      </c>
      <c r="G68" s="333"/>
      <c r="H68" s="290">
        <f t="shared" si="1"/>
        <v>0</v>
      </c>
      <c r="I68" s="291">
        <f>'DETAILED (2)'!I891</f>
        <v>30</v>
      </c>
      <c r="J68" s="291">
        <f t="shared" si="7"/>
        <v>450</v>
      </c>
      <c r="K68" s="296">
        <f t="shared" si="8"/>
        <v>30</v>
      </c>
      <c r="L68" s="291">
        <f t="shared" si="9"/>
        <v>450</v>
      </c>
      <c r="M68" s="297">
        <f t="shared" si="2"/>
        <v>0</v>
      </c>
      <c r="N68" s="297">
        <f t="shared" si="3"/>
        <v>0</v>
      </c>
      <c r="O68" s="292">
        <f t="shared" si="23"/>
        <v>0</v>
      </c>
      <c r="P68" s="290">
        <f t="shared" si="4"/>
        <v>0</v>
      </c>
      <c r="Q68" s="292">
        <f t="shared" si="22"/>
        <v>0</v>
      </c>
      <c r="R68" s="290">
        <f t="shared" si="20"/>
        <v>0</v>
      </c>
      <c r="S68" s="290">
        <f t="shared" si="11"/>
        <v>0</v>
      </c>
      <c r="T68" s="290">
        <f t="shared" si="12"/>
        <v>0</v>
      </c>
      <c r="U68" s="293"/>
      <c r="V68" s="294">
        <v>-28.571428571428569</v>
      </c>
      <c r="W68" s="299"/>
    </row>
    <row r="69" spans="1:23" ht="43.5">
      <c r="A69" s="288">
        <v>62</v>
      </c>
      <c r="B69" s="289" t="s">
        <v>740</v>
      </c>
      <c r="C69" s="290" t="s">
        <v>204</v>
      </c>
      <c r="D69" s="290" t="s">
        <v>64</v>
      </c>
      <c r="E69" s="290" t="s">
        <v>903</v>
      </c>
      <c r="F69" s="290">
        <f t="shared" si="0"/>
        <v>1160</v>
      </c>
      <c r="G69" s="333"/>
      <c r="H69" s="290">
        <f t="shared" si="1"/>
        <v>0</v>
      </c>
      <c r="I69" s="472">
        <f>'DETAILED (2)'!I906</f>
        <v>12</v>
      </c>
      <c r="J69" s="291">
        <f t="shared" si="7"/>
        <v>696</v>
      </c>
      <c r="K69" s="296">
        <f t="shared" si="8"/>
        <v>12</v>
      </c>
      <c r="L69" s="291">
        <f t="shared" si="9"/>
        <v>696</v>
      </c>
      <c r="M69" s="297">
        <f t="shared" si="2"/>
        <v>0</v>
      </c>
      <c r="N69" s="297">
        <f t="shared" si="3"/>
        <v>464</v>
      </c>
      <c r="O69" s="292">
        <f t="shared" si="23"/>
        <v>-8</v>
      </c>
      <c r="P69" s="290">
        <f t="shared" si="4"/>
        <v>-464</v>
      </c>
      <c r="Q69" s="292">
        <f t="shared" si="22"/>
        <v>8</v>
      </c>
      <c r="R69" s="290">
        <f t="shared" si="20"/>
        <v>464</v>
      </c>
      <c r="S69" s="290">
        <f t="shared" si="11"/>
        <v>-464</v>
      </c>
      <c r="T69" s="290">
        <f t="shared" si="12"/>
        <v>0</v>
      </c>
      <c r="U69" s="293"/>
      <c r="V69" s="294">
        <v>-23.684210526315788</v>
      </c>
      <c r="W69" s="299"/>
    </row>
    <row r="70" spans="1:23" ht="43.5">
      <c r="A70" s="288">
        <v>63</v>
      </c>
      <c r="B70" s="289" t="s">
        <v>741</v>
      </c>
      <c r="C70" s="290" t="s">
        <v>1019</v>
      </c>
      <c r="D70" s="290" t="s">
        <v>65</v>
      </c>
      <c r="E70" s="290" t="s">
        <v>223</v>
      </c>
      <c r="F70" s="290">
        <f t="shared" si="0"/>
        <v>3060</v>
      </c>
      <c r="G70" s="333"/>
      <c r="H70" s="290">
        <f t="shared" si="1"/>
        <v>0</v>
      </c>
      <c r="I70" s="291">
        <f>'DETAILED (2)'!I912</f>
        <v>60</v>
      </c>
      <c r="J70" s="291">
        <f t="shared" si="7"/>
        <v>3060</v>
      </c>
      <c r="K70" s="296">
        <f t="shared" si="8"/>
        <v>60</v>
      </c>
      <c r="L70" s="291">
        <f t="shared" si="9"/>
        <v>3060</v>
      </c>
      <c r="M70" s="297">
        <f t="shared" si="2"/>
        <v>0</v>
      </c>
      <c r="N70" s="297">
        <f t="shared" si="3"/>
        <v>0</v>
      </c>
      <c r="O70" s="292"/>
      <c r="P70" s="290">
        <f t="shared" si="4"/>
        <v>0</v>
      </c>
      <c r="Q70" s="292">
        <f t="shared" si="22"/>
        <v>0</v>
      </c>
      <c r="R70" s="290">
        <f t="shared" si="20"/>
        <v>0</v>
      </c>
      <c r="S70" s="290">
        <f t="shared" si="11"/>
        <v>0</v>
      </c>
      <c r="T70" s="290">
        <f t="shared" si="12"/>
        <v>0</v>
      </c>
      <c r="U70" s="293"/>
      <c r="V70" s="294">
        <v>-30.706521739130427</v>
      </c>
      <c r="W70" s="299"/>
    </row>
    <row r="71" spans="1:23" ht="65.25">
      <c r="A71" s="288">
        <v>64</v>
      </c>
      <c r="B71" s="289" t="s">
        <v>742</v>
      </c>
      <c r="C71" s="290" t="s">
        <v>1020</v>
      </c>
      <c r="D71" s="290" t="s">
        <v>64</v>
      </c>
      <c r="E71" s="290" t="s">
        <v>895</v>
      </c>
      <c r="F71" s="290">
        <f t="shared" si="0"/>
        <v>1685</v>
      </c>
      <c r="G71" s="333"/>
      <c r="H71" s="290">
        <f t="shared" si="1"/>
        <v>0</v>
      </c>
      <c r="I71" s="291">
        <f>'DETAILED (2)'!I914</f>
        <v>3</v>
      </c>
      <c r="J71" s="291">
        <f t="shared" si="7"/>
        <v>5055</v>
      </c>
      <c r="K71" s="296">
        <f t="shared" si="8"/>
        <v>3</v>
      </c>
      <c r="L71" s="291">
        <f t="shared" si="9"/>
        <v>5055</v>
      </c>
      <c r="M71" s="297">
        <f t="shared" si="2"/>
        <v>3370</v>
      </c>
      <c r="N71" s="297">
        <f t="shared" si="3"/>
        <v>0</v>
      </c>
      <c r="O71" s="292"/>
      <c r="P71" s="290"/>
      <c r="Q71" s="292">
        <f t="shared" si="22"/>
        <v>-2</v>
      </c>
      <c r="R71" s="290">
        <f t="shared" si="20"/>
        <v>-3370</v>
      </c>
      <c r="S71" s="290">
        <f t="shared" si="11"/>
        <v>-3370</v>
      </c>
      <c r="T71" s="290">
        <f t="shared" si="12"/>
        <v>3370</v>
      </c>
      <c r="U71" s="293" t="s">
        <v>1776</v>
      </c>
      <c r="V71" s="294">
        <v>-34.891808346213296</v>
      </c>
      <c r="W71" s="299"/>
    </row>
    <row r="72" spans="1:23">
      <c r="A72" s="288">
        <v>65</v>
      </c>
      <c r="B72" s="289" t="s">
        <v>743</v>
      </c>
      <c r="C72" s="290" t="s">
        <v>216</v>
      </c>
      <c r="D72" s="290" t="s">
        <v>63</v>
      </c>
      <c r="E72" s="290" t="s">
        <v>895</v>
      </c>
      <c r="F72" s="290">
        <f t="shared" ref="F72" si="24">ROUND(C72*E72,2)</f>
        <v>1664</v>
      </c>
      <c r="G72" s="333"/>
      <c r="H72" s="290">
        <f t="shared" ref="H72:H157" si="25">ROUND(C72*G72,2)</f>
        <v>0</v>
      </c>
      <c r="I72" s="291"/>
      <c r="J72" s="291">
        <f t="shared" si="7"/>
        <v>0</v>
      </c>
      <c r="K72" s="296">
        <f t="shared" si="8"/>
        <v>0</v>
      </c>
      <c r="L72" s="291">
        <f t="shared" si="9"/>
        <v>0</v>
      </c>
      <c r="M72" s="297">
        <f t="shared" ref="M72:M199" si="26">IF(L72&gt;F72,L72-F72,0)</f>
        <v>0</v>
      </c>
      <c r="N72" s="297">
        <f t="shared" ref="N72:N199" si="27">IF(F72&gt;L72,F72-L72,0)</f>
        <v>1664</v>
      </c>
      <c r="O72" s="292"/>
      <c r="P72" s="290">
        <f t="shared" ref="P72:P135" si="28">ROUND(O72*C72,2)</f>
        <v>0</v>
      </c>
      <c r="Q72" s="292">
        <f t="shared" si="22"/>
        <v>1</v>
      </c>
      <c r="R72" s="290">
        <f t="shared" si="20"/>
        <v>1664</v>
      </c>
      <c r="S72" s="290">
        <f t="shared" si="11"/>
        <v>0</v>
      </c>
      <c r="T72" s="290">
        <f t="shared" si="12"/>
        <v>0</v>
      </c>
      <c r="U72" s="293"/>
      <c r="V72" s="294">
        <v>-27.401868180291185</v>
      </c>
      <c r="W72" s="299"/>
    </row>
    <row r="73" spans="1:23" ht="108.75">
      <c r="A73" s="288">
        <v>66</v>
      </c>
      <c r="B73" s="289" t="s">
        <v>744</v>
      </c>
      <c r="C73" s="290" t="s">
        <v>899</v>
      </c>
      <c r="D73" s="290" t="s">
        <v>967</v>
      </c>
      <c r="E73" s="290" t="s">
        <v>218</v>
      </c>
      <c r="F73" s="290">
        <f>ROUND(C73*E73,2)</f>
        <v>3900</v>
      </c>
      <c r="G73" s="333">
        <v>152.44</v>
      </c>
      <c r="H73" s="290">
        <f t="shared" si="25"/>
        <v>3963.44</v>
      </c>
      <c r="I73" s="291"/>
      <c r="J73" s="291">
        <f t="shared" ref="J73:J199" si="29">C73*I73</f>
        <v>0</v>
      </c>
      <c r="K73" s="296">
        <f t="shared" ref="K73:K199" si="30">G73+I73</f>
        <v>152.44</v>
      </c>
      <c r="L73" s="291">
        <f t="shared" ref="L73:L199" si="31">C73*K73</f>
        <v>3963.44</v>
      </c>
      <c r="M73" s="297">
        <f t="shared" si="26"/>
        <v>63.440000000000055</v>
      </c>
      <c r="N73" s="297">
        <f t="shared" si="27"/>
        <v>0</v>
      </c>
      <c r="O73" s="292">
        <f t="shared" ref="O73:O76" si="32">ROUND(K73-E73,2)</f>
        <v>2.44</v>
      </c>
      <c r="P73" s="290">
        <f t="shared" si="28"/>
        <v>63.44</v>
      </c>
      <c r="Q73" s="292"/>
      <c r="R73" s="290"/>
      <c r="S73" s="290">
        <f t="shared" ref="S73:S199" si="33">P73-M73</f>
        <v>-5.6843418860808015E-14</v>
      </c>
      <c r="T73" s="290">
        <f t="shared" ref="T73:T199" si="34">N73-R73</f>
        <v>0</v>
      </c>
      <c r="U73" s="293" t="s">
        <v>1775</v>
      </c>
      <c r="V73" s="294">
        <v>-23.52941176470588</v>
      </c>
      <c r="W73" s="299"/>
    </row>
    <row r="74" spans="1:23" ht="43.5">
      <c r="A74" s="288">
        <v>67</v>
      </c>
      <c r="B74" s="289" t="s">
        <v>745</v>
      </c>
      <c r="C74" s="290" t="s">
        <v>1021</v>
      </c>
      <c r="D74" s="290" t="s">
        <v>66</v>
      </c>
      <c r="E74" s="290">
        <v>30.815999999999999</v>
      </c>
      <c r="F74" s="290">
        <f t="shared" ref="F74:F137" si="35">ROUND(C74*E74,2)</f>
        <v>96977.95</v>
      </c>
      <c r="G74" s="416">
        <v>23.016999999999999</v>
      </c>
      <c r="H74" s="290">
        <f t="shared" si="25"/>
        <v>72434.5</v>
      </c>
      <c r="I74" s="296">
        <f>'Main BBS -Revised ok'!X92</f>
        <v>6.2427130000000002</v>
      </c>
      <c r="J74" s="291">
        <f t="shared" si="29"/>
        <v>19645.817811000001</v>
      </c>
      <c r="K74" s="296">
        <f t="shared" si="30"/>
        <v>29.259712999999998</v>
      </c>
      <c r="L74" s="291">
        <f t="shared" si="31"/>
        <v>92080.316810999997</v>
      </c>
      <c r="M74" s="297">
        <f t="shared" si="26"/>
        <v>0</v>
      </c>
      <c r="N74" s="297">
        <f t="shared" si="27"/>
        <v>4897.6331890000001</v>
      </c>
      <c r="O74" s="292">
        <f t="shared" si="32"/>
        <v>-1.56</v>
      </c>
      <c r="P74" s="290">
        <f t="shared" si="28"/>
        <v>-4909.32</v>
      </c>
      <c r="Q74" s="292">
        <f t="shared" ref="Q74" si="36">ROUND(E74-K74,2)</f>
        <v>1.56</v>
      </c>
      <c r="R74" s="290">
        <f t="shared" ref="R74" si="37">ROUND(C74*Q74,2)</f>
        <v>4909.32</v>
      </c>
      <c r="S74" s="290">
        <f t="shared" si="33"/>
        <v>-4909.32</v>
      </c>
      <c r="T74" s="290">
        <f t="shared" si="34"/>
        <v>-11.68681099999958</v>
      </c>
      <c r="U74" s="293"/>
      <c r="V74" s="294">
        <v>-27.932673040590828</v>
      </c>
      <c r="W74" s="299"/>
    </row>
    <row r="75" spans="1:23" ht="65.25">
      <c r="A75" s="288">
        <v>68</v>
      </c>
      <c r="B75" s="289" t="s">
        <v>746</v>
      </c>
      <c r="C75" s="290" t="s">
        <v>1022</v>
      </c>
      <c r="D75" s="290" t="s">
        <v>966</v>
      </c>
      <c r="E75" s="290" t="s">
        <v>904</v>
      </c>
      <c r="F75" s="290">
        <f t="shared" si="35"/>
        <v>109746</v>
      </c>
      <c r="G75" s="333">
        <v>100.99</v>
      </c>
      <c r="H75" s="290">
        <f t="shared" si="25"/>
        <v>18178.2</v>
      </c>
      <c r="I75" s="472">
        <f>'DETAILED (2)'!I935</f>
        <v>68.73</v>
      </c>
      <c r="J75" s="291">
        <f t="shared" si="29"/>
        <v>12371.400000000001</v>
      </c>
      <c r="K75" s="296">
        <f t="shared" si="30"/>
        <v>169.72</v>
      </c>
      <c r="L75" s="291">
        <f t="shared" si="31"/>
        <v>30549.599999999999</v>
      </c>
      <c r="M75" s="297">
        <f t="shared" si="26"/>
        <v>0</v>
      </c>
      <c r="N75" s="297">
        <f t="shared" si="27"/>
        <v>79196.399999999994</v>
      </c>
      <c r="O75" s="292">
        <f t="shared" si="32"/>
        <v>-439.98</v>
      </c>
      <c r="P75" s="290">
        <f t="shared" si="28"/>
        <v>-79196.399999999994</v>
      </c>
      <c r="Q75" s="292"/>
      <c r="R75" s="290"/>
      <c r="S75" s="290">
        <f t="shared" si="33"/>
        <v>-79196.399999999994</v>
      </c>
      <c r="T75" s="290">
        <f t="shared" si="34"/>
        <v>79196.399999999994</v>
      </c>
      <c r="U75" s="293"/>
      <c r="V75" s="294">
        <v>-25.647486471973235</v>
      </c>
      <c r="W75" s="299"/>
    </row>
    <row r="76" spans="1:23" ht="43.5">
      <c r="A76" s="288">
        <v>69</v>
      </c>
      <c r="B76" s="289" t="s">
        <v>747</v>
      </c>
      <c r="C76" s="290" t="s">
        <v>1023</v>
      </c>
      <c r="D76" s="290" t="s">
        <v>62</v>
      </c>
      <c r="E76" s="290" t="s">
        <v>854</v>
      </c>
      <c r="F76" s="290">
        <f t="shared" si="35"/>
        <v>33163.199999999997</v>
      </c>
      <c r="G76" s="333">
        <v>8.73</v>
      </c>
      <c r="H76" s="290">
        <f t="shared" si="25"/>
        <v>25849.53</v>
      </c>
      <c r="I76" s="291"/>
      <c r="J76" s="291">
        <f t="shared" si="29"/>
        <v>0</v>
      </c>
      <c r="K76" s="296">
        <f t="shared" si="30"/>
        <v>8.73</v>
      </c>
      <c r="L76" s="291">
        <f t="shared" si="31"/>
        <v>25849.530000000002</v>
      </c>
      <c r="M76" s="297">
        <f t="shared" si="26"/>
        <v>0</v>
      </c>
      <c r="N76" s="297">
        <f t="shared" si="27"/>
        <v>7313.6699999999946</v>
      </c>
      <c r="O76" s="292">
        <f t="shared" si="32"/>
        <v>-2.4700000000000002</v>
      </c>
      <c r="P76" s="290">
        <f t="shared" si="28"/>
        <v>-7313.67</v>
      </c>
      <c r="Q76" s="292"/>
      <c r="R76" s="290"/>
      <c r="S76" s="290">
        <f t="shared" si="33"/>
        <v>-7313.67</v>
      </c>
      <c r="T76" s="290">
        <f t="shared" si="34"/>
        <v>7313.6699999999946</v>
      </c>
      <c r="U76" s="293"/>
      <c r="V76" s="294">
        <v>-28.682394595180465</v>
      </c>
      <c r="W76" s="299"/>
    </row>
    <row r="77" spans="1:23" ht="65.25">
      <c r="A77" s="288">
        <v>70</v>
      </c>
      <c r="B77" s="289" t="s">
        <v>748</v>
      </c>
      <c r="C77" s="290" t="s">
        <v>1024</v>
      </c>
      <c r="D77" s="290" t="s">
        <v>62</v>
      </c>
      <c r="E77" s="290" t="s">
        <v>905</v>
      </c>
      <c r="F77" s="290">
        <f t="shared" si="35"/>
        <v>595051</v>
      </c>
      <c r="G77" s="333">
        <v>65.959999999999994</v>
      </c>
      <c r="H77" s="290">
        <f t="shared" si="25"/>
        <v>325182.8</v>
      </c>
      <c r="I77" s="291">
        <f>'DETAILED (2)'!I950</f>
        <v>49.96</v>
      </c>
      <c r="J77" s="291">
        <f t="shared" si="29"/>
        <v>246302.80000000002</v>
      </c>
      <c r="K77" s="296">
        <f t="shared" si="30"/>
        <v>115.91999999999999</v>
      </c>
      <c r="L77" s="291">
        <f t="shared" si="31"/>
        <v>571485.6</v>
      </c>
      <c r="M77" s="297">
        <f t="shared" si="26"/>
        <v>0</v>
      </c>
      <c r="N77" s="297">
        <f t="shared" si="27"/>
        <v>23565.400000000023</v>
      </c>
      <c r="O77" s="292"/>
      <c r="P77" s="290">
        <f t="shared" si="28"/>
        <v>0</v>
      </c>
      <c r="Q77" s="292">
        <f t="shared" ref="Q77:Q79" si="38">ROUND(E77-K77,2)</f>
        <v>4.78</v>
      </c>
      <c r="R77" s="290">
        <f t="shared" ref="R77:R89" si="39">ROUND(C77*Q77,2)</f>
        <v>23565.4</v>
      </c>
      <c r="S77" s="290">
        <f t="shared" si="33"/>
        <v>0</v>
      </c>
      <c r="T77" s="290">
        <f t="shared" si="34"/>
        <v>0</v>
      </c>
      <c r="U77" s="293"/>
      <c r="V77" s="294">
        <v>-28.550413987307195</v>
      </c>
      <c r="W77" s="299"/>
    </row>
    <row r="78" spans="1:23">
      <c r="A78" s="288">
        <v>71</v>
      </c>
      <c r="B78" s="289" t="s">
        <v>704</v>
      </c>
      <c r="C78" s="290" t="s">
        <v>1025</v>
      </c>
      <c r="D78" s="290" t="s">
        <v>62</v>
      </c>
      <c r="E78" s="290" t="s">
        <v>906</v>
      </c>
      <c r="F78" s="290">
        <f t="shared" si="35"/>
        <v>193806</v>
      </c>
      <c r="G78" s="333">
        <v>35.270000000000003</v>
      </c>
      <c r="H78" s="290">
        <f t="shared" si="25"/>
        <v>176173.65</v>
      </c>
      <c r="I78" s="291">
        <f>'DETAILED (2)'!I962</f>
        <v>1.53</v>
      </c>
      <c r="J78" s="291">
        <f t="shared" si="29"/>
        <v>7642.35</v>
      </c>
      <c r="K78" s="296">
        <f t="shared" si="30"/>
        <v>36.800000000000004</v>
      </c>
      <c r="L78" s="291">
        <f t="shared" si="31"/>
        <v>183816.00000000003</v>
      </c>
      <c r="M78" s="297">
        <f t="shared" si="26"/>
        <v>0</v>
      </c>
      <c r="N78" s="297">
        <f t="shared" si="27"/>
        <v>9989.9999999999709</v>
      </c>
      <c r="O78" s="292"/>
      <c r="P78" s="290">
        <f t="shared" si="28"/>
        <v>0</v>
      </c>
      <c r="Q78" s="292">
        <f t="shared" si="38"/>
        <v>2</v>
      </c>
      <c r="R78" s="290">
        <f t="shared" si="39"/>
        <v>9990</v>
      </c>
      <c r="S78" s="290">
        <f t="shared" si="33"/>
        <v>0</v>
      </c>
      <c r="T78" s="290">
        <f t="shared" si="34"/>
        <v>-2.9103830456733704E-11</v>
      </c>
      <c r="U78" s="293"/>
      <c r="V78" s="294">
        <v>-28.631234229574527</v>
      </c>
      <c r="W78" s="299"/>
    </row>
    <row r="79" spans="1:23" ht="108.75">
      <c r="A79" s="288">
        <v>72</v>
      </c>
      <c r="B79" s="289" t="s">
        <v>39</v>
      </c>
      <c r="C79" s="290" t="s">
        <v>1026</v>
      </c>
      <c r="D79" s="290" t="s">
        <v>62</v>
      </c>
      <c r="E79" s="290" t="s">
        <v>907</v>
      </c>
      <c r="F79" s="290">
        <f t="shared" si="35"/>
        <v>185525</v>
      </c>
      <c r="G79" s="333">
        <v>36.76</v>
      </c>
      <c r="H79" s="290">
        <f t="shared" si="25"/>
        <v>188395</v>
      </c>
      <c r="I79" s="291"/>
      <c r="J79" s="291">
        <f t="shared" si="29"/>
        <v>0</v>
      </c>
      <c r="K79" s="296">
        <f t="shared" si="30"/>
        <v>36.76</v>
      </c>
      <c r="L79" s="291">
        <f t="shared" si="31"/>
        <v>188395</v>
      </c>
      <c r="M79" s="297">
        <f t="shared" si="26"/>
        <v>2870</v>
      </c>
      <c r="N79" s="297">
        <f t="shared" si="27"/>
        <v>0</v>
      </c>
      <c r="O79" s="292"/>
      <c r="P79" s="290">
        <f t="shared" si="28"/>
        <v>0</v>
      </c>
      <c r="Q79" s="292">
        <f t="shared" si="38"/>
        <v>-0.56000000000000005</v>
      </c>
      <c r="R79" s="290">
        <f t="shared" si="39"/>
        <v>-2870</v>
      </c>
      <c r="S79" s="290">
        <f t="shared" si="33"/>
        <v>-2870</v>
      </c>
      <c r="T79" s="290">
        <f t="shared" si="34"/>
        <v>2870</v>
      </c>
      <c r="U79" s="293" t="s">
        <v>1775</v>
      </c>
      <c r="V79" s="294">
        <v>-28.755720394352728</v>
      </c>
      <c r="W79" s="299"/>
    </row>
    <row r="80" spans="1:23">
      <c r="A80" s="288">
        <v>73</v>
      </c>
      <c r="B80" s="289" t="s">
        <v>40</v>
      </c>
      <c r="C80" s="290" t="s">
        <v>1027</v>
      </c>
      <c r="D80" s="290" t="s">
        <v>62</v>
      </c>
      <c r="E80" s="290" t="s">
        <v>908</v>
      </c>
      <c r="F80" s="290">
        <f t="shared" si="35"/>
        <v>195448.8</v>
      </c>
      <c r="G80" s="337">
        <v>35.979999999999997</v>
      </c>
      <c r="H80" s="290">
        <f t="shared" si="25"/>
        <v>189038.92</v>
      </c>
      <c r="I80" s="291"/>
      <c r="J80" s="291">
        <f t="shared" si="29"/>
        <v>0</v>
      </c>
      <c r="K80" s="296">
        <f t="shared" si="30"/>
        <v>35.979999999999997</v>
      </c>
      <c r="L80" s="291">
        <f t="shared" si="31"/>
        <v>189038.91999999998</v>
      </c>
      <c r="M80" s="297">
        <f t="shared" si="26"/>
        <v>0</v>
      </c>
      <c r="N80" s="297">
        <f t="shared" si="27"/>
        <v>6409.8800000000047</v>
      </c>
      <c r="O80" s="292">
        <f t="shared" ref="O80" si="40">ROUND(K80-E80,2)</f>
        <v>-1.22</v>
      </c>
      <c r="P80" s="290">
        <f t="shared" si="28"/>
        <v>-6409.88</v>
      </c>
      <c r="Q80" s="292"/>
      <c r="R80" s="290">
        <f t="shared" si="39"/>
        <v>0</v>
      </c>
      <c r="S80" s="290">
        <f t="shared" si="33"/>
        <v>-6409.88</v>
      </c>
      <c r="T80" s="290">
        <f t="shared" si="34"/>
        <v>6409.8800000000047</v>
      </c>
      <c r="U80" s="293"/>
      <c r="V80" s="294">
        <v>-28.887180472804154</v>
      </c>
      <c r="W80" s="299"/>
    </row>
    <row r="81" spans="1:23">
      <c r="A81" s="288">
        <v>74</v>
      </c>
      <c r="B81" s="289" t="s">
        <v>44</v>
      </c>
      <c r="C81" s="290" t="s">
        <v>1028</v>
      </c>
      <c r="D81" s="290" t="s">
        <v>62</v>
      </c>
      <c r="E81" s="290" t="s">
        <v>909</v>
      </c>
      <c r="F81" s="290">
        <f t="shared" si="35"/>
        <v>165288.79999999999</v>
      </c>
      <c r="G81" s="337">
        <v>22.92</v>
      </c>
      <c r="H81" s="290">
        <f t="shared" si="25"/>
        <v>123401.28</v>
      </c>
      <c r="I81" s="291">
        <f>'DETAILED (2)'!I984</f>
        <v>7.5399999999999991</v>
      </c>
      <c r="J81" s="291">
        <f t="shared" si="29"/>
        <v>40595.359999999993</v>
      </c>
      <c r="K81" s="296">
        <f t="shared" si="30"/>
        <v>30.46</v>
      </c>
      <c r="L81" s="291">
        <f t="shared" si="31"/>
        <v>163996.64000000001</v>
      </c>
      <c r="M81" s="297">
        <f t="shared" si="26"/>
        <v>0</v>
      </c>
      <c r="N81" s="297">
        <f t="shared" si="27"/>
        <v>1292.1599999999744</v>
      </c>
      <c r="O81" s="292"/>
      <c r="P81" s="290">
        <f t="shared" si="28"/>
        <v>0</v>
      </c>
      <c r="Q81" s="292">
        <f t="shared" ref="Q81:Q84" si="41">ROUND(E81-K81,2)</f>
        <v>0.24</v>
      </c>
      <c r="R81" s="290">
        <f t="shared" si="39"/>
        <v>1292.1600000000001</v>
      </c>
      <c r="S81" s="290">
        <f t="shared" si="33"/>
        <v>0</v>
      </c>
      <c r="T81" s="290">
        <f t="shared" si="34"/>
        <v>-2.5693225325085223E-11</v>
      </c>
      <c r="U81" s="293"/>
      <c r="V81" s="294">
        <v>-28.998702353698292</v>
      </c>
      <c r="W81" s="299"/>
    </row>
    <row r="82" spans="1:23" ht="87">
      <c r="A82" s="288">
        <v>75</v>
      </c>
      <c r="B82" s="289" t="s">
        <v>749</v>
      </c>
      <c r="C82" s="290" t="s">
        <v>1029</v>
      </c>
      <c r="D82" s="290" t="s">
        <v>967</v>
      </c>
      <c r="E82" s="290" t="s">
        <v>910</v>
      </c>
      <c r="F82" s="290">
        <f t="shared" si="35"/>
        <v>2386.6999999999998</v>
      </c>
      <c r="G82" s="333">
        <v>1.42</v>
      </c>
      <c r="H82" s="290">
        <f t="shared" si="25"/>
        <v>1168.6600000000001</v>
      </c>
      <c r="I82" s="296"/>
      <c r="J82" s="291">
        <f t="shared" si="29"/>
        <v>0</v>
      </c>
      <c r="K82" s="296">
        <f t="shared" si="30"/>
        <v>1.42</v>
      </c>
      <c r="L82" s="291">
        <f t="shared" si="31"/>
        <v>1168.6599999999999</v>
      </c>
      <c r="M82" s="297">
        <f t="shared" si="26"/>
        <v>0</v>
      </c>
      <c r="N82" s="297">
        <f t="shared" si="27"/>
        <v>1218.04</v>
      </c>
      <c r="O82" s="292"/>
      <c r="P82" s="290">
        <f t="shared" si="28"/>
        <v>0</v>
      </c>
      <c r="Q82" s="292">
        <f t="shared" si="41"/>
        <v>1.48</v>
      </c>
      <c r="R82" s="290">
        <f t="shared" si="39"/>
        <v>1218.04</v>
      </c>
      <c r="S82" s="290">
        <f t="shared" si="33"/>
        <v>0</v>
      </c>
      <c r="T82" s="290">
        <f t="shared" si="34"/>
        <v>0</v>
      </c>
      <c r="U82" s="293"/>
      <c r="V82" s="294">
        <v>-34.520920685183277</v>
      </c>
      <c r="W82" s="299"/>
    </row>
    <row r="83" spans="1:23" ht="22.5">
      <c r="A83" s="288">
        <v>76</v>
      </c>
      <c r="B83" s="301" t="s">
        <v>750</v>
      </c>
      <c r="C83" s="290" t="s">
        <v>1030</v>
      </c>
      <c r="D83" s="290" t="s">
        <v>967</v>
      </c>
      <c r="E83" s="290" t="s">
        <v>911</v>
      </c>
      <c r="F83" s="290">
        <f t="shared" si="35"/>
        <v>19080.599999999999</v>
      </c>
      <c r="G83" s="333">
        <v>12.56</v>
      </c>
      <c r="H83" s="290">
        <f t="shared" si="25"/>
        <v>10374.56</v>
      </c>
      <c r="I83" s="291"/>
      <c r="J83" s="291">
        <f t="shared" si="29"/>
        <v>0</v>
      </c>
      <c r="K83" s="296">
        <f t="shared" si="30"/>
        <v>12.56</v>
      </c>
      <c r="L83" s="291">
        <f t="shared" si="31"/>
        <v>10374.560000000001</v>
      </c>
      <c r="M83" s="297">
        <f t="shared" si="26"/>
        <v>0</v>
      </c>
      <c r="N83" s="297">
        <f t="shared" si="27"/>
        <v>8706.0399999999972</v>
      </c>
      <c r="O83" s="292">
        <f t="shared" ref="O83:O92" si="42">ROUND(K83-E83,2)</f>
        <v>-10.54</v>
      </c>
      <c r="P83" s="290">
        <f t="shared" si="28"/>
        <v>-8706.0400000000009</v>
      </c>
      <c r="Q83" s="292">
        <f t="shared" si="41"/>
        <v>10.54</v>
      </c>
      <c r="R83" s="290">
        <f t="shared" si="39"/>
        <v>8706.0400000000009</v>
      </c>
      <c r="S83" s="290">
        <f t="shared" si="33"/>
        <v>-8706.0400000000009</v>
      </c>
      <c r="T83" s="290">
        <f t="shared" si="34"/>
        <v>0</v>
      </c>
      <c r="U83" s="293"/>
      <c r="V83" s="294">
        <v>-34.487079836931514</v>
      </c>
      <c r="W83" s="299"/>
    </row>
    <row r="84" spans="1:23">
      <c r="A84" s="288">
        <v>77</v>
      </c>
      <c r="B84" s="289" t="s">
        <v>751</v>
      </c>
      <c r="C84" s="290" t="s">
        <v>1031</v>
      </c>
      <c r="D84" s="290" t="s">
        <v>967</v>
      </c>
      <c r="E84" s="290" t="s">
        <v>899</v>
      </c>
      <c r="F84" s="290">
        <f t="shared" si="35"/>
        <v>21554</v>
      </c>
      <c r="G84" s="333">
        <v>11.14</v>
      </c>
      <c r="H84" s="290">
        <f t="shared" si="25"/>
        <v>9235.06</v>
      </c>
      <c r="I84" s="291"/>
      <c r="J84" s="291">
        <f t="shared" si="29"/>
        <v>0</v>
      </c>
      <c r="K84" s="296">
        <f t="shared" si="30"/>
        <v>11.14</v>
      </c>
      <c r="L84" s="291">
        <f t="shared" si="31"/>
        <v>9235.0600000000013</v>
      </c>
      <c r="M84" s="297">
        <f t="shared" si="26"/>
        <v>0</v>
      </c>
      <c r="N84" s="297">
        <f t="shared" si="27"/>
        <v>12318.939999999999</v>
      </c>
      <c r="O84" s="292">
        <f t="shared" si="42"/>
        <v>-14.86</v>
      </c>
      <c r="P84" s="290">
        <f t="shared" si="28"/>
        <v>-12318.94</v>
      </c>
      <c r="Q84" s="292">
        <f t="shared" si="41"/>
        <v>14.86</v>
      </c>
      <c r="R84" s="290">
        <f t="shared" si="39"/>
        <v>12318.94</v>
      </c>
      <c r="S84" s="290">
        <f t="shared" si="33"/>
        <v>-12318.94</v>
      </c>
      <c r="T84" s="290">
        <f t="shared" si="34"/>
        <v>0</v>
      </c>
      <c r="U84" s="293"/>
      <c r="V84" s="294">
        <v>-34.45344929828029</v>
      </c>
      <c r="W84" s="299"/>
    </row>
    <row r="85" spans="1:23">
      <c r="A85" s="288">
        <v>78</v>
      </c>
      <c r="B85" s="289" t="s">
        <v>752</v>
      </c>
      <c r="C85" s="290" t="s">
        <v>1032</v>
      </c>
      <c r="D85" s="290" t="s">
        <v>967</v>
      </c>
      <c r="E85" s="290" t="s">
        <v>912</v>
      </c>
      <c r="F85" s="290">
        <f t="shared" si="35"/>
        <v>9639.6</v>
      </c>
      <c r="G85" s="333">
        <v>7.2</v>
      </c>
      <c r="H85" s="290">
        <f t="shared" si="25"/>
        <v>5983.2</v>
      </c>
      <c r="I85" s="291"/>
      <c r="J85" s="291">
        <f t="shared" si="29"/>
        <v>0</v>
      </c>
      <c r="K85" s="296">
        <f t="shared" si="30"/>
        <v>7.2</v>
      </c>
      <c r="L85" s="291">
        <f t="shared" si="31"/>
        <v>5983.2</v>
      </c>
      <c r="M85" s="297">
        <f t="shared" si="26"/>
        <v>0</v>
      </c>
      <c r="N85" s="297">
        <f t="shared" si="27"/>
        <v>3656.4000000000005</v>
      </c>
      <c r="O85" s="292">
        <f t="shared" si="42"/>
        <v>-4.4000000000000004</v>
      </c>
      <c r="P85" s="290">
        <f t="shared" si="28"/>
        <v>-3656.4</v>
      </c>
      <c r="Q85" s="292"/>
      <c r="R85" s="290">
        <f t="shared" si="39"/>
        <v>0</v>
      </c>
      <c r="S85" s="290">
        <f t="shared" si="33"/>
        <v>-3656.4</v>
      </c>
      <c r="T85" s="290">
        <f t="shared" si="34"/>
        <v>3656.4000000000005</v>
      </c>
      <c r="U85" s="293"/>
      <c r="V85" s="294">
        <v>-34.498849197591205</v>
      </c>
      <c r="W85" s="299"/>
    </row>
    <row r="86" spans="1:23" ht="87">
      <c r="A86" s="288">
        <v>79</v>
      </c>
      <c r="B86" s="289" t="s">
        <v>753</v>
      </c>
      <c r="C86" s="290" t="s">
        <v>1033</v>
      </c>
      <c r="D86" s="290" t="s">
        <v>967</v>
      </c>
      <c r="E86" s="290" t="s">
        <v>913</v>
      </c>
      <c r="F86" s="290">
        <f t="shared" si="35"/>
        <v>732.8</v>
      </c>
      <c r="G86" s="333">
        <v>0.47</v>
      </c>
      <c r="H86" s="290">
        <f t="shared" si="25"/>
        <v>430.52</v>
      </c>
      <c r="I86" s="291"/>
      <c r="J86" s="291">
        <f t="shared" si="29"/>
        <v>0</v>
      </c>
      <c r="K86" s="296">
        <f t="shared" si="30"/>
        <v>0.47</v>
      </c>
      <c r="L86" s="291">
        <f t="shared" si="31"/>
        <v>430.52</v>
      </c>
      <c r="M86" s="297">
        <f t="shared" si="26"/>
        <v>0</v>
      </c>
      <c r="N86" s="297">
        <f t="shared" si="27"/>
        <v>302.27999999999997</v>
      </c>
      <c r="O86" s="292">
        <f t="shared" si="42"/>
        <v>-0.33</v>
      </c>
      <c r="P86" s="290">
        <f t="shared" si="28"/>
        <v>-302.27999999999997</v>
      </c>
      <c r="Q86" s="292">
        <f t="shared" ref="Q86" si="43">ROUND(E86-K86,2)</f>
        <v>0.33</v>
      </c>
      <c r="R86" s="290">
        <f t="shared" si="39"/>
        <v>302.27999999999997</v>
      </c>
      <c r="S86" s="290">
        <f t="shared" si="33"/>
        <v>-302.27999999999997</v>
      </c>
      <c r="T86" s="290">
        <f t="shared" si="34"/>
        <v>0</v>
      </c>
      <c r="U86" s="293"/>
      <c r="V86" s="294">
        <v>-33.964372481310335</v>
      </c>
      <c r="W86" s="299"/>
    </row>
    <row r="87" spans="1:23">
      <c r="A87" s="288">
        <v>80</v>
      </c>
      <c r="B87" s="289" t="s">
        <v>45</v>
      </c>
      <c r="C87" s="290" t="s">
        <v>1034</v>
      </c>
      <c r="D87" s="290" t="s">
        <v>967</v>
      </c>
      <c r="E87" s="290" t="s">
        <v>914</v>
      </c>
      <c r="F87" s="290">
        <f t="shared" si="35"/>
        <v>5341.8</v>
      </c>
      <c r="G87" s="333">
        <v>1.35</v>
      </c>
      <c r="H87" s="290">
        <f t="shared" si="25"/>
        <v>1243.3499999999999</v>
      </c>
      <c r="I87" s="291"/>
      <c r="J87" s="291">
        <f t="shared" si="29"/>
        <v>0</v>
      </c>
      <c r="K87" s="296">
        <f t="shared" si="30"/>
        <v>1.35</v>
      </c>
      <c r="L87" s="291">
        <f t="shared" si="31"/>
        <v>1243.3500000000001</v>
      </c>
      <c r="M87" s="297">
        <f t="shared" si="26"/>
        <v>0</v>
      </c>
      <c r="N87" s="297">
        <f t="shared" si="27"/>
        <v>4098.45</v>
      </c>
      <c r="O87" s="292">
        <f t="shared" si="42"/>
        <v>-4.45</v>
      </c>
      <c r="P87" s="290">
        <f t="shared" si="28"/>
        <v>-4098.45</v>
      </c>
      <c r="Q87" s="292"/>
      <c r="R87" s="290">
        <f t="shared" si="39"/>
        <v>0</v>
      </c>
      <c r="S87" s="290">
        <f t="shared" si="33"/>
        <v>-4098.45</v>
      </c>
      <c r="T87" s="290">
        <f t="shared" si="34"/>
        <v>4098.45</v>
      </c>
      <c r="U87" s="293"/>
      <c r="V87" s="294">
        <v>-33.978021347823287</v>
      </c>
      <c r="W87" s="299"/>
    </row>
    <row r="88" spans="1:23">
      <c r="A88" s="288">
        <v>81</v>
      </c>
      <c r="B88" s="289" t="s">
        <v>46</v>
      </c>
      <c r="C88" s="290" t="s">
        <v>1035</v>
      </c>
      <c r="D88" s="290" t="s">
        <v>967</v>
      </c>
      <c r="E88" s="290" t="s">
        <v>915</v>
      </c>
      <c r="F88" s="290">
        <f t="shared" si="35"/>
        <v>6674.4</v>
      </c>
      <c r="G88" s="333">
        <v>0.88</v>
      </c>
      <c r="H88" s="290">
        <f t="shared" si="25"/>
        <v>815.76</v>
      </c>
      <c r="I88" s="291"/>
      <c r="J88" s="291">
        <f t="shared" si="29"/>
        <v>0</v>
      </c>
      <c r="K88" s="296">
        <f t="shared" si="30"/>
        <v>0.88</v>
      </c>
      <c r="L88" s="291">
        <f t="shared" si="31"/>
        <v>815.76</v>
      </c>
      <c r="M88" s="297">
        <f t="shared" si="26"/>
        <v>0</v>
      </c>
      <c r="N88" s="297">
        <f t="shared" si="27"/>
        <v>5858.6399999999994</v>
      </c>
      <c r="O88" s="292">
        <f t="shared" si="42"/>
        <v>-6.32</v>
      </c>
      <c r="P88" s="290">
        <f t="shared" si="28"/>
        <v>-5858.64</v>
      </c>
      <c r="Q88" s="292">
        <f t="shared" ref="Q88:Q89" si="44">ROUND(E88-K88,2)</f>
        <v>6.32</v>
      </c>
      <c r="R88" s="290">
        <f t="shared" si="39"/>
        <v>5858.64</v>
      </c>
      <c r="S88" s="290">
        <f t="shared" si="33"/>
        <v>-5858.64</v>
      </c>
      <c r="T88" s="290">
        <f t="shared" si="34"/>
        <v>0</v>
      </c>
      <c r="U88" s="293"/>
      <c r="V88" s="294">
        <v>-33.920233809744445</v>
      </c>
      <c r="W88" s="299"/>
    </row>
    <row r="89" spans="1:23">
      <c r="A89" s="288">
        <v>82</v>
      </c>
      <c r="B89" s="289" t="s">
        <v>44</v>
      </c>
      <c r="C89" s="290" t="s">
        <v>1036</v>
      </c>
      <c r="D89" s="290" t="s">
        <v>967</v>
      </c>
      <c r="E89" s="290" t="s">
        <v>914</v>
      </c>
      <c r="F89" s="290">
        <f t="shared" si="35"/>
        <v>5405.6</v>
      </c>
      <c r="G89" s="333"/>
      <c r="H89" s="290">
        <f t="shared" si="25"/>
        <v>0</v>
      </c>
      <c r="I89" s="291"/>
      <c r="J89" s="291">
        <f t="shared" si="29"/>
        <v>0</v>
      </c>
      <c r="K89" s="296">
        <f t="shared" si="30"/>
        <v>0</v>
      </c>
      <c r="L89" s="291">
        <f t="shared" si="31"/>
        <v>0</v>
      </c>
      <c r="M89" s="297">
        <f t="shared" si="26"/>
        <v>0</v>
      </c>
      <c r="N89" s="297">
        <f t="shared" si="27"/>
        <v>5405.6</v>
      </c>
      <c r="O89" s="292">
        <f t="shared" si="42"/>
        <v>-5.8</v>
      </c>
      <c r="P89" s="290">
        <f t="shared" si="28"/>
        <v>-5405.6</v>
      </c>
      <c r="Q89" s="292">
        <f t="shared" si="44"/>
        <v>5.8</v>
      </c>
      <c r="R89" s="290">
        <f t="shared" si="39"/>
        <v>5405.6</v>
      </c>
      <c r="S89" s="290">
        <f t="shared" si="33"/>
        <v>-5405.6</v>
      </c>
      <c r="T89" s="290">
        <f t="shared" si="34"/>
        <v>0</v>
      </c>
      <c r="U89" s="293"/>
      <c r="V89" s="294">
        <v>-33.933976508283067</v>
      </c>
      <c r="W89" s="299"/>
    </row>
    <row r="90" spans="1:23" ht="108.75">
      <c r="A90" s="290">
        <v>83</v>
      </c>
      <c r="B90" s="289" t="s">
        <v>754</v>
      </c>
      <c r="C90" s="290" t="s">
        <v>1037</v>
      </c>
      <c r="D90" s="290" t="s">
        <v>967</v>
      </c>
      <c r="E90" s="290" t="s">
        <v>916</v>
      </c>
      <c r="F90" s="290">
        <f t="shared" si="35"/>
        <v>3658.6</v>
      </c>
      <c r="G90" s="337"/>
      <c r="H90" s="290">
        <f t="shared" si="25"/>
        <v>0</v>
      </c>
      <c r="I90" s="291">
        <f>'DETAILED (2)'!I1699</f>
        <v>7.2</v>
      </c>
      <c r="J90" s="291">
        <f t="shared" si="29"/>
        <v>11973.6</v>
      </c>
      <c r="K90" s="296">
        <f t="shared" si="30"/>
        <v>7.2</v>
      </c>
      <c r="L90" s="291">
        <f t="shared" si="31"/>
        <v>11973.6</v>
      </c>
      <c r="M90" s="297">
        <f t="shared" si="26"/>
        <v>8315</v>
      </c>
      <c r="N90" s="297">
        <f t="shared" si="27"/>
        <v>0</v>
      </c>
      <c r="O90" s="292">
        <f t="shared" si="42"/>
        <v>5</v>
      </c>
      <c r="P90" s="290">
        <f t="shared" si="28"/>
        <v>8315</v>
      </c>
      <c r="Q90" s="292"/>
      <c r="R90" s="290"/>
      <c r="S90" s="290">
        <f t="shared" si="33"/>
        <v>0</v>
      </c>
      <c r="T90" s="290">
        <f t="shared" si="34"/>
        <v>0</v>
      </c>
      <c r="U90" s="293" t="s">
        <v>1777</v>
      </c>
      <c r="V90" s="294">
        <v>-34.451429810212652</v>
      </c>
      <c r="W90" s="299"/>
    </row>
    <row r="91" spans="1:23" ht="108.75">
      <c r="A91" s="288">
        <v>84</v>
      </c>
      <c r="B91" s="289" t="s">
        <v>755</v>
      </c>
      <c r="C91" s="290" t="s">
        <v>1038</v>
      </c>
      <c r="D91" s="290" t="s">
        <v>63</v>
      </c>
      <c r="E91" s="290" t="s">
        <v>917</v>
      </c>
      <c r="F91" s="290">
        <f t="shared" si="35"/>
        <v>162185.4</v>
      </c>
      <c r="G91" s="337">
        <v>170.98</v>
      </c>
      <c r="H91" s="290">
        <f t="shared" si="25"/>
        <v>81728.44</v>
      </c>
      <c r="I91" s="291">
        <f>'DETAILED (2)'!I996</f>
        <v>144.84</v>
      </c>
      <c r="J91" s="291">
        <f t="shared" si="29"/>
        <v>69233.52</v>
      </c>
      <c r="K91" s="296">
        <f t="shared" si="30"/>
        <v>315.82</v>
      </c>
      <c r="L91" s="291">
        <f t="shared" si="31"/>
        <v>150961.96</v>
      </c>
      <c r="M91" s="297">
        <f t="shared" si="26"/>
        <v>0</v>
      </c>
      <c r="N91" s="297">
        <f t="shared" si="27"/>
        <v>11223.440000000002</v>
      </c>
      <c r="O91" s="292">
        <f t="shared" si="42"/>
        <v>-23.48</v>
      </c>
      <c r="P91" s="290">
        <f t="shared" si="28"/>
        <v>-11223.44</v>
      </c>
      <c r="Q91" s="292"/>
      <c r="R91" s="290"/>
      <c r="S91" s="290">
        <f t="shared" si="33"/>
        <v>-11223.44</v>
      </c>
      <c r="T91" s="290">
        <f t="shared" si="34"/>
        <v>11223.440000000002</v>
      </c>
      <c r="U91" s="293"/>
      <c r="V91" s="294">
        <v>-33.870119808527718</v>
      </c>
      <c r="W91" s="299"/>
    </row>
    <row r="92" spans="1:23" ht="87">
      <c r="A92" s="288">
        <v>85</v>
      </c>
      <c r="B92" s="289" t="s">
        <v>47</v>
      </c>
      <c r="C92" s="290" t="s">
        <v>1039</v>
      </c>
      <c r="D92" s="290" t="s">
        <v>63</v>
      </c>
      <c r="E92" s="290" t="s">
        <v>918</v>
      </c>
      <c r="F92" s="290">
        <f t="shared" si="35"/>
        <v>555706.19999999995</v>
      </c>
      <c r="G92" s="337">
        <v>932.41</v>
      </c>
      <c r="H92" s="290">
        <f t="shared" si="25"/>
        <v>506298.63</v>
      </c>
      <c r="I92" s="291">
        <f>'DETAILED (2)'!I1050</f>
        <v>66.58</v>
      </c>
      <c r="J92" s="291">
        <f t="shared" si="29"/>
        <v>36152.94</v>
      </c>
      <c r="K92" s="296">
        <f t="shared" si="30"/>
        <v>998.99</v>
      </c>
      <c r="L92" s="291">
        <f t="shared" si="31"/>
        <v>542451.56999999995</v>
      </c>
      <c r="M92" s="297">
        <f t="shared" si="26"/>
        <v>0</v>
      </c>
      <c r="N92" s="297">
        <f t="shared" si="27"/>
        <v>13254.630000000005</v>
      </c>
      <c r="O92" s="292">
        <f t="shared" si="42"/>
        <v>-24.41</v>
      </c>
      <c r="P92" s="290">
        <f t="shared" si="28"/>
        <v>-13254.63</v>
      </c>
      <c r="Q92" s="292"/>
      <c r="R92" s="290"/>
      <c r="S92" s="290">
        <f t="shared" si="33"/>
        <v>-13254.63</v>
      </c>
      <c r="T92" s="290">
        <f t="shared" si="34"/>
        <v>13254.630000000005</v>
      </c>
      <c r="U92" s="293"/>
      <c r="V92" s="294">
        <v>-33.287465906577886</v>
      </c>
      <c r="W92" s="299"/>
    </row>
    <row r="93" spans="1:23" ht="130.5">
      <c r="A93" s="288">
        <v>86</v>
      </c>
      <c r="B93" s="289" t="s">
        <v>48</v>
      </c>
      <c r="C93" s="290" t="s">
        <v>1040</v>
      </c>
      <c r="D93" s="290" t="s">
        <v>63</v>
      </c>
      <c r="E93" s="290" t="s">
        <v>919</v>
      </c>
      <c r="F93" s="290">
        <f t="shared" si="35"/>
        <v>322896</v>
      </c>
      <c r="G93" s="337">
        <v>403.07</v>
      </c>
      <c r="H93" s="290">
        <f t="shared" si="25"/>
        <v>262398.57</v>
      </c>
      <c r="I93" s="291">
        <f>'DETAILED (2)'!I1066</f>
        <v>142.35000000000005</v>
      </c>
      <c r="J93" s="291">
        <f t="shared" si="29"/>
        <v>92669.850000000035</v>
      </c>
      <c r="K93" s="296">
        <f t="shared" si="30"/>
        <v>545.42000000000007</v>
      </c>
      <c r="L93" s="291">
        <f t="shared" si="31"/>
        <v>355068.42000000004</v>
      </c>
      <c r="M93" s="297">
        <f t="shared" si="26"/>
        <v>32172.420000000042</v>
      </c>
      <c r="N93" s="297">
        <f t="shared" si="27"/>
        <v>0</v>
      </c>
      <c r="O93" s="292"/>
      <c r="P93" s="290">
        <f t="shared" si="28"/>
        <v>0</v>
      </c>
      <c r="Q93" s="292">
        <f t="shared" ref="Q93:Q106" si="45">ROUND(E93-K93,2)</f>
        <v>-49.42</v>
      </c>
      <c r="R93" s="290">
        <f t="shared" ref="R93:R106" si="46">ROUND(C93*Q93,2)</f>
        <v>-32172.42</v>
      </c>
      <c r="S93" s="290">
        <f t="shared" si="33"/>
        <v>-32172.420000000042</v>
      </c>
      <c r="T93" s="290">
        <f t="shared" si="34"/>
        <v>32172.42</v>
      </c>
      <c r="U93" s="293" t="s">
        <v>1771</v>
      </c>
      <c r="V93" s="294">
        <v>-33.349031974035817</v>
      </c>
      <c r="W93" s="299"/>
    </row>
    <row r="94" spans="1:23" ht="108.75">
      <c r="A94" s="288">
        <v>87</v>
      </c>
      <c r="B94" s="289" t="s">
        <v>49</v>
      </c>
      <c r="C94" s="290" t="s">
        <v>1041</v>
      </c>
      <c r="D94" s="290" t="s">
        <v>63</v>
      </c>
      <c r="E94" s="290" t="s">
        <v>920</v>
      </c>
      <c r="F94" s="290">
        <f t="shared" si="35"/>
        <v>16596.599999999999</v>
      </c>
      <c r="G94" s="337">
        <v>28.42</v>
      </c>
      <c r="H94" s="290">
        <f t="shared" si="25"/>
        <v>16966.740000000002</v>
      </c>
      <c r="I94" s="291">
        <f>'DETAILED (2)'!I1074</f>
        <v>236.59</v>
      </c>
      <c r="J94" s="291">
        <f t="shared" si="29"/>
        <v>141244.23000000001</v>
      </c>
      <c r="K94" s="296">
        <f t="shared" si="30"/>
        <v>265.01</v>
      </c>
      <c r="L94" s="291">
        <f t="shared" si="31"/>
        <v>158210.97</v>
      </c>
      <c r="M94" s="297">
        <f t="shared" si="26"/>
        <v>141614.37</v>
      </c>
      <c r="N94" s="297">
        <f t="shared" si="27"/>
        <v>0</v>
      </c>
      <c r="O94" s="292"/>
      <c r="P94" s="290">
        <f t="shared" si="28"/>
        <v>0</v>
      </c>
      <c r="Q94" s="292">
        <f t="shared" si="45"/>
        <v>-237.21</v>
      </c>
      <c r="R94" s="290">
        <f t="shared" si="46"/>
        <v>-141614.37</v>
      </c>
      <c r="S94" s="290">
        <f t="shared" si="33"/>
        <v>-141614.37</v>
      </c>
      <c r="T94" s="290">
        <f t="shared" si="34"/>
        <v>141614.37</v>
      </c>
      <c r="U94" s="293" t="s">
        <v>1778</v>
      </c>
      <c r="V94" s="294">
        <v>-33.320675058358376</v>
      </c>
      <c r="W94" s="299"/>
    </row>
    <row r="95" spans="1:23">
      <c r="A95" s="288">
        <v>88</v>
      </c>
      <c r="B95" s="289" t="s">
        <v>756</v>
      </c>
      <c r="C95" s="290" t="s">
        <v>1042</v>
      </c>
      <c r="D95" s="290" t="s">
        <v>63</v>
      </c>
      <c r="E95" s="290" t="s">
        <v>921</v>
      </c>
      <c r="F95" s="290">
        <f t="shared" si="35"/>
        <v>59910.400000000001</v>
      </c>
      <c r="G95" s="333">
        <v>63.24</v>
      </c>
      <c r="H95" s="290">
        <f t="shared" si="25"/>
        <v>51477.36</v>
      </c>
      <c r="I95" s="291"/>
      <c r="J95" s="291">
        <f t="shared" si="29"/>
        <v>0</v>
      </c>
      <c r="K95" s="296">
        <f t="shared" si="30"/>
        <v>63.24</v>
      </c>
      <c r="L95" s="291">
        <f t="shared" si="31"/>
        <v>51477.36</v>
      </c>
      <c r="M95" s="297">
        <f t="shared" si="26"/>
        <v>0</v>
      </c>
      <c r="N95" s="297">
        <f t="shared" si="27"/>
        <v>8433.0400000000009</v>
      </c>
      <c r="O95" s="292"/>
      <c r="P95" s="290">
        <f t="shared" si="28"/>
        <v>0</v>
      </c>
      <c r="Q95" s="292">
        <f t="shared" si="45"/>
        <v>10.36</v>
      </c>
      <c r="R95" s="290">
        <f t="shared" si="46"/>
        <v>8433.0400000000009</v>
      </c>
      <c r="S95" s="290">
        <f t="shared" si="33"/>
        <v>0</v>
      </c>
      <c r="T95" s="290">
        <f t="shared" si="34"/>
        <v>0</v>
      </c>
      <c r="U95" s="293"/>
      <c r="V95" s="294">
        <v>-33.328418966180969</v>
      </c>
      <c r="W95" s="299"/>
    </row>
    <row r="96" spans="1:23" ht="108.75">
      <c r="A96" s="288">
        <v>89</v>
      </c>
      <c r="B96" s="289" t="s">
        <v>757</v>
      </c>
      <c r="C96" s="290" t="s">
        <v>1043</v>
      </c>
      <c r="D96" s="290" t="s">
        <v>63</v>
      </c>
      <c r="E96" s="290" t="s">
        <v>922</v>
      </c>
      <c r="F96" s="290">
        <f t="shared" si="35"/>
        <v>39394.400000000001</v>
      </c>
      <c r="G96" s="333"/>
      <c r="H96" s="290">
        <f t="shared" si="25"/>
        <v>0</v>
      </c>
      <c r="I96" s="291">
        <f>'DETAILED (2)'!I1080</f>
        <v>19.36</v>
      </c>
      <c r="J96" s="291">
        <f t="shared" si="29"/>
        <v>41449.760000000002</v>
      </c>
      <c r="K96" s="296">
        <f t="shared" si="30"/>
        <v>19.36</v>
      </c>
      <c r="L96" s="291">
        <f t="shared" si="31"/>
        <v>41449.760000000002</v>
      </c>
      <c r="M96" s="297">
        <f t="shared" si="26"/>
        <v>2055.3600000000006</v>
      </c>
      <c r="N96" s="297">
        <f t="shared" si="27"/>
        <v>0</v>
      </c>
      <c r="O96" s="292"/>
      <c r="P96" s="290">
        <f t="shared" si="28"/>
        <v>0</v>
      </c>
      <c r="Q96" s="292">
        <f t="shared" si="45"/>
        <v>-0.96</v>
      </c>
      <c r="R96" s="290">
        <f t="shared" si="46"/>
        <v>-2055.36</v>
      </c>
      <c r="S96" s="290">
        <f t="shared" si="33"/>
        <v>-2055.3600000000006</v>
      </c>
      <c r="T96" s="290">
        <f t="shared" si="34"/>
        <v>2055.36</v>
      </c>
      <c r="U96" s="293" t="s">
        <v>1775</v>
      </c>
      <c r="V96" s="294">
        <v>-24.292786421499294</v>
      </c>
      <c r="W96" s="299"/>
    </row>
    <row r="97" spans="1:23" ht="108.75">
      <c r="A97" s="288">
        <v>90</v>
      </c>
      <c r="B97" s="289" t="s">
        <v>758</v>
      </c>
      <c r="C97" s="290" t="s">
        <v>1044</v>
      </c>
      <c r="D97" s="290" t="s">
        <v>64</v>
      </c>
      <c r="E97" s="290" t="s">
        <v>923</v>
      </c>
      <c r="F97" s="290">
        <f t="shared" si="35"/>
        <v>4776</v>
      </c>
      <c r="G97" s="333">
        <v>3</v>
      </c>
      <c r="H97" s="290">
        <f t="shared" si="25"/>
        <v>4776</v>
      </c>
      <c r="I97" s="291"/>
      <c r="J97" s="291">
        <f t="shared" si="29"/>
        <v>0</v>
      </c>
      <c r="K97" s="296">
        <f t="shared" si="30"/>
        <v>3</v>
      </c>
      <c r="L97" s="291">
        <f t="shared" si="31"/>
        <v>4776</v>
      </c>
      <c r="M97" s="297">
        <f t="shared" si="26"/>
        <v>0</v>
      </c>
      <c r="N97" s="297">
        <f t="shared" si="27"/>
        <v>0</v>
      </c>
      <c r="O97" s="292"/>
      <c r="P97" s="290">
        <f t="shared" si="28"/>
        <v>0</v>
      </c>
      <c r="Q97" s="292">
        <f t="shared" si="45"/>
        <v>0</v>
      </c>
      <c r="R97" s="290">
        <f t="shared" si="46"/>
        <v>0</v>
      </c>
      <c r="S97" s="290">
        <f t="shared" si="33"/>
        <v>0</v>
      </c>
      <c r="T97" s="290">
        <f t="shared" si="34"/>
        <v>0</v>
      </c>
      <c r="U97" s="293"/>
      <c r="V97" s="294">
        <v>-32.176817422719068</v>
      </c>
      <c r="W97" s="299"/>
    </row>
    <row r="98" spans="1:23">
      <c r="A98" s="288">
        <v>91</v>
      </c>
      <c r="B98" s="289" t="s">
        <v>759</v>
      </c>
      <c r="C98" s="290" t="s">
        <v>1045</v>
      </c>
      <c r="D98" s="290" t="s">
        <v>64</v>
      </c>
      <c r="E98" s="290" t="s">
        <v>924</v>
      </c>
      <c r="F98" s="290">
        <f t="shared" si="35"/>
        <v>27285</v>
      </c>
      <c r="G98" s="333">
        <v>14</v>
      </c>
      <c r="H98" s="290">
        <f t="shared" si="25"/>
        <v>22470</v>
      </c>
      <c r="I98" s="291"/>
      <c r="J98" s="291">
        <f t="shared" si="29"/>
        <v>0</v>
      </c>
      <c r="K98" s="296">
        <f t="shared" si="30"/>
        <v>14</v>
      </c>
      <c r="L98" s="291">
        <f t="shared" si="31"/>
        <v>22470</v>
      </c>
      <c r="M98" s="297">
        <f t="shared" si="26"/>
        <v>0</v>
      </c>
      <c r="N98" s="297">
        <f t="shared" si="27"/>
        <v>4815</v>
      </c>
      <c r="O98" s="292"/>
      <c r="P98" s="290">
        <f t="shared" si="28"/>
        <v>0</v>
      </c>
      <c r="Q98" s="292">
        <f t="shared" si="45"/>
        <v>3</v>
      </c>
      <c r="R98" s="290">
        <f t="shared" si="46"/>
        <v>4815</v>
      </c>
      <c r="S98" s="290">
        <f t="shared" si="33"/>
        <v>0</v>
      </c>
      <c r="T98" s="290">
        <f t="shared" si="34"/>
        <v>0</v>
      </c>
      <c r="U98" s="293"/>
      <c r="V98" s="294">
        <v>-32.135880457670545</v>
      </c>
      <c r="W98" s="299"/>
    </row>
    <row r="99" spans="1:23" ht="108.75">
      <c r="A99" s="288">
        <v>92</v>
      </c>
      <c r="B99" s="289" t="s">
        <v>760</v>
      </c>
      <c r="C99" s="290" t="s">
        <v>1046</v>
      </c>
      <c r="D99" s="290" t="s">
        <v>63</v>
      </c>
      <c r="E99" s="290" t="s">
        <v>920</v>
      </c>
      <c r="F99" s="290">
        <f t="shared" si="35"/>
        <v>80508.800000000003</v>
      </c>
      <c r="G99" s="333"/>
      <c r="H99" s="290">
        <f t="shared" si="25"/>
        <v>0</v>
      </c>
      <c r="I99" s="291">
        <f>'DETAILED (2)'!I1089</f>
        <v>22.06</v>
      </c>
      <c r="J99" s="291">
        <f t="shared" si="29"/>
        <v>63885.759999999995</v>
      </c>
      <c r="K99" s="296">
        <f t="shared" si="30"/>
        <v>22.06</v>
      </c>
      <c r="L99" s="291">
        <f t="shared" si="31"/>
        <v>63885.759999999995</v>
      </c>
      <c r="M99" s="297">
        <f t="shared" si="26"/>
        <v>0</v>
      </c>
      <c r="N99" s="297">
        <f t="shared" si="27"/>
        <v>16623.040000000008</v>
      </c>
      <c r="O99" s="292"/>
      <c r="P99" s="290">
        <f t="shared" si="28"/>
        <v>0</v>
      </c>
      <c r="Q99" s="292">
        <f t="shared" si="45"/>
        <v>5.74</v>
      </c>
      <c r="R99" s="290">
        <f t="shared" si="46"/>
        <v>16623.04</v>
      </c>
      <c r="S99" s="290">
        <f t="shared" si="33"/>
        <v>0</v>
      </c>
      <c r="T99" s="290">
        <f t="shared" si="34"/>
        <v>0</v>
      </c>
      <c r="U99" s="293"/>
      <c r="V99" s="294">
        <v>-26.981165376566395</v>
      </c>
      <c r="W99" s="299"/>
    </row>
    <row r="100" spans="1:23" ht="108.75">
      <c r="A100" s="288">
        <v>93</v>
      </c>
      <c r="B100" s="289" t="s">
        <v>761</v>
      </c>
      <c r="C100" s="290" t="s">
        <v>1047</v>
      </c>
      <c r="D100" s="290" t="s">
        <v>63</v>
      </c>
      <c r="E100" s="290" t="s">
        <v>925</v>
      </c>
      <c r="F100" s="290">
        <f t="shared" si="35"/>
        <v>35015.4</v>
      </c>
      <c r="G100" s="333"/>
      <c r="H100" s="290">
        <f t="shared" si="25"/>
        <v>0</v>
      </c>
      <c r="I100" s="291">
        <f>'DETAILED (2)'!I1093</f>
        <v>13.02</v>
      </c>
      <c r="J100" s="291">
        <f t="shared" si="29"/>
        <v>36182.58</v>
      </c>
      <c r="K100" s="296">
        <f t="shared" si="30"/>
        <v>13.02</v>
      </c>
      <c r="L100" s="291">
        <f t="shared" si="31"/>
        <v>36182.58</v>
      </c>
      <c r="M100" s="297">
        <f t="shared" si="26"/>
        <v>1167.1800000000003</v>
      </c>
      <c r="N100" s="297">
        <f t="shared" si="27"/>
        <v>0</v>
      </c>
      <c r="O100" s="292"/>
      <c r="P100" s="290">
        <f t="shared" si="28"/>
        <v>0</v>
      </c>
      <c r="Q100" s="292">
        <f t="shared" si="45"/>
        <v>-0.42</v>
      </c>
      <c r="R100" s="290">
        <f t="shared" si="46"/>
        <v>-1167.18</v>
      </c>
      <c r="S100" s="290">
        <f t="shared" si="33"/>
        <v>-1167.1800000000003</v>
      </c>
      <c r="T100" s="290">
        <f t="shared" si="34"/>
        <v>1167.18</v>
      </c>
      <c r="U100" s="293" t="s">
        <v>1775</v>
      </c>
      <c r="V100" s="294">
        <v>-23.559765865680838</v>
      </c>
      <c r="W100" s="299"/>
    </row>
    <row r="101" spans="1:23" ht="87">
      <c r="A101" s="288">
        <v>94</v>
      </c>
      <c r="B101" s="289" t="s">
        <v>762</v>
      </c>
      <c r="C101" s="290" t="s">
        <v>1048</v>
      </c>
      <c r="D101" s="290" t="s">
        <v>63</v>
      </c>
      <c r="E101" s="290" t="s">
        <v>926</v>
      </c>
      <c r="F101" s="290">
        <f t="shared" si="35"/>
        <v>73625</v>
      </c>
      <c r="G101" s="333"/>
      <c r="H101" s="290">
        <f t="shared" si="25"/>
        <v>0</v>
      </c>
      <c r="I101" s="291">
        <f>'DETAILED (2)'!I1106</f>
        <v>25.84</v>
      </c>
      <c r="J101" s="291">
        <f t="shared" si="29"/>
        <v>61370</v>
      </c>
      <c r="K101" s="296">
        <f t="shared" si="30"/>
        <v>25.84</v>
      </c>
      <c r="L101" s="291">
        <f t="shared" si="31"/>
        <v>61370</v>
      </c>
      <c r="M101" s="297">
        <f t="shared" si="26"/>
        <v>0</v>
      </c>
      <c r="N101" s="297">
        <f t="shared" si="27"/>
        <v>12255</v>
      </c>
      <c r="O101" s="292"/>
      <c r="P101" s="290">
        <f t="shared" si="28"/>
        <v>0</v>
      </c>
      <c r="Q101" s="292">
        <f t="shared" si="45"/>
        <v>5.16</v>
      </c>
      <c r="R101" s="290">
        <f t="shared" si="46"/>
        <v>12255</v>
      </c>
      <c r="S101" s="290">
        <f t="shared" si="33"/>
        <v>0</v>
      </c>
      <c r="T101" s="290">
        <f t="shared" si="34"/>
        <v>0</v>
      </c>
      <c r="U101" s="293"/>
      <c r="V101" s="294">
        <v>-26.8593883289141</v>
      </c>
      <c r="W101" s="299"/>
    </row>
    <row r="102" spans="1:23" ht="108.75">
      <c r="A102" s="288">
        <v>95</v>
      </c>
      <c r="B102" s="289" t="s">
        <v>763</v>
      </c>
      <c r="C102" s="290" t="s">
        <v>1049</v>
      </c>
      <c r="D102" s="290" t="s">
        <v>63</v>
      </c>
      <c r="E102" s="290" t="s">
        <v>927</v>
      </c>
      <c r="F102" s="290">
        <f t="shared" si="35"/>
        <v>12058.9</v>
      </c>
      <c r="G102" s="333"/>
      <c r="H102" s="290">
        <f t="shared" si="25"/>
        <v>0</v>
      </c>
      <c r="I102" s="291">
        <f>'DETAILED (2)'!I1099</f>
        <v>4.92</v>
      </c>
      <c r="J102" s="291">
        <f t="shared" si="29"/>
        <v>12108.119999999999</v>
      </c>
      <c r="K102" s="296">
        <f t="shared" si="30"/>
        <v>4.92</v>
      </c>
      <c r="L102" s="291">
        <f t="shared" si="31"/>
        <v>12108.119999999999</v>
      </c>
      <c r="M102" s="297">
        <f t="shared" si="26"/>
        <v>49.219999999999345</v>
      </c>
      <c r="N102" s="297">
        <f t="shared" si="27"/>
        <v>0</v>
      </c>
      <c r="O102" s="292"/>
      <c r="P102" s="290">
        <f t="shared" si="28"/>
        <v>0</v>
      </c>
      <c r="Q102" s="292">
        <f t="shared" si="45"/>
        <v>-0.02</v>
      </c>
      <c r="R102" s="290">
        <f t="shared" si="46"/>
        <v>-49.22</v>
      </c>
      <c r="S102" s="290">
        <f t="shared" si="33"/>
        <v>-49.219999999999345</v>
      </c>
      <c r="T102" s="290">
        <f t="shared" si="34"/>
        <v>49.22</v>
      </c>
      <c r="U102" s="293" t="s">
        <v>1775</v>
      </c>
      <c r="V102" s="294">
        <v>-26.755516401883344</v>
      </c>
      <c r="W102" s="299"/>
    </row>
    <row r="103" spans="1:23" ht="65.25">
      <c r="A103" s="288">
        <v>96</v>
      </c>
      <c r="B103" s="289" t="s">
        <v>764</v>
      </c>
      <c r="C103" s="290" t="s">
        <v>1050</v>
      </c>
      <c r="D103" s="290" t="s">
        <v>63</v>
      </c>
      <c r="E103" s="290" t="s">
        <v>928</v>
      </c>
      <c r="F103" s="290">
        <f t="shared" si="35"/>
        <v>30303</v>
      </c>
      <c r="G103" s="333"/>
      <c r="H103" s="290">
        <f t="shared" si="25"/>
        <v>0</v>
      </c>
      <c r="I103" s="291"/>
      <c r="J103" s="291">
        <f t="shared" si="29"/>
        <v>0</v>
      </c>
      <c r="K103" s="296">
        <f t="shared" si="30"/>
        <v>0</v>
      </c>
      <c r="L103" s="291">
        <f t="shared" si="31"/>
        <v>0</v>
      </c>
      <c r="M103" s="297">
        <f t="shared" si="26"/>
        <v>0</v>
      </c>
      <c r="N103" s="297">
        <f t="shared" si="27"/>
        <v>30303</v>
      </c>
      <c r="O103" s="292"/>
      <c r="P103" s="290">
        <f t="shared" si="28"/>
        <v>0</v>
      </c>
      <c r="Q103" s="292">
        <f t="shared" si="45"/>
        <v>58.5</v>
      </c>
      <c r="R103" s="290">
        <f t="shared" si="46"/>
        <v>30303</v>
      </c>
      <c r="S103" s="290">
        <f t="shared" si="33"/>
        <v>0</v>
      </c>
      <c r="T103" s="290">
        <f t="shared" si="34"/>
        <v>0</v>
      </c>
      <c r="U103" s="293"/>
      <c r="V103" s="294">
        <v>-26.503972758229281</v>
      </c>
      <c r="W103" s="299"/>
    </row>
    <row r="104" spans="1:23" ht="108.75">
      <c r="A104" s="288">
        <v>97</v>
      </c>
      <c r="B104" s="289" t="s">
        <v>765</v>
      </c>
      <c r="C104" s="290" t="s">
        <v>1051</v>
      </c>
      <c r="D104" s="290" t="s">
        <v>64</v>
      </c>
      <c r="E104" s="290" t="s">
        <v>895</v>
      </c>
      <c r="F104" s="290">
        <f t="shared" si="35"/>
        <v>5706</v>
      </c>
      <c r="G104" s="333"/>
      <c r="H104" s="290">
        <f t="shared" si="25"/>
        <v>0</v>
      </c>
      <c r="I104" s="291">
        <f>'DETAILED (2)'!I1110</f>
        <v>2</v>
      </c>
      <c r="J104" s="291">
        <f t="shared" si="29"/>
        <v>11412</v>
      </c>
      <c r="K104" s="296">
        <f t="shared" si="30"/>
        <v>2</v>
      </c>
      <c r="L104" s="291">
        <f t="shared" si="31"/>
        <v>11412</v>
      </c>
      <c r="M104" s="297">
        <f t="shared" si="26"/>
        <v>5706</v>
      </c>
      <c r="N104" s="297">
        <f t="shared" si="27"/>
        <v>0</v>
      </c>
      <c r="O104" s="292"/>
      <c r="P104" s="290">
        <f t="shared" si="28"/>
        <v>0</v>
      </c>
      <c r="Q104" s="292">
        <f t="shared" si="45"/>
        <v>-1</v>
      </c>
      <c r="R104" s="290">
        <f t="shared" si="46"/>
        <v>-5706</v>
      </c>
      <c r="S104" s="290">
        <f t="shared" si="33"/>
        <v>-5706</v>
      </c>
      <c r="T104" s="290">
        <f t="shared" si="34"/>
        <v>5706</v>
      </c>
      <c r="U104" s="293" t="s">
        <v>1775</v>
      </c>
      <c r="V104" s="294">
        <v>-23.549981912456285</v>
      </c>
      <c r="W104" s="299"/>
    </row>
    <row r="105" spans="1:23" ht="87">
      <c r="A105" s="288">
        <v>98</v>
      </c>
      <c r="B105" s="289" t="s">
        <v>766</v>
      </c>
      <c r="C105" s="290" t="s">
        <v>1052</v>
      </c>
      <c r="D105" s="290" t="s">
        <v>63</v>
      </c>
      <c r="E105" s="290" t="s">
        <v>929</v>
      </c>
      <c r="F105" s="290">
        <f t="shared" si="35"/>
        <v>2305.8000000000002</v>
      </c>
      <c r="G105" s="333"/>
      <c r="H105" s="290">
        <f t="shared" si="25"/>
        <v>0</v>
      </c>
      <c r="I105" s="291">
        <f>'DETAILED (2)'!I1115</f>
        <v>0.81</v>
      </c>
      <c r="J105" s="291">
        <f t="shared" si="29"/>
        <v>2075.2200000000003</v>
      </c>
      <c r="K105" s="296">
        <f t="shared" si="30"/>
        <v>0.81</v>
      </c>
      <c r="L105" s="291">
        <f t="shared" si="31"/>
        <v>2075.2200000000003</v>
      </c>
      <c r="M105" s="297">
        <f t="shared" si="26"/>
        <v>0</v>
      </c>
      <c r="N105" s="297">
        <f t="shared" si="27"/>
        <v>230.57999999999993</v>
      </c>
      <c r="O105" s="292"/>
      <c r="P105" s="290">
        <f t="shared" si="28"/>
        <v>0</v>
      </c>
      <c r="Q105" s="292">
        <f t="shared" si="45"/>
        <v>0.09</v>
      </c>
      <c r="R105" s="290">
        <f t="shared" si="46"/>
        <v>230.58</v>
      </c>
      <c r="S105" s="290">
        <f t="shared" si="33"/>
        <v>0</v>
      </c>
      <c r="T105" s="290">
        <f t="shared" si="34"/>
        <v>0</v>
      </c>
      <c r="U105" s="293"/>
      <c r="V105" s="294">
        <v>-23.557984938357063</v>
      </c>
      <c r="W105" s="299"/>
    </row>
    <row r="106" spans="1:23" ht="108.75">
      <c r="A106" s="288">
        <v>99</v>
      </c>
      <c r="B106" s="289" t="s">
        <v>767</v>
      </c>
      <c r="C106" s="290" t="s">
        <v>1031</v>
      </c>
      <c r="D106" s="290" t="s">
        <v>63</v>
      </c>
      <c r="E106" s="290" t="s">
        <v>930</v>
      </c>
      <c r="F106" s="290">
        <f t="shared" si="35"/>
        <v>87210.8</v>
      </c>
      <c r="G106" s="333"/>
      <c r="H106" s="290">
        <f t="shared" si="25"/>
        <v>0</v>
      </c>
      <c r="I106" s="291">
        <f>'DETAILED (2)'!I1147</f>
        <v>115.35999999999997</v>
      </c>
      <c r="J106" s="291">
        <f t="shared" si="29"/>
        <v>95633.439999999973</v>
      </c>
      <c r="K106" s="296">
        <f t="shared" si="30"/>
        <v>115.35999999999997</v>
      </c>
      <c r="L106" s="291">
        <f t="shared" si="31"/>
        <v>95633.439999999973</v>
      </c>
      <c r="M106" s="297">
        <f t="shared" si="26"/>
        <v>8422.6399999999703</v>
      </c>
      <c r="N106" s="297">
        <f t="shared" si="27"/>
        <v>0</v>
      </c>
      <c r="O106" s="292"/>
      <c r="P106" s="290">
        <f t="shared" si="28"/>
        <v>0</v>
      </c>
      <c r="Q106" s="292">
        <f t="shared" si="45"/>
        <v>-10.16</v>
      </c>
      <c r="R106" s="290">
        <f t="shared" si="46"/>
        <v>-8422.64</v>
      </c>
      <c r="S106" s="290">
        <f t="shared" si="33"/>
        <v>-8422.6399999999703</v>
      </c>
      <c r="T106" s="290">
        <f t="shared" si="34"/>
        <v>8422.64</v>
      </c>
      <c r="U106" s="293" t="s">
        <v>1775</v>
      </c>
      <c r="V106" s="294">
        <v>-30.897663524135808</v>
      </c>
      <c r="W106" s="299"/>
    </row>
    <row r="107" spans="1:23" ht="108.75">
      <c r="A107" s="288">
        <v>100</v>
      </c>
      <c r="B107" s="289" t="s">
        <v>768</v>
      </c>
      <c r="C107" s="290" t="s">
        <v>1053</v>
      </c>
      <c r="D107" s="290" t="s">
        <v>63</v>
      </c>
      <c r="E107" s="290" t="s">
        <v>931</v>
      </c>
      <c r="F107" s="290">
        <f t="shared" si="35"/>
        <v>19872</v>
      </c>
      <c r="G107" s="333"/>
      <c r="H107" s="290">
        <f t="shared" si="25"/>
        <v>0</v>
      </c>
      <c r="I107" s="291">
        <f>'DETAILED (2)'!I1173</f>
        <v>46.300000000000004</v>
      </c>
      <c r="J107" s="291">
        <f t="shared" si="29"/>
        <v>34076.800000000003</v>
      </c>
      <c r="K107" s="296">
        <f t="shared" si="30"/>
        <v>46.300000000000004</v>
      </c>
      <c r="L107" s="291">
        <f t="shared" si="31"/>
        <v>34076.800000000003</v>
      </c>
      <c r="M107" s="297">
        <f t="shared" si="26"/>
        <v>14204.800000000003</v>
      </c>
      <c r="N107" s="297">
        <f t="shared" si="27"/>
        <v>0</v>
      </c>
      <c r="O107" s="292">
        <f t="shared" ref="O107" si="47">ROUND(K107-E107,2)</f>
        <v>19.3</v>
      </c>
      <c r="P107" s="290">
        <f t="shared" si="28"/>
        <v>14204.8</v>
      </c>
      <c r="Q107" s="292"/>
      <c r="R107" s="290"/>
      <c r="S107" s="290">
        <f t="shared" si="33"/>
        <v>0</v>
      </c>
      <c r="T107" s="290">
        <f t="shared" si="34"/>
        <v>0</v>
      </c>
      <c r="U107" s="293" t="s">
        <v>1775</v>
      </c>
      <c r="V107" s="294">
        <v>-29.807829860283245</v>
      </c>
      <c r="W107" s="299"/>
    </row>
    <row r="108" spans="1:23" ht="108.75">
      <c r="A108" s="288">
        <v>101</v>
      </c>
      <c r="B108" s="289" t="s">
        <v>769</v>
      </c>
      <c r="C108" s="290" t="s">
        <v>1054</v>
      </c>
      <c r="D108" s="290" t="s">
        <v>967</v>
      </c>
      <c r="E108" s="290" t="s">
        <v>932</v>
      </c>
      <c r="F108" s="290">
        <f t="shared" si="35"/>
        <v>130378</v>
      </c>
      <c r="G108" s="333"/>
      <c r="H108" s="290">
        <f t="shared" si="25"/>
        <v>0</v>
      </c>
      <c r="I108" s="291">
        <f>'DETAILED (2)'!I1187</f>
        <v>160.44</v>
      </c>
      <c r="J108" s="291">
        <f t="shared" si="29"/>
        <v>143272.91999999998</v>
      </c>
      <c r="K108" s="296">
        <f t="shared" si="30"/>
        <v>160.44</v>
      </c>
      <c r="L108" s="291">
        <f t="shared" si="31"/>
        <v>143272.91999999998</v>
      </c>
      <c r="M108" s="297">
        <f t="shared" si="26"/>
        <v>12894.919999999984</v>
      </c>
      <c r="N108" s="297">
        <f t="shared" si="27"/>
        <v>0</v>
      </c>
      <c r="O108" s="292"/>
      <c r="P108" s="290">
        <f t="shared" si="28"/>
        <v>0</v>
      </c>
      <c r="Q108" s="292">
        <f t="shared" ref="Q108:Q109" si="48">ROUND(E108-K108,2)</f>
        <v>-14.44</v>
      </c>
      <c r="R108" s="290">
        <f t="shared" ref="R108:R113" si="49">ROUND(C108*Q108,2)</f>
        <v>-12894.92</v>
      </c>
      <c r="S108" s="290">
        <f t="shared" si="33"/>
        <v>-12894.919999999984</v>
      </c>
      <c r="T108" s="290">
        <f t="shared" si="34"/>
        <v>12894.92</v>
      </c>
      <c r="U108" s="293" t="s">
        <v>1775</v>
      </c>
      <c r="V108" s="294">
        <v>-29.586349371560139</v>
      </c>
      <c r="W108" s="299"/>
    </row>
    <row r="109" spans="1:23" ht="108.75">
      <c r="A109" s="288">
        <v>102</v>
      </c>
      <c r="B109" s="289" t="s">
        <v>770</v>
      </c>
      <c r="C109" s="290" t="s">
        <v>961</v>
      </c>
      <c r="D109" s="290" t="s">
        <v>63</v>
      </c>
      <c r="E109" s="290" t="s">
        <v>933</v>
      </c>
      <c r="F109" s="290">
        <f t="shared" si="35"/>
        <v>61285</v>
      </c>
      <c r="G109" s="333"/>
      <c r="H109" s="290">
        <f t="shared" si="25"/>
        <v>0</v>
      </c>
      <c r="I109" s="291">
        <f>'DETAILED (2)'!I1223</f>
        <v>1792.5699999999993</v>
      </c>
      <c r="J109" s="291">
        <f t="shared" si="29"/>
        <v>62739.949999999975</v>
      </c>
      <c r="K109" s="296">
        <f t="shared" si="30"/>
        <v>1792.5699999999993</v>
      </c>
      <c r="L109" s="291">
        <f t="shared" si="31"/>
        <v>62739.949999999975</v>
      </c>
      <c r="M109" s="297">
        <f t="shared" si="26"/>
        <v>1454.9499999999753</v>
      </c>
      <c r="N109" s="297">
        <f t="shared" si="27"/>
        <v>0</v>
      </c>
      <c r="O109" s="292">
        <f t="shared" ref="O109:O119" si="50">ROUND(K109-E109,2)</f>
        <v>41.57</v>
      </c>
      <c r="P109" s="290">
        <f t="shared" si="28"/>
        <v>1454.95</v>
      </c>
      <c r="Q109" s="292">
        <f t="shared" si="48"/>
        <v>-41.57</v>
      </c>
      <c r="R109" s="290">
        <f t="shared" si="49"/>
        <v>-1454.95</v>
      </c>
      <c r="S109" s="290">
        <f t="shared" si="33"/>
        <v>2.4783730623312294E-11</v>
      </c>
      <c r="T109" s="290">
        <f t="shared" si="34"/>
        <v>1454.95</v>
      </c>
      <c r="U109" s="293" t="s">
        <v>1775</v>
      </c>
      <c r="V109" s="294">
        <v>-33.76230128690387</v>
      </c>
      <c r="W109" s="299"/>
    </row>
    <row r="110" spans="1:23" ht="108.75">
      <c r="A110" s="288">
        <v>103</v>
      </c>
      <c r="B110" s="289" t="s">
        <v>771</v>
      </c>
      <c r="C110" s="290" t="s">
        <v>937</v>
      </c>
      <c r="D110" s="290" t="s">
        <v>63</v>
      </c>
      <c r="E110" s="290" t="s">
        <v>933</v>
      </c>
      <c r="F110" s="290">
        <f t="shared" si="35"/>
        <v>126072</v>
      </c>
      <c r="G110" s="333"/>
      <c r="H110" s="290">
        <f t="shared" si="25"/>
        <v>0</v>
      </c>
      <c r="I110" s="291">
        <f>'DETAILED (2)'!I1226</f>
        <v>1792.5699999999993</v>
      </c>
      <c r="J110" s="291">
        <f t="shared" si="29"/>
        <v>129065.03999999995</v>
      </c>
      <c r="K110" s="296">
        <f t="shared" si="30"/>
        <v>1792.5699999999993</v>
      </c>
      <c r="L110" s="291">
        <f t="shared" si="31"/>
        <v>129065.03999999995</v>
      </c>
      <c r="M110" s="297">
        <f t="shared" si="26"/>
        <v>2993.0399999999499</v>
      </c>
      <c r="N110" s="297">
        <f t="shared" si="27"/>
        <v>0</v>
      </c>
      <c r="O110" s="292">
        <f t="shared" si="50"/>
        <v>41.57</v>
      </c>
      <c r="P110" s="290">
        <f t="shared" si="28"/>
        <v>2993.04</v>
      </c>
      <c r="Q110" s="292"/>
      <c r="R110" s="290">
        <f t="shared" si="49"/>
        <v>0</v>
      </c>
      <c r="S110" s="290">
        <f t="shared" si="33"/>
        <v>5.0022208597511053E-11</v>
      </c>
      <c r="T110" s="290">
        <f t="shared" si="34"/>
        <v>0</v>
      </c>
      <c r="U110" s="293" t="s">
        <v>1775</v>
      </c>
      <c r="V110" s="294">
        <v>-33.116581514166285</v>
      </c>
      <c r="W110" s="299"/>
    </row>
    <row r="111" spans="1:23" ht="87">
      <c r="A111" s="288">
        <v>104</v>
      </c>
      <c r="B111" s="289" t="s">
        <v>772</v>
      </c>
      <c r="C111" s="290" t="s">
        <v>1055</v>
      </c>
      <c r="D111" s="290" t="s">
        <v>66</v>
      </c>
      <c r="E111" s="415">
        <v>30.815999999999999</v>
      </c>
      <c r="F111" s="290">
        <f t="shared" si="35"/>
        <v>1583819.14</v>
      </c>
      <c r="G111" s="416">
        <v>23.016999999999999</v>
      </c>
      <c r="H111" s="290">
        <f t="shared" si="25"/>
        <v>1182981.73</v>
      </c>
      <c r="I111" s="296">
        <f>'DETAILED (2)'!I1229</f>
        <v>6.2427130000000002</v>
      </c>
      <c r="J111" s="291">
        <f t="shared" si="29"/>
        <v>320850.47734799999</v>
      </c>
      <c r="K111" s="296">
        <f t="shared" si="30"/>
        <v>29.259712999999998</v>
      </c>
      <c r="L111" s="291">
        <f t="shared" si="31"/>
        <v>1503832.2093479999</v>
      </c>
      <c r="M111" s="297">
        <f t="shared" si="26"/>
        <v>0</v>
      </c>
      <c r="N111" s="297">
        <f t="shared" si="27"/>
        <v>79986.93065200001</v>
      </c>
      <c r="O111" s="292">
        <f t="shared" si="50"/>
        <v>-1.56</v>
      </c>
      <c r="P111" s="290">
        <f t="shared" si="28"/>
        <v>-80177.759999999995</v>
      </c>
      <c r="Q111" s="292"/>
      <c r="R111" s="290">
        <f t="shared" si="49"/>
        <v>0</v>
      </c>
      <c r="S111" s="290">
        <f t="shared" si="33"/>
        <v>-80177.759999999995</v>
      </c>
      <c r="T111" s="290">
        <f t="shared" si="34"/>
        <v>79986.93065200001</v>
      </c>
      <c r="U111" s="293"/>
      <c r="V111" s="294">
        <v>-27.730359829576614</v>
      </c>
      <c r="W111" s="299"/>
    </row>
    <row r="112" spans="1:23" ht="130.5">
      <c r="A112" s="288">
        <v>105</v>
      </c>
      <c r="B112" s="289" t="s">
        <v>773</v>
      </c>
      <c r="C112" s="290" t="s">
        <v>1056</v>
      </c>
      <c r="D112" s="290" t="s">
        <v>64</v>
      </c>
      <c r="E112" s="290" t="s">
        <v>934</v>
      </c>
      <c r="F112" s="290">
        <f t="shared" si="35"/>
        <v>7980</v>
      </c>
      <c r="G112" s="333"/>
      <c r="H112" s="290">
        <f t="shared" si="25"/>
        <v>0</v>
      </c>
      <c r="I112" s="291">
        <f>'DETAILED (2)'!I1232</f>
        <v>6</v>
      </c>
      <c r="J112" s="291">
        <f t="shared" si="29"/>
        <v>6840</v>
      </c>
      <c r="K112" s="296">
        <f t="shared" si="30"/>
        <v>6</v>
      </c>
      <c r="L112" s="291">
        <f t="shared" si="31"/>
        <v>6840</v>
      </c>
      <c r="M112" s="297">
        <f t="shared" si="26"/>
        <v>0</v>
      </c>
      <c r="N112" s="297">
        <f t="shared" si="27"/>
        <v>1140</v>
      </c>
      <c r="O112" s="292">
        <f t="shared" si="50"/>
        <v>-1</v>
      </c>
      <c r="P112" s="290">
        <f t="shared" si="28"/>
        <v>-1140</v>
      </c>
      <c r="Q112" s="292"/>
      <c r="R112" s="290">
        <f t="shared" si="49"/>
        <v>0</v>
      </c>
      <c r="S112" s="290">
        <f t="shared" si="33"/>
        <v>-1140</v>
      </c>
      <c r="T112" s="290">
        <f t="shared" si="34"/>
        <v>1140</v>
      </c>
      <c r="U112" s="293"/>
      <c r="V112" s="294">
        <v>-62.257154586748953</v>
      </c>
      <c r="W112" s="299"/>
    </row>
    <row r="113" spans="1:23">
      <c r="A113" s="288">
        <v>106</v>
      </c>
      <c r="B113" s="289" t="s">
        <v>13</v>
      </c>
      <c r="C113" s="290" t="s">
        <v>1057</v>
      </c>
      <c r="D113" s="290" t="s">
        <v>65</v>
      </c>
      <c r="E113" s="290" t="s">
        <v>935</v>
      </c>
      <c r="F113" s="290">
        <f t="shared" si="35"/>
        <v>5859</v>
      </c>
      <c r="G113" s="333"/>
      <c r="H113" s="290">
        <f t="shared" si="25"/>
        <v>0</v>
      </c>
      <c r="I113" s="291">
        <f>'DETAILED (2)'!I1235</f>
        <v>18</v>
      </c>
      <c r="J113" s="291">
        <f t="shared" si="29"/>
        <v>5022</v>
      </c>
      <c r="K113" s="296">
        <f t="shared" si="30"/>
        <v>18</v>
      </c>
      <c r="L113" s="291">
        <f t="shared" si="31"/>
        <v>5022</v>
      </c>
      <c r="M113" s="297">
        <f t="shared" si="26"/>
        <v>0</v>
      </c>
      <c r="N113" s="297">
        <f t="shared" si="27"/>
        <v>837</v>
      </c>
      <c r="O113" s="292">
        <f t="shared" si="50"/>
        <v>-3</v>
      </c>
      <c r="P113" s="290">
        <f t="shared" si="28"/>
        <v>-837</v>
      </c>
      <c r="Q113" s="292"/>
      <c r="R113" s="290">
        <f t="shared" si="49"/>
        <v>0</v>
      </c>
      <c r="S113" s="290">
        <f t="shared" si="33"/>
        <v>-837</v>
      </c>
      <c r="T113" s="290">
        <f t="shared" si="34"/>
        <v>837</v>
      </c>
      <c r="U113" s="293"/>
      <c r="V113" s="294">
        <v>-33.33651916276402</v>
      </c>
      <c r="W113" s="299"/>
    </row>
    <row r="114" spans="1:23" ht="87">
      <c r="A114" s="288">
        <v>107</v>
      </c>
      <c r="B114" s="289" t="s">
        <v>774</v>
      </c>
      <c r="C114" s="290" t="s">
        <v>1058</v>
      </c>
      <c r="D114" s="290" t="s">
        <v>64</v>
      </c>
      <c r="E114" s="290" t="s">
        <v>934</v>
      </c>
      <c r="F114" s="290">
        <f t="shared" si="35"/>
        <v>5964</v>
      </c>
      <c r="G114" s="333"/>
      <c r="H114" s="290">
        <f t="shared" si="25"/>
        <v>0</v>
      </c>
      <c r="I114" s="291">
        <f>'DETAILED (2)'!I1238</f>
        <v>6</v>
      </c>
      <c r="J114" s="291">
        <f t="shared" si="29"/>
        <v>5112</v>
      </c>
      <c r="K114" s="296">
        <f t="shared" si="30"/>
        <v>6</v>
      </c>
      <c r="L114" s="291">
        <f t="shared" si="31"/>
        <v>5112</v>
      </c>
      <c r="M114" s="297">
        <f t="shared" si="26"/>
        <v>0</v>
      </c>
      <c r="N114" s="297">
        <f t="shared" si="27"/>
        <v>852</v>
      </c>
      <c r="O114" s="292">
        <f t="shared" si="50"/>
        <v>-1</v>
      </c>
      <c r="P114" s="290">
        <f t="shared" si="28"/>
        <v>-852</v>
      </c>
      <c r="Q114" s="292"/>
      <c r="R114" s="290"/>
      <c r="S114" s="290">
        <f t="shared" si="33"/>
        <v>-852</v>
      </c>
      <c r="T114" s="290">
        <f t="shared" si="34"/>
        <v>852</v>
      </c>
      <c r="U114" s="293"/>
      <c r="V114" s="294">
        <v>-23.518850987432675</v>
      </c>
      <c r="W114" s="299"/>
    </row>
    <row r="115" spans="1:23" ht="108.75">
      <c r="A115" s="288">
        <v>108</v>
      </c>
      <c r="B115" s="289" t="s">
        <v>775</v>
      </c>
      <c r="C115" s="290" t="s">
        <v>1059</v>
      </c>
      <c r="D115" s="290" t="s">
        <v>65</v>
      </c>
      <c r="E115" s="290" t="s">
        <v>936</v>
      </c>
      <c r="F115" s="290">
        <f t="shared" si="35"/>
        <v>19038</v>
      </c>
      <c r="G115" s="333"/>
      <c r="H115" s="290">
        <f t="shared" si="25"/>
        <v>0</v>
      </c>
      <c r="I115" s="291">
        <f>'DETAILED (2)'!I1246</f>
        <v>103.5</v>
      </c>
      <c r="J115" s="291">
        <f t="shared" si="29"/>
        <v>23598</v>
      </c>
      <c r="K115" s="296">
        <f t="shared" si="30"/>
        <v>103.5</v>
      </c>
      <c r="L115" s="291">
        <f t="shared" si="31"/>
        <v>23598</v>
      </c>
      <c r="M115" s="297">
        <f t="shared" si="26"/>
        <v>4560</v>
      </c>
      <c r="N115" s="297">
        <f t="shared" si="27"/>
        <v>0</v>
      </c>
      <c r="O115" s="292">
        <f t="shared" si="50"/>
        <v>20</v>
      </c>
      <c r="P115" s="290">
        <f t="shared" si="28"/>
        <v>4560</v>
      </c>
      <c r="Q115" s="292"/>
      <c r="R115" s="290"/>
      <c r="S115" s="290">
        <f t="shared" si="33"/>
        <v>0</v>
      </c>
      <c r="T115" s="290">
        <f t="shared" si="34"/>
        <v>0</v>
      </c>
      <c r="U115" s="293" t="s">
        <v>1775</v>
      </c>
      <c r="V115" s="294">
        <v>-27.952979839474178</v>
      </c>
      <c r="W115" s="299"/>
    </row>
    <row r="116" spans="1:23" ht="43.5">
      <c r="A116" s="288">
        <v>109</v>
      </c>
      <c r="B116" s="289" t="s">
        <v>776</v>
      </c>
      <c r="C116" s="290" t="s">
        <v>1060</v>
      </c>
      <c r="D116" s="290" t="s">
        <v>63</v>
      </c>
      <c r="E116" s="290" t="s">
        <v>875</v>
      </c>
      <c r="F116" s="290">
        <f t="shared" si="35"/>
        <v>2494.6999999999998</v>
      </c>
      <c r="G116" s="337"/>
      <c r="H116" s="290">
        <f t="shared" si="25"/>
        <v>0</v>
      </c>
      <c r="I116" s="291">
        <f>'DETAILED (2)'!I1252</f>
        <v>10.1</v>
      </c>
      <c r="J116" s="291">
        <f t="shared" si="29"/>
        <v>2494.6999999999998</v>
      </c>
      <c r="K116" s="296">
        <f t="shared" si="30"/>
        <v>10.1</v>
      </c>
      <c r="L116" s="291">
        <f t="shared" si="31"/>
        <v>2494.6999999999998</v>
      </c>
      <c r="M116" s="297">
        <f t="shared" si="26"/>
        <v>0</v>
      </c>
      <c r="N116" s="297">
        <f t="shared" si="27"/>
        <v>0</v>
      </c>
      <c r="O116" s="292">
        <f t="shared" si="50"/>
        <v>0</v>
      </c>
      <c r="P116" s="290">
        <f t="shared" si="28"/>
        <v>0</v>
      </c>
      <c r="Q116" s="292"/>
      <c r="R116" s="290"/>
      <c r="S116" s="290">
        <f t="shared" si="33"/>
        <v>0</v>
      </c>
      <c r="T116" s="290">
        <f t="shared" si="34"/>
        <v>0</v>
      </c>
      <c r="U116" s="293"/>
      <c r="V116" s="294">
        <v>-28.908588533271935</v>
      </c>
      <c r="W116" s="299"/>
    </row>
    <row r="117" spans="1:23" ht="152.25">
      <c r="A117" s="288">
        <v>110</v>
      </c>
      <c r="B117" s="289" t="s">
        <v>777</v>
      </c>
      <c r="C117" s="290" t="s">
        <v>1061</v>
      </c>
      <c r="D117" s="290" t="s">
        <v>65</v>
      </c>
      <c r="E117" s="290" t="s">
        <v>937</v>
      </c>
      <c r="F117" s="290">
        <f t="shared" si="35"/>
        <v>9936</v>
      </c>
      <c r="G117" s="333">
        <v>30</v>
      </c>
      <c r="H117" s="290">
        <f t="shared" si="25"/>
        <v>4140</v>
      </c>
      <c r="I117" s="291">
        <f>'DETAILED (2)'!I1265</f>
        <v>61.5</v>
      </c>
      <c r="J117" s="291">
        <f t="shared" si="29"/>
        <v>8487</v>
      </c>
      <c r="K117" s="296">
        <f t="shared" si="30"/>
        <v>91.5</v>
      </c>
      <c r="L117" s="291">
        <f t="shared" si="31"/>
        <v>12627</v>
      </c>
      <c r="M117" s="297">
        <f t="shared" si="26"/>
        <v>2691</v>
      </c>
      <c r="N117" s="297">
        <f t="shared" si="27"/>
        <v>0</v>
      </c>
      <c r="O117" s="292">
        <f t="shared" si="50"/>
        <v>19.5</v>
      </c>
      <c r="P117" s="290">
        <f t="shared" si="28"/>
        <v>2691</v>
      </c>
      <c r="Q117" s="292"/>
      <c r="R117" s="290"/>
      <c r="S117" s="290">
        <f t="shared" si="33"/>
        <v>0</v>
      </c>
      <c r="T117" s="290">
        <f t="shared" si="34"/>
        <v>0</v>
      </c>
      <c r="U117" s="293" t="s">
        <v>1772</v>
      </c>
      <c r="V117" s="294">
        <v>-31.935881627620223</v>
      </c>
      <c r="W117" s="299"/>
    </row>
    <row r="118" spans="1:23" ht="87">
      <c r="A118" s="288">
        <v>111</v>
      </c>
      <c r="B118" s="289" t="s">
        <v>778</v>
      </c>
      <c r="C118" s="290" t="s">
        <v>946</v>
      </c>
      <c r="D118" s="290" t="s">
        <v>64</v>
      </c>
      <c r="E118" s="290" t="s">
        <v>895</v>
      </c>
      <c r="F118" s="290">
        <f t="shared" si="35"/>
        <v>130</v>
      </c>
      <c r="G118" s="337"/>
      <c r="H118" s="290">
        <f t="shared" si="25"/>
        <v>0</v>
      </c>
      <c r="I118" s="291">
        <f>'DETAILED (2)'!I1268</f>
        <v>1</v>
      </c>
      <c r="J118" s="291">
        <f t="shared" si="29"/>
        <v>130</v>
      </c>
      <c r="K118" s="296">
        <f t="shared" si="30"/>
        <v>1</v>
      </c>
      <c r="L118" s="291">
        <f t="shared" si="31"/>
        <v>130</v>
      </c>
      <c r="M118" s="297">
        <f t="shared" si="26"/>
        <v>0</v>
      </c>
      <c r="N118" s="297">
        <f t="shared" si="27"/>
        <v>0</v>
      </c>
      <c r="O118" s="292">
        <f t="shared" si="50"/>
        <v>0</v>
      </c>
      <c r="P118" s="290">
        <f t="shared" si="28"/>
        <v>0</v>
      </c>
      <c r="Q118" s="292"/>
      <c r="R118" s="290"/>
      <c r="S118" s="290">
        <f t="shared" si="33"/>
        <v>0</v>
      </c>
      <c r="T118" s="290">
        <f t="shared" si="34"/>
        <v>0</v>
      </c>
      <c r="U118" s="293"/>
      <c r="V118" s="294">
        <v>-27.170868347338935</v>
      </c>
      <c r="W118" s="299"/>
    </row>
    <row r="119" spans="1:23" ht="43.5">
      <c r="A119" s="288">
        <v>112</v>
      </c>
      <c r="B119" s="289" t="s">
        <v>779</v>
      </c>
      <c r="C119" s="290" t="s">
        <v>1062</v>
      </c>
      <c r="D119" s="290" t="s">
        <v>64</v>
      </c>
      <c r="E119" s="290" t="s">
        <v>923</v>
      </c>
      <c r="F119" s="290">
        <f t="shared" si="35"/>
        <v>4152</v>
      </c>
      <c r="G119" s="333"/>
      <c r="H119" s="290">
        <f t="shared" si="25"/>
        <v>0</v>
      </c>
      <c r="I119" s="291">
        <f>'DETAILED (2)'!I1271</f>
        <v>1</v>
      </c>
      <c r="J119" s="291">
        <f t="shared" si="29"/>
        <v>1384</v>
      </c>
      <c r="K119" s="296">
        <f t="shared" si="30"/>
        <v>1</v>
      </c>
      <c r="L119" s="291">
        <f t="shared" si="31"/>
        <v>1384</v>
      </c>
      <c r="M119" s="297">
        <f t="shared" si="26"/>
        <v>0</v>
      </c>
      <c r="N119" s="297">
        <f t="shared" si="27"/>
        <v>2768</v>
      </c>
      <c r="O119" s="292">
        <f t="shared" si="50"/>
        <v>-2</v>
      </c>
      <c r="P119" s="290">
        <f t="shared" si="28"/>
        <v>-2768</v>
      </c>
      <c r="Q119" s="292"/>
      <c r="R119" s="290"/>
      <c r="S119" s="290">
        <f t="shared" si="33"/>
        <v>-2768</v>
      </c>
      <c r="T119" s="290">
        <f t="shared" si="34"/>
        <v>2768</v>
      </c>
      <c r="U119" s="293"/>
      <c r="V119" s="294">
        <v>-24.288840262582056</v>
      </c>
      <c r="W119" s="299"/>
    </row>
    <row r="120" spans="1:23" ht="108.75">
      <c r="A120" s="288">
        <v>113</v>
      </c>
      <c r="B120" s="289" t="s">
        <v>780</v>
      </c>
      <c r="C120" s="290" t="s">
        <v>1063</v>
      </c>
      <c r="D120" s="290" t="s">
        <v>64</v>
      </c>
      <c r="E120" s="290" t="s">
        <v>934</v>
      </c>
      <c r="F120" s="290">
        <f t="shared" si="35"/>
        <v>15246</v>
      </c>
      <c r="G120" s="333"/>
      <c r="H120" s="290">
        <f t="shared" si="25"/>
        <v>0</v>
      </c>
      <c r="I120" s="291">
        <f>'DETAILED (2)'!I1278</f>
        <v>10</v>
      </c>
      <c r="J120" s="291">
        <f t="shared" si="29"/>
        <v>21780</v>
      </c>
      <c r="K120" s="296">
        <f t="shared" si="30"/>
        <v>10</v>
      </c>
      <c r="L120" s="291">
        <f t="shared" si="31"/>
        <v>21780</v>
      </c>
      <c r="M120" s="297">
        <f t="shared" si="26"/>
        <v>6534</v>
      </c>
      <c r="N120" s="297">
        <f t="shared" si="27"/>
        <v>0</v>
      </c>
      <c r="O120" s="292"/>
      <c r="P120" s="290">
        <f t="shared" si="28"/>
        <v>0</v>
      </c>
      <c r="Q120" s="292">
        <f t="shared" ref="Q120:Q131" si="51">ROUND(E120-K120,2)</f>
        <v>-3</v>
      </c>
      <c r="R120" s="290">
        <f t="shared" ref="R120:R131" si="52">ROUND(C120*Q120,2)</f>
        <v>-6534</v>
      </c>
      <c r="S120" s="290">
        <f t="shared" si="33"/>
        <v>-6534</v>
      </c>
      <c r="T120" s="290">
        <f t="shared" si="34"/>
        <v>6534</v>
      </c>
      <c r="U120" s="293" t="s">
        <v>1775</v>
      </c>
      <c r="V120" s="294">
        <v>-35.937784941555734</v>
      </c>
      <c r="W120" s="299"/>
    </row>
    <row r="121" spans="1:23" ht="43.5">
      <c r="A121" s="288">
        <v>114</v>
      </c>
      <c r="B121" s="289" t="s">
        <v>781</v>
      </c>
      <c r="C121" s="290" t="s">
        <v>1064</v>
      </c>
      <c r="D121" s="290" t="s">
        <v>64</v>
      </c>
      <c r="E121" s="290" t="s">
        <v>924</v>
      </c>
      <c r="F121" s="290">
        <f t="shared" si="35"/>
        <v>5780</v>
      </c>
      <c r="G121" s="333"/>
      <c r="H121" s="290">
        <f t="shared" si="25"/>
        <v>0</v>
      </c>
      <c r="I121" s="291">
        <f>'DETAILED (2)'!I1286</f>
        <v>15</v>
      </c>
      <c r="J121" s="291">
        <f t="shared" si="29"/>
        <v>5100</v>
      </c>
      <c r="K121" s="296">
        <f t="shared" si="30"/>
        <v>15</v>
      </c>
      <c r="L121" s="291">
        <f t="shared" si="31"/>
        <v>5100</v>
      </c>
      <c r="M121" s="297">
        <f t="shared" si="26"/>
        <v>0</v>
      </c>
      <c r="N121" s="297">
        <f t="shared" si="27"/>
        <v>680</v>
      </c>
      <c r="O121" s="292">
        <f t="shared" ref="O121" si="53">ROUND(K121-E121,2)</f>
        <v>-2</v>
      </c>
      <c r="P121" s="290">
        <f t="shared" si="28"/>
        <v>-680</v>
      </c>
      <c r="Q121" s="292">
        <f t="shared" si="51"/>
        <v>2</v>
      </c>
      <c r="R121" s="290">
        <f t="shared" si="52"/>
        <v>680</v>
      </c>
      <c r="S121" s="290">
        <f t="shared" si="33"/>
        <v>-680</v>
      </c>
      <c r="T121" s="290">
        <f t="shared" si="34"/>
        <v>0</v>
      </c>
      <c r="U121" s="293"/>
      <c r="V121" s="294">
        <v>-26.72413793103448</v>
      </c>
      <c r="W121" s="299"/>
    </row>
    <row r="122" spans="1:23" ht="43.5">
      <c r="A122" s="288">
        <v>115</v>
      </c>
      <c r="B122" s="289" t="s">
        <v>782</v>
      </c>
      <c r="C122" s="290" t="s">
        <v>1065</v>
      </c>
      <c r="D122" s="290" t="s">
        <v>64</v>
      </c>
      <c r="E122" s="290" t="s">
        <v>873</v>
      </c>
      <c r="F122" s="290">
        <f t="shared" si="35"/>
        <v>5472</v>
      </c>
      <c r="G122" s="333"/>
      <c r="H122" s="290">
        <f t="shared" si="25"/>
        <v>0</v>
      </c>
      <c r="I122" s="291">
        <f>'DETAILED (2)'!I1293</f>
        <v>13</v>
      </c>
      <c r="J122" s="291">
        <f t="shared" si="29"/>
        <v>3952</v>
      </c>
      <c r="K122" s="296">
        <f t="shared" si="30"/>
        <v>13</v>
      </c>
      <c r="L122" s="291">
        <f t="shared" si="31"/>
        <v>3952</v>
      </c>
      <c r="M122" s="297">
        <f t="shared" si="26"/>
        <v>0</v>
      </c>
      <c r="N122" s="297">
        <f t="shared" si="27"/>
        <v>1520</v>
      </c>
      <c r="O122" s="292"/>
      <c r="P122" s="290">
        <f t="shared" si="28"/>
        <v>0</v>
      </c>
      <c r="Q122" s="292">
        <f t="shared" si="51"/>
        <v>5</v>
      </c>
      <c r="R122" s="290">
        <f t="shared" si="52"/>
        <v>1520</v>
      </c>
      <c r="S122" s="290">
        <f t="shared" si="33"/>
        <v>0</v>
      </c>
      <c r="T122" s="290">
        <f t="shared" si="34"/>
        <v>0</v>
      </c>
      <c r="U122" s="293"/>
      <c r="V122" s="294">
        <v>-26.923076923076923</v>
      </c>
      <c r="W122" s="299"/>
    </row>
    <row r="123" spans="1:23" ht="108.75">
      <c r="A123" s="288">
        <v>116</v>
      </c>
      <c r="B123" s="289" t="s">
        <v>783</v>
      </c>
      <c r="C123" s="290" t="s">
        <v>1066</v>
      </c>
      <c r="D123" s="290" t="s">
        <v>64</v>
      </c>
      <c r="E123" s="290" t="s">
        <v>895</v>
      </c>
      <c r="F123" s="290">
        <f t="shared" si="35"/>
        <v>2067</v>
      </c>
      <c r="G123" s="333"/>
      <c r="H123" s="290">
        <f t="shared" si="25"/>
        <v>0</v>
      </c>
      <c r="I123" s="291">
        <f>'DETAILED (2)'!I1297</f>
        <v>1</v>
      </c>
      <c r="J123" s="291">
        <f t="shared" si="29"/>
        <v>2067</v>
      </c>
      <c r="K123" s="296">
        <f t="shared" si="30"/>
        <v>1</v>
      </c>
      <c r="L123" s="291">
        <f t="shared" si="31"/>
        <v>2067</v>
      </c>
      <c r="M123" s="297">
        <f t="shared" si="26"/>
        <v>0</v>
      </c>
      <c r="N123" s="297">
        <f t="shared" si="27"/>
        <v>0</v>
      </c>
      <c r="O123" s="292"/>
      <c r="P123" s="290">
        <f t="shared" si="28"/>
        <v>0</v>
      </c>
      <c r="Q123" s="292">
        <f t="shared" si="51"/>
        <v>0</v>
      </c>
      <c r="R123" s="290">
        <f t="shared" si="52"/>
        <v>0</v>
      </c>
      <c r="S123" s="290">
        <f t="shared" si="33"/>
        <v>0</v>
      </c>
      <c r="T123" s="290">
        <f t="shared" si="34"/>
        <v>0</v>
      </c>
      <c r="U123" s="293"/>
      <c r="V123" s="294">
        <v>-30.299842188321936</v>
      </c>
      <c r="W123" s="299"/>
    </row>
    <row r="124" spans="1:23" ht="108.75">
      <c r="A124" s="288">
        <v>117</v>
      </c>
      <c r="B124" s="289" t="s">
        <v>784</v>
      </c>
      <c r="C124" s="290" t="s">
        <v>1067</v>
      </c>
      <c r="D124" s="290" t="s">
        <v>64</v>
      </c>
      <c r="E124" s="290" t="s">
        <v>895</v>
      </c>
      <c r="F124" s="290">
        <f t="shared" si="35"/>
        <v>3238</v>
      </c>
      <c r="G124" s="333"/>
      <c r="H124" s="290">
        <f t="shared" si="25"/>
        <v>0</v>
      </c>
      <c r="I124" s="291">
        <f>'DETAILED (2)'!I1300</f>
        <v>2</v>
      </c>
      <c r="J124" s="291">
        <f t="shared" si="29"/>
        <v>6476</v>
      </c>
      <c r="K124" s="296">
        <f t="shared" si="30"/>
        <v>2</v>
      </c>
      <c r="L124" s="291">
        <f t="shared" si="31"/>
        <v>6476</v>
      </c>
      <c r="M124" s="297">
        <f t="shared" si="26"/>
        <v>3238</v>
      </c>
      <c r="N124" s="297">
        <f t="shared" si="27"/>
        <v>0</v>
      </c>
      <c r="O124" s="292"/>
      <c r="P124" s="290">
        <f t="shared" si="28"/>
        <v>0</v>
      </c>
      <c r="Q124" s="292">
        <f t="shared" si="51"/>
        <v>-1</v>
      </c>
      <c r="R124" s="290">
        <f t="shared" si="52"/>
        <v>-3238</v>
      </c>
      <c r="S124" s="290">
        <f t="shared" si="33"/>
        <v>-3238</v>
      </c>
      <c r="T124" s="290">
        <f t="shared" si="34"/>
        <v>3238</v>
      </c>
      <c r="U124" s="293" t="s">
        <v>1775</v>
      </c>
      <c r="V124" s="294">
        <v>-30.079443399546967</v>
      </c>
      <c r="W124" s="299"/>
    </row>
    <row r="125" spans="1:23" ht="108.75">
      <c r="A125" s="288">
        <v>118</v>
      </c>
      <c r="B125" s="289" t="s">
        <v>785</v>
      </c>
      <c r="C125" s="290" t="s">
        <v>1068</v>
      </c>
      <c r="D125" s="290" t="s">
        <v>64</v>
      </c>
      <c r="E125" s="290" t="s">
        <v>934</v>
      </c>
      <c r="F125" s="290">
        <f t="shared" si="35"/>
        <v>31486</v>
      </c>
      <c r="G125" s="333"/>
      <c r="H125" s="290">
        <f t="shared" si="25"/>
        <v>0</v>
      </c>
      <c r="I125" s="291">
        <f>'DETAILED (2)'!I1308</f>
        <v>9</v>
      </c>
      <c r="J125" s="291">
        <f t="shared" si="29"/>
        <v>40482</v>
      </c>
      <c r="K125" s="296">
        <f t="shared" si="30"/>
        <v>9</v>
      </c>
      <c r="L125" s="291">
        <f t="shared" si="31"/>
        <v>40482</v>
      </c>
      <c r="M125" s="297">
        <f t="shared" si="26"/>
        <v>8996</v>
      </c>
      <c r="N125" s="297">
        <f t="shared" si="27"/>
        <v>0</v>
      </c>
      <c r="O125" s="292"/>
      <c r="P125" s="290">
        <f t="shared" si="28"/>
        <v>0</v>
      </c>
      <c r="Q125" s="292">
        <f t="shared" si="51"/>
        <v>-2</v>
      </c>
      <c r="R125" s="290">
        <f t="shared" si="52"/>
        <v>-8996</v>
      </c>
      <c r="S125" s="290">
        <f t="shared" si="33"/>
        <v>-8996</v>
      </c>
      <c r="T125" s="290">
        <f t="shared" si="34"/>
        <v>8996</v>
      </c>
      <c r="U125" s="293" t="s">
        <v>1775</v>
      </c>
      <c r="V125" s="294">
        <v>-29.831129831129832</v>
      </c>
      <c r="W125" s="299"/>
    </row>
    <row r="126" spans="1:23" ht="130.5">
      <c r="A126" s="288">
        <v>119</v>
      </c>
      <c r="B126" s="289" t="s">
        <v>786</v>
      </c>
      <c r="C126" s="290" t="s">
        <v>1069</v>
      </c>
      <c r="D126" s="290" t="s">
        <v>65</v>
      </c>
      <c r="E126" s="290" t="s">
        <v>938</v>
      </c>
      <c r="F126" s="290">
        <f t="shared" si="35"/>
        <v>36982</v>
      </c>
      <c r="G126" s="333">
        <v>36</v>
      </c>
      <c r="H126" s="290">
        <f t="shared" si="25"/>
        <v>16236</v>
      </c>
      <c r="I126" s="291">
        <f>'DETAILED (2)'!I1317</f>
        <v>66</v>
      </c>
      <c r="J126" s="291">
        <f t="shared" si="29"/>
        <v>29766</v>
      </c>
      <c r="K126" s="296">
        <f t="shared" si="30"/>
        <v>102</v>
      </c>
      <c r="L126" s="291">
        <f t="shared" si="31"/>
        <v>46002</v>
      </c>
      <c r="M126" s="297">
        <f t="shared" si="26"/>
        <v>9020</v>
      </c>
      <c r="N126" s="297">
        <f t="shared" si="27"/>
        <v>0</v>
      </c>
      <c r="O126" s="292"/>
      <c r="P126" s="290">
        <f t="shared" si="28"/>
        <v>0</v>
      </c>
      <c r="Q126" s="292">
        <f t="shared" si="51"/>
        <v>-20</v>
      </c>
      <c r="R126" s="290">
        <f t="shared" si="52"/>
        <v>-9020</v>
      </c>
      <c r="S126" s="290">
        <f t="shared" si="33"/>
        <v>-9020</v>
      </c>
      <c r="T126" s="290">
        <f t="shared" si="34"/>
        <v>9020</v>
      </c>
      <c r="U126" s="293" t="s">
        <v>1773</v>
      </c>
      <c r="V126" s="294">
        <v>-29.739834865243804</v>
      </c>
      <c r="W126" s="299"/>
    </row>
    <row r="127" spans="1:23">
      <c r="A127" s="288">
        <v>120</v>
      </c>
      <c r="B127" s="289" t="s">
        <v>51</v>
      </c>
      <c r="C127" s="290" t="s">
        <v>1070</v>
      </c>
      <c r="D127" s="290" t="s">
        <v>65</v>
      </c>
      <c r="E127" s="290" t="s">
        <v>939</v>
      </c>
      <c r="F127" s="290">
        <f t="shared" si="35"/>
        <v>39093.599999999999</v>
      </c>
      <c r="G127" s="333">
        <v>42</v>
      </c>
      <c r="H127" s="290">
        <f t="shared" si="25"/>
        <v>15288</v>
      </c>
      <c r="I127" s="291">
        <f>'DETAILED (2)'!I1324</f>
        <v>51.5</v>
      </c>
      <c r="J127" s="291">
        <f t="shared" si="29"/>
        <v>18746</v>
      </c>
      <c r="K127" s="296">
        <f t="shared" si="30"/>
        <v>93.5</v>
      </c>
      <c r="L127" s="291">
        <f t="shared" si="31"/>
        <v>34034</v>
      </c>
      <c r="M127" s="297">
        <f t="shared" si="26"/>
        <v>0</v>
      </c>
      <c r="N127" s="297">
        <f t="shared" si="27"/>
        <v>5059.5999999999985</v>
      </c>
      <c r="O127" s="292"/>
      <c r="P127" s="290">
        <f t="shared" si="28"/>
        <v>0</v>
      </c>
      <c r="Q127" s="292">
        <f t="shared" si="51"/>
        <v>13.9</v>
      </c>
      <c r="R127" s="290">
        <f t="shared" si="52"/>
        <v>5059.6000000000004</v>
      </c>
      <c r="S127" s="290">
        <f t="shared" si="33"/>
        <v>0</v>
      </c>
      <c r="T127" s="290">
        <f t="shared" si="34"/>
        <v>0</v>
      </c>
      <c r="U127" s="293"/>
      <c r="V127" s="294">
        <v>-31.203931203931205</v>
      </c>
      <c r="W127" s="299"/>
    </row>
    <row r="128" spans="1:23" ht="87">
      <c r="A128" s="288">
        <v>121</v>
      </c>
      <c r="B128" s="289" t="s">
        <v>787</v>
      </c>
      <c r="C128" s="290" t="s">
        <v>959</v>
      </c>
      <c r="D128" s="290" t="s">
        <v>65</v>
      </c>
      <c r="E128" s="290" t="s">
        <v>902</v>
      </c>
      <c r="F128" s="290">
        <f t="shared" si="35"/>
        <v>1860</v>
      </c>
      <c r="G128" s="333"/>
      <c r="H128" s="290">
        <f t="shared" si="25"/>
        <v>0</v>
      </c>
      <c r="I128" s="291">
        <f>'DETAILED (2)'!I1327</f>
        <v>20</v>
      </c>
      <c r="J128" s="291">
        <f t="shared" si="29"/>
        <v>1240</v>
      </c>
      <c r="K128" s="296">
        <f t="shared" si="30"/>
        <v>20</v>
      </c>
      <c r="L128" s="291">
        <f t="shared" si="31"/>
        <v>1240</v>
      </c>
      <c r="M128" s="297">
        <f t="shared" si="26"/>
        <v>0</v>
      </c>
      <c r="N128" s="297">
        <f t="shared" si="27"/>
        <v>620</v>
      </c>
      <c r="O128" s="292"/>
      <c r="P128" s="290">
        <f t="shared" si="28"/>
        <v>0</v>
      </c>
      <c r="Q128" s="292">
        <f t="shared" si="51"/>
        <v>10</v>
      </c>
      <c r="R128" s="290">
        <f t="shared" si="52"/>
        <v>620</v>
      </c>
      <c r="S128" s="290">
        <f t="shared" si="33"/>
        <v>0</v>
      </c>
      <c r="T128" s="290">
        <f t="shared" si="34"/>
        <v>0</v>
      </c>
      <c r="U128" s="293"/>
      <c r="V128" s="294">
        <v>-23.645320197044338</v>
      </c>
      <c r="W128" s="299"/>
    </row>
    <row r="129" spans="1:23" ht="65.25">
      <c r="A129" s="288">
        <v>122</v>
      </c>
      <c r="B129" s="289" t="s">
        <v>788</v>
      </c>
      <c r="C129" s="290" t="s">
        <v>1071</v>
      </c>
      <c r="D129" s="290" t="s">
        <v>64</v>
      </c>
      <c r="E129" s="290" t="s">
        <v>895</v>
      </c>
      <c r="F129" s="290">
        <f t="shared" si="35"/>
        <v>338</v>
      </c>
      <c r="G129" s="337"/>
      <c r="H129" s="290">
        <f t="shared" si="25"/>
        <v>0</v>
      </c>
      <c r="I129" s="291">
        <f>'DETAILED (2)'!I1330</f>
        <v>1</v>
      </c>
      <c r="J129" s="291">
        <f t="shared" si="29"/>
        <v>338</v>
      </c>
      <c r="K129" s="296">
        <f t="shared" si="30"/>
        <v>1</v>
      </c>
      <c r="L129" s="291">
        <f t="shared" si="31"/>
        <v>338</v>
      </c>
      <c r="M129" s="297">
        <f t="shared" si="26"/>
        <v>0</v>
      </c>
      <c r="N129" s="297">
        <f t="shared" si="27"/>
        <v>0</v>
      </c>
      <c r="O129" s="292"/>
      <c r="P129" s="290">
        <f t="shared" si="28"/>
        <v>0</v>
      </c>
      <c r="Q129" s="292">
        <f t="shared" si="51"/>
        <v>0</v>
      </c>
      <c r="R129" s="290">
        <f t="shared" si="52"/>
        <v>0</v>
      </c>
      <c r="S129" s="290">
        <f t="shared" si="33"/>
        <v>0</v>
      </c>
      <c r="T129" s="290">
        <f t="shared" si="34"/>
        <v>0</v>
      </c>
      <c r="U129" s="293"/>
      <c r="V129" s="294">
        <v>-23.477473398234096</v>
      </c>
      <c r="W129" s="299"/>
    </row>
    <row r="130" spans="1:23" ht="108.75">
      <c r="A130" s="288">
        <v>123</v>
      </c>
      <c r="B130" s="289" t="s">
        <v>789</v>
      </c>
      <c r="C130" s="290" t="s">
        <v>1072</v>
      </c>
      <c r="D130" s="290" t="s">
        <v>65</v>
      </c>
      <c r="E130" s="290" t="s">
        <v>940</v>
      </c>
      <c r="F130" s="290">
        <f t="shared" si="35"/>
        <v>11340</v>
      </c>
      <c r="G130" s="333"/>
      <c r="H130" s="290">
        <f t="shared" si="25"/>
        <v>0</v>
      </c>
      <c r="I130" s="291">
        <f>'DETAILED (2)'!I1334</f>
        <v>30</v>
      </c>
      <c r="J130" s="291">
        <f t="shared" si="29"/>
        <v>7560</v>
      </c>
      <c r="K130" s="296">
        <f t="shared" si="30"/>
        <v>30</v>
      </c>
      <c r="L130" s="291">
        <f t="shared" si="31"/>
        <v>7560</v>
      </c>
      <c r="M130" s="297">
        <f t="shared" si="26"/>
        <v>0</v>
      </c>
      <c r="N130" s="297">
        <f t="shared" si="27"/>
        <v>3780</v>
      </c>
      <c r="O130" s="292"/>
      <c r="P130" s="290">
        <f t="shared" si="28"/>
        <v>0</v>
      </c>
      <c r="Q130" s="292">
        <f t="shared" si="51"/>
        <v>15</v>
      </c>
      <c r="R130" s="290">
        <f t="shared" si="52"/>
        <v>3780</v>
      </c>
      <c r="S130" s="290">
        <f t="shared" si="33"/>
        <v>0</v>
      </c>
      <c r="T130" s="290">
        <f t="shared" si="34"/>
        <v>0</v>
      </c>
      <c r="U130" s="293"/>
      <c r="V130" s="294">
        <v>-29.986386241769235</v>
      </c>
      <c r="W130" s="299"/>
    </row>
    <row r="131" spans="1:23" ht="108.75">
      <c r="A131" s="288">
        <v>124</v>
      </c>
      <c r="B131" s="289" t="s">
        <v>52</v>
      </c>
      <c r="C131" s="290" t="s">
        <v>1073</v>
      </c>
      <c r="D131" s="290" t="s">
        <v>65</v>
      </c>
      <c r="E131" s="290" t="s">
        <v>873</v>
      </c>
      <c r="F131" s="290">
        <f t="shared" si="35"/>
        <v>7506</v>
      </c>
      <c r="G131" s="333"/>
      <c r="H131" s="290">
        <f t="shared" si="25"/>
        <v>0</v>
      </c>
      <c r="I131" s="472">
        <f>'DETAILED (2)'!I1337</f>
        <v>15</v>
      </c>
      <c r="J131" s="291">
        <f t="shared" si="29"/>
        <v>6255</v>
      </c>
      <c r="K131" s="296">
        <f t="shared" si="30"/>
        <v>15</v>
      </c>
      <c r="L131" s="291">
        <f t="shared" si="31"/>
        <v>6255</v>
      </c>
      <c r="M131" s="297">
        <f t="shared" si="26"/>
        <v>0</v>
      </c>
      <c r="N131" s="297">
        <f t="shared" si="27"/>
        <v>1251</v>
      </c>
      <c r="O131" s="292"/>
      <c r="P131" s="290">
        <f t="shared" si="28"/>
        <v>0</v>
      </c>
      <c r="Q131" s="292">
        <f t="shared" si="51"/>
        <v>3</v>
      </c>
      <c r="R131" s="290">
        <f t="shared" si="52"/>
        <v>1251</v>
      </c>
      <c r="S131" s="290">
        <f t="shared" si="33"/>
        <v>0</v>
      </c>
      <c r="T131" s="290">
        <f t="shared" si="34"/>
        <v>0</v>
      </c>
      <c r="U131" s="293" t="s">
        <v>1775</v>
      </c>
      <c r="V131" s="294">
        <v>-28.985013623978205</v>
      </c>
      <c r="W131" s="299"/>
    </row>
    <row r="132" spans="1:23" ht="65.25">
      <c r="A132" s="288">
        <v>125</v>
      </c>
      <c r="B132" s="289" t="s">
        <v>790</v>
      </c>
      <c r="C132" s="290" t="s">
        <v>1074</v>
      </c>
      <c r="D132" s="290" t="s">
        <v>64</v>
      </c>
      <c r="E132" s="290" t="s">
        <v>941</v>
      </c>
      <c r="F132" s="290">
        <f t="shared" si="35"/>
        <v>238</v>
      </c>
      <c r="G132" s="337"/>
      <c r="H132" s="290">
        <f t="shared" si="25"/>
        <v>0</v>
      </c>
      <c r="I132" s="291">
        <f>'DETAILED (2)'!I1340</f>
        <v>2</v>
      </c>
      <c r="J132" s="291">
        <f t="shared" si="29"/>
        <v>238</v>
      </c>
      <c r="K132" s="296">
        <f t="shared" si="30"/>
        <v>2</v>
      </c>
      <c r="L132" s="291">
        <f t="shared" si="31"/>
        <v>238</v>
      </c>
      <c r="M132" s="297">
        <f t="shared" si="26"/>
        <v>0</v>
      </c>
      <c r="N132" s="297">
        <f t="shared" si="27"/>
        <v>0</v>
      </c>
      <c r="O132" s="292">
        <f t="shared" ref="O132:O133" si="54">ROUND(K132-E132,2)</f>
        <v>0</v>
      </c>
      <c r="P132" s="290">
        <f t="shared" si="28"/>
        <v>0</v>
      </c>
      <c r="Q132" s="292"/>
      <c r="R132" s="290"/>
      <c r="S132" s="290">
        <f t="shared" si="33"/>
        <v>0</v>
      </c>
      <c r="T132" s="290">
        <f t="shared" si="34"/>
        <v>0</v>
      </c>
      <c r="U132" s="293"/>
      <c r="V132" s="294">
        <v>-25.624999999999996</v>
      </c>
      <c r="W132" s="299"/>
    </row>
    <row r="133" spans="1:23">
      <c r="A133" s="288">
        <v>126</v>
      </c>
      <c r="B133" s="289" t="s">
        <v>791</v>
      </c>
      <c r="C133" s="290" t="s">
        <v>1075</v>
      </c>
      <c r="D133" s="290" t="s">
        <v>64</v>
      </c>
      <c r="E133" s="290" t="s">
        <v>941</v>
      </c>
      <c r="F133" s="290">
        <f t="shared" si="35"/>
        <v>760</v>
      </c>
      <c r="G133" s="337"/>
      <c r="H133" s="290">
        <f t="shared" si="25"/>
        <v>0</v>
      </c>
      <c r="I133" s="291">
        <f>'DETAILED (2)'!I1343</f>
        <v>2</v>
      </c>
      <c r="J133" s="291">
        <f t="shared" si="29"/>
        <v>760</v>
      </c>
      <c r="K133" s="296">
        <f t="shared" si="30"/>
        <v>2</v>
      </c>
      <c r="L133" s="291">
        <f t="shared" si="31"/>
        <v>760</v>
      </c>
      <c r="M133" s="297">
        <f t="shared" si="26"/>
        <v>0</v>
      </c>
      <c r="N133" s="297">
        <f t="shared" si="27"/>
        <v>0</v>
      </c>
      <c r="O133" s="292">
        <f t="shared" si="54"/>
        <v>0</v>
      </c>
      <c r="P133" s="290">
        <f t="shared" si="28"/>
        <v>0</v>
      </c>
      <c r="Q133" s="292">
        <f t="shared" ref="Q133:Q155" si="55">ROUND(E133-K133,2)</f>
        <v>0</v>
      </c>
      <c r="R133" s="290">
        <f t="shared" ref="R133:R199" si="56">ROUND(C133*Q133,2)</f>
        <v>0</v>
      </c>
      <c r="S133" s="290">
        <f t="shared" si="33"/>
        <v>0</v>
      </c>
      <c r="T133" s="290">
        <f t="shared" si="34"/>
        <v>0</v>
      </c>
      <c r="U133" s="293"/>
      <c r="V133" s="294">
        <v>-25.490196078431371</v>
      </c>
      <c r="W133" s="299"/>
    </row>
    <row r="134" spans="1:23" ht="65.25">
      <c r="A134" s="288">
        <v>127</v>
      </c>
      <c r="B134" s="289" t="s">
        <v>792</v>
      </c>
      <c r="C134" s="290" t="s">
        <v>1076</v>
      </c>
      <c r="D134" s="290" t="s">
        <v>64</v>
      </c>
      <c r="E134" s="290" t="s">
        <v>941</v>
      </c>
      <c r="F134" s="290">
        <f t="shared" si="35"/>
        <v>284</v>
      </c>
      <c r="G134" s="337"/>
      <c r="H134" s="290">
        <f t="shared" si="25"/>
        <v>0</v>
      </c>
      <c r="I134" s="291">
        <f>'DETAILED (2)'!I1346</f>
        <v>2</v>
      </c>
      <c r="J134" s="291">
        <f t="shared" si="29"/>
        <v>284</v>
      </c>
      <c r="K134" s="296">
        <f t="shared" si="30"/>
        <v>2</v>
      </c>
      <c r="L134" s="291">
        <f t="shared" si="31"/>
        <v>284</v>
      </c>
      <c r="M134" s="297">
        <f t="shared" si="26"/>
        <v>0</v>
      </c>
      <c r="N134" s="297">
        <f t="shared" si="27"/>
        <v>0</v>
      </c>
      <c r="O134" s="292"/>
      <c r="P134" s="290">
        <f t="shared" si="28"/>
        <v>0</v>
      </c>
      <c r="Q134" s="292">
        <f t="shared" si="55"/>
        <v>0</v>
      </c>
      <c r="R134" s="290">
        <f t="shared" si="56"/>
        <v>0</v>
      </c>
      <c r="S134" s="290">
        <f t="shared" si="33"/>
        <v>0</v>
      </c>
      <c r="T134" s="290">
        <f t="shared" si="34"/>
        <v>0</v>
      </c>
      <c r="U134" s="293"/>
      <c r="V134" s="294">
        <v>-40.084388185654007</v>
      </c>
      <c r="W134" s="299"/>
    </row>
    <row r="135" spans="1:23">
      <c r="A135" s="288">
        <v>128</v>
      </c>
      <c r="B135" s="289" t="s">
        <v>793</v>
      </c>
      <c r="C135" s="290" t="s">
        <v>1077</v>
      </c>
      <c r="D135" s="290" t="s">
        <v>64</v>
      </c>
      <c r="E135" s="290" t="s">
        <v>941</v>
      </c>
      <c r="F135" s="290">
        <f t="shared" si="35"/>
        <v>502</v>
      </c>
      <c r="G135" s="337"/>
      <c r="H135" s="290">
        <f t="shared" si="25"/>
        <v>0</v>
      </c>
      <c r="I135" s="291">
        <f>'DETAILED (2)'!I1349</f>
        <v>2</v>
      </c>
      <c r="J135" s="291">
        <f t="shared" si="29"/>
        <v>502</v>
      </c>
      <c r="K135" s="296">
        <f t="shared" si="30"/>
        <v>2</v>
      </c>
      <c r="L135" s="291">
        <f t="shared" si="31"/>
        <v>502</v>
      </c>
      <c r="M135" s="297">
        <f t="shared" si="26"/>
        <v>0</v>
      </c>
      <c r="N135" s="297">
        <f t="shared" si="27"/>
        <v>0</v>
      </c>
      <c r="O135" s="292"/>
      <c r="P135" s="290">
        <f t="shared" si="28"/>
        <v>0</v>
      </c>
      <c r="Q135" s="292">
        <f t="shared" si="55"/>
        <v>0</v>
      </c>
      <c r="R135" s="290">
        <f t="shared" si="56"/>
        <v>0</v>
      </c>
      <c r="S135" s="290">
        <f t="shared" si="33"/>
        <v>0</v>
      </c>
      <c r="T135" s="290">
        <f t="shared" si="34"/>
        <v>0</v>
      </c>
      <c r="U135" s="293"/>
      <c r="V135" s="294">
        <v>-45.905172413793103</v>
      </c>
      <c r="W135" s="299"/>
    </row>
    <row r="136" spans="1:23" ht="130.5">
      <c r="A136" s="288">
        <v>129</v>
      </c>
      <c r="B136" s="289" t="s">
        <v>794</v>
      </c>
      <c r="C136" s="290" t="s">
        <v>1078</v>
      </c>
      <c r="D136" s="290" t="s">
        <v>64</v>
      </c>
      <c r="E136" s="290" t="s">
        <v>942</v>
      </c>
      <c r="F136" s="290">
        <f t="shared" si="35"/>
        <v>69000</v>
      </c>
      <c r="G136" s="337">
        <v>30</v>
      </c>
      <c r="H136" s="290">
        <f t="shared" si="25"/>
        <v>27600</v>
      </c>
      <c r="I136" s="291">
        <f>'DETAILED (2)'!I1381</f>
        <v>30</v>
      </c>
      <c r="J136" s="291">
        <f t="shared" si="29"/>
        <v>27600</v>
      </c>
      <c r="K136" s="296">
        <f t="shared" si="30"/>
        <v>60</v>
      </c>
      <c r="L136" s="291">
        <f t="shared" si="31"/>
        <v>55200</v>
      </c>
      <c r="M136" s="297">
        <f t="shared" si="26"/>
        <v>0</v>
      </c>
      <c r="N136" s="297">
        <f t="shared" si="27"/>
        <v>13800</v>
      </c>
      <c r="O136" s="292"/>
      <c r="P136" s="290">
        <f t="shared" ref="P136:P199" si="57">ROUND(O136*C136,2)</f>
        <v>0</v>
      </c>
      <c r="Q136" s="292">
        <f t="shared" si="55"/>
        <v>15</v>
      </c>
      <c r="R136" s="290">
        <f t="shared" si="56"/>
        <v>13800</v>
      </c>
      <c r="S136" s="290">
        <f t="shared" si="33"/>
        <v>0</v>
      </c>
      <c r="T136" s="290">
        <f t="shared" si="34"/>
        <v>0</v>
      </c>
      <c r="U136" s="293"/>
      <c r="V136" s="294">
        <v>-31.343283582089555</v>
      </c>
      <c r="W136" s="299"/>
    </row>
    <row r="137" spans="1:23" ht="130.5">
      <c r="A137" s="288">
        <v>130</v>
      </c>
      <c r="B137" s="289" t="s">
        <v>53</v>
      </c>
      <c r="C137" s="290" t="s">
        <v>1079</v>
      </c>
      <c r="D137" s="290" t="s">
        <v>64</v>
      </c>
      <c r="E137" s="290" t="s">
        <v>860</v>
      </c>
      <c r="F137" s="290">
        <f t="shared" si="35"/>
        <v>36920</v>
      </c>
      <c r="G137" s="333">
        <v>14</v>
      </c>
      <c r="H137" s="290">
        <f t="shared" si="25"/>
        <v>12922</v>
      </c>
      <c r="I137" s="291">
        <f>'DETAILED (2)'!I1416</f>
        <v>41</v>
      </c>
      <c r="J137" s="291">
        <f t="shared" si="29"/>
        <v>37843</v>
      </c>
      <c r="K137" s="296">
        <f t="shared" si="30"/>
        <v>55</v>
      </c>
      <c r="L137" s="291">
        <f t="shared" si="31"/>
        <v>50765</v>
      </c>
      <c r="M137" s="297">
        <f t="shared" si="26"/>
        <v>13845</v>
      </c>
      <c r="N137" s="297">
        <f t="shared" si="27"/>
        <v>0</v>
      </c>
      <c r="O137" s="292"/>
      <c r="P137" s="290">
        <f t="shared" si="57"/>
        <v>0</v>
      </c>
      <c r="Q137" s="292">
        <f t="shared" si="55"/>
        <v>-15</v>
      </c>
      <c r="R137" s="290">
        <f t="shared" si="56"/>
        <v>-13845</v>
      </c>
      <c r="S137" s="290">
        <f t="shared" si="33"/>
        <v>-13845</v>
      </c>
      <c r="T137" s="290">
        <f t="shared" si="34"/>
        <v>13845</v>
      </c>
      <c r="U137" s="293" t="s">
        <v>1774</v>
      </c>
      <c r="V137" s="294">
        <v>-31.324404761904763</v>
      </c>
      <c r="W137" s="299"/>
    </row>
    <row r="138" spans="1:23" ht="43.5">
      <c r="A138" s="288">
        <v>131</v>
      </c>
      <c r="B138" s="289" t="s">
        <v>795</v>
      </c>
      <c r="C138" s="290" t="s">
        <v>1080</v>
      </c>
      <c r="D138" s="290" t="s">
        <v>64</v>
      </c>
      <c r="E138" s="290" t="s">
        <v>943</v>
      </c>
      <c r="F138" s="290">
        <f t="shared" ref="F138:F199" si="58">ROUND(C138*E138,2)</f>
        <v>3776</v>
      </c>
      <c r="G138" s="333"/>
      <c r="H138" s="290">
        <f t="shared" si="25"/>
        <v>0</v>
      </c>
      <c r="I138" s="291">
        <f>'DETAILED (2)'!I1421</f>
        <v>2</v>
      </c>
      <c r="J138" s="291">
        <f t="shared" si="29"/>
        <v>1888</v>
      </c>
      <c r="K138" s="296">
        <f t="shared" si="30"/>
        <v>2</v>
      </c>
      <c r="L138" s="291">
        <f t="shared" si="31"/>
        <v>1888</v>
      </c>
      <c r="M138" s="297">
        <f t="shared" si="26"/>
        <v>0</v>
      </c>
      <c r="N138" s="297">
        <f t="shared" si="27"/>
        <v>1888</v>
      </c>
      <c r="O138" s="292"/>
      <c r="P138" s="290">
        <f t="shared" si="57"/>
        <v>0</v>
      </c>
      <c r="Q138" s="292">
        <f t="shared" si="55"/>
        <v>2</v>
      </c>
      <c r="R138" s="290">
        <f t="shared" si="56"/>
        <v>1888</v>
      </c>
      <c r="S138" s="290">
        <f t="shared" si="33"/>
        <v>0</v>
      </c>
      <c r="T138" s="290">
        <f t="shared" si="34"/>
        <v>0</v>
      </c>
      <c r="U138" s="293"/>
      <c r="V138" s="294">
        <v>-31.195335276967928</v>
      </c>
      <c r="W138" s="299"/>
    </row>
    <row r="139" spans="1:23" ht="130.5">
      <c r="A139" s="288">
        <v>132</v>
      </c>
      <c r="B139" s="289" t="s">
        <v>796</v>
      </c>
      <c r="C139" s="290" t="s">
        <v>1081</v>
      </c>
      <c r="D139" s="290" t="s">
        <v>64</v>
      </c>
      <c r="E139" s="290" t="s">
        <v>902</v>
      </c>
      <c r="F139" s="290">
        <f t="shared" si="58"/>
        <v>28920</v>
      </c>
      <c r="G139" s="333">
        <v>14</v>
      </c>
      <c r="H139" s="290">
        <f t="shared" si="25"/>
        <v>13496</v>
      </c>
      <c r="I139" s="291">
        <f>'DETAILED (2)'!I1447</f>
        <v>16</v>
      </c>
      <c r="J139" s="291">
        <f t="shared" si="29"/>
        <v>15424</v>
      </c>
      <c r="K139" s="296">
        <f t="shared" si="30"/>
        <v>30</v>
      </c>
      <c r="L139" s="291">
        <f t="shared" si="31"/>
        <v>28920</v>
      </c>
      <c r="M139" s="297">
        <f t="shared" si="26"/>
        <v>0</v>
      </c>
      <c r="N139" s="297">
        <f t="shared" si="27"/>
        <v>0</v>
      </c>
      <c r="O139" s="292"/>
      <c r="P139" s="290">
        <f t="shared" si="57"/>
        <v>0</v>
      </c>
      <c r="Q139" s="292">
        <f t="shared" si="55"/>
        <v>0</v>
      </c>
      <c r="R139" s="290">
        <f t="shared" si="56"/>
        <v>0</v>
      </c>
      <c r="S139" s="290">
        <f t="shared" si="33"/>
        <v>0</v>
      </c>
      <c r="T139" s="290">
        <f t="shared" si="34"/>
        <v>0</v>
      </c>
      <c r="U139" s="293"/>
      <c r="V139" s="294">
        <v>-31.044349070100139</v>
      </c>
      <c r="W139" s="299"/>
    </row>
    <row r="140" spans="1:23" ht="130.5">
      <c r="A140" s="288">
        <v>133</v>
      </c>
      <c r="B140" s="289" t="s">
        <v>797</v>
      </c>
      <c r="C140" s="290" t="s">
        <v>1082</v>
      </c>
      <c r="D140" s="290" t="s">
        <v>64</v>
      </c>
      <c r="E140" s="290" t="s">
        <v>943</v>
      </c>
      <c r="F140" s="290">
        <f t="shared" si="58"/>
        <v>6824</v>
      </c>
      <c r="G140" s="333"/>
      <c r="H140" s="290">
        <f t="shared" si="25"/>
        <v>0</v>
      </c>
      <c r="I140" s="291">
        <f>'DETAILED (2)'!I1452</f>
        <v>4</v>
      </c>
      <c r="J140" s="291">
        <f t="shared" si="29"/>
        <v>6824</v>
      </c>
      <c r="K140" s="296">
        <f t="shared" si="30"/>
        <v>4</v>
      </c>
      <c r="L140" s="291">
        <f t="shared" si="31"/>
        <v>6824</v>
      </c>
      <c r="M140" s="297">
        <f t="shared" si="26"/>
        <v>0</v>
      </c>
      <c r="N140" s="297">
        <f t="shared" si="27"/>
        <v>0</v>
      </c>
      <c r="O140" s="292"/>
      <c r="P140" s="290">
        <f t="shared" si="57"/>
        <v>0</v>
      </c>
      <c r="Q140" s="292">
        <f t="shared" si="55"/>
        <v>0</v>
      </c>
      <c r="R140" s="290">
        <f t="shared" si="56"/>
        <v>0</v>
      </c>
      <c r="S140" s="290">
        <f t="shared" si="33"/>
        <v>0</v>
      </c>
      <c r="T140" s="290">
        <f t="shared" si="34"/>
        <v>0</v>
      </c>
      <c r="U140" s="293"/>
      <c r="V140" s="294">
        <v>-31.923383878691141</v>
      </c>
      <c r="W140" s="299"/>
    </row>
    <row r="141" spans="1:23" ht="152.25">
      <c r="A141" s="288">
        <v>134</v>
      </c>
      <c r="B141" s="289" t="s">
        <v>798</v>
      </c>
      <c r="C141" s="290" t="s">
        <v>1083</v>
      </c>
      <c r="D141" s="290" t="s">
        <v>64</v>
      </c>
      <c r="E141" s="290" t="s">
        <v>944</v>
      </c>
      <c r="F141" s="290">
        <f t="shared" si="58"/>
        <v>13104</v>
      </c>
      <c r="G141" s="333"/>
      <c r="H141" s="290">
        <f t="shared" si="25"/>
        <v>0</v>
      </c>
      <c r="I141" s="291">
        <f>'DETAILED (2)'!I1481</f>
        <v>28</v>
      </c>
      <c r="J141" s="291">
        <f t="shared" si="29"/>
        <v>13104</v>
      </c>
      <c r="K141" s="296">
        <f t="shared" si="30"/>
        <v>28</v>
      </c>
      <c r="L141" s="291">
        <f t="shared" si="31"/>
        <v>13104</v>
      </c>
      <c r="M141" s="297">
        <f t="shared" si="26"/>
        <v>0</v>
      </c>
      <c r="N141" s="297">
        <f t="shared" si="27"/>
        <v>0</v>
      </c>
      <c r="O141" s="292"/>
      <c r="P141" s="290">
        <f t="shared" si="57"/>
        <v>0</v>
      </c>
      <c r="Q141" s="292">
        <f t="shared" si="55"/>
        <v>0</v>
      </c>
      <c r="R141" s="290">
        <f t="shared" si="56"/>
        <v>0</v>
      </c>
      <c r="S141" s="290">
        <f t="shared" si="33"/>
        <v>0</v>
      </c>
      <c r="T141" s="290">
        <f t="shared" si="34"/>
        <v>0</v>
      </c>
      <c r="U141" s="293"/>
      <c r="V141" s="294">
        <v>-31.976744186046513</v>
      </c>
      <c r="W141" s="299"/>
    </row>
    <row r="142" spans="1:23" ht="152.25">
      <c r="A142" s="288">
        <v>135</v>
      </c>
      <c r="B142" s="289" t="s">
        <v>799</v>
      </c>
      <c r="C142" s="290" t="s">
        <v>1084</v>
      </c>
      <c r="D142" s="290" t="s">
        <v>64</v>
      </c>
      <c r="E142" s="290" t="s">
        <v>940</v>
      </c>
      <c r="F142" s="290">
        <f t="shared" si="58"/>
        <v>28980</v>
      </c>
      <c r="G142" s="333"/>
      <c r="H142" s="290">
        <f t="shared" si="25"/>
        <v>0</v>
      </c>
      <c r="I142" s="291">
        <f>'DETAILED (2)'!I1502</f>
        <v>45</v>
      </c>
      <c r="J142" s="291">
        <f t="shared" si="29"/>
        <v>28980</v>
      </c>
      <c r="K142" s="296">
        <f t="shared" si="30"/>
        <v>45</v>
      </c>
      <c r="L142" s="291">
        <f t="shared" si="31"/>
        <v>28980</v>
      </c>
      <c r="M142" s="297">
        <f t="shared" si="26"/>
        <v>0</v>
      </c>
      <c r="N142" s="297">
        <f t="shared" si="27"/>
        <v>0</v>
      </c>
      <c r="O142" s="292"/>
      <c r="P142" s="290">
        <f t="shared" si="57"/>
        <v>0</v>
      </c>
      <c r="Q142" s="292">
        <f t="shared" si="55"/>
        <v>0</v>
      </c>
      <c r="R142" s="290">
        <f t="shared" si="56"/>
        <v>0</v>
      </c>
      <c r="S142" s="290">
        <f t="shared" si="33"/>
        <v>0</v>
      </c>
      <c r="T142" s="290">
        <f t="shared" si="34"/>
        <v>0</v>
      </c>
      <c r="U142" s="293"/>
      <c r="V142" s="294">
        <v>-30.901287553648071</v>
      </c>
      <c r="W142" s="299"/>
    </row>
    <row r="143" spans="1:23" ht="65.25">
      <c r="A143" s="288">
        <v>136</v>
      </c>
      <c r="B143" s="289" t="s">
        <v>800</v>
      </c>
      <c r="C143" s="290" t="s">
        <v>1085</v>
      </c>
      <c r="D143" s="290" t="s">
        <v>64</v>
      </c>
      <c r="E143" s="290" t="s">
        <v>902</v>
      </c>
      <c r="F143" s="290">
        <f t="shared" si="58"/>
        <v>29160</v>
      </c>
      <c r="G143" s="333"/>
      <c r="H143" s="290">
        <f t="shared" si="25"/>
        <v>0</v>
      </c>
      <c r="I143" s="291">
        <f>'DETAILED (2)'!I1528</f>
        <v>30</v>
      </c>
      <c r="J143" s="291">
        <f t="shared" si="29"/>
        <v>29160</v>
      </c>
      <c r="K143" s="296">
        <f t="shared" si="30"/>
        <v>30</v>
      </c>
      <c r="L143" s="291">
        <f t="shared" si="31"/>
        <v>29160</v>
      </c>
      <c r="M143" s="297">
        <f t="shared" si="26"/>
        <v>0</v>
      </c>
      <c r="N143" s="297">
        <f t="shared" si="27"/>
        <v>0</v>
      </c>
      <c r="O143" s="292"/>
      <c r="P143" s="290">
        <f t="shared" si="57"/>
        <v>0</v>
      </c>
      <c r="Q143" s="292">
        <f t="shared" si="55"/>
        <v>0</v>
      </c>
      <c r="R143" s="290">
        <f t="shared" si="56"/>
        <v>0</v>
      </c>
      <c r="S143" s="290">
        <f t="shared" si="33"/>
        <v>0</v>
      </c>
      <c r="T143" s="290">
        <f t="shared" si="34"/>
        <v>0</v>
      </c>
      <c r="U143" s="293"/>
      <c r="V143" s="294">
        <v>-24.328532502919423</v>
      </c>
      <c r="W143" s="299"/>
    </row>
    <row r="144" spans="1:23" ht="108.75">
      <c r="A144" s="288">
        <v>137</v>
      </c>
      <c r="B144" s="289" t="s">
        <v>801</v>
      </c>
      <c r="C144" s="290" t="s">
        <v>1086</v>
      </c>
      <c r="D144" s="290" t="s">
        <v>65</v>
      </c>
      <c r="E144" s="290" t="s">
        <v>945</v>
      </c>
      <c r="F144" s="290">
        <f t="shared" si="58"/>
        <v>96285</v>
      </c>
      <c r="G144" s="333"/>
      <c r="H144" s="290">
        <f t="shared" si="25"/>
        <v>0</v>
      </c>
      <c r="I144" s="291">
        <f>'DETAILED (2)'!I1547</f>
        <v>562</v>
      </c>
      <c r="J144" s="291">
        <f t="shared" si="29"/>
        <v>73622</v>
      </c>
      <c r="K144" s="296">
        <f t="shared" si="30"/>
        <v>562</v>
      </c>
      <c r="L144" s="291">
        <f t="shared" si="31"/>
        <v>73622</v>
      </c>
      <c r="M144" s="297">
        <f t="shared" si="26"/>
        <v>0</v>
      </c>
      <c r="N144" s="297">
        <f t="shared" si="27"/>
        <v>22663</v>
      </c>
      <c r="O144" s="292">
        <f t="shared" ref="O144" si="59">ROUND(K144-E144,2)</f>
        <v>-173</v>
      </c>
      <c r="P144" s="290">
        <f t="shared" si="57"/>
        <v>-22663</v>
      </c>
      <c r="Q144" s="292">
        <f t="shared" si="55"/>
        <v>173</v>
      </c>
      <c r="R144" s="290">
        <f t="shared" si="56"/>
        <v>22663</v>
      </c>
      <c r="S144" s="290">
        <f t="shared" si="33"/>
        <v>-22663</v>
      </c>
      <c r="T144" s="290">
        <f t="shared" si="34"/>
        <v>0</v>
      </c>
      <c r="U144" s="293"/>
      <c r="V144" s="294">
        <v>-29.946524064171122</v>
      </c>
      <c r="W144" s="299"/>
    </row>
    <row r="145" spans="1:23" ht="43.5">
      <c r="A145" s="288">
        <v>138</v>
      </c>
      <c r="B145" s="289" t="s">
        <v>802</v>
      </c>
      <c r="C145" s="290" t="s">
        <v>1032</v>
      </c>
      <c r="D145" s="290" t="s">
        <v>64</v>
      </c>
      <c r="E145" s="290" t="s">
        <v>895</v>
      </c>
      <c r="F145" s="290">
        <f t="shared" si="58"/>
        <v>831</v>
      </c>
      <c r="G145" s="333"/>
      <c r="H145" s="290">
        <f t="shared" si="25"/>
        <v>0</v>
      </c>
      <c r="I145" s="291">
        <f>'DETAILED (2)'!I1550</f>
        <v>1</v>
      </c>
      <c r="J145" s="291">
        <f t="shared" si="29"/>
        <v>831</v>
      </c>
      <c r="K145" s="296">
        <f t="shared" si="30"/>
        <v>1</v>
      </c>
      <c r="L145" s="291">
        <f t="shared" si="31"/>
        <v>831</v>
      </c>
      <c r="M145" s="297">
        <f t="shared" si="26"/>
        <v>0</v>
      </c>
      <c r="N145" s="297">
        <f t="shared" si="27"/>
        <v>0</v>
      </c>
      <c r="O145" s="292"/>
      <c r="P145" s="290">
        <f t="shared" si="57"/>
        <v>0</v>
      </c>
      <c r="Q145" s="292">
        <f t="shared" si="55"/>
        <v>0</v>
      </c>
      <c r="R145" s="290">
        <f t="shared" si="56"/>
        <v>0</v>
      </c>
      <c r="S145" s="290">
        <f t="shared" si="33"/>
        <v>0</v>
      </c>
      <c r="T145" s="290">
        <f t="shared" si="34"/>
        <v>0</v>
      </c>
      <c r="U145" s="293"/>
      <c r="V145" s="294">
        <v>-28.974358974358978</v>
      </c>
      <c r="W145" s="299"/>
    </row>
    <row r="146" spans="1:23" ht="43.5">
      <c r="A146" s="288">
        <v>139</v>
      </c>
      <c r="B146" s="289" t="s">
        <v>803</v>
      </c>
      <c r="C146" s="290" t="s">
        <v>1087</v>
      </c>
      <c r="D146" s="290" t="s">
        <v>64</v>
      </c>
      <c r="E146" s="290" t="s">
        <v>883</v>
      </c>
      <c r="F146" s="290">
        <f t="shared" si="58"/>
        <v>17000</v>
      </c>
      <c r="G146" s="337"/>
      <c r="H146" s="290">
        <f t="shared" si="25"/>
        <v>0</v>
      </c>
      <c r="I146" s="291">
        <f>'DETAILED (2)'!I1553</f>
        <v>8</v>
      </c>
      <c r="J146" s="291">
        <f t="shared" si="29"/>
        <v>17000</v>
      </c>
      <c r="K146" s="296">
        <f t="shared" si="30"/>
        <v>8</v>
      </c>
      <c r="L146" s="291">
        <f t="shared" si="31"/>
        <v>17000</v>
      </c>
      <c r="M146" s="297">
        <f t="shared" si="26"/>
        <v>0</v>
      </c>
      <c r="N146" s="297">
        <f t="shared" si="27"/>
        <v>0</v>
      </c>
      <c r="O146" s="292"/>
      <c r="P146" s="290">
        <f t="shared" si="57"/>
        <v>0</v>
      </c>
      <c r="Q146" s="292">
        <f t="shared" si="55"/>
        <v>0</v>
      </c>
      <c r="R146" s="290">
        <f t="shared" si="56"/>
        <v>0</v>
      </c>
      <c r="S146" s="290">
        <f t="shared" si="33"/>
        <v>0</v>
      </c>
      <c r="T146" s="290">
        <f t="shared" si="34"/>
        <v>0</v>
      </c>
      <c r="U146" s="293"/>
      <c r="V146" s="294">
        <v>-29.003374427850719</v>
      </c>
      <c r="W146" s="299"/>
    </row>
    <row r="147" spans="1:23" ht="108.75">
      <c r="A147" s="288">
        <v>140</v>
      </c>
      <c r="B147" s="289" t="s">
        <v>804</v>
      </c>
      <c r="C147" s="290" t="s">
        <v>1088</v>
      </c>
      <c r="D147" s="290" t="s">
        <v>65</v>
      </c>
      <c r="E147" s="290" t="s">
        <v>946</v>
      </c>
      <c r="F147" s="290">
        <f t="shared" si="58"/>
        <v>20150</v>
      </c>
      <c r="G147" s="333"/>
      <c r="H147" s="290">
        <f t="shared" si="25"/>
        <v>0</v>
      </c>
      <c r="I147" s="291">
        <f>'DETAILED (2)'!I1560</f>
        <v>130</v>
      </c>
      <c r="J147" s="291">
        <f t="shared" si="29"/>
        <v>20150</v>
      </c>
      <c r="K147" s="296">
        <f t="shared" si="30"/>
        <v>130</v>
      </c>
      <c r="L147" s="291">
        <f t="shared" si="31"/>
        <v>20150</v>
      </c>
      <c r="M147" s="297">
        <f t="shared" si="26"/>
        <v>0</v>
      </c>
      <c r="N147" s="297">
        <f t="shared" si="27"/>
        <v>0</v>
      </c>
      <c r="O147" s="292"/>
      <c r="P147" s="290">
        <f t="shared" si="57"/>
        <v>0</v>
      </c>
      <c r="Q147" s="292">
        <f t="shared" si="55"/>
        <v>0</v>
      </c>
      <c r="R147" s="290">
        <f t="shared" si="56"/>
        <v>0</v>
      </c>
      <c r="S147" s="290">
        <f t="shared" si="33"/>
        <v>0</v>
      </c>
      <c r="T147" s="290">
        <f t="shared" si="34"/>
        <v>0</v>
      </c>
      <c r="U147" s="293"/>
      <c r="V147" s="294">
        <v>-29.223744292237441</v>
      </c>
      <c r="W147" s="299"/>
    </row>
    <row r="148" spans="1:23" ht="43.5">
      <c r="A148" s="288">
        <v>141</v>
      </c>
      <c r="B148" s="289" t="s">
        <v>805</v>
      </c>
      <c r="C148" s="290" t="s">
        <v>1089</v>
      </c>
      <c r="D148" s="290" t="s">
        <v>65</v>
      </c>
      <c r="E148" s="290" t="s">
        <v>947</v>
      </c>
      <c r="F148" s="290">
        <f t="shared" si="58"/>
        <v>1240</v>
      </c>
      <c r="G148" s="333"/>
      <c r="H148" s="290">
        <f t="shared" si="25"/>
        <v>0</v>
      </c>
      <c r="I148" s="291">
        <f>'DETAILED (2)'!I1563</f>
        <v>10</v>
      </c>
      <c r="J148" s="291">
        <f t="shared" si="29"/>
        <v>1240</v>
      </c>
      <c r="K148" s="296">
        <f t="shared" si="30"/>
        <v>10</v>
      </c>
      <c r="L148" s="291">
        <f t="shared" si="31"/>
        <v>1240</v>
      </c>
      <c r="M148" s="297">
        <f t="shared" si="26"/>
        <v>0</v>
      </c>
      <c r="N148" s="297">
        <f t="shared" si="27"/>
        <v>0</v>
      </c>
      <c r="O148" s="292"/>
      <c r="P148" s="290">
        <f t="shared" si="57"/>
        <v>0</v>
      </c>
      <c r="Q148" s="292">
        <f t="shared" si="55"/>
        <v>0</v>
      </c>
      <c r="R148" s="290">
        <f t="shared" si="56"/>
        <v>0</v>
      </c>
      <c r="S148" s="290">
        <f t="shared" si="33"/>
        <v>0</v>
      </c>
      <c r="T148" s="290">
        <f t="shared" si="34"/>
        <v>0</v>
      </c>
      <c r="U148" s="293"/>
      <c r="V148" s="294">
        <v>-24.848484848484848</v>
      </c>
      <c r="W148" s="299"/>
    </row>
    <row r="149" spans="1:23" ht="43.5">
      <c r="A149" s="288">
        <v>142</v>
      </c>
      <c r="B149" s="289" t="s">
        <v>806</v>
      </c>
      <c r="C149" s="290" t="s">
        <v>1090</v>
      </c>
      <c r="D149" s="290" t="s">
        <v>63</v>
      </c>
      <c r="E149" s="290" t="s">
        <v>948</v>
      </c>
      <c r="F149" s="290">
        <f t="shared" si="58"/>
        <v>3112.6</v>
      </c>
      <c r="G149" s="333"/>
      <c r="H149" s="290">
        <f t="shared" si="25"/>
        <v>0</v>
      </c>
      <c r="I149" s="291">
        <f>'DETAILED (2)'!I1568</f>
        <v>14.47</v>
      </c>
      <c r="J149" s="291">
        <f t="shared" si="29"/>
        <v>2286.2600000000002</v>
      </c>
      <c r="K149" s="296">
        <f t="shared" si="30"/>
        <v>14.47</v>
      </c>
      <c r="L149" s="291">
        <f t="shared" si="31"/>
        <v>2286.2600000000002</v>
      </c>
      <c r="M149" s="297">
        <f t="shared" si="26"/>
        <v>0</v>
      </c>
      <c r="N149" s="297">
        <f t="shared" si="27"/>
        <v>826.33999999999969</v>
      </c>
      <c r="O149" s="292"/>
      <c r="P149" s="290">
        <f t="shared" si="57"/>
        <v>0</v>
      </c>
      <c r="Q149" s="292">
        <f t="shared" si="55"/>
        <v>5.23</v>
      </c>
      <c r="R149" s="290">
        <f t="shared" si="56"/>
        <v>826.34</v>
      </c>
      <c r="S149" s="290">
        <f t="shared" si="33"/>
        <v>0</v>
      </c>
      <c r="T149" s="290">
        <f t="shared" si="34"/>
        <v>0</v>
      </c>
      <c r="U149" s="293"/>
      <c r="V149" s="294">
        <v>-31.696351374719001</v>
      </c>
      <c r="W149" s="299"/>
    </row>
    <row r="150" spans="1:23" ht="108.75">
      <c r="A150" s="288">
        <v>143</v>
      </c>
      <c r="B150" s="289" t="s">
        <v>807</v>
      </c>
      <c r="C150" s="290" t="s">
        <v>1091</v>
      </c>
      <c r="D150" s="290" t="s">
        <v>65</v>
      </c>
      <c r="E150" s="290" t="s">
        <v>949</v>
      </c>
      <c r="F150" s="290">
        <f t="shared" si="58"/>
        <v>19740</v>
      </c>
      <c r="G150" s="333"/>
      <c r="H150" s="290">
        <f t="shared" si="25"/>
        <v>0</v>
      </c>
      <c r="I150" s="291">
        <f>'DETAILED (2)'!I1575</f>
        <v>70</v>
      </c>
      <c r="J150" s="291">
        <f t="shared" si="29"/>
        <v>19740</v>
      </c>
      <c r="K150" s="296">
        <f t="shared" si="30"/>
        <v>70</v>
      </c>
      <c r="L150" s="291">
        <f t="shared" si="31"/>
        <v>19740</v>
      </c>
      <c r="M150" s="297">
        <f t="shared" si="26"/>
        <v>0</v>
      </c>
      <c r="N150" s="297">
        <f t="shared" si="27"/>
        <v>0</v>
      </c>
      <c r="O150" s="292"/>
      <c r="P150" s="290">
        <f t="shared" si="57"/>
        <v>0</v>
      </c>
      <c r="Q150" s="292">
        <f t="shared" si="55"/>
        <v>0</v>
      </c>
      <c r="R150" s="290">
        <f t="shared" si="56"/>
        <v>0</v>
      </c>
      <c r="S150" s="290">
        <f t="shared" si="33"/>
        <v>0</v>
      </c>
      <c r="T150" s="290">
        <f t="shared" si="34"/>
        <v>0</v>
      </c>
      <c r="U150" s="293"/>
      <c r="V150" s="294">
        <v>-30.024813895781637</v>
      </c>
      <c r="W150" s="299"/>
    </row>
    <row r="151" spans="1:23" ht="43.5">
      <c r="A151" s="288">
        <v>144</v>
      </c>
      <c r="B151" s="289" t="s">
        <v>808</v>
      </c>
      <c r="C151" s="290" t="s">
        <v>215</v>
      </c>
      <c r="D151" s="290" t="s">
        <v>64</v>
      </c>
      <c r="E151" s="290" t="s">
        <v>950</v>
      </c>
      <c r="F151" s="290">
        <f t="shared" si="58"/>
        <v>13992</v>
      </c>
      <c r="G151" s="333"/>
      <c r="H151" s="290">
        <f t="shared" si="25"/>
        <v>0</v>
      </c>
      <c r="I151" s="291">
        <f>'DETAILED (2)'!I1581</f>
        <v>10</v>
      </c>
      <c r="J151" s="291">
        <f t="shared" si="29"/>
        <v>12720</v>
      </c>
      <c r="K151" s="296">
        <f t="shared" si="30"/>
        <v>10</v>
      </c>
      <c r="L151" s="291">
        <f t="shared" si="31"/>
        <v>12720</v>
      </c>
      <c r="M151" s="297">
        <f t="shared" si="26"/>
        <v>0</v>
      </c>
      <c r="N151" s="297">
        <f t="shared" si="27"/>
        <v>1272</v>
      </c>
      <c r="O151" s="292"/>
      <c r="P151" s="290">
        <f t="shared" si="57"/>
        <v>0</v>
      </c>
      <c r="Q151" s="292">
        <f t="shared" si="55"/>
        <v>1</v>
      </c>
      <c r="R151" s="290">
        <f t="shared" si="56"/>
        <v>1272</v>
      </c>
      <c r="S151" s="290">
        <f t="shared" si="33"/>
        <v>0</v>
      </c>
      <c r="T151" s="290">
        <f t="shared" si="34"/>
        <v>0</v>
      </c>
      <c r="U151" s="293"/>
      <c r="V151" s="294">
        <v>-28.054298642533936</v>
      </c>
      <c r="W151" s="299"/>
    </row>
    <row r="152" spans="1:23" ht="65.25">
      <c r="A152" s="288">
        <v>145</v>
      </c>
      <c r="B152" s="289" t="s">
        <v>809</v>
      </c>
      <c r="C152" s="290" t="s">
        <v>1092</v>
      </c>
      <c r="D152" s="290" t="s">
        <v>64</v>
      </c>
      <c r="E152" s="290" t="s">
        <v>943</v>
      </c>
      <c r="F152" s="290">
        <f t="shared" si="58"/>
        <v>25268</v>
      </c>
      <c r="G152" s="333"/>
      <c r="H152" s="290">
        <f t="shared" si="25"/>
        <v>0</v>
      </c>
      <c r="I152" s="291">
        <f>'DETAILED (2)'!I1584</f>
        <v>4</v>
      </c>
      <c r="J152" s="291">
        <f t="shared" si="29"/>
        <v>25268</v>
      </c>
      <c r="K152" s="296">
        <f t="shared" si="30"/>
        <v>4</v>
      </c>
      <c r="L152" s="291">
        <f t="shared" si="31"/>
        <v>25268</v>
      </c>
      <c r="M152" s="297">
        <f t="shared" si="26"/>
        <v>0</v>
      </c>
      <c r="N152" s="297">
        <f t="shared" si="27"/>
        <v>0</v>
      </c>
      <c r="O152" s="292"/>
      <c r="P152" s="290">
        <f t="shared" si="57"/>
        <v>0</v>
      </c>
      <c r="Q152" s="292">
        <f t="shared" si="55"/>
        <v>0</v>
      </c>
      <c r="R152" s="290">
        <f t="shared" si="56"/>
        <v>0</v>
      </c>
      <c r="S152" s="290">
        <f t="shared" si="33"/>
        <v>0</v>
      </c>
      <c r="T152" s="290">
        <f t="shared" si="34"/>
        <v>0</v>
      </c>
      <c r="U152" s="293"/>
      <c r="V152" s="294">
        <v>-25.348617348144646</v>
      </c>
      <c r="W152" s="299"/>
    </row>
    <row r="153" spans="1:23" ht="65.25">
      <c r="A153" s="288">
        <v>146</v>
      </c>
      <c r="B153" s="289" t="s">
        <v>810</v>
      </c>
      <c r="C153" s="290" t="s">
        <v>1093</v>
      </c>
      <c r="D153" s="290" t="s">
        <v>64</v>
      </c>
      <c r="E153" s="290" t="s">
        <v>895</v>
      </c>
      <c r="F153" s="290">
        <f t="shared" si="58"/>
        <v>6544</v>
      </c>
      <c r="G153" s="337"/>
      <c r="H153" s="290">
        <f t="shared" si="25"/>
        <v>0</v>
      </c>
      <c r="I153" s="291">
        <f>'DETAILED (2)'!I1587</f>
        <v>1</v>
      </c>
      <c r="J153" s="291">
        <f t="shared" si="29"/>
        <v>6544</v>
      </c>
      <c r="K153" s="296">
        <f t="shared" si="30"/>
        <v>1</v>
      </c>
      <c r="L153" s="291">
        <f t="shared" si="31"/>
        <v>6544</v>
      </c>
      <c r="M153" s="297">
        <f t="shared" si="26"/>
        <v>0</v>
      </c>
      <c r="N153" s="297">
        <f t="shared" si="27"/>
        <v>0</v>
      </c>
      <c r="O153" s="292"/>
      <c r="P153" s="290">
        <f t="shared" si="57"/>
        <v>0</v>
      </c>
      <c r="Q153" s="292">
        <f t="shared" si="55"/>
        <v>0</v>
      </c>
      <c r="R153" s="290">
        <f t="shared" si="56"/>
        <v>0</v>
      </c>
      <c r="S153" s="290">
        <f t="shared" si="33"/>
        <v>0</v>
      </c>
      <c r="T153" s="290">
        <f t="shared" si="34"/>
        <v>0</v>
      </c>
      <c r="U153" s="293"/>
      <c r="V153" s="294">
        <v>-32.939413875720668</v>
      </c>
      <c r="W153" s="299"/>
    </row>
    <row r="154" spans="1:23" ht="108.75">
      <c r="A154" s="288">
        <v>147</v>
      </c>
      <c r="B154" s="289" t="s">
        <v>811</v>
      </c>
      <c r="C154" s="290" t="s">
        <v>1094</v>
      </c>
      <c r="D154" s="290" t="s">
        <v>64</v>
      </c>
      <c r="E154" s="290" t="s">
        <v>895</v>
      </c>
      <c r="F154" s="290">
        <f t="shared" si="58"/>
        <v>21287</v>
      </c>
      <c r="G154" s="337"/>
      <c r="H154" s="290">
        <f t="shared" si="25"/>
        <v>0</v>
      </c>
      <c r="I154" s="291">
        <f>'DETAILED (2)'!I1590</f>
        <v>1</v>
      </c>
      <c r="J154" s="291">
        <f t="shared" si="29"/>
        <v>21287</v>
      </c>
      <c r="K154" s="296">
        <f t="shared" si="30"/>
        <v>1</v>
      </c>
      <c r="L154" s="291">
        <f t="shared" si="31"/>
        <v>21287</v>
      </c>
      <c r="M154" s="297">
        <f t="shared" si="26"/>
        <v>0</v>
      </c>
      <c r="N154" s="297">
        <f t="shared" si="27"/>
        <v>0</v>
      </c>
      <c r="O154" s="292"/>
      <c r="P154" s="290">
        <f t="shared" si="57"/>
        <v>0</v>
      </c>
      <c r="Q154" s="292">
        <f t="shared" si="55"/>
        <v>0</v>
      </c>
      <c r="R154" s="290">
        <f t="shared" si="56"/>
        <v>0</v>
      </c>
      <c r="S154" s="290">
        <f t="shared" si="33"/>
        <v>0</v>
      </c>
      <c r="T154" s="290">
        <f t="shared" si="34"/>
        <v>0</v>
      </c>
      <c r="U154" s="293"/>
      <c r="V154" s="294">
        <v>-25.774957285818889</v>
      </c>
      <c r="W154" s="299"/>
    </row>
    <row r="155" spans="1:23" ht="174">
      <c r="A155" s="288">
        <v>148</v>
      </c>
      <c r="B155" s="289" t="s">
        <v>812</v>
      </c>
      <c r="C155" s="290" t="s">
        <v>1095</v>
      </c>
      <c r="D155" s="290" t="s">
        <v>64</v>
      </c>
      <c r="E155" s="290" t="s">
        <v>943</v>
      </c>
      <c r="F155" s="290">
        <f t="shared" si="58"/>
        <v>23064</v>
      </c>
      <c r="G155" s="333"/>
      <c r="H155" s="290">
        <f t="shared" si="25"/>
        <v>0</v>
      </c>
      <c r="I155" s="291">
        <f>'DETAILED (2)'!I1593</f>
        <v>4</v>
      </c>
      <c r="J155" s="291">
        <f t="shared" si="29"/>
        <v>23064</v>
      </c>
      <c r="K155" s="296">
        <f t="shared" si="30"/>
        <v>4</v>
      </c>
      <c r="L155" s="291">
        <f t="shared" si="31"/>
        <v>23064</v>
      </c>
      <c r="M155" s="297">
        <f t="shared" si="26"/>
        <v>0</v>
      </c>
      <c r="N155" s="297">
        <f t="shared" si="27"/>
        <v>0</v>
      </c>
      <c r="O155" s="292"/>
      <c r="P155" s="290">
        <f t="shared" si="57"/>
        <v>0</v>
      </c>
      <c r="Q155" s="292">
        <f t="shared" si="55"/>
        <v>0</v>
      </c>
      <c r="R155" s="290">
        <f t="shared" si="56"/>
        <v>0</v>
      </c>
      <c r="S155" s="290">
        <f t="shared" si="33"/>
        <v>0</v>
      </c>
      <c r="T155" s="290">
        <f t="shared" si="34"/>
        <v>0</v>
      </c>
      <c r="V155" s="294">
        <v>-23.548130469371522</v>
      </c>
      <c r="W155" s="299"/>
    </row>
    <row r="156" spans="1:23" ht="43.5">
      <c r="A156" s="288">
        <v>149</v>
      </c>
      <c r="B156" s="289" t="s">
        <v>813</v>
      </c>
      <c r="C156" s="290" t="s">
        <v>1096</v>
      </c>
      <c r="D156" s="290" t="s">
        <v>969</v>
      </c>
      <c r="E156" s="290" t="s">
        <v>883</v>
      </c>
      <c r="F156" s="290">
        <f t="shared" si="58"/>
        <v>592</v>
      </c>
      <c r="G156" s="337"/>
      <c r="H156" s="290">
        <f t="shared" si="25"/>
        <v>0</v>
      </c>
      <c r="I156" s="291">
        <f>'DETAILED (2)'!I1596</f>
        <v>8</v>
      </c>
      <c r="J156" s="291">
        <f t="shared" si="29"/>
        <v>592</v>
      </c>
      <c r="K156" s="296">
        <f t="shared" si="30"/>
        <v>8</v>
      </c>
      <c r="L156" s="291">
        <f t="shared" si="31"/>
        <v>592</v>
      </c>
      <c r="M156" s="297">
        <f t="shared" si="26"/>
        <v>0</v>
      </c>
      <c r="N156" s="297">
        <f t="shared" si="27"/>
        <v>0</v>
      </c>
      <c r="O156" s="292">
        <f t="shared" ref="O156:O157" si="60">ROUND(K156-E156,2)</f>
        <v>0</v>
      </c>
      <c r="P156" s="290">
        <f t="shared" si="57"/>
        <v>0</v>
      </c>
      <c r="Q156" s="292"/>
      <c r="R156" s="290">
        <f t="shared" si="56"/>
        <v>0</v>
      </c>
      <c r="S156" s="290">
        <f t="shared" si="33"/>
        <v>0</v>
      </c>
      <c r="T156" s="290">
        <f t="shared" si="34"/>
        <v>0</v>
      </c>
      <c r="U156" s="293"/>
      <c r="V156" s="294">
        <v>-26</v>
      </c>
      <c r="W156" s="299"/>
    </row>
    <row r="157" spans="1:23" ht="65.25">
      <c r="A157" s="288">
        <v>150</v>
      </c>
      <c r="B157" s="289" t="s">
        <v>814</v>
      </c>
      <c r="C157" s="290" t="s">
        <v>1097</v>
      </c>
      <c r="D157" s="290" t="s">
        <v>969</v>
      </c>
      <c r="E157" s="290" t="s">
        <v>947</v>
      </c>
      <c r="F157" s="290">
        <f t="shared" si="58"/>
        <v>1150</v>
      </c>
      <c r="G157" s="337"/>
      <c r="H157" s="290">
        <f t="shared" si="25"/>
        <v>0</v>
      </c>
      <c r="I157" s="291">
        <f>'DETAILED (2)'!I1599</f>
        <v>10</v>
      </c>
      <c r="J157" s="291">
        <f t="shared" si="29"/>
        <v>1150</v>
      </c>
      <c r="K157" s="296">
        <f t="shared" si="30"/>
        <v>10</v>
      </c>
      <c r="L157" s="291">
        <f t="shared" si="31"/>
        <v>1150</v>
      </c>
      <c r="M157" s="297">
        <f t="shared" si="26"/>
        <v>0</v>
      </c>
      <c r="N157" s="297">
        <f t="shared" si="27"/>
        <v>0</v>
      </c>
      <c r="O157" s="292">
        <f t="shared" si="60"/>
        <v>0</v>
      </c>
      <c r="P157" s="290">
        <f t="shared" si="57"/>
        <v>0</v>
      </c>
      <c r="Q157" s="292">
        <f t="shared" ref="Q157:Q199" si="61">ROUND(E157-K157,2)</f>
        <v>0</v>
      </c>
      <c r="R157" s="290">
        <f t="shared" si="56"/>
        <v>0</v>
      </c>
      <c r="S157" s="290">
        <f t="shared" si="33"/>
        <v>0</v>
      </c>
      <c r="T157" s="290">
        <f t="shared" si="34"/>
        <v>0</v>
      </c>
      <c r="U157" s="293"/>
      <c r="V157" s="294">
        <v>-25.806451612903224</v>
      </c>
      <c r="W157" s="299"/>
    </row>
    <row r="158" spans="1:23" ht="108.75">
      <c r="A158" s="288">
        <v>151</v>
      </c>
      <c r="B158" s="289" t="s">
        <v>815</v>
      </c>
      <c r="C158" s="290" t="s">
        <v>1061</v>
      </c>
      <c r="D158" s="290" t="s">
        <v>63</v>
      </c>
      <c r="E158" s="290" t="s">
        <v>951</v>
      </c>
      <c r="F158" s="290">
        <f t="shared" si="58"/>
        <v>150088.79999999999</v>
      </c>
      <c r="G158" s="337"/>
      <c r="H158" s="290">
        <f>ROUND(C158*G158,2)</f>
        <v>0</v>
      </c>
      <c r="I158" s="291">
        <f>'DETAILED (2)'!I1621</f>
        <v>1366.33</v>
      </c>
      <c r="J158" s="291">
        <f t="shared" si="29"/>
        <v>188553.53999999998</v>
      </c>
      <c r="K158" s="296">
        <f t="shared" si="30"/>
        <v>1366.33</v>
      </c>
      <c r="L158" s="291">
        <f t="shared" si="31"/>
        <v>188553.53999999998</v>
      </c>
      <c r="M158" s="297">
        <f t="shared" si="26"/>
        <v>38464.739999999991</v>
      </c>
      <c r="N158" s="297">
        <f t="shared" si="27"/>
        <v>0</v>
      </c>
      <c r="O158" s="292"/>
      <c r="P158" s="290">
        <f t="shared" si="57"/>
        <v>0</v>
      </c>
      <c r="Q158" s="292">
        <f t="shared" si="61"/>
        <v>-278.73</v>
      </c>
      <c r="R158" s="290">
        <f t="shared" si="56"/>
        <v>-38464.74</v>
      </c>
      <c r="S158" s="290">
        <f t="shared" si="33"/>
        <v>-38464.739999999991</v>
      </c>
      <c r="T158" s="290">
        <f t="shared" si="34"/>
        <v>38464.74</v>
      </c>
      <c r="U158" s="293" t="s">
        <v>1775</v>
      </c>
      <c r="V158" s="294">
        <v>-32.299843014128733</v>
      </c>
      <c r="W158" s="299"/>
    </row>
    <row r="159" spans="1:23" ht="108.75">
      <c r="A159" s="288">
        <v>152</v>
      </c>
      <c r="B159" s="289" t="s">
        <v>816</v>
      </c>
      <c r="C159" s="290" t="s">
        <v>1098</v>
      </c>
      <c r="D159" s="290" t="s">
        <v>64</v>
      </c>
      <c r="E159" s="290" t="s">
        <v>952</v>
      </c>
      <c r="F159" s="290">
        <f t="shared" si="58"/>
        <v>26091</v>
      </c>
      <c r="G159" s="333"/>
      <c r="H159" s="290">
        <f>ROUND(C159*G159,2)</f>
        <v>0</v>
      </c>
      <c r="I159" s="291">
        <f>'DETAILED (2)'!I1629</f>
        <v>17</v>
      </c>
      <c r="J159" s="291">
        <f t="shared" si="29"/>
        <v>34119</v>
      </c>
      <c r="K159" s="296">
        <f t="shared" si="30"/>
        <v>17</v>
      </c>
      <c r="L159" s="291">
        <f t="shared" si="31"/>
        <v>34119</v>
      </c>
      <c r="M159" s="297">
        <f t="shared" si="26"/>
        <v>8028</v>
      </c>
      <c r="N159" s="297">
        <f t="shared" si="27"/>
        <v>0</v>
      </c>
      <c r="O159" s="292"/>
      <c r="P159" s="290">
        <f t="shared" si="57"/>
        <v>0</v>
      </c>
      <c r="Q159" s="292">
        <f t="shared" si="61"/>
        <v>-4</v>
      </c>
      <c r="R159" s="290">
        <f t="shared" si="56"/>
        <v>-8028</v>
      </c>
      <c r="S159" s="290">
        <f t="shared" si="33"/>
        <v>-8028</v>
      </c>
      <c r="T159" s="290">
        <f t="shared" si="34"/>
        <v>8028</v>
      </c>
      <c r="U159" s="293" t="s">
        <v>1775</v>
      </c>
      <c r="V159" s="294">
        <v>-24.264150943396228</v>
      </c>
      <c r="W159" s="299"/>
    </row>
    <row r="160" spans="1:23" ht="108.75">
      <c r="A160" s="288">
        <v>153</v>
      </c>
      <c r="B160" s="289" t="s">
        <v>817</v>
      </c>
      <c r="C160" s="290" t="s">
        <v>1099</v>
      </c>
      <c r="D160" s="290" t="s">
        <v>64</v>
      </c>
      <c r="E160" s="290" t="s">
        <v>898</v>
      </c>
      <c r="F160" s="290">
        <f t="shared" si="58"/>
        <v>3069</v>
      </c>
      <c r="G160" s="333"/>
      <c r="H160" s="290">
        <f>ROUND(C160*G160,2)</f>
        <v>0</v>
      </c>
      <c r="I160" s="291">
        <f>'DETAILED (2)'!I1632</f>
        <v>13</v>
      </c>
      <c r="J160" s="291">
        <f t="shared" si="29"/>
        <v>4433</v>
      </c>
      <c r="K160" s="296">
        <f t="shared" si="30"/>
        <v>13</v>
      </c>
      <c r="L160" s="291">
        <f t="shared" si="31"/>
        <v>4433</v>
      </c>
      <c r="M160" s="297">
        <f t="shared" si="26"/>
        <v>1364</v>
      </c>
      <c r="N160" s="297">
        <f t="shared" si="27"/>
        <v>0</v>
      </c>
      <c r="O160" s="292"/>
      <c r="P160" s="290">
        <f t="shared" si="57"/>
        <v>0</v>
      </c>
      <c r="Q160" s="292">
        <f t="shared" si="61"/>
        <v>-4</v>
      </c>
      <c r="R160" s="290">
        <f t="shared" si="56"/>
        <v>-1364</v>
      </c>
      <c r="S160" s="290">
        <f t="shared" si="33"/>
        <v>-1364</v>
      </c>
      <c r="T160" s="290">
        <f t="shared" si="34"/>
        <v>1364</v>
      </c>
      <c r="U160" s="293" t="s">
        <v>1775</v>
      </c>
      <c r="V160" s="294">
        <v>-23.542600896860989</v>
      </c>
      <c r="W160" s="299"/>
    </row>
    <row r="161" spans="1:23" ht="43.5">
      <c r="A161" s="288">
        <v>154</v>
      </c>
      <c r="B161" s="289" t="s">
        <v>818</v>
      </c>
      <c r="C161" s="290" t="s">
        <v>1100</v>
      </c>
      <c r="D161" s="290" t="s">
        <v>66</v>
      </c>
      <c r="E161" s="290" t="s">
        <v>953</v>
      </c>
      <c r="F161" s="290">
        <f t="shared" si="58"/>
        <v>6749.94</v>
      </c>
      <c r="G161" s="333"/>
      <c r="H161" s="290">
        <f>ROUND(C161*G161,2)</f>
        <v>0</v>
      </c>
      <c r="I161" s="534">
        <f>'DETAILED (2)'!I712/1000</f>
        <v>2.7715700000000001</v>
      </c>
      <c r="J161" s="291">
        <f t="shared" si="29"/>
        <v>4897.3641900000002</v>
      </c>
      <c r="K161" s="296">
        <f t="shared" si="30"/>
        <v>2.7715700000000001</v>
      </c>
      <c r="L161" s="291">
        <f t="shared" si="31"/>
        <v>4897.3641900000002</v>
      </c>
      <c r="M161" s="297">
        <f t="shared" si="26"/>
        <v>0</v>
      </c>
      <c r="N161" s="297">
        <f t="shared" si="27"/>
        <v>1852.5758099999994</v>
      </c>
      <c r="O161" s="292"/>
      <c r="P161" s="290">
        <f t="shared" si="57"/>
        <v>0</v>
      </c>
      <c r="Q161" s="292">
        <f t="shared" si="61"/>
        <v>1.05</v>
      </c>
      <c r="R161" s="290">
        <f t="shared" si="56"/>
        <v>1855.35</v>
      </c>
      <c r="S161" s="290">
        <f t="shared" si="33"/>
        <v>0</v>
      </c>
      <c r="T161" s="290">
        <f t="shared" si="34"/>
        <v>-2.7741900000005444</v>
      </c>
      <c r="U161" s="293"/>
      <c r="V161" s="294">
        <v>-31.151373465809467</v>
      </c>
      <c r="W161" s="299"/>
    </row>
    <row r="162" spans="1:23" ht="65.25">
      <c r="A162" s="288">
        <v>155</v>
      </c>
      <c r="B162" s="289" t="s">
        <v>819</v>
      </c>
      <c r="C162" s="290" t="s">
        <v>1101</v>
      </c>
      <c r="D162" s="290" t="s">
        <v>64</v>
      </c>
      <c r="E162" s="290" t="s">
        <v>894</v>
      </c>
      <c r="F162" s="290">
        <f t="shared" si="58"/>
        <v>1645</v>
      </c>
      <c r="G162" s="333"/>
      <c r="H162" s="290">
        <f t="shared" ref="H162:H199" si="62">ROUND(C162*G162,2)</f>
        <v>0</v>
      </c>
      <c r="I162" s="291">
        <f>'DETAILED (2)'!I1637</f>
        <v>5</v>
      </c>
      <c r="J162" s="291">
        <f t="shared" si="29"/>
        <v>1645</v>
      </c>
      <c r="K162" s="296">
        <f t="shared" si="30"/>
        <v>5</v>
      </c>
      <c r="L162" s="291">
        <f t="shared" si="31"/>
        <v>1645</v>
      </c>
      <c r="M162" s="297">
        <f t="shared" si="26"/>
        <v>0</v>
      </c>
      <c r="N162" s="297">
        <f t="shared" si="27"/>
        <v>0</v>
      </c>
      <c r="O162" s="292"/>
      <c r="P162" s="290">
        <f t="shared" si="57"/>
        <v>0</v>
      </c>
      <c r="Q162" s="292">
        <f t="shared" si="61"/>
        <v>0</v>
      </c>
      <c r="R162" s="290">
        <f t="shared" si="56"/>
        <v>0</v>
      </c>
      <c r="S162" s="290">
        <f t="shared" si="33"/>
        <v>0</v>
      </c>
      <c r="T162" s="290">
        <f t="shared" si="34"/>
        <v>0</v>
      </c>
      <c r="U162" s="293"/>
      <c r="V162" s="294">
        <v>-23.665893271461716</v>
      </c>
      <c r="W162" s="299"/>
    </row>
    <row r="163" spans="1:23" ht="108.75">
      <c r="A163" s="288">
        <v>156</v>
      </c>
      <c r="B163" s="289" t="s">
        <v>820</v>
      </c>
      <c r="C163" s="290" t="s">
        <v>959</v>
      </c>
      <c r="D163" s="290" t="s">
        <v>64</v>
      </c>
      <c r="E163" s="290" t="s">
        <v>954</v>
      </c>
      <c r="F163" s="290">
        <f t="shared" si="58"/>
        <v>2418</v>
      </c>
      <c r="G163" s="333"/>
      <c r="H163" s="290">
        <f t="shared" si="62"/>
        <v>0</v>
      </c>
      <c r="I163" s="291">
        <f>'DETAILED (2)'!I1670</f>
        <v>39</v>
      </c>
      <c r="J163" s="291">
        <f t="shared" si="29"/>
        <v>2418</v>
      </c>
      <c r="K163" s="296">
        <f t="shared" si="30"/>
        <v>39</v>
      </c>
      <c r="L163" s="291">
        <f t="shared" si="31"/>
        <v>2418</v>
      </c>
      <c r="M163" s="297">
        <f t="shared" si="26"/>
        <v>0</v>
      </c>
      <c r="N163" s="297">
        <f t="shared" si="27"/>
        <v>0</v>
      </c>
      <c r="O163" s="292"/>
      <c r="P163" s="290">
        <f t="shared" si="57"/>
        <v>0</v>
      </c>
      <c r="Q163" s="292">
        <f t="shared" si="61"/>
        <v>0</v>
      </c>
      <c r="R163" s="290">
        <f t="shared" si="56"/>
        <v>0</v>
      </c>
      <c r="S163" s="290">
        <f t="shared" si="33"/>
        <v>0</v>
      </c>
      <c r="T163" s="290">
        <f t="shared" si="34"/>
        <v>0</v>
      </c>
      <c r="U163" s="293"/>
      <c r="V163" s="294">
        <v>-23.456790123456788</v>
      </c>
      <c r="W163" s="299"/>
    </row>
    <row r="164" spans="1:23">
      <c r="A164" s="288">
        <v>157</v>
      </c>
      <c r="B164" s="289" t="s">
        <v>821</v>
      </c>
      <c r="C164" s="290" t="s">
        <v>946</v>
      </c>
      <c r="D164" s="290" t="s">
        <v>64</v>
      </c>
      <c r="E164" s="290" t="s">
        <v>894</v>
      </c>
      <c r="F164" s="290">
        <f t="shared" si="58"/>
        <v>650</v>
      </c>
      <c r="G164" s="333"/>
      <c r="H164" s="290">
        <f t="shared" si="62"/>
        <v>0</v>
      </c>
      <c r="I164" s="291">
        <f>'DETAILED (2)'!I1675</f>
        <v>5</v>
      </c>
      <c r="J164" s="291">
        <f t="shared" si="29"/>
        <v>650</v>
      </c>
      <c r="K164" s="296">
        <f t="shared" si="30"/>
        <v>5</v>
      </c>
      <c r="L164" s="291">
        <f t="shared" si="31"/>
        <v>650</v>
      </c>
      <c r="M164" s="297">
        <f t="shared" si="26"/>
        <v>0</v>
      </c>
      <c r="N164" s="297">
        <f t="shared" si="27"/>
        <v>0</v>
      </c>
      <c r="O164" s="292"/>
      <c r="P164" s="290">
        <f t="shared" si="57"/>
        <v>0</v>
      </c>
      <c r="Q164" s="292">
        <f t="shared" si="61"/>
        <v>0</v>
      </c>
      <c r="R164" s="290">
        <f t="shared" si="56"/>
        <v>0</v>
      </c>
      <c r="S164" s="290">
        <f t="shared" si="33"/>
        <v>0</v>
      </c>
      <c r="T164" s="290">
        <f t="shared" si="34"/>
        <v>0</v>
      </c>
      <c r="U164" s="293"/>
      <c r="V164" s="294">
        <v>-23.52941176470588</v>
      </c>
      <c r="W164" s="299"/>
    </row>
    <row r="165" spans="1:23" ht="108.75">
      <c r="A165" s="288">
        <v>158</v>
      </c>
      <c r="B165" s="289" t="s">
        <v>822</v>
      </c>
      <c r="C165" s="290" t="s">
        <v>1102</v>
      </c>
      <c r="D165" s="290" t="s">
        <v>64</v>
      </c>
      <c r="E165" s="290" t="s">
        <v>934</v>
      </c>
      <c r="F165" s="290">
        <f t="shared" si="58"/>
        <v>1988</v>
      </c>
      <c r="G165" s="333"/>
      <c r="H165" s="290">
        <f t="shared" si="62"/>
        <v>0</v>
      </c>
      <c r="I165" s="291">
        <f>'DETAILED (2)'!I1679</f>
        <v>10</v>
      </c>
      <c r="J165" s="291">
        <f t="shared" si="29"/>
        <v>2840</v>
      </c>
      <c r="K165" s="296">
        <f t="shared" si="30"/>
        <v>10</v>
      </c>
      <c r="L165" s="291">
        <f t="shared" si="31"/>
        <v>2840</v>
      </c>
      <c r="M165" s="297">
        <f t="shared" si="26"/>
        <v>852</v>
      </c>
      <c r="N165" s="297">
        <f t="shared" si="27"/>
        <v>0</v>
      </c>
      <c r="O165" s="292"/>
      <c r="P165" s="290">
        <f t="shared" si="57"/>
        <v>0</v>
      </c>
      <c r="Q165" s="292">
        <f t="shared" si="61"/>
        <v>-3</v>
      </c>
      <c r="R165" s="290">
        <f t="shared" si="56"/>
        <v>-852</v>
      </c>
      <c r="S165" s="290">
        <f t="shared" si="33"/>
        <v>-852</v>
      </c>
      <c r="T165" s="290">
        <f t="shared" si="34"/>
        <v>852</v>
      </c>
      <c r="U165" s="293" t="s">
        <v>1775</v>
      </c>
      <c r="V165" s="294">
        <v>-24.407772158637208</v>
      </c>
      <c r="W165" s="299"/>
    </row>
    <row r="166" spans="1:23" ht="43.5">
      <c r="A166" s="288">
        <v>159</v>
      </c>
      <c r="B166" s="289" t="s">
        <v>823</v>
      </c>
      <c r="C166" s="290" t="s">
        <v>1103</v>
      </c>
      <c r="D166" s="290" t="s">
        <v>63</v>
      </c>
      <c r="E166" s="290" t="s">
        <v>955</v>
      </c>
      <c r="F166" s="290">
        <f t="shared" si="58"/>
        <v>68764.800000000003</v>
      </c>
      <c r="G166" s="333"/>
      <c r="H166" s="290">
        <f t="shared" si="62"/>
        <v>0</v>
      </c>
      <c r="I166" s="291">
        <f>'DETAILED (2)'!I1692</f>
        <v>62.800000000000011</v>
      </c>
      <c r="J166" s="291">
        <f t="shared" si="29"/>
        <v>58278.400000000009</v>
      </c>
      <c r="K166" s="296">
        <f t="shared" si="30"/>
        <v>62.800000000000011</v>
      </c>
      <c r="L166" s="291">
        <f t="shared" si="31"/>
        <v>58278.400000000009</v>
      </c>
      <c r="M166" s="297">
        <f t="shared" si="26"/>
        <v>0</v>
      </c>
      <c r="N166" s="297">
        <f t="shared" si="27"/>
        <v>10486.399999999994</v>
      </c>
      <c r="O166" s="292"/>
      <c r="P166" s="290">
        <f t="shared" si="57"/>
        <v>0</v>
      </c>
      <c r="Q166" s="292">
        <f t="shared" si="61"/>
        <v>11.3</v>
      </c>
      <c r="R166" s="290">
        <f t="shared" si="56"/>
        <v>10486.4</v>
      </c>
      <c r="S166" s="290">
        <f t="shared" si="33"/>
        <v>0</v>
      </c>
      <c r="T166" s="290">
        <f t="shared" si="34"/>
        <v>0</v>
      </c>
      <c r="U166" s="293"/>
      <c r="V166" s="294">
        <v>-28.590665999769151</v>
      </c>
      <c r="W166" s="299"/>
    </row>
    <row r="167" spans="1:23" ht="108.75">
      <c r="A167" s="288">
        <v>160</v>
      </c>
      <c r="B167" s="289" t="s">
        <v>824</v>
      </c>
      <c r="C167" s="290" t="s">
        <v>1104</v>
      </c>
      <c r="D167" s="290" t="s">
        <v>63</v>
      </c>
      <c r="E167" s="290" t="s">
        <v>956</v>
      </c>
      <c r="F167" s="290">
        <f t="shared" si="58"/>
        <v>167481.60000000001</v>
      </c>
      <c r="G167" s="333"/>
      <c r="H167" s="290">
        <f t="shared" si="62"/>
        <v>0</v>
      </c>
      <c r="I167" s="472">
        <f>'DETAILED (2)'!I1775</f>
        <v>229.89999999999998</v>
      </c>
      <c r="J167" s="291">
        <f t="shared" si="29"/>
        <v>182310.69999999998</v>
      </c>
      <c r="K167" s="296">
        <f t="shared" si="30"/>
        <v>229.89999999999998</v>
      </c>
      <c r="L167" s="291">
        <f t="shared" si="31"/>
        <v>182310.69999999998</v>
      </c>
      <c r="M167" s="297">
        <f t="shared" si="26"/>
        <v>14829.099999999977</v>
      </c>
      <c r="N167" s="297">
        <f t="shared" si="27"/>
        <v>0</v>
      </c>
      <c r="O167" s="292"/>
      <c r="P167" s="290">
        <f t="shared" si="57"/>
        <v>0</v>
      </c>
      <c r="Q167" s="292">
        <f t="shared" si="61"/>
        <v>-18.7</v>
      </c>
      <c r="R167" s="290">
        <f t="shared" si="56"/>
        <v>-14829.1</v>
      </c>
      <c r="S167" s="290">
        <f t="shared" si="33"/>
        <v>-14829.099999999977</v>
      </c>
      <c r="T167" s="290">
        <f t="shared" si="34"/>
        <v>14829.1</v>
      </c>
      <c r="U167" s="293" t="s">
        <v>1775</v>
      </c>
      <c r="V167" s="303">
        <v>-29.430191063530632</v>
      </c>
      <c r="W167" s="299"/>
    </row>
    <row r="168" spans="1:23" ht="108.75">
      <c r="A168" s="288">
        <v>161</v>
      </c>
      <c r="B168" s="289" t="s">
        <v>825</v>
      </c>
      <c r="C168" s="290" t="s">
        <v>1105</v>
      </c>
      <c r="D168" s="290" t="s">
        <v>65</v>
      </c>
      <c r="E168" s="290" t="s">
        <v>957</v>
      </c>
      <c r="F168" s="290">
        <f t="shared" si="58"/>
        <v>1324.8</v>
      </c>
      <c r="G168" s="333"/>
      <c r="H168" s="290">
        <f t="shared" si="62"/>
        <v>0</v>
      </c>
      <c r="I168" s="291">
        <f>'DETAILED (2)'!I1783</f>
        <v>24.9</v>
      </c>
      <c r="J168" s="291">
        <f t="shared" si="29"/>
        <v>1718.1</v>
      </c>
      <c r="K168" s="296">
        <f t="shared" si="30"/>
        <v>24.9</v>
      </c>
      <c r="L168" s="291">
        <f t="shared" si="31"/>
        <v>1718.1</v>
      </c>
      <c r="M168" s="297">
        <f t="shared" si="26"/>
        <v>393.29999999999995</v>
      </c>
      <c r="N168" s="297">
        <f t="shared" si="27"/>
        <v>0</v>
      </c>
      <c r="O168" s="292"/>
      <c r="P168" s="290">
        <f t="shared" si="57"/>
        <v>0</v>
      </c>
      <c r="Q168" s="292">
        <f t="shared" si="61"/>
        <v>-5.7</v>
      </c>
      <c r="R168" s="290">
        <f t="shared" si="56"/>
        <v>-393.3</v>
      </c>
      <c r="S168" s="290">
        <f t="shared" si="33"/>
        <v>-393.29999999999995</v>
      </c>
      <c r="T168" s="290">
        <f t="shared" si="34"/>
        <v>393.3</v>
      </c>
      <c r="U168" s="293" t="s">
        <v>1775</v>
      </c>
      <c r="V168" s="294">
        <v>-23.333333333333332</v>
      </c>
      <c r="W168" s="299"/>
    </row>
    <row r="169" spans="1:23" ht="65.25">
      <c r="A169" s="288">
        <v>162</v>
      </c>
      <c r="B169" s="289" t="s">
        <v>826</v>
      </c>
      <c r="C169" s="290" t="s">
        <v>1106</v>
      </c>
      <c r="D169" s="290" t="s">
        <v>63</v>
      </c>
      <c r="E169" s="290" t="s">
        <v>958</v>
      </c>
      <c r="F169" s="290">
        <f t="shared" si="58"/>
        <v>83920</v>
      </c>
      <c r="G169" s="333"/>
      <c r="H169" s="290">
        <f t="shared" si="62"/>
        <v>0</v>
      </c>
      <c r="I169" s="291">
        <f>'DETAILED (2)'!I1807</f>
        <v>79.91</v>
      </c>
      <c r="J169" s="291">
        <f t="shared" si="29"/>
        <v>83825.59</v>
      </c>
      <c r="K169" s="296">
        <f t="shared" si="30"/>
        <v>79.91</v>
      </c>
      <c r="L169" s="291">
        <f t="shared" si="31"/>
        <v>83825.59</v>
      </c>
      <c r="M169" s="297">
        <f t="shared" si="26"/>
        <v>0</v>
      </c>
      <c r="N169" s="297">
        <f t="shared" si="27"/>
        <v>94.410000000003492</v>
      </c>
      <c r="O169" s="292"/>
      <c r="P169" s="290">
        <f t="shared" si="57"/>
        <v>0</v>
      </c>
      <c r="Q169" s="292">
        <f t="shared" si="61"/>
        <v>0.09</v>
      </c>
      <c r="R169" s="290">
        <f t="shared" si="56"/>
        <v>94.41</v>
      </c>
      <c r="S169" s="290">
        <f t="shared" si="33"/>
        <v>0</v>
      </c>
      <c r="T169" s="290">
        <f t="shared" si="34"/>
        <v>3.4958702599396929E-12</v>
      </c>
      <c r="U169" s="293"/>
      <c r="V169" s="294">
        <v>-28.072352767740217</v>
      </c>
      <c r="W169" s="299"/>
    </row>
    <row r="170" spans="1:23" ht="108.75">
      <c r="A170" s="288">
        <v>163</v>
      </c>
      <c r="B170" s="289" t="s">
        <v>827</v>
      </c>
      <c r="C170" s="290" t="s">
        <v>958</v>
      </c>
      <c r="D170" s="290" t="s">
        <v>64</v>
      </c>
      <c r="E170" s="290" t="s">
        <v>934</v>
      </c>
      <c r="F170" s="290">
        <f t="shared" si="58"/>
        <v>560</v>
      </c>
      <c r="G170" s="333"/>
      <c r="H170" s="290">
        <f t="shared" si="62"/>
        <v>0</v>
      </c>
      <c r="I170" s="291">
        <f>'DETAILED (2)'!I1810</f>
        <v>10</v>
      </c>
      <c r="J170" s="291">
        <f t="shared" si="29"/>
        <v>800</v>
      </c>
      <c r="K170" s="296">
        <f t="shared" si="30"/>
        <v>10</v>
      </c>
      <c r="L170" s="291">
        <f t="shared" si="31"/>
        <v>800</v>
      </c>
      <c r="M170" s="297">
        <f t="shared" si="26"/>
        <v>240</v>
      </c>
      <c r="N170" s="297">
        <f t="shared" si="27"/>
        <v>0</v>
      </c>
      <c r="O170" s="292"/>
      <c r="P170" s="290">
        <f t="shared" si="57"/>
        <v>0</v>
      </c>
      <c r="Q170" s="292">
        <f t="shared" si="61"/>
        <v>-3</v>
      </c>
      <c r="R170" s="290">
        <f t="shared" si="56"/>
        <v>-240</v>
      </c>
      <c r="S170" s="290">
        <f t="shared" si="33"/>
        <v>-240</v>
      </c>
      <c r="T170" s="290">
        <f t="shared" si="34"/>
        <v>240</v>
      </c>
      <c r="U170" s="293" t="s">
        <v>1775</v>
      </c>
      <c r="V170" s="294">
        <v>-32.24932249322493</v>
      </c>
      <c r="W170" s="299"/>
    </row>
    <row r="171" spans="1:23" ht="65.25">
      <c r="A171" s="288">
        <v>164</v>
      </c>
      <c r="B171" s="289" t="s">
        <v>828</v>
      </c>
      <c r="C171" s="290" t="s">
        <v>949</v>
      </c>
      <c r="D171" s="290" t="s">
        <v>64</v>
      </c>
      <c r="E171" s="290" t="s">
        <v>895</v>
      </c>
      <c r="F171" s="290">
        <f t="shared" si="58"/>
        <v>70</v>
      </c>
      <c r="G171" s="333">
        <v>1</v>
      </c>
      <c r="H171" s="290">
        <f t="shared" si="62"/>
        <v>70</v>
      </c>
      <c r="I171" s="291"/>
      <c r="J171" s="291">
        <f t="shared" si="29"/>
        <v>0</v>
      </c>
      <c r="K171" s="296">
        <f t="shared" si="30"/>
        <v>1</v>
      </c>
      <c r="L171" s="291">
        <f t="shared" si="31"/>
        <v>70</v>
      </c>
      <c r="M171" s="297">
        <f t="shared" si="26"/>
        <v>0</v>
      </c>
      <c r="N171" s="297">
        <f t="shared" si="27"/>
        <v>0</v>
      </c>
      <c r="O171" s="292"/>
      <c r="P171" s="290">
        <f t="shared" si="57"/>
        <v>0</v>
      </c>
      <c r="Q171" s="292">
        <f t="shared" si="61"/>
        <v>0</v>
      </c>
      <c r="R171" s="290">
        <f t="shared" si="56"/>
        <v>0</v>
      </c>
      <c r="S171" s="290">
        <f t="shared" si="33"/>
        <v>0</v>
      </c>
      <c r="T171" s="290">
        <f t="shared" si="34"/>
        <v>0</v>
      </c>
      <c r="U171" s="293"/>
      <c r="V171" s="294">
        <v>-27.835051546391753</v>
      </c>
      <c r="W171" s="299"/>
    </row>
    <row r="172" spans="1:23" ht="43.5">
      <c r="A172" s="288">
        <v>165</v>
      </c>
      <c r="B172" s="289" t="s">
        <v>829</v>
      </c>
      <c r="C172" s="290" t="s">
        <v>1107</v>
      </c>
      <c r="D172" s="290" t="s">
        <v>969</v>
      </c>
      <c r="E172" s="290" t="s">
        <v>959</v>
      </c>
      <c r="F172" s="290">
        <f t="shared" si="58"/>
        <v>2852</v>
      </c>
      <c r="G172" s="337"/>
      <c r="H172" s="290">
        <f t="shared" si="62"/>
        <v>0</v>
      </c>
      <c r="I172" s="291">
        <f>'DETAILED (2)'!I1813</f>
        <v>62</v>
      </c>
      <c r="J172" s="291">
        <f t="shared" si="29"/>
        <v>2852</v>
      </c>
      <c r="K172" s="296">
        <f t="shared" si="30"/>
        <v>62</v>
      </c>
      <c r="L172" s="291">
        <f t="shared" si="31"/>
        <v>2852</v>
      </c>
      <c r="M172" s="297">
        <f t="shared" si="26"/>
        <v>0</v>
      </c>
      <c r="N172" s="297">
        <f t="shared" si="27"/>
        <v>0</v>
      </c>
      <c r="O172" s="292"/>
      <c r="P172" s="290">
        <f t="shared" si="57"/>
        <v>0</v>
      </c>
      <c r="Q172" s="292">
        <f t="shared" si="61"/>
        <v>0</v>
      </c>
      <c r="R172" s="290">
        <f t="shared" si="56"/>
        <v>0</v>
      </c>
      <c r="S172" s="290">
        <f t="shared" si="33"/>
        <v>0</v>
      </c>
      <c r="T172" s="290">
        <f t="shared" si="34"/>
        <v>0</v>
      </c>
      <c r="U172" s="293"/>
      <c r="V172" s="294">
        <v>-24.092409240924095</v>
      </c>
      <c r="W172" s="299"/>
    </row>
    <row r="173" spans="1:23" ht="108.75">
      <c r="A173" s="288">
        <v>166</v>
      </c>
      <c r="B173" s="289" t="s">
        <v>830</v>
      </c>
      <c r="C173" s="290" t="s">
        <v>1108</v>
      </c>
      <c r="D173" s="290" t="s">
        <v>65</v>
      </c>
      <c r="E173" s="290" t="s">
        <v>960</v>
      </c>
      <c r="F173" s="290">
        <f t="shared" si="58"/>
        <v>8050</v>
      </c>
      <c r="G173" s="333">
        <v>25</v>
      </c>
      <c r="H173" s="290">
        <f t="shared" si="62"/>
        <v>8050</v>
      </c>
      <c r="I173" s="291"/>
      <c r="J173" s="291">
        <f t="shared" si="29"/>
        <v>0</v>
      </c>
      <c r="K173" s="296">
        <f t="shared" si="30"/>
        <v>25</v>
      </c>
      <c r="L173" s="291">
        <f t="shared" si="31"/>
        <v>8050</v>
      </c>
      <c r="M173" s="297">
        <f t="shared" si="26"/>
        <v>0</v>
      </c>
      <c r="N173" s="297">
        <f t="shared" si="27"/>
        <v>0</v>
      </c>
      <c r="O173" s="292">
        <f t="shared" ref="O173" si="63">ROUND(K173-E173,2)</f>
        <v>0</v>
      </c>
      <c r="P173" s="290">
        <f t="shared" si="57"/>
        <v>0</v>
      </c>
      <c r="Q173" s="292">
        <f t="shared" si="61"/>
        <v>0</v>
      </c>
      <c r="R173" s="290">
        <f t="shared" si="56"/>
        <v>0</v>
      </c>
      <c r="S173" s="290">
        <f t="shared" si="33"/>
        <v>0</v>
      </c>
      <c r="T173" s="290">
        <f t="shared" si="34"/>
        <v>0</v>
      </c>
      <c r="U173" s="293"/>
      <c r="V173" s="294">
        <v>-27.149321266968325</v>
      </c>
      <c r="W173" s="299"/>
    </row>
    <row r="174" spans="1:23" ht="130.5">
      <c r="A174" s="288">
        <v>167</v>
      </c>
      <c r="B174" s="289" t="s">
        <v>831</v>
      </c>
      <c r="C174" s="290" t="s">
        <v>1109</v>
      </c>
      <c r="D174" s="290" t="s">
        <v>65</v>
      </c>
      <c r="E174" s="290" t="s">
        <v>961</v>
      </c>
      <c r="F174" s="290">
        <f t="shared" si="58"/>
        <v>19320</v>
      </c>
      <c r="G174" s="333">
        <v>34</v>
      </c>
      <c r="H174" s="290">
        <f t="shared" si="62"/>
        <v>18768</v>
      </c>
      <c r="I174" s="291"/>
      <c r="J174" s="291">
        <f t="shared" si="29"/>
        <v>0</v>
      </c>
      <c r="K174" s="296">
        <f t="shared" si="30"/>
        <v>34</v>
      </c>
      <c r="L174" s="291">
        <f t="shared" si="31"/>
        <v>18768</v>
      </c>
      <c r="M174" s="297">
        <f t="shared" si="26"/>
        <v>0</v>
      </c>
      <c r="N174" s="297">
        <f t="shared" si="27"/>
        <v>552</v>
      </c>
      <c r="O174" s="292"/>
      <c r="P174" s="290">
        <f t="shared" si="57"/>
        <v>0</v>
      </c>
      <c r="Q174" s="292">
        <f t="shared" si="61"/>
        <v>1</v>
      </c>
      <c r="R174" s="290">
        <f t="shared" si="56"/>
        <v>552</v>
      </c>
      <c r="S174" s="290">
        <f t="shared" si="33"/>
        <v>0</v>
      </c>
      <c r="T174" s="290">
        <f t="shared" si="34"/>
        <v>0</v>
      </c>
      <c r="U174" s="293"/>
      <c r="V174" s="294">
        <v>-23.545706371191137</v>
      </c>
      <c r="W174" s="299"/>
    </row>
    <row r="175" spans="1:23" ht="130.5">
      <c r="A175" s="288">
        <v>168</v>
      </c>
      <c r="B175" s="289" t="s">
        <v>832</v>
      </c>
      <c r="C175" s="290" t="s">
        <v>1110</v>
      </c>
      <c r="D175" s="290" t="s">
        <v>969</v>
      </c>
      <c r="E175" s="290" t="s">
        <v>223</v>
      </c>
      <c r="F175" s="290">
        <f t="shared" si="58"/>
        <v>13140</v>
      </c>
      <c r="G175" s="333">
        <v>59</v>
      </c>
      <c r="H175" s="290">
        <f t="shared" si="62"/>
        <v>12921</v>
      </c>
      <c r="I175" s="291"/>
      <c r="J175" s="291">
        <f t="shared" si="29"/>
        <v>0</v>
      </c>
      <c r="K175" s="296">
        <f t="shared" si="30"/>
        <v>59</v>
      </c>
      <c r="L175" s="291">
        <f t="shared" si="31"/>
        <v>12921</v>
      </c>
      <c r="M175" s="297">
        <f t="shared" si="26"/>
        <v>0</v>
      </c>
      <c r="N175" s="297">
        <f t="shared" si="27"/>
        <v>219</v>
      </c>
      <c r="O175" s="292"/>
      <c r="P175" s="290">
        <f t="shared" si="57"/>
        <v>0</v>
      </c>
      <c r="Q175" s="292">
        <f t="shared" si="61"/>
        <v>1</v>
      </c>
      <c r="R175" s="290">
        <f t="shared" si="56"/>
        <v>219</v>
      </c>
      <c r="S175" s="290">
        <f t="shared" si="33"/>
        <v>0</v>
      </c>
      <c r="T175" s="290">
        <f t="shared" si="34"/>
        <v>0</v>
      </c>
      <c r="U175" s="293"/>
      <c r="V175" s="294">
        <v>-32.801472844430805</v>
      </c>
      <c r="W175" s="299"/>
    </row>
    <row r="176" spans="1:23" ht="87">
      <c r="A176" s="288">
        <v>169</v>
      </c>
      <c r="B176" s="289" t="s">
        <v>833</v>
      </c>
      <c r="C176" s="290" t="s">
        <v>1111</v>
      </c>
      <c r="D176" s="290" t="s">
        <v>64</v>
      </c>
      <c r="E176" s="290" t="s">
        <v>895</v>
      </c>
      <c r="F176" s="290">
        <f t="shared" si="58"/>
        <v>4205</v>
      </c>
      <c r="G176" s="337"/>
      <c r="H176" s="290">
        <f t="shared" si="62"/>
        <v>0</v>
      </c>
      <c r="I176" s="291">
        <f>'DETAILED (2)'!I1816</f>
        <v>1</v>
      </c>
      <c r="J176" s="291">
        <f t="shared" si="29"/>
        <v>4205</v>
      </c>
      <c r="K176" s="296">
        <f t="shared" si="30"/>
        <v>1</v>
      </c>
      <c r="L176" s="291">
        <f t="shared" si="31"/>
        <v>4205</v>
      </c>
      <c r="M176" s="297">
        <f t="shared" si="26"/>
        <v>0</v>
      </c>
      <c r="N176" s="297">
        <f t="shared" si="27"/>
        <v>0</v>
      </c>
      <c r="O176" s="292"/>
      <c r="P176" s="290">
        <f t="shared" si="57"/>
        <v>0</v>
      </c>
      <c r="Q176" s="292">
        <f t="shared" si="61"/>
        <v>0</v>
      </c>
      <c r="R176" s="290">
        <f t="shared" si="56"/>
        <v>0</v>
      </c>
      <c r="S176" s="290">
        <f t="shared" si="33"/>
        <v>0</v>
      </c>
      <c r="T176" s="290">
        <f t="shared" si="34"/>
        <v>0</v>
      </c>
      <c r="U176" s="293"/>
      <c r="V176" s="294">
        <v>-24.152236652236653</v>
      </c>
      <c r="W176" s="299"/>
    </row>
    <row r="177" spans="1:32" ht="43.5">
      <c r="A177" s="288">
        <v>170</v>
      </c>
      <c r="B177" s="289" t="s">
        <v>834</v>
      </c>
      <c r="C177" s="290" t="s">
        <v>1112</v>
      </c>
      <c r="D177" s="290" t="s">
        <v>969</v>
      </c>
      <c r="E177" s="290" t="s">
        <v>962</v>
      </c>
      <c r="F177" s="290">
        <f t="shared" si="58"/>
        <v>2800</v>
      </c>
      <c r="G177" s="337"/>
      <c r="H177" s="290">
        <f t="shared" si="62"/>
        <v>0</v>
      </c>
      <c r="I177" s="291">
        <f>'DETAILED (2)'!I1819</f>
        <v>50</v>
      </c>
      <c r="J177" s="291">
        <f t="shared" si="29"/>
        <v>2800</v>
      </c>
      <c r="K177" s="296">
        <f t="shared" si="30"/>
        <v>50</v>
      </c>
      <c r="L177" s="291">
        <f t="shared" si="31"/>
        <v>2800</v>
      </c>
      <c r="M177" s="297">
        <f t="shared" si="26"/>
        <v>0</v>
      </c>
      <c r="N177" s="297">
        <f t="shared" si="27"/>
        <v>0</v>
      </c>
      <c r="O177" s="292"/>
      <c r="P177" s="290">
        <f t="shared" si="57"/>
        <v>0</v>
      </c>
      <c r="Q177" s="292">
        <f t="shared" si="61"/>
        <v>0</v>
      </c>
      <c r="R177" s="290">
        <f t="shared" si="56"/>
        <v>0</v>
      </c>
      <c r="S177" s="290">
        <f t="shared" si="33"/>
        <v>0</v>
      </c>
      <c r="T177" s="290">
        <f t="shared" si="34"/>
        <v>0</v>
      </c>
      <c r="U177" s="293"/>
      <c r="V177" s="294">
        <v>-24.221921515561576</v>
      </c>
      <c r="W177" s="299"/>
    </row>
    <row r="178" spans="1:32" ht="87">
      <c r="A178" s="288">
        <v>171</v>
      </c>
      <c r="B178" s="289" t="s">
        <v>835</v>
      </c>
      <c r="C178" s="290" t="s">
        <v>1113</v>
      </c>
      <c r="D178" s="290" t="s">
        <v>64</v>
      </c>
      <c r="E178" s="290" t="s">
        <v>895</v>
      </c>
      <c r="F178" s="290">
        <f t="shared" si="58"/>
        <v>647</v>
      </c>
      <c r="G178" s="337"/>
      <c r="H178" s="290">
        <f t="shared" si="62"/>
        <v>0</v>
      </c>
      <c r="I178" s="291">
        <f>'DETAILED (2)'!I1822</f>
        <v>1</v>
      </c>
      <c r="J178" s="291">
        <f t="shared" si="29"/>
        <v>647</v>
      </c>
      <c r="K178" s="296">
        <f t="shared" si="30"/>
        <v>1</v>
      </c>
      <c r="L178" s="291">
        <f t="shared" si="31"/>
        <v>647</v>
      </c>
      <c r="M178" s="297">
        <f t="shared" si="26"/>
        <v>0</v>
      </c>
      <c r="N178" s="297">
        <f t="shared" si="27"/>
        <v>0</v>
      </c>
      <c r="O178" s="292"/>
      <c r="P178" s="290">
        <f t="shared" si="57"/>
        <v>0</v>
      </c>
      <c r="Q178" s="292">
        <f t="shared" si="61"/>
        <v>0</v>
      </c>
      <c r="R178" s="290">
        <f t="shared" si="56"/>
        <v>0</v>
      </c>
      <c r="S178" s="290">
        <f t="shared" si="33"/>
        <v>0</v>
      </c>
      <c r="T178" s="290">
        <f t="shared" si="34"/>
        <v>0</v>
      </c>
      <c r="U178" s="293"/>
      <c r="V178" s="294">
        <v>-13.270777479892763</v>
      </c>
      <c r="W178" s="299"/>
    </row>
    <row r="179" spans="1:32" ht="43.5">
      <c r="A179" s="288">
        <v>172</v>
      </c>
      <c r="B179" s="289" t="s">
        <v>836</v>
      </c>
      <c r="C179" s="290" t="s">
        <v>1114</v>
      </c>
      <c r="D179" s="290" t="s">
        <v>65</v>
      </c>
      <c r="E179" s="290" t="s">
        <v>223</v>
      </c>
      <c r="F179" s="290">
        <f t="shared" si="58"/>
        <v>4980</v>
      </c>
      <c r="G179" s="337"/>
      <c r="H179" s="290">
        <f t="shared" si="62"/>
        <v>0</v>
      </c>
      <c r="I179" s="472">
        <f>'DETAILED (2)'!I1825</f>
        <v>75</v>
      </c>
      <c r="J179" s="291">
        <f t="shared" si="29"/>
        <v>6225</v>
      </c>
      <c r="K179" s="296">
        <f t="shared" si="30"/>
        <v>75</v>
      </c>
      <c r="L179" s="291">
        <f t="shared" si="31"/>
        <v>6225</v>
      </c>
      <c r="M179" s="297">
        <f t="shared" si="26"/>
        <v>1245</v>
      </c>
      <c r="N179" s="297">
        <f t="shared" si="27"/>
        <v>0</v>
      </c>
      <c r="O179" s="292"/>
      <c r="P179" s="290">
        <f t="shared" si="57"/>
        <v>0</v>
      </c>
      <c r="Q179" s="292">
        <f t="shared" si="61"/>
        <v>-15</v>
      </c>
      <c r="R179" s="290">
        <f t="shared" si="56"/>
        <v>-1245</v>
      </c>
      <c r="S179" s="290">
        <f t="shared" si="33"/>
        <v>-1245</v>
      </c>
      <c r="T179" s="290">
        <f t="shared" si="34"/>
        <v>1245</v>
      </c>
      <c r="U179" s="293"/>
      <c r="V179" s="294">
        <v>-25.225225225225223</v>
      </c>
      <c r="W179" s="299"/>
    </row>
    <row r="180" spans="1:32" ht="87">
      <c r="A180" s="288">
        <v>173</v>
      </c>
      <c r="B180" s="289" t="s">
        <v>837</v>
      </c>
      <c r="C180" s="290" t="s">
        <v>1115</v>
      </c>
      <c r="D180" s="290" t="s">
        <v>65</v>
      </c>
      <c r="E180" s="290" t="s">
        <v>942</v>
      </c>
      <c r="F180" s="290">
        <f t="shared" si="58"/>
        <v>27525</v>
      </c>
      <c r="G180" s="337"/>
      <c r="H180" s="290">
        <f t="shared" si="62"/>
        <v>0</v>
      </c>
      <c r="I180" s="291">
        <f>'DETAILED (2)'!I1829</f>
        <v>75</v>
      </c>
      <c r="J180" s="291">
        <f t="shared" si="29"/>
        <v>27525</v>
      </c>
      <c r="K180" s="296">
        <f t="shared" si="30"/>
        <v>75</v>
      </c>
      <c r="L180" s="291">
        <f t="shared" si="31"/>
        <v>27525</v>
      </c>
      <c r="M180" s="297">
        <f t="shared" si="26"/>
        <v>0</v>
      </c>
      <c r="N180" s="297">
        <f t="shared" si="27"/>
        <v>0</v>
      </c>
      <c r="O180" s="292"/>
      <c r="P180" s="290">
        <f t="shared" si="57"/>
        <v>0</v>
      </c>
      <c r="Q180" s="292">
        <f t="shared" si="61"/>
        <v>0</v>
      </c>
      <c r="R180" s="290">
        <f t="shared" si="56"/>
        <v>0</v>
      </c>
      <c r="S180" s="290">
        <f t="shared" si="33"/>
        <v>0</v>
      </c>
      <c r="T180" s="290">
        <f t="shared" si="34"/>
        <v>0</v>
      </c>
      <c r="U180" s="293"/>
      <c r="V180" s="294">
        <v>-23.541666666666668</v>
      </c>
      <c r="W180" s="299"/>
    </row>
    <row r="181" spans="1:32" ht="130.5">
      <c r="A181" s="288">
        <v>174</v>
      </c>
      <c r="B181" s="289" t="s">
        <v>838</v>
      </c>
      <c r="C181" s="290" t="s">
        <v>1116</v>
      </c>
      <c r="D181" s="290" t="s">
        <v>64</v>
      </c>
      <c r="E181" s="290" t="s">
        <v>943</v>
      </c>
      <c r="F181" s="290">
        <f t="shared" si="58"/>
        <v>5432</v>
      </c>
      <c r="G181" s="333"/>
      <c r="H181" s="290">
        <f t="shared" si="62"/>
        <v>0</v>
      </c>
      <c r="I181" s="291">
        <f>'DETAILED (2)'!I1832</f>
        <v>4</v>
      </c>
      <c r="J181" s="291">
        <f t="shared" si="29"/>
        <v>5432</v>
      </c>
      <c r="K181" s="296">
        <f t="shared" si="30"/>
        <v>4</v>
      </c>
      <c r="L181" s="291">
        <f t="shared" si="31"/>
        <v>5432</v>
      </c>
      <c r="M181" s="297">
        <f t="shared" si="26"/>
        <v>0</v>
      </c>
      <c r="N181" s="297">
        <f t="shared" si="27"/>
        <v>0</v>
      </c>
      <c r="O181" s="292"/>
      <c r="P181" s="290">
        <f t="shared" si="57"/>
        <v>0</v>
      </c>
      <c r="Q181" s="292">
        <f t="shared" si="61"/>
        <v>0</v>
      </c>
      <c r="R181" s="290">
        <f t="shared" si="56"/>
        <v>0</v>
      </c>
      <c r="S181" s="290">
        <f t="shared" si="33"/>
        <v>0</v>
      </c>
      <c r="T181" s="290">
        <f t="shared" si="34"/>
        <v>0</v>
      </c>
      <c r="U181" s="293"/>
      <c r="V181" s="294">
        <v>-25.792349726775953</v>
      </c>
      <c r="W181" s="299"/>
    </row>
    <row r="182" spans="1:32" ht="174">
      <c r="A182" s="288">
        <v>175</v>
      </c>
      <c r="B182" s="289" t="s">
        <v>839</v>
      </c>
      <c r="C182" s="290" t="s">
        <v>1117</v>
      </c>
      <c r="D182" s="290" t="s">
        <v>969</v>
      </c>
      <c r="E182" s="290" t="s">
        <v>223</v>
      </c>
      <c r="F182" s="290">
        <f t="shared" si="58"/>
        <v>43740</v>
      </c>
      <c r="G182" s="333">
        <v>59</v>
      </c>
      <c r="H182" s="290">
        <f t="shared" si="62"/>
        <v>43011</v>
      </c>
      <c r="I182" s="291"/>
      <c r="J182" s="291">
        <f t="shared" si="29"/>
        <v>0</v>
      </c>
      <c r="K182" s="296">
        <f t="shared" si="30"/>
        <v>59</v>
      </c>
      <c r="L182" s="291">
        <f t="shared" si="31"/>
        <v>43011</v>
      </c>
      <c r="M182" s="297">
        <f t="shared" si="26"/>
        <v>0</v>
      </c>
      <c r="N182" s="297">
        <f t="shared" si="27"/>
        <v>729</v>
      </c>
      <c r="O182" s="292"/>
      <c r="P182" s="290">
        <f t="shared" si="57"/>
        <v>0</v>
      </c>
      <c r="Q182" s="292">
        <f t="shared" si="61"/>
        <v>1</v>
      </c>
      <c r="R182" s="290">
        <f t="shared" si="56"/>
        <v>729</v>
      </c>
      <c r="S182" s="290">
        <f t="shared" si="33"/>
        <v>0</v>
      </c>
      <c r="T182" s="290">
        <f t="shared" si="34"/>
        <v>0</v>
      </c>
      <c r="U182" s="293"/>
      <c r="V182" s="294">
        <v>-51.119425502383685</v>
      </c>
      <c r="W182" s="299"/>
    </row>
    <row r="183" spans="1:32" ht="130.5">
      <c r="A183" s="288">
        <v>176</v>
      </c>
      <c r="B183" s="289" t="s">
        <v>840</v>
      </c>
      <c r="C183" s="290" t="s">
        <v>1118</v>
      </c>
      <c r="D183" s="290" t="s">
        <v>65</v>
      </c>
      <c r="E183" s="290" t="s">
        <v>223</v>
      </c>
      <c r="F183" s="290">
        <f t="shared" si="58"/>
        <v>12360</v>
      </c>
      <c r="G183" s="333">
        <v>59</v>
      </c>
      <c r="H183" s="290">
        <f t="shared" si="62"/>
        <v>12154</v>
      </c>
      <c r="I183" s="291"/>
      <c r="J183" s="291">
        <f t="shared" si="29"/>
        <v>0</v>
      </c>
      <c r="K183" s="296">
        <f t="shared" si="30"/>
        <v>59</v>
      </c>
      <c r="L183" s="291">
        <f t="shared" si="31"/>
        <v>12154</v>
      </c>
      <c r="M183" s="297">
        <f t="shared" si="26"/>
        <v>0</v>
      </c>
      <c r="N183" s="297">
        <f t="shared" si="27"/>
        <v>206</v>
      </c>
      <c r="O183" s="292"/>
      <c r="P183" s="290">
        <f t="shared" si="57"/>
        <v>0</v>
      </c>
      <c r="Q183" s="292">
        <f t="shared" si="61"/>
        <v>1</v>
      </c>
      <c r="R183" s="290">
        <f t="shared" si="56"/>
        <v>206</v>
      </c>
      <c r="S183" s="290">
        <f t="shared" si="33"/>
        <v>0</v>
      </c>
      <c r="T183" s="290">
        <f t="shared" si="34"/>
        <v>0</v>
      </c>
      <c r="U183" s="293"/>
      <c r="V183" s="294">
        <v>-44.99332443257677</v>
      </c>
      <c r="W183" s="299"/>
    </row>
    <row r="184" spans="1:32" ht="87">
      <c r="A184" s="288">
        <v>177</v>
      </c>
      <c r="B184" s="289" t="s">
        <v>841</v>
      </c>
      <c r="C184" s="290" t="s">
        <v>1119</v>
      </c>
      <c r="D184" s="290" t="s">
        <v>970</v>
      </c>
      <c r="E184" s="290" t="s">
        <v>883</v>
      </c>
      <c r="F184" s="290">
        <f t="shared" si="58"/>
        <v>9168</v>
      </c>
      <c r="G184" s="333">
        <v>8</v>
      </c>
      <c r="H184" s="290">
        <f t="shared" si="62"/>
        <v>9168</v>
      </c>
      <c r="I184" s="291"/>
      <c r="J184" s="291">
        <f t="shared" si="29"/>
        <v>0</v>
      </c>
      <c r="K184" s="296">
        <f t="shared" si="30"/>
        <v>8</v>
      </c>
      <c r="L184" s="291">
        <f t="shared" si="31"/>
        <v>9168</v>
      </c>
      <c r="M184" s="297">
        <f t="shared" si="26"/>
        <v>0</v>
      </c>
      <c r="N184" s="297">
        <f t="shared" si="27"/>
        <v>0</v>
      </c>
      <c r="O184" s="292"/>
      <c r="P184" s="290">
        <f t="shared" si="57"/>
        <v>0</v>
      </c>
      <c r="Q184" s="292">
        <f t="shared" si="61"/>
        <v>0</v>
      </c>
      <c r="R184" s="290">
        <f t="shared" si="56"/>
        <v>0</v>
      </c>
      <c r="S184" s="290">
        <f t="shared" si="33"/>
        <v>0</v>
      </c>
      <c r="T184" s="290">
        <f t="shared" si="34"/>
        <v>0</v>
      </c>
      <c r="U184" s="293"/>
      <c r="V184" s="294">
        <v>-39.982717536463383</v>
      </c>
      <c r="W184" s="299"/>
    </row>
    <row r="185" spans="1:32" ht="152.25">
      <c r="A185" s="288">
        <v>178</v>
      </c>
      <c r="B185" s="289" t="s">
        <v>842</v>
      </c>
      <c r="C185" s="290" t="s">
        <v>1120</v>
      </c>
      <c r="D185" s="290" t="s">
        <v>64</v>
      </c>
      <c r="E185" s="290" t="s">
        <v>895</v>
      </c>
      <c r="F185" s="290">
        <f t="shared" si="58"/>
        <v>25300</v>
      </c>
      <c r="G185" s="333"/>
      <c r="H185" s="290">
        <f t="shared" si="62"/>
        <v>0</v>
      </c>
      <c r="I185" s="291">
        <f>DETAILED!I1835</f>
        <v>1</v>
      </c>
      <c r="J185" s="291">
        <f t="shared" si="29"/>
        <v>25300</v>
      </c>
      <c r="K185" s="296">
        <f t="shared" si="30"/>
        <v>1</v>
      </c>
      <c r="L185" s="291">
        <f t="shared" si="31"/>
        <v>25300</v>
      </c>
      <c r="M185" s="297">
        <f t="shared" si="26"/>
        <v>0</v>
      </c>
      <c r="N185" s="297">
        <f t="shared" si="27"/>
        <v>0</v>
      </c>
      <c r="O185" s="292"/>
      <c r="P185" s="290">
        <f t="shared" si="57"/>
        <v>0</v>
      </c>
      <c r="Q185" s="292">
        <f t="shared" si="61"/>
        <v>0</v>
      </c>
      <c r="R185" s="290">
        <f t="shared" si="56"/>
        <v>0</v>
      </c>
      <c r="S185" s="290">
        <f t="shared" si="33"/>
        <v>0</v>
      </c>
      <c r="T185" s="290">
        <f t="shared" si="34"/>
        <v>0</v>
      </c>
      <c r="U185" s="293"/>
      <c r="V185" s="294">
        <v>-35.204630435896121</v>
      </c>
      <c r="W185" s="299"/>
    </row>
    <row r="186" spans="1:32" ht="152.25">
      <c r="A186" s="288">
        <v>179</v>
      </c>
      <c r="B186" s="289" t="s">
        <v>843</v>
      </c>
      <c r="C186" s="290" t="s">
        <v>1121</v>
      </c>
      <c r="D186" s="290" t="s">
        <v>64</v>
      </c>
      <c r="E186" s="290" t="s">
        <v>923</v>
      </c>
      <c r="F186" s="290">
        <f t="shared" si="58"/>
        <v>4242</v>
      </c>
      <c r="G186" s="337"/>
      <c r="H186" s="290">
        <f t="shared" si="62"/>
        <v>0</v>
      </c>
      <c r="I186" s="291">
        <f>'DETAILED (2)'!I1838</f>
        <v>3</v>
      </c>
      <c r="J186" s="291">
        <f t="shared" si="29"/>
        <v>4242</v>
      </c>
      <c r="K186" s="296">
        <f t="shared" si="30"/>
        <v>3</v>
      </c>
      <c r="L186" s="291">
        <f t="shared" si="31"/>
        <v>4242</v>
      </c>
      <c r="M186" s="297">
        <f t="shared" si="26"/>
        <v>0</v>
      </c>
      <c r="N186" s="297">
        <f t="shared" si="27"/>
        <v>0</v>
      </c>
      <c r="O186" s="292"/>
      <c r="P186" s="290">
        <f t="shared" si="57"/>
        <v>0</v>
      </c>
      <c r="Q186" s="292">
        <f t="shared" si="61"/>
        <v>0</v>
      </c>
      <c r="R186" s="290">
        <f t="shared" si="56"/>
        <v>0</v>
      </c>
      <c r="S186" s="290">
        <f t="shared" si="33"/>
        <v>0</v>
      </c>
      <c r="T186" s="290">
        <f t="shared" si="34"/>
        <v>0</v>
      </c>
      <c r="U186" s="293"/>
      <c r="V186" s="294">
        <v>-23.567567567567568</v>
      </c>
      <c r="W186" s="299"/>
    </row>
    <row r="187" spans="1:32" ht="130.5">
      <c r="A187" s="288">
        <v>180</v>
      </c>
      <c r="B187" s="289" t="s">
        <v>844</v>
      </c>
      <c r="C187" s="290" t="s">
        <v>1122</v>
      </c>
      <c r="D187" s="290" t="s">
        <v>64</v>
      </c>
      <c r="E187" s="290" t="s">
        <v>941</v>
      </c>
      <c r="F187" s="290">
        <f t="shared" si="58"/>
        <v>8792</v>
      </c>
      <c r="G187" s="337"/>
      <c r="H187" s="290">
        <f t="shared" si="62"/>
        <v>0</v>
      </c>
      <c r="I187" s="291">
        <f>'DETAILED (2)'!I1840</f>
        <v>2</v>
      </c>
      <c r="J187" s="291">
        <f t="shared" si="29"/>
        <v>8792</v>
      </c>
      <c r="K187" s="296">
        <f t="shared" si="30"/>
        <v>2</v>
      </c>
      <c r="L187" s="291">
        <f t="shared" si="31"/>
        <v>8792</v>
      </c>
      <c r="M187" s="297">
        <f t="shared" si="26"/>
        <v>0</v>
      </c>
      <c r="N187" s="297">
        <f t="shared" si="27"/>
        <v>0</v>
      </c>
      <c r="O187" s="292"/>
      <c r="P187" s="290">
        <f t="shared" si="57"/>
        <v>0</v>
      </c>
      <c r="Q187" s="292">
        <f t="shared" si="61"/>
        <v>0</v>
      </c>
      <c r="R187" s="290">
        <f t="shared" si="56"/>
        <v>0</v>
      </c>
      <c r="S187" s="290">
        <f t="shared" si="33"/>
        <v>0</v>
      </c>
      <c r="T187" s="290">
        <f t="shared" si="34"/>
        <v>0</v>
      </c>
      <c r="U187" s="293"/>
      <c r="V187" s="294">
        <v>-23.547826086956523</v>
      </c>
      <c r="W187" s="299"/>
    </row>
    <row r="188" spans="1:32" ht="87">
      <c r="A188" s="288">
        <v>181</v>
      </c>
      <c r="B188" s="289" t="s">
        <v>845</v>
      </c>
      <c r="C188" s="290" t="s">
        <v>1123</v>
      </c>
      <c r="D188" s="290" t="s">
        <v>64</v>
      </c>
      <c r="E188" s="290" t="s">
        <v>223</v>
      </c>
      <c r="F188" s="290">
        <f t="shared" si="58"/>
        <v>27540</v>
      </c>
      <c r="G188" s="333"/>
      <c r="H188" s="290">
        <f t="shared" si="62"/>
        <v>0</v>
      </c>
      <c r="I188" s="291">
        <f>'DETAILED (2)'!I1869</f>
        <v>60</v>
      </c>
      <c r="J188" s="291">
        <f t="shared" si="29"/>
        <v>27540</v>
      </c>
      <c r="K188" s="296">
        <f t="shared" si="30"/>
        <v>60</v>
      </c>
      <c r="L188" s="291">
        <f t="shared" si="31"/>
        <v>27540</v>
      </c>
      <c r="M188" s="297">
        <f t="shared" si="26"/>
        <v>0</v>
      </c>
      <c r="N188" s="297">
        <f t="shared" si="27"/>
        <v>0</v>
      </c>
      <c r="O188" s="292"/>
      <c r="P188" s="290">
        <f t="shared" si="57"/>
        <v>0</v>
      </c>
      <c r="Q188" s="292">
        <f t="shared" si="61"/>
        <v>0</v>
      </c>
      <c r="R188" s="290">
        <f t="shared" si="56"/>
        <v>0</v>
      </c>
      <c r="S188" s="290">
        <f t="shared" si="33"/>
        <v>0</v>
      </c>
      <c r="T188" s="290">
        <f t="shared" si="34"/>
        <v>0</v>
      </c>
      <c r="U188" s="293"/>
      <c r="V188" s="294">
        <v>-23.5</v>
      </c>
      <c r="W188" s="299"/>
    </row>
    <row r="189" spans="1:32" ht="87">
      <c r="A189" s="288">
        <v>182</v>
      </c>
      <c r="B189" s="289" t="s">
        <v>846</v>
      </c>
      <c r="C189" s="290" t="s">
        <v>1124</v>
      </c>
      <c r="D189" s="290" t="s">
        <v>64</v>
      </c>
      <c r="E189" s="290" t="s">
        <v>895</v>
      </c>
      <c r="F189" s="290">
        <f t="shared" si="58"/>
        <v>3211</v>
      </c>
      <c r="G189" s="333"/>
      <c r="H189" s="290">
        <f t="shared" si="62"/>
        <v>0</v>
      </c>
      <c r="I189" s="291">
        <f>'DETAILED (2)'!I1872</f>
        <v>1</v>
      </c>
      <c r="J189" s="291">
        <f t="shared" si="29"/>
        <v>3211</v>
      </c>
      <c r="K189" s="296">
        <f t="shared" si="30"/>
        <v>1</v>
      </c>
      <c r="L189" s="291">
        <f t="shared" si="31"/>
        <v>3211</v>
      </c>
      <c r="M189" s="297">
        <f t="shared" si="26"/>
        <v>0</v>
      </c>
      <c r="N189" s="297">
        <f t="shared" si="27"/>
        <v>0</v>
      </c>
      <c r="O189" s="292">
        <f t="shared" ref="O189" si="64">ROUND(K189-E189,2)</f>
        <v>0</v>
      </c>
      <c r="P189" s="290">
        <f t="shared" si="57"/>
        <v>0</v>
      </c>
      <c r="Q189" s="292">
        <f t="shared" si="61"/>
        <v>0</v>
      </c>
      <c r="R189" s="290">
        <f t="shared" si="56"/>
        <v>0</v>
      </c>
      <c r="S189" s="290">
        <f t="shared" si="33"/>
        <v>0</v>
      </c>
      <c r="T189" s="290">
        <f t="shared" si="34"/>
        <v>0</v>
      </c>
      <c r="U189" s="293"/>
      <c r="V189" s="294">
        <v>-23.547619047619047</v>
      </c>
      <c r="W189" s="299"/>
      <c r="AF189" s="295" t="s">
        <v>1443</v>
      </c>
    </row>
    <row r="190" spans="1:32" ht="108.75">
      <c r="A190" s="288">
        <v>183</v>
      </c>
      <c r="B190" s="289" t="s">
        <v>847</v>
      </c>
      <c r="C190" s="290" t="s">
        <v>1125</v>
      </c>
      <c r="D190" s="290" t="s">
        <v>64</v>
      </c>
      <c r="E190" s="290" t="s">
        <v>903</v>
      </c>
      <c r="F190" s="290">
        <f t="shared" si="58"/>
        <v>12840</v>
      </c>
      <c r="G190" s="333"/>
      <c r="H190" s="290">
        <f t="shared" si="62"/>
        <v>0</v>
      </c>
      <c r="I190" s="291">
        <f>'DETAILED (2)'!I1875</f>
        <v>20</v>
      </c>
      <c r="J190" s="291">
        <f t="shared" si="29"/>
        <v>12840</v>
      </c>
      <c r="K190" s="296">
        <f t="shared" si="30"/>
        <v>20</v>
      </c>
      <c r="L190" s="291">
        <f t="shared" si="31"/>
        <v>12840</v>
      </c>
      <c r="M190" s="297">
        <f t="shared" si="26"/>
        <v>0</v>
      </c>
      <c r="N190" s="297">
        <f t="shared" si="27"/>
        <v>0</v>
      </c>
      <c r="O190" s="292"/>
      <c r="P190" s="290">
        <f t="shared" si="57"/>
        <v>0</v>
      </c>
      <c r="Q190" s="292">
        <f t="shared" si="61"/>
        <v>0</v>
      </c>
      <c r="R190" s="290">
        <f t="shared" si="56"/>
        <v>0</v>
      </c>
      <c r="S190" s="290">
        <f t="shared" si="33"/>
        <v>0</v>
      </c>
      <c r="T190" s="290">
        <f t="shared" si="34"/>
        <v>0</v>
      </c>
      <c r="U190" s="293"/>
      <c r="V190" s="294">
        <v>-23.571428571428569</v>
      </c>
      <c r="W190" s="299"/>
    </row>
    <row r="191" spans="1:32">
      <c r="A191" s="288">
        <v>184</v>
      </c>
      <c r="B191" s="289" t="s">
        <v>848</v>
      </c>
      <c r="C191" s="290" t="s">
        <v>1126</v>
      </c>
      <c r="D191" s="290" t="s">
        <v>64</v>
      </c>
      <c r="E191" s="290" t="s">
        <v>963</v>
      </c>
      <c r="F191" s="290">
        <f t="shared" si="58"/>
        <v>8250</v>
      </c>
      <c r="G191" s="333"/>
      <c r="H191" s="290">
        <f t="shared" si="62"/>
        <v>0</v>
      </c>
      <c r="I191" s="291">
        <f>'DETAILED (2)'!I1878</f>
        <v>15</v>
      </c>
      <c r="J191" s="291">
        <f t="shared" si="29"/>
        <v>8250</v>
      </c>
      <c r="K191" s="296">
        <f t="shared" si="30"/>
        <v>15</v>
      </c>
      <c r="L191" s="291">
        <f t="shared" si="31"/>
        <v>8250</v>
      </c>
      <c r="M191" s="297">
        <f t="shared" si="26"/>
        <v>0</v>
      </c>
      <c r="N191" s="297">
        <f t="shared" si="27"/>
        <v>0</v>
      </c>
      <c r="O191" s="292"/>
      <c r="P191" s="290">
        <f t="shared" si="57"/>
        <v>0</v>
      </c>
      <c r="Q191" s="292">
        <f t="shared" si="61"/>
        <v>0</v>
      </c>
      <c r="R191" s="290">
        <f t="shared" si="56"/>
        <v>0</v>
      </c>
      <c r="S191" s="290">
        <f t="shared" si="33"/>
        <v>0</v>
      </c>
      <c r="T191" s="290">
        <f t="shared" si="34"/>
        <v>0</v>
      </c>
      <c r="U191" s="293"/>
      <c r="V191" s="294">
        <v>-23.611111111111111</v>
      </c>
      <c r="W191" s="299"/>
    </row>
    <row r="192" spans="1:32" ht="108.75">
      <c r="A192" s="288">
        <v>185</v>
      </c>
      <c r="B192" s="289" t="s">
        <v>849</v>
      </c>
      <c r="C192" s="290" t="s">
        <v>1127</v>
      </c>
      <c r="D192" s="290" t="s">
        <v>64</v>
      </c>
      <c r="E192" s="290" t="s">
        <v>964</v>
      </c>
      <c r="F192" s="290">
        <f t="shared" si="58"/>
        <v>7105</v>
      </c>
      <c r="G192" s="333"/>
      <c r="H192" s="290">
        <f t="shared" si="62"/>
        <v>0</v>
      </c>
      <c r="I192" s="291">
        <f>'DETAILED (2)'!I1885</f>
        <v>29</v>
      </c>
      <c r="J192" s="291">
        <f t="shared" si="29"/>
        <v>7105</v>
      </c>
      <c r="K192" s="296">
        <f t="shared" si="30"/>
        <v>29</v>
      </c>
      <c r="L192" s="291">
        <f t="shared" si="31"/>
        <v>7105</v>
      </c>
      <c r="M192" s="297">
        <f t="shared" si="26"/>
        <v>0</v>
      </c>
      <c r="N192" s="297">
        <f t="shared" si="27"/>
        <v>0</v>
      </c>
      <c r="O192" s="292"/>
      <c r="P192" s="290">
        <f t="shared" si="57"/>
        <v>0</v>
      </c>
      <c r="Q192" s="292">
        <f t="shared" si="61"/>
        <v>0</v>
      </c>
      <c r="R192" s="290">
        <f t="shared" si="56"/>
        <v>0</v>
      </c>
      <c r="S192" s="290">
        <f t="shared" si="33"/>
        <v>0</v>
      </c>
      <c r="T192" s="290">
        <f t="shared" si="34"/>
        <v>0</v>
      </c>
      <c r="U192" s="293"/>
      <c r="V192" s="294">
        <v>-23.4375</v>
      </c>
      <c r="W192" s="299"/>
      <c r="AE192" s="295">
        <v>59</v>
      </c>
    </row>
    <row r="193" spans="1:23">
      <c r="A193" s="288">
        <v>186</v>
      </c>
      <c r="B193" s="289" t="s">
        <v>850</v>
      </c>
      <c r="C193" s="290" t="s">
        <v>1128</v>
      </c>
      <c r="D193" s="290" t="s">
        <v>64</v>
      </c>
      <c r="E193" s="290" t="s">
        <v>895</v>
      </c>
      <c r="F193" s="290">
        <f t="shared" si="58"/>
        <v>344</v>
      </c>
      <c r="G193" s="333"/>
      <c r="H193" s="290">
        <f t="shared" si="62"/>
        <v>0</v>
      </c>
      <c r="I193" s="291">
        <f>'DETAILED (2)'!I1888</f>
        <v>1</v>
      </c>
      <c r="J193" s="291">
        <f t="shared" si="29"/>
        <v>344</v>
      </c>
      <c r="K193" s="296">
        <f t="shared" si="30"/>
        <v>1</v>
      </c>
      <c r="L193" s="291">
        <f t="shared" si="31"/>
        <v>344</v>
      </c>
      <c r="M193" s="297">
        <f t="shared" si="26"/>
        <v>0</v>
      </c>
      <c r="N193" s="297">
        <f t="shared" si="27"/>
        <v>0</v>
      </c>
      <c r="O193" s="292"/>
      <c r="P193" s="290">
        <f t="shared" si="57"/>
        <v>0</v>
      </c>
      <c r="Q193" s="292">
        <f t="shared" si="61"/>
        <v>0</v>
      </c>
      <c r="R193" s="290">
        <f t="shared" si="56"/>
        <v>0</v>
      </c>
      <c r="S193" s="290">
        <f t="shared" si="33"/>
        <v>0</v>
      </c>
      <c r="T193" s="290">
        <f t="shared" si="34"/>
        <v>0</v>
      </c>
      <c r="U193" s="293"/>
      <c r="V193" s="294">
        <v>-23.555555555555554</v>
      </c>
      <c r="W193" s="299"/>
    </row>
    <row r="194" spans="1:23" ht="152.25">
      <c r="A194" s="288">
        <v>187</v>
      </c>
      <c r="B194" s="289" t="s">
        <v>851</v>
      </c>
      <c r="C194" s="290" t="s">
        <v>1129</v>
      </c>
      <c r="D194" s="290" t="s">
        <v>63</v>
      </c>
      <c r="E194" s="290" t="s">
        <v>965</v>
      </c>
      <c r="F194" s="290">
        <f t="shared" si="58"/>
        <v>35910</v>
      </c>
      <c r="G194" s="333"/>
      <c r="H194" s="290">
        <f t="shared" si="62"/>
        <v>0</v>
      </c>
      <c r="I194" s="291">
        <f>'DETAILED (2)'!I1896</f>
        <v>71.94</v>
      </c>
      <c r="J194" s="291">
        <f t="shared" si="29"/>
        <v>45322.2</v>
      </c>
      <c r="K194" s="296">
        <f t="shared" si="30"/>
        <v>71.94</v>
      </c>
      <c r="L194" s="291">
        <f t="shared" si="31"/>
        <v>45322.2</v>
      </c>
      <c r="M194" s="297">
        <f t="shared" si="26"/>
        <v>9412.1999999999971</v>
      </c>
      <c r="N194" s="297">
        <f t="shared" si="27"/>
        <v>0</v>
      </c>
      <c r="O194" s="292"/>
      <c r="P194" s="290">
        <f t="shared" si="57"/>
        <v>0</v>
      </c>
      <c r="Q194" s="292">
        <f t="shared" si="61"/>
        <v>-14.94</v>
      </c>
      <c r="R194" s="290">
        <f t="shared" si="56"/>
        <v>-9412.2000000000007</v>
      </c>
      <c r="S194" s="290">
        <f t="shared" si="33"/>
        <v>-9412.1999999999971</v>
      </c>
      <c r="T194" s="290">
        <f t="shared" si="34"/>
        <v>9412.2000000000007</v>
      </c>
      <c r="U194" s="293" t="s">
        <v>1775</v>
      </c>
      <c r="V194" s="294">
        <v>-31.3897389542925</v>
      </c>
      <c r="W194" s="299"/>
    </row>
    <row r="195" spans="1:23" ht="150.75" customHeight="1">
      <c r="A195" s="288">
        <v>188</v>
      </c>
      <c r="B195" s="289" t="s">
        <v>852</v>
      </c>
      <c r="C195" s="290" t="s">
        <v>214</v>
      </c>
      <c r="D195" s="290" t="s">
        <v>64</v>
      </c>
      <c r="E195" s="290" t="s">
        <v>963</v>
      </c>
      <c r="F195" s="290">
        <f t="shared" si="58"/>
        <v>6675</v>
      </c>
      <c r="G195" s="333"/>
      <c r="H195" s="290">
        <f t="shared" si="62"/>
        <v>0</v>
      </c>
      <c r="I195" s="291">
        <f>'DETAILED (2)'!I1899</f>
        <v>20</v>
      </c>
      <c r="J195" s="291">
        <f t="shared" si="29"/>
        <v>8900</v>
      </c>
      <c r="K195" s="296">
        <f t="shared" si="30"/>
        <v>20</v>
      </c>
      <c r="L195" s="291">
        <f t="shared" si="31"/>
        <v>8900</v>
      </c>
      <c r="M195" s="297">
        <f t="shared" si="26"/>
        <v>2225</v>
      </c>
      <c r="N195" s="297">
        <f t="shared" si="27"/>
        <v>0</v>
      </c>
      <c r="O195" s="292"/>
      <c r="P195" s="290">
        <f t="shared" si="57"/>
        <v>0</v>
      </c>
      <c r="Q195" s="292">
        <f t="shared" si="61"/>
        <v>-5</v>
      </c>
      <c r="R195" s="290">
        <f t="shared" si="56"/>
        <v>-2225</v>
      </c>
      <c r="S195" s="290">
        <f t="shared" si="33"/>
        <v>-2225</v>
      </c>
      <c r="T195" s="290">
        <f t="shared" si="34"/>
        <v>2225</v>
      </c>
      <c r="U195" s="293" t="s">
        <v>1775</v>
      </c>
      <c r="V195" s="294">
        <v>-30.089705119947212</v>
      </c>
      <c r="W195" s="299"/>
    </row>
    <row r="196" spans="1:23" ht="105.75" customHeight="1">
      <c r="A196" s="288"/>
      <c r="B196" s="301" t="s">
        <v>1668</v>
      </c>
      <c r="C196" s="290">
        <v>5260</v>
      </c>
      <c r="D196" s="290" t="s">
        <v>176</v>
      </c>
      <c r="E196" s="290"/>
      <c r="F196" s="290">
        <f t="shared" si="58"/>
        <v>0</v>
      </c>
      <c r="G196" s="290"/>
      <c r="H196" s="290">
        <f t="shared" si="62"/>
        <v>0</v>
      </c>
      <c r="I196" s="291">
        <f>'DETAILED (2)'!I1909</f>
        <v>58.522500000000008</v>
      </c>
      <c r="J196" s="291">
        <f t="shared" si="29"/>
        <v>307828.35000000003</v>
      </c>
      <c r="K196" s="296">
        <f t="shared" si="30"/>
        <v>58.522500000000008</v>
      </c>
      <c r="L196" s="291">
        <f t="shared" si="31"/>
        <v>307828.35000000003</v>
      </c>
      <c r="M196" s="297">
        <f t="shared" si="26"/>
        <v>307828.35000000003</v>
      </c>
      <c r="N196" s="297">
        <f t="shared" si="27"/>
        <v>0</v>
      </c>
      <c r="O196" s="292"/>
      <c r="P196" s="290">
        <f t="shared" si="57"/>
        <v>0</v>
      </c>
      <c r="Q196" s="292">
        <f t="shared" si="61"/>
        <v>-58.52</v>
      </c>
      <c r="R196" s="290">
        <f t="shared" si="56"/>
        <v>-307815.2</v>
      </c>
      <c r="S196" s="290">
        <f t="shared" si="33"/>
        <v>-307828.35000000003</v>
      </c>
      <c r="T196" s="290">
        <f t="shared" si="34"/>
        <v>307815.2</v>
      </c>
      <c r="U196" s="293" t="s">
        <v>1669</v>
      </c>
      <c r="V196" s="294"/>
      <c r="W196" s="299"/>
    </row>
    <row r="197" spans="1:23" ht="120.75" customHeight="1">
      <c r="A197" s="288"/>
      <c r="B197" s="301" t="s">
        <v>1670</v>
      </c>
      <c r="C197" s="290">
        <v>5680</v>
      </c>
      <c r="D197" s="290" t="s">
        <v>176</v>
      </c>
      <c r="E197" s="290"/>
      <c r="F197" s="290">
        <f t="shared" si="58"/>
        <v>0</v>
      </c>
      <c r="G197" s="290"/>
      <c r="H197" s="290">
        <f t="shared" si="62"/>
        <v>0</v>
      </c>
      <c r="I197" s="291">
        <f>'DETAILED (2)'!I1917</f>
        <v>7.1999999999999993</v>
      </c>
      <c r="J197" s="291">
        <f t="shared" si="29"/>
        <v>40895.999999999993</v>
      </c>
      <c r="K197" s="296">
        <f t="shared" si="30"/>
        <v>7.1999999999999993</v>
      </c>
      <c r="L197" s="291">
        <f t="shared" si="31"/>
        <v>40895.999999999993</v>
      </c>
      <c r="M197" s="297">
        <f t="shared" si="26"/>
        <v>40895.999999999993</v>
      </c>
      <c r="N197" s="297">
        <f t="shared" si="27"/>
        <v>0</v>
      </c>
      <c r="O197" s="292"/>
      <c r="P197" s="290">
        <f t="shared" si="57"/>
        <v>0</v>
      </c>
      <c r="Q197" s="292">
        <f t="shared" si="61"/>
        <v>-7.2</v>
      </c>
      <c r="R197" s="290">
        <f t="shared" si="56"/>
        <v>-40896</v>
      </c>
      <c r="S197" s="290">
        <f t="shared" si="33"/>
        <v>-40895.999999999993</v>
      </c>
      <c r="T197" s="290">
        <f t="shared" si="34"/>
        <v>40896</v>
      </c>
      <c r="U197" s="293" t="s">
        <v>1671</v>
      </c>
      <c r="V197" s="294"/>
      <c r="W197" s="299"/>
    </row>
    <row r="198" spans="1:23" ht="126.75" customHeight="1">
      <c r="A198" s="288"/>
      <c r="B198" s="301" t="s">
        <v>1672</v>
      </c>
      <c r="C198" s="290">
        <v>170</v>
      </c>
      <c r="D198" s="290" t="s">
        <v>1673</v>
      </c>
      <c r="E198" s="290"/>
      <c r="F198" s="290">
        <f t="shared" si="58"/>
        <v>0</v>
      </c>
      <c r="G198" s="290"/>
      <c r="H198" s="290"/>
      <c r="I198" s="291">
        <f>'DETAILED (2)'!I1924</f>
        <v>788.86560959999997</v>
      </c>
      <c r="J198" s="291">
        <f t="shared" si="29"/>
        <v>134107.153632</v>
      </c>
      <c r="K198" s="296">
        <f t="shared" si="30"/>
        <v>788.86560959999997</v>
      </c>
      <c r="L198" s="291">
        <f t="shared" si="31"/>
        <v>134107.153632</v>
      </c>
      <c r="M198" s="297">
        <f t="shared" si="26"/>
        <v>134107.153632</v>
      </c>
      <c r="N198" s="297">
        <f t="shared" si="27"/>
        <v>0</v>
      </c>
      <c r="O198" s="292"/>
      <c r="P198" s="290">
        <f t="shared" si="57"/>
        <v>0</v>
      </c>
      <c r="Q198" s="292">
        <f t="shared" si="61"/>
        <v>-788.87</v>
      </c>
      <c r="R198" s="290">
        <f t="shared" si="56"/>
        <v>-134107.9</v>
      </c>
      <c r="S198" s="290">
        <f t="shared" si="33"/>
        <v>-134107.153632</v>
      </c>
      <c r="T198" s="290">
        <f t="shared" si="34"/>
        <v>134107.9</v>
      </c>
      <c r="U198" s="293" t="s">
        <v>1674</v>
      </c>
      <c r="V198" s="294"/>
      <c r="W198" s="299"/>
    </row>
    <row r="199" spans="1:23" ht="25.5" customHeight="1">
      <c r="A199" s="288"/>
      <c r="B199" s="289"/>
      <c r="C199" s="290"/>
      <c r="D199" s="290"/>
      <c r="E199" s="290"/>
      <c r="F199" s="290">
        <f t="shared" si="58"/>
        <v>0</v>
      </c>
      <c r="G199" s="332"/>
      <c r="H199" s="290">
        <f t="shared" si="62"/>
        <v>0</v>
      </c>
      <c r="I199" s="291"/>
      <c r="J199" s="291">
        <f t="shared" si="29"/>
        <v>0</v>
      </c>
      <c r="K199" s="296">
        <f t="shared" si="30"/>
        <v>0</v>
      </c>
      <c r="L199" s="291">
        <f t="shared" si="31"/>
        <v>0</v>
      </c>
      <c r="M199" s="297">
        <f t="shared" si="26"/>
        <v>0</v>
      </c>
      <c r="N199" s="297">
        <f t="shared" si="27"/>
        <v>0</v>
      </c>
      <c r="O199" s="292"/>
      <c r="P199" s="290">
        <f t="shared" si="57"/>
        <v>0</v>
      </c>
      <c r="Q199" s="292">
        <f t="shared" si="61"/>
        <v>0</v>
      </c>
      <c r="R199" s="290">
        <f t="shared" si="56"/>
        <v>0</v>
      </c>
      <c r="S199" s="290">
        <f t="shared" si="33"/>
        <v>0</v>
      </c>
      <c r="T199" s="290">
        <f t="shared" si="34"/>
        <v>0</v>
      </c>
      <c r="U199" s="293"/>
      <c r="V199" s="294"/>
      <c r="W199" s="299"/>
    </row>
    <row r="200" spans="1:23" ht="54.75" customHeight="1">
      <c r="A200" s="288"/>
      <c r="B200" s="301" t="s">
        <v>1390</v>
      </c>
      <c r="C200" s="304"/>
      <c r="D200" s="304"/>
      <c r="E200" s="304"/>
      <c r="F200" s="305">
        <f>SUM(F8:F199)</f>
        <v>8933289.7300000004</v>
      </c>
      <c r="G200" s="334"/>
      <c r="H200" s="305">
        <f>SUM(H7:H199)</f>
        <v>4516171.3599999994</v>
      </c>
      <c r="I200" s="304"/>
      <c r="J200" s="304">
        <f>SUM(J7:J199)</f>
        <v>4994278.8830309995</v>
      </c>
      <c r="K200" s="304"/>
      <c r="L200" s="473">
        <f>SUM(L7:L199)</f>
        <v>9510450.244030999</v>
      </c>
      <c r="M200" s="305">
        <f>SUM(M7:M199)</f>
        <v>1266350.2340319999</v>
      </c>
      <c r="N200" s="305">
        <f>SUM(N7:N199)</f>
        <v>689189.72000099986</v>
      </c>
      <c r="O200" s="306"/>
      <c r="P200" s="304">
        <f>SUM(P7:P199)</f>
        <v>-17134.779999999941</v>
      </c>
      <c r="Q200" s="306"/>
      <c r="R200" s="305">
        <f>SUM(R7:R199)</f>
        <v>-516280.47</v>
      </c>
      <c r="S200" s="305"/>
      <c r="T200" s="305"/>
      <c r="U200" s="293"/>
      <c r="V200" s="307"/>
    </row>
    <row r="201" spans="1:23" ht="54.75" customHeight="1">
      <c r="A201" s="288"/>
      <c r="B201" s="301" t="s">
        <v>1391</v>
      </c>
      <c r="C201" s="304"/>
      <c r="D201" s="304"/>
      <c r="E201" s="304"/>
      <c r="F201" s="305">
        <f>F200*0.12</f>
        <v>1071994.7675999999</v>
      </c>
      <c r="G201" s="334"/>
      <c r="H201" s="305">
        <f>H200*0.12</f>
        <v>541940.56319999986</v>
      </c>
      <c r="I201" s="304"/>
      <c r="J201" s="305">
        <f>J200*0.12</f>
        <v>599313.46596371988</v>
      </c>
      <c r="K201" s="304"/>
      <c r="L201" s="304">
        <f>L200*0.12</f>
        <v>1141254.0292837198</v>
      </c>
      <c r="M201" s="304">
        <f>M200*0.12</f>
        <v>151962.02808383998</v>
      </c>
      <c r="N201" s="304">
        <f>N200*0.12</f>
        <v>82702.766400119974</v>
      </c>
      <c r="O201" s="306"/>
      <c r="P201" s="304">
        <f>P200*0.12</f>
        <v>-2056.1735999999928</v>
      </c>
      <c r="Q201" s="306"/>
      <c r="R201" s="304">
        <f>R200*0.12</f>
        <v>-61953.656399999993</v>
      </c>
      <c r="S201" s="304"/>
      <c r="T201" s="304"/>
      <c r="U201" s="293"/>
      <c r="V201" s="307"/>
    </row>
    <row r="202" spans="1:23" ht="54.75" customHeight="1">
      <c r="A202" s="288"/>
      <c r="B202" s="301" t="s">
        <v>1392</v>
      </c>
      <c r="C202" s="304"/>
      <c r="D202" s="304"/>
      <c r="E202" s="304"/>
      <c r="F202" s="305">
        <f>F201+F200</f>
        <v>10005284.4976</v>
      </c>
      <c r="G202" s="334"/>
      <c r="H202" s="305">
        <f>H201+H200</f>
        <v>5058111.9231999991</v>
      </c>
      <c r="I202" s="304"/>
      <c r="J202" s="305">
        <f>J201+J200</f>
        <v>5593592.3489947189</v>
      </c>
      <c r="K202" s="304"/>
      <c r="L202" s="474">
        <f>L201+L200</f>
        <v>10651704.273314718</v>
      </c>
      <c r="M202" s="304">
        <f>M201+M200</f>
        <v>1418312.2621158399</v>
      </c>
      <c r="N202" s="304">
        <f>N201+N200</f>
        <v>771892.48640111985</v>
      </c>
      <c r="O202" s="308"/>
      <c r="P202" s="304">
        <f>P201+P200</f>
        <v>-19190.953599999935</v>
      </c>
      <c r="Q202" s="306" t="e">
        <f>#REF!-#REF!</f>
        <v>#REF!</v>
      </c>
      <c r="R202" s="304">
        <f>R201+R200</f>
        <v>-578234.12639999995</v>
      </c>
      <c r="S202" s="304"/>
      <c r="T202" s="304"/>
      <c r="U202" s="293"/>
      <c r="V202" s="309"/>
    </row>
    <row r="203" spans="1:23" ht="26.25" customHeight="1">
      <c r="A203" s="288"/>
      <c r="B203" s="289"/>
      <c r="C203" s="290"/>
      <c r="D203" s="290"/>
      <c r="E203" s="290"/>
      <c r="F203" s="310"/>
      <c r="G203" s="332"/>
      <c r="H203" s="290"/>
      <c r="I203" s="290"/>
      <c r="J203" s="290"/>
      <c r="K203" s="290"/>
      <c r="L203" s="311"/>
      <c r="M203" s="312"/>
      <c r="N203" s="312"/>
      <c r="O203" s="313"/>
      <c r="P203" s="314"/>
      <c r="Q203" s="292"/>
      <c r="R203" s="304">
        <f>P202-R202</f>
        <v>559043.17280000006</v>
      </c>
      <c r="S203" s="304">
        <f>R203-N203</f>
        <v>559043.17280000006</v>
      </c>
      <c r="T203" s="304"/>
      <c r="U203" s="293"/>
      <c r="V203" s="315"/>
    </row>
    <row r="204" spans="1:23">
      <c r="F204" s="523"/>
      <c r="G204" s="523"/>
      <c r="H204" s="318"/>
      <c r="O204" s="319"/>
      <c r="P204" s="318"/>
      <c r="Q204" s="319"/>
      <c r="R204" s="318"/>
      <c r="S204" s="318"/>
      <c r="T204" s="318"/>
      <c r="V204" s="320"/>
    </row>
    <row r="205" spans="1:23" ht="42.75" customHeight="1">
      <c r="A205" s="317"/>
      <c r="D205" s="318"/>
      <c r="E205" s="451"/>
      <c r="F205" s="318"/>
      <c r="G205" s="336"/>
      <c r="H205" s="318"/>
      <c r="I205" s="321"/>
      <c r="J205" s="524" t="s">
        <v>1395</v>
      </c>
      <c r="K205" s="525"/>
      <c r="L205" s="526"/>
      <c r="M205" s="527">
        <v>14239539.77</v>
      </c>
      <c r="N205" s="528"/>
      <c r="O205" s="322"/>
      <c r="P205" s="323"/>
      <c r="Q205" s="527">
        <v>359031340.31999999</v>
      </c>
      <c r="R205" s="528"/>
      <c r="S205" s="324"/>
      <c r="T205" s="324"/>
      <c r="V205" s="325"/>
    </row>
    <row r="206" spans="1:23" ht="42.75" customHeight="1">
      <c r="A206" s="317"/>
      <c r="D206" s="318"/>
      <c r="E206" s="451"/>
      <c r="F206" s="318"/>
      <c r="H206" s="318"/>
      <c r="I206" s="321"/>
      <c r="J206" s="524" t="s">
        <v>1396</v>
      </c>
      <c r="K206" s="525"/>
      <c r="L206" s="526"/>
      <c r="M206" s="527">
        <f>F202</f>
        <v>10005284.4976</v>
      </c>
      <c r="N206" s="528"/>
      <c r="O206" s="322"/>
      <c r="P206" s="323"/>
      <c r="Q206" s="527">
        <v>299814466.33999997</v>
      </c>
      <c r="R206" s="528"/>
      <c r="S206" s="324"/>
      <c r="T206" s="324"/>
      <c r="V206" s="325"/>
    </row>
    <row r="207" spans="1:23" ht="42.75" customHeight="1">
      <c r="A207" s="317"/>
      <c r="E207" s="451"/>
      <c r="F207" s="318"/>
      <c r="G207" s="336"/>
      <c r="I207" s="321"/>
      <c r="J207" s="524" t="s">
        <v>1397</v>
      </c>
      <c r="K207" s="525"/>
      <c r="L207" s="526"/>
      <c r="M207" s="527">
        <f>M205-M206</f>
        <v>4234255.2723999992</v>
      </c>
      <c r="N207" s="528"/>
      <c r="O207" s="322"/>
      <c r="P207" s="323"/>
      <c r="Q207" s="527">
        <v>59216873.979999997</v>
      </c>
      <c r="R207" s="528"/>
      <c r="S207" s="324"/>
      <c r="T207" s="324"/>
      <c r="V207" s="325"/>
    </row>
    <row r="208" spans="1:23" ht="42.75" customHeight="1">
      <c r="A208" s="317"/>
      <c r="E208" s="451"/>
      <c r="F208" s="318">
        <f>10615249+82188</f>
        <v>10697437</v>
      </c>
      <c r="H208" s="318"/>
      <c r="I208" s="321"/>
      <c r="J208" s="524" t="s">
        <v>1398</v>
      </c>
      <c r="K208" s="525"/>
      <c r="L208" s="526"/>
      <c r="M208" s="527">
        <f>M207/M205%</f>
        <v>29.735899760754691</v>
      </c>
      <c r="N208" s="528"/>
      <c r="O208" s="322"/>
      <c r="P208" s="323"/>
      <c r="Q208" s="527">
        <v>16.489999999999998</v>
      </c>
      <c r="R208" s="528"/>
      <c r="S208" s="324"/>
      <c r="T208" s="324"/>
      <c r="U208" s="299"/>
      <c r="V208" s="325"/>
    </row>
    <row r="209" spans="1:22" ht="67.5" customHeight="1">
      <c r="A209" s="317"/>
      <c r="I209" s="321"/>
      <c r="J209" s="524" t="s">
        <v>1761</v>
      </c>
      <c r="K209" s="525"/>
      <c r="L209" s="526"/>
      <c r="M209" s="535">
        <f>L202</f>
        <v>10651704.273314718</v>
      </c>
      <c r="N209" s="536"/>
      <c r="O209" s="322"/>
      <c r="P209" s="323"/>
      <c r="Q209" s="527">
        <f>L202</f>
        <v>10651704.273314718</v>
      </c>
      <c r="R209" s="528"/>
      <c r="S209" s="324"/>
      <c r="T209" s="324"/>
      <c r="V209" s="325"/>
    </row>
    <row r="210" spans="1:22" ht="42.75" customHeight="1">
      <c r="A210" s="317"/>
      <c r="I210" s="321"/>
      <c r="J210" s="524" t="s">
        <v>1762</v>
      </c>
      <c r="K210" s="525"/>
      <c r="L210" s="526"/>
      <c r="M210" s="535">
        <f>L202-F202</f>
        <v>646419.77571471781</v>
      </c>
      <c r="N210" s="536"/>
      <c r="O210" s="322"/>
      <c r="P210" s="323"/>
      <c r="Q210" s="527" t="s">
        <v>1400</v>
      </c>
      <c r="R210" s="528"/>
      <c r="S210" s="324"/>
      <c r="T210" s="324"/>
      <c r="V210" s="325"/>
    </row>
    <row r="211" spans="1:22" ht="42.75" customHeight="1">
      <c r="A211" s="317"/>
      <c r="I211" s="321"/>
      <c r="J211" s="524" t="s">
        <v>1401</v>
      </c>
      <c r="K211" s="525"/>
      <c r="L211" s="526"/>
      <c r="M211" s="535">
        <f>M210/M206%</f>
        <v>6.4607835576267378</v>
      </c>
      <c r="N211" s="536"/>
      <c r="O211" s="322"/>
      <c r="P211" s="323"/>
      <c r="Q211" s="527" t="s">
        <v>1400</v>
      </c>
      <c r="R211" s="528"/>
      <c r="S211" s="324"/>
      <c r="T211" s="324"/>
      <c r="U211" s="326"/>
      <c r="V211" s="325"/>
    </row>
    <row r="212" spans="1:22" ht="42.75" customHeight="1">
      <c r="A212" s="317"/>
      <c r="J212" s="524" t="s">
        <v>1403</v>
      </c>
      <c r="K212" s="525"/>
      <c r="L212" s="526"/>
      <c r="M212" s="535">
        <f>M205-M209</f>
        <v>3587835.4966852814</v>
      </c>
      <c r="N212" s="536"/>
      <c r="O212" s="322"/>
      <c r="P212" s="323"/>
      <c r="Q212" s="527">
        <f>Q205-L202</f>
        <v>348379636.04668528</v>
      </c>
      <c r="R212" s="528"/>
      <c r="S212" s="324"/>
      <c r="T212" s="324"/>
      <c r="V212" s="320"/>
    </row>
    <row r="213" spans="1:22" ht="42.75" customHeight="1">
      <c r="A213" s="317"/>
      <c r="F213" s="318">
        <f>M214-L202</f>
        <v>48.246685281395912</v>
      </c>
      <c r="J213" s="524" t="s">
        <v>1401</v>
      </c>
      <c r="K213" s="525"/>
      <c r="L213" s="526"/>
      <c r="M213" s="535">
        <f>M212/M205%</f>
        <v>25.196288325583161</v>
      </c>
      <c r="N213" s="536"/>
      <c r="O213" s="322"/>
      <c r="P213" s="323"/>
      <c r="Q213" s="527">
        <f>Q212/Q205%</f>
        <v>97.033210453488266</v>
      </c>
      <c r="R213" s="528"/>
      <c r="S213" s="324"/>
      <c r="T213" s="324"/>
      <c r="V213" s="320"/>
    </row>
    <row r="214" spans="1:22" ht="52.5" customHeight="1">
      <c r="A214" s="317"/>
      <c r="J214" s="524" t="s">
        <v>1404</v>
      </c>
      <c r="K214" s="525"/>
      <c r="L214" s="526"/>
      <c r="M214" s="527">
        <v>10651752.52</v>
      </c>
      <c r="N214" s="528"/>
      <c r="O214" s="319"/>
      <c r="P214" s="317"/>
      <c r="Q214" s="319"/>
      <c r="R214" s="317"/>
      <c r="S214" s="317"/>
      <c r="T214" s="317"/>
      <c r="U214" s="295"/>
      <c r="V214" s="320"/>
    </row>
    <row r="215" spans="1:22" ht="52.5" customHeight="1">
      <c r="A215" s="317"/>
      <c r="J215" s="524" t="s">
        <v>1405</v>
      </c>
      <c r="K215" s="525"/>
      <c r="L215" s="526"/>
      <c r="M215" s="535">
        <f>M214-M209</f>
        <v>48.246685281395912</v>
      </c>
      <c r="N215" s="536"/>
      <c r="O215" s="319"/>
      <c r="P215" s="317"/>
      <c r="Q215" s="319"/>
      <c r="R215" s="317"/>
      <c r="S215" s="317"/>
      <c r="T215" s="317"/>
      <c r="U215" s="295"/>
      <c r="V215" s="320"/>
    </row>
    <row r="216" spans="1:22" ht="52.5" customHeight="1">
      <c r="A216" s="317"/>
      <c r="J216" s="524" t="s">
        <v>1401</v>
      </c>
      <c r="K216" s="525"/>
      <c r="L216" s="526"/>
      <c r="M216" s="535">
        <f>M215/M214*100</f>
        <v>4.5294598415431377E-4</v>
      </c>
      <c r="N216" s="536"/>
      <c r="O216" s="319"/>
      <c r="P216" s="317"/>
      <c r="Q216" s="319"/>
      <c r="R216" s="317"/>
      <c r="S216" s="317"/>
      <c r="T216" s="317"/>
      <c r="U216" s="295"/>
      <c r="V216" s="320"/>
    </row>
    <row r="217" spans="1:22" ht="52.5" customHeight="1">
      <c r="A217" s="317"/>
      <c r="O217" s="319"/>
      <c r="P217" s="317"/>
      <c r="Q217" s="319"/>
      <c r="R217" s="317"/>
      <c r="S217" s="317"/>
      <c r="T217" s="317"/>
      <c r="U217" s="295"/>
      <c r="V217" s="320"/>
    </row>
    <row r="218" spans="1:22" ht="52.5" customHeight="1">
      <c r="A218" s="317"/>
      <c r="O218" s="319"/>
      <c r="P218" s="317"/>
      <c r="Q218" s="319"/>
      <c r="R218" s="317"/>
      <c r="S218" s="317"/>
      <c r="T218" s="317"/>
      <c r="U218" s="295"/>
      <c r="V218" s="320"/>
    </row>
    <row r="219" spans="1:22">
      <c r="A219" s="317"/>
      <c r="O219" s="319"/>
      <c r="P219" s="317"/>
      <c r="Q219" s="319"/>
      <c r="R219" s="317"/>
      <c r="S219" s="317"/>
      <c r="T219" s="317"/>
      <c r="U219" s="295"/>
      <c r="V219" s="320"/>
    </row>
    <row r="220" spans="1:22">
      <c r="A220" s="317"/>
      <c r="O220" s="319"/>
      <c r="P220" s="317"/>
      <c r="Q220" s="319"/>
      <c r="R220" s="317"/>
      <c r="S220" s="317"/>
      <c r="T220" s="317"/>
      <c r="U220" s="295"/>
      <c r="V220" s="320"/>
    </row>
    <row r="221" spans="1:22">
      <c r="A221" s="317"/>
      <c r="O221" s="319"/>
      <c r="P221" s="317"/>
      <c r="Q221" s="319"/>
      <c r="R221" s="317"/>
      <c r="S221" s="317"/>
      <c r="T221" s="317"/>
      <c r="U221" s="295"/>
      <c r="V221" s="320"/>
    </row>
    <row r="222" spans="1:22">
      <c r="A222" s="317"/>
      <c r="O222" s="319"/>
      <c r="P222" s="317"/>
      <c r="Q222" s="319"/>
      <c r="R222" s="317"/>
      <c r="S222" s="317"/>
      <c r="T222" s="317"/>
      <c r="U222" s="295"/>
      <c r="V222" s="320"/>
    </row>
    <row r="223" spans="1:22">
      <c r="A223" s="317"/>
      <c r="O223" s="319"/>
      <c r="P223" s="317"/>
      <c r="Q223" s="319"/>
      <c r="R223" s="317"/>
      <c r="S223" s="317"/>
      <c r="T223" s="317"/>
      <c r="U223" s="295"/>
      <c r="V223" s="320"/>
    </row>
    <row r="224" spans="1:22">
      <c r="A224" s="317"/>
      <c r="O224" s="319"/>
      <c r="P224" s="317"/>
      <c r="Q224" s="319"/>
      <c r="R224" s="317"/>
      <c r="S224" s="317"/>
      <c r="T224" s="317"/>
      <c r="U224" s="295"/>
      <c r="V224" s="320"/>
    </row>
    <row r="225" spans="1:22">
      <c r="A225" s="317"/>
      <c r="O225" s="319"/>
      <c r="P225" s="317"/>
      <c r="Q225" s="319"/>
      <c r="R225" s="317"/>
      <c r="S225" s="317"/>
      <c r="T225" s="317"/>
      <c r="U225" s="295"/>
      <c r="V225" s="320"/>
    </row>
    <row r="226" spans="1:22">
      <c r="A226" s="317"/>
      <c r="O226" s="319"/>
      <c r="P226" s="317"/>
      <c r="Q226" s="319"/>
      <c r="R226" s="317"/>
      <c r="S226" s="317"/>
      <c r="T226" s="317"/>
      <c r="U226" s="295"/>
      <c r="V226" s="320"/>
    </row>
    <row r="227" spans="1:22">
      <c r="A227" s="317"/>
      <c r="O227" s="319"/>
      <c r="P227" s="317"/>
      <c r="Q227" s="319"/>
      <c r="R227" s="317"/>
      <c r="S227" s="317"/>
      <c r="T227" s="317"/>
      <c r="U227" s="295"/>
      <c r="V227" s="320"/>
    </row>
    <row r="228" spans="1:22">
      <c r="A228" s="317"/>
      <c r="O228" s="319"/>
      <c r="P228" s="317"/>
      <c r="Q228" s="319"/>
      <c r="R228" s="317"/>
      <c r="S228" s="317"/>
      <c r="T228" s="317"/>
      <c r="U228" s="295"/>
      <c r="V228" s="320"/>
    </row>
    <row r="229" spans="1:22">
      <c r="A229" s="317"/>
      <c r="O229" s="319"/>
      <c r="P229" s="317"/>
      <c r="Q229" s="319"/>
      <c r="R229" s="317"/>
      <c r="S229" s="317"/>
      <c r="T229" s="317"/>
      <c r="U229" s="295"/>
      <c r="V229" s="320"/>
    </row>
    <row r="230" spans="1:22">
      <c r="A230" s="317"/>
      <c r="O230" s="319"/>
      <c r="P230" s="317"/>
      <c r="Q230" s="319"/>
      <c r="R230" s="317"/>
      <c r="S230" s="317"/>
      <c r="T230" s="317"/>
      <c r="U230" s="295"/>
      <c r="V230" s="320"/>
    </row>
    <row r="231" spans="1:22">
      <c r="A231" s="317"/>
      <c r="O231" s="319"/>
      <c r="P231" s="317"/>
      <c r="Q231" s="319"/>
      <c r="R231" s="317"/>
      <c r="S231" s="317"/>
      <c r="T231" s="317"/>
      <c r="U231" s="295"/>
      <c r="V231" s="320"/>
    </row>
    <row r="232" spans="1:22">
      <c r="A232" s="317"/>
      <c r="O232" s="319"/>
      <c r="P232" s="317"/>
      <c r="Q232" s="319"/>
      <c r="R232" s="317"/>
      <c r="S232" s="317"/>
      <c r="T232" s="317"/>
      <c r="U232" s="295"/>
      <c r="V232" s="320"/>
    </row>
    <row r="233" spans="1:22">
      <c r="A233" s="317"/>
      <c r="O233" s="319"/>
      <c r="P233" s="317"/>
      <c r="Q233" s="319"/>
      <c r="R233" s="317"/>
      <c r="S233" s="317"/>
      <c r="T233" s="317"/>
      <c r="U233" s="295"/>
      <c r="V233" s="320"/>
    </row>
    <row r="234" spans="1:22">
      <c r="A234" s="317"/>
      <c r="O234" s="319"/>
      <c r="P234" s="317"/>
      <c r="Q234" s="319"/>
      <c r="R234" s="317"/>
      <c r="S234" s="317"/>
      <c r="T234" s="317"/>
      <c r="U234" s="295"/>
      <c r="V234" s="320"/>
    </row>
    <row r="235" spans="1:22">
      <c r="A235" s="317"/>
      <c r="O235" s="319"/>
      <c r="P235" s="317"/>
      <c r="Q235" s="319"/>
      <c r="R235" s="317"/>
      <c r="S235" s="317"/>
      <c r="T235" s="317"/>
      <c r="U235" s="295"/>
      <c r="V235" s="320"/>
    </row>
    <row r="236" spans="1:22">
      <c r="A236" s="317"/>
      <c r="O236" s="319"/>
      <c r="P236" s="317"/>
      <c r="Q236" s="319"/>
      <c r="R236" s="317"/>
      <c r="S236" s="317"/>
      <c r="T236" s="317"/>
      <c r="U236" s="295"/>
      <c r="V236" s="320"/>
    </row>
    <row r="237" spans="1:22">
      <c r="A237" s="317"/>
      <c r="O237" s="319"/>
      <c r="P237" s="317"/>
      <c r="Q237" s="319"/>
      <c r="R237" s="317"/>
      <c r="S237" s="317"/>
      <c r="T237" s="317"/>
      <c r="U237" s="295"/>
      <c r="V237" s="320"/>
    </row>
    <row r="238" spans="1:22">
      <c r="A238" s="317"/>
      <c r="O238" s="319"/>
      <c r="P238" s="317"/>
      <c r="Q238" s="319"/>
      <c r="R238" s="317"/>
      <c r="S238" s="317"/>
      <c r="T238" s="317"/>
      <c r="U238" s="295"/>
      <c r="V238" s="320"/>
    </row>
    <row r="239" spans="1:22">
      <c r="A239" s="317"/>
      <c r="O239" s="319"/>
      <c r="P239" s="317"/>
      <c r="Q239" s="319"/>
      <c r="R239" s="317"/>
      <c r="S239" s="317"/>
      <c r="T239" s="317"/>
      <c r="U239" s="295"/>
      <c r="V239" s="320"/>
    </row>
    <row r="240" spans="1:22">
      <c r="A240" s="317"/>
      <c r="O240" s="319"/>
      <c r="P240" s="317"/>
      <c r="Q240" s="319"/>
      <c r="R240" s="317"/>
      <c r="S240" s="317"/>
      <c r="T240" s="317"/>
      <c r="U240" s="295"/>
      <c r="V240" s="320"/>
    </row>
    <row r="241" spans="1:22">
      <c r="A241" s="317"/>
      <c r="O241" s="319"/>
      <c r="P241" s="317"/>
      <c r="Q241" s="319"/>
      <c r="R241" s="317"/>
      <c r="S241" s="317"/>
      <c r="T241" s="317"/>
      <c r="U241" s="295"/>
      <c r="V241" s="320"/>
    </row>
    <row r="242" spans="1:22">
      <c r="A242" s="317"/>
      <c r="O242" s="319"/>
      <c r="P242" s="317"/>
      <c r="Q242" s="319"/>
      <c r="R242" s="317"/>
      <c r="S242" s="317"/>
      <c r="T242" s="317"/>
      <c r="U242" s="295"/>
      <c r="V242" s="320"/>
    </row>
    <row r="243" spans="1:22">
      <c r="A243" s="317"/>
      <c r="O243" s="319"/>
      <c r="P243" s="317"/>
      <c r="Q243" s="319"/>
      <c r="R243" s="317"/>
      <c r="S243" s="317"/>
      <c r="T243" s="317"/>
      <c r="U243" s="295"/>
      <c r="V243" s="320"/>
    </row>
    <row r="244" spans="1:22">
      <c r="A244" s="317"/>
      <c r="O244" s="319"/>
      <c r="P244" s="317"/>
      <c r="Q244" s="319"/>
      <c r="R244" s="317"/>
      <c r="S244" s="317"/>
      <c r="T244" s="317"/>
      <c r="U244" s="295"/>
      <c r="V244" s="320"/>
    </row>
    <row r="245" spans="1:22">
      <c r="A245" s="317"/>
      <c r="O245" s="319"/>
      <c r="P245" s="317"/>
      <c r="Q245" s="319"/>
      <c r="R245" s="317"/>
      <c r="S245" s="317"/>
      <c r="T245" s="317"/>
      <c r="U245" s="295"/>
      <c r="V245" s="320"/>
    </row>
    <row r="246" spans="1:22">
      <c r="A246" s="317"/>
      <c r="O246" s="319"/>
      <c r="P246" s="317"/>
      <c r="Q246" s="319"/>
      <c r="R246" s="317"/>
      <c r="S246" s="317"/>
      <c r="T246" s="317"/>
      <c r="U246" s="295"/>
      <c r="V246" s="320"/>
    </row>
    <row r="247" spans="1:22">
      <c r="A247" s="317"/>
      <c r="O247" s="319"/>
      <c r="P247" s="317"/>
      <c r="Q247" s="319"/>
      <c r="R247" s="317"/>
      <c r="S247" s="317"/>
      <c r="T247" s="317"/>
      <c r="U247" s="295"/>
      <c r="V247" s="320"/>
    </row>
    <row r="248" spans="1:22">
      <c r="A248" s="317"/>
      <c r="O248" s="319"/>
      <c r="P248" s="317"/>
      <c r="Q248" s="319"/>
      <c r="R248" s="317"/>
      <c r="S248" s="317"/>
      <c r="T248" s="317"/>
      <c r="U248" s="295"/>
      <c r="V248" s="320"/>
    </row>
    <row r="249" spans="1:22">
      <c r="A249" s="317"/>
      <c r="O249" s="319"/>
      <c r="P249" s="317"/>
      <c r="Q249" s="319"/>
      <c r="R249" s="317"/>
      <c r="S249" s="317"/>
      <c r="T249" s="317"/>
      <c r="U249" s="295"/>
      <c r="V249" s="320"/>
    </row>
    <row r="250" spans="1:22">
      <c r="A250" s="317"/>
      <c r="O250" s="319"/>
      <c r="P250" s="317"/>
      <c r="Q250" s="319"/>
      <c r="R250" s="317"/>
      <c r="S250" s="317"/>
      <c r="T250" s="317"/>
      <c r="U250" s="295"/>
      <c r="V250" s="320"/>
    </row>
    <row r="251" spans="1:22">
      <c r="A251" s="317"/>
      <c r="O251" s="319"/>
      <c r="P251" s="317"/>
      <c r="Q251" s="319"/>
      <c r="R251" s="317"/>
      <c r="S251" s="317"/>
      <c r="T251" s="317"/>
      <c r="U251" s="295"/>
      <c r="V251" s="320"/>
    </row>
    <row r="252" spans="1:22">
      <c r="A252" s="317"/>
      <c r="O252" s="319"/>
      <c r="P252" s="317"/>
      <c r="Q252" s="319"/>
      <c r="R252" s="317"/>
      <c r="S252" s="317"/>
      <c r="T252" s="317"/>
      <c r="U252" s="295"/>
      <c r="V252" s="320"/>
    </row>
    <row r="253" spans="1:22">
      <c r="A253" s="317"/>
      <c r="O253" s="319"/>
      <c r="P253" s="317"/>
      <c r="Q253" s="319"/>
      <c r="R253" s="317"/>
      <c r="S253" s="317"/>
      <c r="T253" s="317"/>
      <c r="U253" s="295"/>
      <c r="V253" s="320"/>
    </row>
    <row r="254" spans="1:22">
      <c r="A254" s="317"/>
      <c r="O254" s="319"/>
      <c r="P254" s="317"/>
      <c r="Q254" s="319"/>
      <c r="R254" s="317"/>
      <c r="S254" s="317"/>
      <c r="T254" s="317"/>
      <c r="U254" s="295"/>
      <c r="V254" s="320"/>
    </row>
    <row r="255" spans="1:22">
      <c r="A255" s="317"/>
      <c r="O255" s="319"/>
      <c r="P255" s="317"/>
      <c r="Q255" s="319"/>
      <c r="R255" s="317"/>
      <c r="S255" s="317"/>
      <c r="T255" s="317"/>
      <c r="U255" s="295"/>
      <c r="V255" s="320"/>
    </row>
    <row r="256" spans="1:22">
      <c r="A256" s="317"/>
      <c r="O256" s="319"/>
      <c r="P256" s="317"/>
      <c r="Q256" s="319"/>
      <c r="R256" s="317"/>
      <c r="S256" s="317"/>
      <c r="T256" s="317"/>
      <c r="U256" s="295"/>
      <c r="V256" s="320"/>
    </row>
    <row r="257" spans="1:22">
      <c r="A257" s="317"/>
      <c r="O257" s="319"/>
      <c r="P257" s="317"/>
      <c r="Q257" s="319"/>
      <c r="R257" s="317"/>
      <c r="S257" s="317"/>
      <c r="T257" s="317"/>
      <c r="U257" s="295"/>
      <c r="V257" s="320"/>
    </row>
    <row r="258" spans="1:22">
      <c r="A258" s="317"/>
      <c r="O258" s="319"/>
      <c r="P258" s="317"/>
      <c r="Q258" s="319"/>
      <c r="R258" s="317"/>
      <c r="S258" s="317"/>
      <c r="T258" s="317"/>
      <c r="U258" s="295"/>
      <c r="V258" s="320"/>
    </row>
    <row r="259" spans="1:22">
      <c r="A259" s="317"/>
      <c r="O259" s="319"/>
      <c r="P259" s="317"/>
      <c r="Q259" s="319"/>
      <c r="R259" s="317"/>
      <c r="S259" s="317"/>
      <c r="T259" s="317"/>
      <c r="U259" s="295"/>
      <c r="V259" s="320"/>
    </row>
    <row r="260" spans="1:22">
      <c r="A260" s="317"/>
      <c r="O260" s="319"/>
      <c r="P260" s="317"/>
      <c r="Q260" s="319"/>
      <c r="R260" s="317"/>
      <c r="S260" s="317"/>
      <c r="T260" s="317"/>
      <c r="U260" s="295"/>
      <c r="V260" s="320"/>
    </row>
    <row r="261" spans="1:22">
      <c r="A261" s="317"/>
      <c r="O261" s="319"/>
      <c r="P261" s="317"/>
      <c r="Q261" s="319"/>
      <c r="R261" s="317"/>
      <c r="S261" s="317"/>
      <c r="T261" s="317"/>
      <c r="U261" s="295"/>
      <c r="V261" s="320"/>
    </row>
    <row r="262" spans="1:22">
      <c r="A262" s="317"/>
      <c r="O262" s="319"/>
      <c r="P262" s="317"/>
      <c r="Q262" s="319"/>
      <c r="R262" s="317"/>
      <c r="S262" s="317"/>
      <c r="T262" s="317"/>
      <c r="U262" s="295"/>
      <c r="V262" s="320"/>
    </row>
    <row r="263" spans="1:22">
      <c r="A263" s="317"/>
      <c r="O263" s="319"/>
      <c r="P263" s="317"/>
      <c r="Q263" s="319"/>
      <c r="R263" s="317"/>
      <c r="S263" s="317"/>
      <c r="T263" s="317"/>
      <c r="U263" s="295"/>
      <c r="V263" s="320"/>
    </row>
    <row r="264" spans="1:22">
      <c r="A264" s="317"/>
      <c r="O264" s="319"/>
      <c r="P264" s="317"/>
      <c r="Q264" s="319"/>
      <c r="R264" s="317"/>
      <c r="S264" s="317"/>
      <c r="T264" s="317"/>
      <c r="U264" s="295"/>
      <c r="V264" s="320"/>
    </row>
    <row r="265" spans="1:22">
      <c r="A265" s="317"/>
      <c r="O265" s="319"/>
      <c r="P265" s="317"/>
      <c r="Q265" s="319"/>
      <c r="R265" s="317"/>
      <c r="S265" s="317"/>
      <c r="T265" s="317"/>
      <c r="U265" s="295"/>
      <c r="V265" s="320"/>
    </row>
    <row r="266" spans="1:22">
      <c r="A266" s="317"/>
      <c r="O266" s="319"/>
      <c r="P266" s="317"/>
      <c r="Q266" s="319"/>
      <c r="R266" s="317"/>
      <c r="S266" s="317"/>
      <c r="T266" s="317"/>
      <c r="U266" s="295"/>
      <c r="V266" s="320"/>
    </row>
    <row r="267" spans="1:22">
      <c r="A267" s="317"/>
      <c r="O267" s="319"/>
      <c r="P267" s="317"/>
      <c r="Q267" s="319"/>
      <c r="R267" s="317"/>
      <c r="S267" s="317"/>
      <c r="T267" s="317"/>
      <c r="U267" s="295"/>
      <c r="V267" s="320"/>
    </row>
    <row r="268" spans="1:22">
      <c r="A268" s="317"/>
      <c r="O268" s="319"/>
      <c r="P268" s="317"/>
      <c r="Q268" s="319"/>
      <c r="R268" s="317"/>
      <c r="S268" s="317"/>
      <c r="T268" s="317"/>
      <c r="U268" s="295"/>
      <c r="V268" s="320"/>
    </row>
    <row r="269" spans="1:22">
      <c r="A269" s="317"/>
      <c r="O269" s="319"/>
      <c r="P269" s="317"/>
      <c r="Q269" s="319"/>
      <c r="R269" s="317"/>
      <c r="S269" s="317"/>
      <c r="T269" s="317"/>
      <c r="U269" s="295"/>
      <c r="V269" s="320"/>
    </row>
    <row r="270" spans="1:22">
      <c r="A270" s="317"/>
      <c r="O270" s="319"/>
      <c r="P270" s="317"/>
      <c r="Q270" s="319"/>
      <c r="R270" s="317"/>
      <c r="S270" s="317"/>
      <c r="T270" s="317"/>
      <c r="U270" s="295"/>
      <c r="V270" s="320"/>
    </row>
    <row r="271" spans="1:22">
      <c r="A271" s="317"/>
      <c r="O271" s="319"/>
      <c r="P271" s="317"/>
      <c r="Q271" s="319"/>
      <c r="R271" s="317"/>
      <c r="S271" s="317"/>
      <c r="T271" s="317"/>
      <c r="U271" s="295"/>
      <c r="V271" s="320"/>
    </row>
    <row r="272" spans="1:22">
      <c r="A272" s="317"/>
      <c r="O272" s="319"/>
      <c r="P272" s="317"/>
      <c r="Q272" s="319"/>
      <c r="R272" s="317"/>
      <c r="S272" s="317"/>
      <c r="T272" s="317"/>
      <c r="U272" s="295"/>
      <c r="V272" s="320"/>
    </row>
    <row r="273" spans="1:22">
      <c r="A273" s="317"/>
      <c r="O273" s="319"/>
      <c r="P273" s="317"/>
      <c r="Q273" s="319"/>
      <c r="R273" s="317"/>
      <c r="S273" s="317"/>
      <c r="T273" s="317"/>
      <c r="U273" s="295"/>
      <c r="V273" s="320"/>
    </row>
    <row r="274" spans="1:22">
      <c r="A274" s="317"/>
      <c r="O274" s="319"/>
      <c r="P274" s="317"/>
      <c r="Q274" s="319"/>
      <c r="R274" s="317"/>
      <c r="S274" s="317"/>
      <c r="T274" s="317"/>
      <c r="U274" s="295"/>
      <c r="V274" s="320"/>
    </row>
    <row r="275" spans="1:22">
      <c r="A275" s="317"/>
      <c r="O275" s="319"/>
      <c r="P275" s="317"/>
      <c r="Q275" s="319"/>
      <c r="R275" s="317"/>
      <c r="S275" s="317"/>
      <c r="T275" s="317"/>
      <c r="U275" s="295"/>
      <c r="V275" s="320"/>
    </row>
    <row r="276" spans="1:22">
      <c r="A276" s="317"/>
      <c r="O276" s="319"/>
      <c r="P276" s="317"/>
      <c r="Q276" s="319"/>
      <c r="R276" s="317"/>
      <c r="S276" s="317"/>
      <c r="T276" s="317"/>
      <c r="U276" s="295"/>
      <c r="V276" s="320"/>
    </row>
    <row r="277" spans="1:22">
      <c r="A277" s="317"/>
      <c r="O277" s="319"/>
      <c r="P277" s="317"/>
      <c r="Q277" s="319"/>
      <c r="R277" s="317"/>
      <c r="S277" s="317"/>
      <c r="T277" s="317"/>
      <c r="U277" s="295"/>
      <c r="V277" s="320"/>
    </row>
    <row r="278" spans="1:22">
      <c r="A278" s="317"/>
      <c r="O278" s="319"/>
      <c r="P278" s="317"/>
      <c r="Q278" s="319"/>
      <c r="R278" s="317"/>
      <c r="S278" s="317"/>
      <c r="T278" s="317"/>
      <c r="U278" s="295"/>
      <c r="V278" s="320"/>
    </row>
    <row r="279" spans="1:22">
      <c r="A279" s="317"/>
      <c r="O279" s="319"/>
      <c r="P279" s="317"/>
      <c r="Q279" s="319"/>
      <c r="R279" s="317"/>
      <c r="S279" s="317"/>
      <c r="T279" s="317"/>
      <c r="U279" s="295"/>
      <c r="V279" s="320"/>
    </row>
    <row r="280" spans="1:22">
      <c r="A280" s="317"/>
      <c r="O280" s="319"/>
      <c r="P280" s="317"/>
      <c r="Q280" s="319"/>
      <c r="R280" s="317"/>
      <c r="S280" s="317"/>
      <c r="T280" s="317"/>
      <c r="U280" s="295"/>
      <c r="V280" s="320"/>
    </row>
    <row r="281" spans="1:22">
      <c r="A281" s="317"/>
      <c r="O281" s="319"/>
      <c r="P281" s="317"/>
      <c r="Q281" s="319"/>
      <c r="R281" s="317"/>
      <c r="S281" s="317"/>
      <c r="T281" s="317"/>
      <c r="U281" s="295"/>
      <c r="V281" s="320"/>
    </row>
    <row r="282" spans="1:22">
      <c r="A282" s="317"/>
      <c r="O282" s="319"/>
      <c r="P282" s="317"/>
      <c r="Q282" s="319"/>
      <c r="R282" s="317"/>
      <c r="S282" s="317"/>
      <c r="T282" s="317"/>
      <c r="U282" s="295"/>
      <c r="V282" s="320"/>
    </row>
    <row r="283" spans="1:22">
      <c r="A283" s="317"/>
      <c r="O283" s="319"/>
      <c r="P283" s="317"/>
      <c r="Q283" s="319"/>
      <c r="R283" s="317"/>
      <c r="S283" s="317"/>
      <c r="T283" s="317"/>
      <c r="U283" s="295"/>
      <c r="V283" s="320"/>
    </row>
    <row r="284" spans="1:22">
      <c r="A284" s="317"/>
      <c r="O284" s="319"/>
      <c r="P284" s="317"/>
      <c r="Q284" s="319"/>
      <c r="R284" s="317"/>
      <c r="S284" s="317"/>
      <c r="T284" s="317"/>
      <c r="U284" s="295"/>
      <c r="V284" s="320"/>
    </row>
    <row r="285" spans="1:22">
      <c r="A285" s="317"/>
      <c r="O285" s="319"/>
      <c r="P285" s="317"/>
      <c r="Q285" s="319"/>
      <c r="R285" s="317"/>
      <c r="S285" s="317"/>
      <c r="T285" s="317"/>
      <c r="U285" s="295"/>
      <c r="V285" s="320"/>
    </row>
    <row r="286" spans="1:22">
      <c r="A286" s="317"/>
      <c r="O286" s="319"/>
      <c r="P286" s="317"/>
      <c r="Q286" s="319"/>
      <c r="R286" s="317"/>
      <c r="S286" s="317"/>
      <c r="T286" s="317"/>
      <c r="U286" s="295"/>
      <c r="V286" s="320"/>
    </row>
    <row r="287" spans="1:22">
      <c r="A287" s="317"/>
      <c r="O287" s="319"/>
      <c r="P287" s="317"/>
      <c r="Q287" s="319"/>
      <c r="R287" s="317"/>
      <c r="S287" s="317"/>
      <c r="T287" s="317"/>
      <c r="U287" s="295"/>
      <c r="V287" s="320"/>
    </row>
    <row r="288" spans="1:22">
      <c r="A288" s="317"/>
      <c r="O288" s="319"/>
      <c r="P288" s="317"/>
      <c r="Q288" s="319"/>
      <c r="R288" s="317"/>
      <c r="S288" s="317"/>
      <c r="T288" s="317"/>
      <c r="U288" s="295"/>
      <c r="V288" s="320"/>
    </row>
    <row r="289" spans="1:22">
      <c r="A289" s="317"/>
      <c r="O289" s="319"/>
      <c r="P289" s="317"/>
      <c r="Q289" s="319"/>
      <c r="R289" s="317"/>
      <c r="S289" s="317"/>
      <c r="T289" s="317"/>
      <c r="U289" s="295"/>
      <c r="V289" s="320"/>
    </row>
    <row r="290" spans="1:22">
      <c r="A290" s="317"/>
      <c r="O290" s="319"/>
      <c r="P290" s="317"/>
      <c r="Q290" s="319"/>
      <c r="R290" s="317"/>
      <c r="S290" s="317"/>
      <c r="T290" s="317"/>
      <c r="U290" s="295"/>
      <c r="V290" s="320"/>
    </row>
    <row r="291" spans="1:22">
      <c r="A291" s="317"/>
      <c r="O291" s="319"/>
      <c r="P291" s="317"/>
      <c r="Q291" s="319"/>
      <c r="R291" s="317"/>
      <c r="S291" s="317"/>
      <c r="T291" s="317"/>
      <c r="U291" s="295"/>
      <c r="V291" s="320"/>
    </row>
    <row r="292" spans="1:22">
      <c r="A292" s="317"/>
      <c r="O292" s="319"/>
      <c r="P292" s="317"/>
      <c r="Q292" s="319"/>
      <c r="R292" s="317"/>
      <c r="S292" s="317"/>
      <c r="T292" s="317"/>
      <c r="U292" s="295"/>
      <c r="V292" s="320"/>
    </row>
    <row r="293" spans="1:22">
      <c r="A293" s="317"/>
      <c r="O293" s="319"/>
      <c r="P293" s="317"/>
      <c r="Q293" s="319"/>
      <c r="R293" s="317"/>
      <c r="S293" s="317"/>
      <c r="T293" s="317"/>
      <c r="U293" s="295"/>
      <c r="V293" s="320"/>
    </row>
    <row r="294" spans="1:22">
      <c r="A294" s="317"/>
      <c r="O294" s="319"/>
      <c r="P294" s="317"/>
      <c r="Q294" s="319"/>
      <c r="R294" s="317"/>
      <c r="S294" s="317"/>
      <c r="T294" s="317"/>
      <c r="U294" s="295"/>
      <c r="V294" s="320"/>
    </row>
    <row r="295" spans="1:22">
      <c r="A295" s="317"/>
      <c r="O295" s="319"/>
      <c r="P295" s="317"/>
      <c r="Q295" s="319"/>
      <c r="R295" s="317"/>
      <c r="S295" s="317"/>
      <c r="T295" s="317"/>
      <c r="U295" s="295"/>
      <c r="V295" s="320"/>
    </row>
    <row r="296" spans="1:22">
      <c r="A296" s="317"/>
      <c r="O296" s="319"/>
      <c r="P296" s="317"/>
      <c r="Q296" s="319"/>
      <c r="R296" s="317"/>
      <c r="S296" s="317"/>
      <c r="T296" s="317"/>
      <c r="U296" s="295"/>
      <c r="V296" s="320"/>
    </row>
    <row r="297" spans="1:22">
      <c r="A297" s="317"/>
      <c r="O297" s="319"/>
      <c r="P297" s="317"/>
      <c r="Q297" s="319"/>
      <c r="R297" s="317"/>
      <c r="S297" s="317"/>
      <c r="T297" s="317"/>
      <c r="U297" s="295"/>
      <c r="V297" s="320"/>
    </row>
    <row r="298" spans="1:22">
      <c r="A298" s="317"/>
      <c r="O298" s="319"/>
      <c r="P298" s="317"/>
      <c r="Q298" s="319"/>
      <c r="R298" s="317"/>
      <c r="S298" s="317"/>
      <c r="T298" s="317"/>
      <c r="U298" s="295"/>
      <c r="V298" s="320"/>
    </row>
    <row r="299" spans="1:22">
      <c r="A299" s="317"/>
      <c r="O299" s="319"/>
      <c r="P299" s="317"/>
      <c r="Q299" s="319"/>
      <c r="R299" s="317"/>
      <c r="S299" s="317"/>
      <c r="T299" s="317"/>
      <c r="U299" s="295"/>
      <c r="V299" s="320"/>
    </row>
    <row r="300" spans="1:22">
      <c r="A300" s="317"/>
      <c r="O300" s="319"/>
      <c r="P300" s="317"/>
      <c r="Q300" s="319"/>
      <c r="R300" s="317"/>
      <c r="S300" s="317"/>
      <c r="T300" s="317"/>
      <c r="U300" s="295"/>
      <c r="V300" s="320"/>
    </row>
    <row r="301" spans="1:22">
      <c r="A301" s="317"/>
      <c r="O301" s="319"/>
      <c r="P301" s="317"/>
      <c r="Q301" s="319"/>
      <c r="R301" s="317"/>
      <c r="S301" s="317"/>
      <c r="T301" s="317"/>
      <c r="U301" s="295"/>
      <c r="V301" s="320"/>
    </row>
    <row r="302" spans="1:22">
      <c r="A302" s="317"/>
      <c r="O302" s="319"/>
      <c r="P302" s="317"/>
      <c r="Q302" s="319"/>
      <c r="R302" s="317"/>
      <c r="S302" s="317"/>
      <c r="T302" s="317"/>
      <c r="U302" s="295"/>
      <c r="V302" s="320"/>
    </row>
    <row r="303" spans="1:22">
      <c r="A303" s="317"/>
      <c r="O303" s="319"/>
      <c r="P303" s="317"/>
      <c r="Q303" s="319"/>
      <c r="R303" s="317"/>
      <c r="S303" s="317"/>
      <c r="T303" s="317"/>
      <c r="U303" s="295"/>
      <c r="V303" s="320"/>
    </row>
    <row r="304" spans="1:22">
      <c r="A304" s="317"/>
      <c r="O304" s="319"/>
      <c r="P304" s="317"/>
      <c r="Q304" s="319"/>
      <c r="R304" s="317"/>
      <c r="S304" s="317"/>
      <c r="T304" s="317"/>
      <c r="U304" s="295"/>
      <c r="V304" s="320"/>
    </row>
    <row r="305" spans="1:22">
      <c r="A305" s="317"/>
      <c r="O305" s="319"/>
      <c r="P305" s="317"/>
      <c r="Q305" s="319"/>
      <c r="R305" s="317"/>
      <c r="S305" s="317"/>
      <c r="T305" s="317"/>
      <c r="U305" s="295"/>
      <c r="V305" s="320"/>
    </row>
    <row r="306" spans="1:22">
      <c r="A306" s="317"/>
      <c r="O306" s="319"/>
      <c r="P306" s="317"/>
      <c r="Q306" s="319"/>
      <c r="R306" s="317"/>
      <c r="S306" s="317"/>
      <c r="T306" s="317"/>
      <c r="U306" s="295"/>
      <c r="V306" s="320"/>
    </row>
    <row r="307" spans="1:22">
      <c r="A307" s="317"/>
      <c r="O307" s="319"/>
      <c r="P307" s="317"/>
      <c r="Q307" s="319"/>
      <c r="R307" s="317"/>
      <c r="S307" s="317"/>
      <c r="T307" s="317"/>
      <c r="U307" s="295"/>
      <c r="V307" s="320"/>
    </row>
    <row r="308" spans="1:22">
      <c r="A308" s="317"/>
      <c r="O308" s="319"/>
      <c r="P308" s="317"/>
      <c r="Q308" s="319"/>
      <c r="R308" s="317"/>
      <c r="S308" s="317"/>
      <c r="T308" s="317"/>
      <c r="U308" s="295"/>
      <c r="V308" s="320"/>
    </row>
    <row r="309" spans="1:22">
      <c r="A309" s="317"/>
      <c r="O309" s="319"/>
      <c r="P309" s="317"/>
      <c r="Q309" s="319"/>
      <c r="R309" s="317"/>
      <c r="S309" s="317"/>
      <c r="T309" s="317"/>
      <c r="U309" s="295"/>
      <c r="V309" s="320"/>
    </row>
    <row r="310" spans="1:22">
      <c r="A310" s="317"/>
      <c r="O310" s="319"/>
      <c r="P310" s="317"/>
      <c r="Q310" s="319"/>
      <c r="R310" s="317"/>
      <c r="S310" s="317"/>
      <c r="T310" s="317"/>
      <c r="U310" s="295"/>
      <c r="V310" s="320"/>
    </row>
    <row r="311" spans="1:22">
      <c r="A311" s="317"/>
      <c r="O311" s="319"/>
      <c r="P311" s="317"/>
      <c r="Q311" s="319"/>
      <c r="R311" s="317"/>
      <c r="S311" s="317"/>
      <c r="T311" s="317"/>
      <c r="U311" s="295"/>
      <c r="V311" s="320"/>
    </row>
    <row r="312" spans="1:22">
      <c r="A312" s="317"/>
      <c r="O312" s="319"/>
      <c r="P312" s="317"/>
      <c r="Q312" s="319"/>
      <c r="R312" s="317"/>
      <c r="S312" s="317"/>
      <c r="T312" s="317"/>
      <c r="U312" s="295"/>
      <c r="V312" s="320"/>
    </row>
    <row r="313" spans="1:22">
      <c r="A313" s="317"/>
      <c r="O313" s="319"/>
      <c r="P313" s="317"/>
      <c r="Q313" s="319"/>
      <c r="R313" s="317"/>
      <c r="S313" s="317"/>
      <c r="T313" s="317"/>
      <c r="U313" s="295"/>
      <c r="V313" s="320"/>
    </row>
    <row r="314" spans="1:22">
      <c r="A314" s="317"/>
      <c r="O314" s="319"/>
      <c r="P314" s="317"/>
      <c r="Q314" s="319"/>
      <c r="R314" s="317"/>
      <c r="S314" s="317"/>
      <c r="T314" s="317"/>
      <c r="U314" s="295"/>
      <c r="V314" s="320"/>
    </row>
    <row r="315" spans="1:22">
      <c r="A315" s="317"/>
      <c r="O315" s="319"/>
      <c r="P315" s="317"/>
      <c r="Q315" s="319"/>
      <c r="R315" s="317"/>
      <c r="S315" s="317"/>
      <c r="T315" s="317"/>
      <c r="U315" s="295"/>
      <c r="V315" s="320"/>
    </row>
    <row r="316" spans="1:22">
      <c r="A316" s="317"/>
      <c r="O316" s="319"/>
      <c r="P316" s="317"/>
      <c r="Q316" s="319"/>
      <c r="R316" s="317"/>
      <c r="S316" s="317"/>
      <c r="T316" s="317"/>
      <c r="U316" s="295"/>
      <c r="V316" s="320"/>
    </row>
    <row r="317" spans="1:22">
      <c r="A317" s="317"/>
      <c r="O317" s="319"/>
      <c r="P317" s="317"/>
      <c r="Q317" s="319"/>
      <c r="R317" s="317"/>
      <c r="S317" s="317"/>
      <c r="T317" s="317"/>
      <c r="U317" s="295"/>
      <c r="V317" s="320"/>
    </row>
    <row r="318" spans="1:22">
      <c r="A318" s="317"/>
      <c r="O318" s="319"/>
      <c r="P318" s="317"/>
      <c r="Q318" s="319"/>
      <c r="R318" s="317"/>
      <c r="S318" s="317"/>
      <c r="T318" s="317"/>
      <c r="U318" s="295"/>
      <c r="V318" s="320"/>
    </row>
    <row r="319" spans="1:22">
      <c r="A319" s="317"/>
      <c r="O319" s="319"/>
      <c r="P319" s="317"/>
      <c r="Q319" s="319"/>
      <c r="R319" s="317"/>
      <c r="S319" s="317"/>
      <c r="T319" s="317"/>
      <c r="U319" s="295"/>
      <c r="V319" s="320"/>
    </row>
    <row r="320" spans="1:22">
      <c r="A320" s="317"/>
      <c r="O320" s="319"/>
      <c r="P320" s="317"/>
      <c r="Q320" s="319"/>
      <c r="R320" s="317"/>
      <c r="S320" s="317"/>
      <c r="T320" s="317"/>
      <c r="U320" s="295"/>
      <c r="V320" s="320"/>
    </row>
    <row r="321" spans="1:22">
      <c r="A321" s="317"/>
      <c r="O321" s="319"/>
      <c r="P321" s="317"/>
      <c r="Q321" s="319"/>
      <c r="R321" s="317"/>
      <c r="S321" s="317"/>
      <c r="T321" s="317"/>
      <c r="U321" s="295"/>
      <c r="V321" s="320"/>
    </row>
    <row r="322" spans="1:22">
      <c r="A322" s="317"/>
      <c r="O322" s="319"/>
      <c r="P322" s="317"/>
      <c r="Q322" s="319"/>
      <c r="R322" s="317"/>
      <c r="S322" s="317"/>
      <c r="T322" s="317"/>
      <c r="U322" s="295"/>
      <c r="V322" s="320"/>
    </row>
    <row r="323" spans="1:22">
      <c r="A323" s="317"/>
      <c r="O323" s="319"/>
      <c r="P323" s="317"/>
      <c r="Q323" s="319"/>
      <c r="R323" s="317"/>
      <c r="S323" s="317"/>
      <c r="T323" s="317"/>
      <c r="U323" s="295"/>
      <c r="V323" s="320"/>
    </row>
    <row r="324" spans="1:22">
      <c r="A324" s="317"/>
      <c r="O324" s="319"/>
      <c r="P324" s="317"/>
      <c r="Q324" s="319"/>
      <c r="R324" s="317"/>
      <c r="S324" s="317"/>
      <c r="T324" s="317"/>
      <c r="U324" s="295"/>
      <c r="V324" s="320"/>
    </row>
    <row r="325" spans="1:22">
      <c r="A325" s="317"/>
      <c r="O325" s="319"/>
      <c r="P325" s="317"/>
      <c r="Q325" s="319"/>
      <c r="R325" s="317"/>
      <c r="S325" s="317"/>
      <c r="T325" s="317"/>
      <c r="U325" s="295"/>
      <c r="V325" s="320"/>
    </row>
    <row r="326" spans="1:22">
      <c r="A326" s="317"/>
      <c r="O326" s="319"/>
      <c r="P326" s="317"/>
      <c r="Q326" s="319"/>
      <c r="R326" s="317"/>
      <c r="S326" s="317"/>
      <c r="T326" s="317"/>
      <c r="U326" s="295"/>
      <c r="V326" s="320"/>
    </row>
    <row r="327" spans="1:22">
      <c r="A327" s="317"/>
      <c r="O327" s="319"/>
      <c r="P327" s="317"/>
      <c r="Q327" s="319"/>
      <c r="R327" s="317"/>
      <c r="S327" s="317"/>
      <c r="T327" s="317"/>
      <c r="U327" s="295"/>
      <c r="V327" s="320"/>
    </row>
    <row r="328" spans="1:22">
      <c r="A328" s="317"/>
      <c r="O328" s="319"/>
      <c r="P328" s="317"/>
      <c r="Q328" s="319"/>
      <c r="R328" s="317"/>
      <c r="S328" s="317"/>
      <c r="T328" s="317"/>
      <c r="U328" s="295"/>
      <c r="V328" s="320"/>
    </row>
    <row r="329" spans="1:22">
      <c r="A329" s="317"/>
      <c r="O329" s="319"/>
      <c r="P329" s="317"/>
      <c r="Q329" s="319"/>
      <c r="R329" s="317"/>
      <c r="S329" s="317"/>
      <c r="T329" s="317"/>
      <c r="U329" s="295"/>
      <c r="V329" s="320"/>
    </row>
    <row r="330" spans="1:22">
      <c r="A330" s="317"/>
      <c r="O330" s="319"/>
      <c r="P330" s="317"/>
      <c r="Q330" s="319"/>
      <c r="R330" s="317"/>
      <c r="S330" s="317"/>
      <c r="T330" s="317"/>
      <c r="U330" s="295"/>
      <c r="V330" s="320"/>
    </row>
    <row r="331" spans="1:22">
      <c r="A331" s="317"/>
      <c r="O331" s="319"/>
      <c r="P331" s="317"/>
      <c r="Q331" s="319"/>
      <c r="R331" s="317"/>
      <c r="S331" s="317"/>
      <c r="T331" s="317"/>
      <c r="U331" s="295"/>
      <c r="V331" s="320"/>
    </row>
    <row r="332" spans="1:22">
      <c r="A332" s="317"/>
      <c r="O332" s="319"/>
      <c r="P332" s="317"/>
      <c r="Q332" s="319"/>
      <c r="R332" s="317"/>
      <c r="S332" s="317"/>
      <c r="T332" s="317"/>
      <c r="U332" s="295"/>
      <c r="V332" s="320"/>
    </row>
    <row r="333" spans="1:22">
      <c r="A333" s="317"/>
      <c r="O333" s="319"/>
      <c r="P333" s="317"/>
      <c r="Q333" s="319"/>
      <c r="R333" s="317"/>
      <c r="S333" s="317"/>
      <c r="T333" s="317"/>
      <c r="U333" s="295"/>
      <c r="V333" s="320"/>
    </row>
    <row r="334" spans="1:22">
      <c r="A334" s="317"/>
      <c r="O334" s="319"/>
      <c r="P334" s="317"/>
      <c r="Q334" s="319"/>
      <c r="R334" s="317"/>
      <c r="S334" s="317"/>
      <c r="T334" s="317"/>
      <c r="U334" s="295"/>
      <c r="V334" s="320"/>
    </row>
    <row r="335" spans="1:22">
      <c r="A335" s="317"/>
      <c r="O335" s="319"/>
      <c r="P335" s="317"/>
      <c r="Q335" s="319"/>
      <c r="R335" s="317"/>
      <c r="S335" s="317"/>
      <c r="T335" s="317"/>
      <c r="U335" s="295"/>
      <c r="V335" s="320"/>
    </row>
    <row r="336" spans="1:22">
      <c r="A336" s="317"/>
      <c r="O336" s="319"/>
      <c r="P336" s="317"/>
      <c r="Q336" s="319"/>
      <c r="R336" s="317"/>
      <c r="S336" s="317"/>
      <c r="T336" s="317"/>
      <c r="U336" s="295"/>
      <c r="V336" s="320"/>
    </row>
    <row r="337" spans="1:22">
      <c r="A337" s="317"/>
      <c r="O337" s="319"/>
      <c r="P337" s="317"/>
      <c r="Q337" s="319"/>
      <c r="R337" s="317"/>
      <c r="S337" s="317"/>
      <c r="T337" s="317"/>
      <c r="U337" s="295"/>
      <c r="V337" s="320"/>
    </row>
    <row r="338" spans="1:22">
      <c r="A338" s="317"/>
      <c r="O338" s="319"/>
      <c r="P338" s="317"/>
      <c r="Q338" s="319"/>
      <c r="R338" s="317"/>
      <c r="S338" s="317"/>
      <c r="T338" s="317"/>
      <c r="U338" s="295"/>
      <c r="V338" s="320"/>
    </row>
    <row r="339" spans="1:22">
      <c r="A339" s="317"/>
      <c r="O339" s="319"/>
      <c r="P339" s="317"/>
      <c r="Q339" s="319"/>
      <c r="R339" s="317"/>
      <c r="S339" s="317"/>
      <c r="T339" s="317"/>
      <c r="U339" s="295"/>
      <c r="V339" s="320"/>
    </row>
    <row r="340" spans="1:22">
      <c r="A340" s="317"/>
      <c r="O340" s="319"/>
      <c r="P340" s="317"/>
      <c r="Q340" s="319"/>
      <c r="R340" s="317"/>
      <c r="S340" s="317"/>
      <c r="T340" s="317"/>
      <c r="U340" s="295"/>
      <c r="V340" s="320"/>
    </row>
    <row r="341" spans="1:22">
      <c r="A341" s="317"/>
      <c r="O341" s="319"/>
      <c r="P341" s="317"/>
      <c r="Q341" s="319"/>
      <c r="R341" s="317"/>
      <c r="S341" s="317"/>
      <c r="T341" s="317"/>
      <c r="U341" s="295"/>
      <c r="V341" s="320"/>
    </row>
    <row r="342" spans="1:22">
      <c r="A342" s="317"/>
      <c r="O342" s="319"/>
      <c r="P342" s="317"/>
      <c r="Q342" s="319"/>
      <c r="R342" s="317"/>
      <c r="S342" s="317"/>
      <c r="T342" s="317"/>
      <c r="U342" s="295"/>
      <c r="V342" s="320"/>
    </row>
    <row r="343" spans="1:22">
      <c r="A343" s="317"/>
      <c r="O343" s="319"/>
      <c r="P343" s="317"/>
      <c r="Q343" s="319"/>
      <c r="R343" s="317"/>
      <c r="S343" s="317"/>
      <c r="T343" s="317"/>
      <c r="U343" s="295"/>
      <c r="V343" s="320"/>
    </row>
    <row r="344" spans="1:22">
      <c r="A344" s="317"/>
      <c r="O344" s="319"/>
      <c r="P344" s="317"/>
      <c r="Q344" s="319"/>
      <c r="R344" s="317"/>
      <c r="S344" s="317"/>
      <c r="T344" s="317"/>
      <c r="U344" s="295"/>
      <c r="V344" s="320"/>
    </row>
    <row r="345" spans="1:22">
      <c r="A345" s="317"/>
      <c r="O345" s="319"/>
      <c r="P345" s="317"/>
      <c r="Q345" s="319"/>
      <c r="R345" s="317"/>
      <c r="S345" s="317"/>
      <c r="T345" s="317"/>
      <c r="U345" s="295"/>
      <c r="V345" s="320"/>
    </row>
    <row r="346" spans="1:22">
      <c r="A346" s="317"/>
      <c r="O346" s="319"/>
      <c r="P346" s="317"/>
      <c r="Q346" s="319"/>
      <c r="R346" s="317"/>
      <c r="S346" s="317"/>
      <c r="T346" s="317"/>
      <c r="U346" s="295"/>
      <c r="V346" s="320"/>
    </row>
    <row r="347" spans="1:22">
      <c r="A347" s="317"/>
      <c r="O347" s="319"/>
      <c r="P347" s="317"/>
      <c r="Q347" s="319"/>
      <c r="R347" s="317"/>
      <c r="S347" s="317"/>
      <c r="T347" s="317"/>
      <c r="U347" s="295"/>
      <c r="V347" s="320"/>
    </row>
    <row r="348" spans="1:22">
      <c r="A348" s="317"/>
      <c r="O348" s="319"/>
      <c r="P348" s="317"/>
      <c r="Q348" s="319"/>
      <c r="R348" s="317"/>
      <c r="S348" s="317"/>
      <c r="T348" s="317"/>
      <c r="U348" s="295"/>
      <c r="V348" s="320"/>
    </row>
    <row r="349" spans="1:22">
      <c r="A349" s="317"/>
      <c r="O349" s="319"/>
      <c r="P349" s="317"/>
      <c r="Q349" s="319"/>
      <c r="R349" s="317"/>
      <c r="S349" s="317"/>
      <c r="T349" s="317"/>
      <c r="U349" s="295"/>
      <c r="V349" s="320"/>
    </row>
    <row r="350" spans="1:22">
      <c r="A350" s="317"/>
      <c r="O350" s="319"/>
      <c r="P350" s="317"/>
      <c r="Q350" s="319"/>
      <c r="R350" s="317"/>
      <c r="S350" s="317"/>
      <c r="T350" s="317"/>
      <c r="U350" s="295"/>
      <c r="V350" s="320"/>
    </row>
    <row r="351" spans="1:22">
      <c r="A351" s="317"/>
      <c r="O351" s="319"/>
      <c r="P351" s="317"/>
      <c r="Q351" s="319"/>
      <c r="R351" s="317"/>
      <c r="S351" s="317"/>
      <c r="T351" s="317"/>
      <c r="U351" s="295"/>
      <c r="V351" s="320"/>
    </row>
    <row r="352" spans="1:22">
      <c r="A352" s="317"/>
      <c r="O352" s="319"/>
      <c r="P352" s="317"/>
      <c r="Q352" s="319"/>
      <c r="R352" s="317"/>
      <c r="S352" s="317"/>
      <c r="T352" s="317"/>
      <c r="U352" s="295"/>
      <c r="V352" s="320"/>
    </row>
    <row r="353" spans="1:22">
      <c r="A353" s="317"/>
      <c r="O353" s="319"/>
      <c r="P353" s="317"/>
      <c r="Q353" s="319"/>
      <c r="R353" s="317"/>
      <c r="S353" s="317"/>
      <c r="T353" s="317"/>
      <c r="U353" s="295"/>
      <c r="V353" s="320"/>
    </row>
    <row r="354" spans="1:22">
      <c r="A354" s="317"/>
      <c r="O354" s="319"/>
      <c r="P354" s="317"/>
      <c r="Q354" s="319"/>
      <c r="R354" s="317"/>
      <c r="S354" s="317"/>
      <c r="T354" s="317"/>
      <c r="U354" s="295"/>
      <c r="V354" s="320"/>
    </row>
    <row r="355" spans="1:22">
      <c r="A355" s="317"/>
      <c r="O355" s="319"/>
      <c r="P355" s="317"/>
      <c r="Q355" s="319"/>
      <c r="R355" s="317"/>
      <c r="S355" s="317"/>
      <c r="T355" s="317"/>
      <c r="U355" s="295"/>
      <c r="V355" s="320"/>
    </row>
    <row r="356" spans="1:22">
      <c r="A356" s="317"/>
      <c r="O356" s="319"/>
      <c r="P356" s="317"/>
      <c r="Q356" s="319"/>
      <c r="R356" s="317"/>
      <c r="S356" s="317"/>
      <c r="T356" s="317"/>
      <c r="U356" s="295"/>
      <c r="V356" s="320"/>
    </row>
    <row r="357" spans="1:22">
      <c r="A357" s="317"/>
      <c r="O357" s="319"/>
      <c r="P357" s="317"/>
      <c r="Q357" s="319"/>
      <c r="R357" s="317"/>
      <c r="S357" s="317"/>
      <c r="T357" s="317"/>
      <c r="U357" s="295"/>
      <c r="V357" s="320"/>
    </row>
    <row r="358" spans="1:22">
      <c r="A358" s="317"/>
      <c r="O358" s="319"/>
      <c r="P358" s="317"/>
      <c r="Q358" s="319"/>
      <c r="R358" s="317"/>
      <c r="S358" s="317"/>
      <c r="T358" s="317"/>
      <c r="U358" s="295"/>
      <c r="V358" s="320"/>
    </row>
    <row r="359" spans="1:22">
      <c r="A359" s="317"/>
      <c r="O359" s="319"/>
      <c r="P359" s="317"/>
      <c r="Q359" s="319"/>
      <c r="R359" s="317"/>
      <c r="S359" s="317"/>
      <c r="T359" s="317"/>
      <c r="U359" s="295"/>
      <c r="V359" s="320"/>
    </row>
    <row r="360" spans="1:22">
      <c r="A360" s="317"/>
      <c r="O360" s="319"/>
      <c r="P360" s="317"/>
      <c r="Q360" s="319"/>
      <c r="R360" s="317"/>
      <c r="S360" s="317"/>
      <c r="T360" s="317"/>
      <c r="U360" s="295"/>
      <c r="V360" s="320"/>
    </row>
    <row r="361" spans="1:22">
      <c r="A361" s="317"/>
      <c r="O361" s="319"/>
      <c r="P361" s="317"/>
      <c r="Q361" s="319"/>
      <c r="R361" s="317"/>
      <c r="S361" s="317"/>
      <c r="T361" s="317"/>
      <c r="U361" s="295"/>
      <c r="V361" s="320"/>
    </row>
    <row r="362" spans="1:22">
      <c r="A362" s="317"/>
      <c r="O362" s="319"/>
      <c r="P362" s="317"/>
      <c r="Q362" s="319"/>
      <c r="R362" s="317"/>
      <c r="S362" s="317"/>
      <c r="T362" s="317"/>
      <c r="U362" s="295"/>
      <c r="V362" s="320"/>
    </row>
    <row r="363" spans="1:22">
      <c r="A363" s="317"/>
      <c r="O363" s="319"/>
      <c r="P363" s="317"/>
      <c r="Q363" s="319"/>
      <c r="R363" s="317"/>
      <c r="S363" s="317"/>
      <c r="T363" s="317"/>
      <c r="U363" s="295"/>
      <c r="V363" s="320"/>
    </row>
    <row r="364" spans="1:22">
      <c r="A364" s="317"/>
      <c r="O364" s="319"/>
      <c r="P364" s="317"/>
      <c r="Q364" s="319"/>
      <c r="R364" s="317"/>
      <c r="S364" s="317"/>
      <c r="T364" s="317"/>
      <c r="U364" s="295"/>
      <c r="V364" s="320"/>
    </row>
    <row r="365" spans="1:22">
      <c r="A365" s="317"/>
      <c r="O365" s="319"/>
      <c r="P365" s="317"/>
      <c r="Q365" s="319"/>
      <c r="R365" s="317"/>
      <c r="S365" s="317"/>
      <c r="T365" s="317"/>
      <c r="U365" s="295"/>
      <c r="V365" s="320"/>
    </row>
    <row r="366" spans="1:22">
      <c r="A366" s="317"/>
      <c r="O366" s="319"/>
      <c r="P366" s="317"/>
      <c r="Q366" s="319"/>
      <c r="R366" s="317"/>
      <c r="S366" s="317"/>
      <c r="T366" s="317"/>
      <c r="U366" s="295"/>
      <c r="V366" s="320"/>
    </row>
    <row r="367" spans="1:22">
      <c r="A367" s="317"/>
      <c r="O367" s="319"/>
      <c r="P367" s="317"/>
      <c r="Q367" s="319"/>
      <c r="R367" s="317"/>
      <c r="S367" s="317"/>
      <c r="T367" s="317"/>
      <c r="U367" s="295"/>
      <c r="V367" s="320"/>
    </row>
    <row r="368" spans="1:22">
      <c r="A368" s="317"/>
      <c r="O368" s="319"/>
      <c r="P368" s="317"/>
      <c r="Q368" s="319"/>
      <c r="R368" s="317"/>
      <c r="S368" s="317"/>
      <c r="T368" s="317"/>
      <c r="U368" s="295"/>
      <c r="V368" s="320"/>
    </row>
    <row r="369" spans="1:22">
      <c r="A369" s="317"/>
      <c r="O369" s="319"/>
      <c r="P369" s="317"/>
      <c r="Q369" s="319"/>
      <c r="R369" s="317"/>
      <c r="S369" s="317"/>
      <c r="T369" s="317"/>
      <c r="U369" s="295"/>
      <c r="V369" s="320"/>
    </row>
    <row r="370" spans="1:22">
      <c r="A370" s="317"/>
      <c r="O370" s="319"/>
      <c r="P370" s="317"/>
      <c r="Q370" s="319"/>
      <c r="R370" s="317"/>
      <c r="S370" s="317"/>
      <c r="T370" s="317"/>
      <c r="U370" s="295"/>
      <c r="V370" s="320"/>
    </row>
    <row r="371" spans="1:22">
      <c r="A371" s="317"/>
      <c r="O371" s="319"/>
      <c r="P371" s="317"/>
      <c r="Q371" s="319"/>
      <c r="R371" s="317"/>
      <c r="S371" s="317"/>
      <c r="T371" s="317"/>
      <c r="U371" s="295"/>
      <c r="V371" s="320"/>
    </row>
    <row r="372" spans="1:22">
      <c r="A372" s="317"/>
      <c r="O372" s="319"/>
      <c r="P372" s="317"/>
      <c r="Q372" s="319"/>
      <c r="R372" s="317"/>
      <c r="S372" s="317"/>
      <c r="T372" s="317"/>
      <c r="U372" s="295"/>
      <c r="V372" s="320"/>
    </row>
    <row r="373" spans="1:22">
      <c r="A373" s="317"/>
      <c r="O373" s="319"/>
      <c r="P373" s="317"/>
      <c r="Q373" s="319"/>
      <c r="R373" s="317"/>
      <c r="S373" s="317"/>
      <c r="T373" s="317"/>
      <c r="U373" s="295"/>
      <c r="V373" s="320"/>
    </row>
    <row r="374" spans="1:22">
      <c r="A374" s="317"/>
      <c r="O374" s="319"/>
      <c r="P374" s="317"/>
      <c r="Q374" s="319"/>
      <c r="R374" s="317"/>
      <c r="S374" s="317"/>
      <c r="T374" s="317"/>
      <c r="U374" s="295"/>
      <c r="V374" s="320"/>
    </row>
    <row r="375" spans="1:22">
      <c r="A375" s="317"/>
      <c r="O375" s="319"/>
      <c r="P375" s="317"/>
      <c r="Q375" s="319"/>
      <c r="R375" s="317"/>
      <c r="S375" s="317"/>
      <c r="T375" s="317"/>
      <c r="U375" s="295"/>
      <c r="V375" s="320"/>
    </row>
    <row r="376" spans="1:22">
      <c r="A376" s="317"/>
      <c r="O376" s="319"/>
      <c r="P376" s="317"/>
      <c r="Q376" s="319"/>
      <c r="R376" s="317"/>
      <c r="S376" s="317"/>
      <c r="T376" s="317"/>
      <c r="U376" s="295"/>
      <c r="V376" s="320"/>
    </row>
    <row r="377" spans="1:22">
      <c r="A377" s="317"/>
      <c r="O377" s="319"/>
      <c r="P377" s="317"/>
      <c r="Q377" s="319"/>
      <c r="R377" s="317"/>
      <c r="S377" s="317"/>
      <c r="T377" s="317"/>
      <c r="U377" s="295"/>
      <c r="V377" s="320"/>
    </row>
    <row r="378" spans="1:22">
      <c r="A378" s="317"/>
      <c r="O378" s="319"/>
      <c r="P378" s="317"/>
      <c r="Q378" s="319"/>
      <c r="R378" s="317"/>
      <c r="S378" s="317"/>
      <c r="T378" s="317"/>
      <c r="U378" s="295"/>
      <c r="V378" s="320"/>
    </row>
    <row r="379" spans="1:22">
      <c r="A379" s="317"/>
      <c r="O379" s="319"/>
      <c r="P379" s="317"/>
      <c r="Q379" s="319"/>
      <c r="R379" s="317"/>
      <c r="S379" s="317"/>
      <c r="T379" s="317"/>
      <c r="U379" s="295"/>
      <c r="V379" s="320"/>
    </row>
    <row r="380" spans="1:22">
      <c r="A380" s="317"/>
      <c r="O380" s="319"/>
      <c r="P380" s="317"/>
      <c r="Q380" s="319"/>
      <c r="R380" s="317"/>
      <c r="S380" s="317"/>
      <c r="T380" s="317"/>
      <c r="U380" s="295"/>
      <c r="V380" s="320"/>
    </row>
    <row r="381" spans="1:22">
      <c r="A381" s="317"/>
      <c r="O381" s="319"/>
      <c r="P381" s="317"/>
      <c r="Q381" s="319"/>
      <c r="R381" s="317"/>
      <c r="S381" s="317"/>
      <c r="T381" s="317"/>
      <c r="U381" s="295"/>
      <c r="V381" s="320"/>
    </row>
    <row r="382" spans="1:22">
      <c r="A382" s="317"/>
      <c r="O382" s="319"/>
      <c r="P382" s="317"/>
      <c r="Q382" s="319"/>
      <c r="R382" s="317"/>
      <c r="S382" s="317"/>
      <c r="T382" s="317"/>
      <c r="U382" s="295"/>
      <c r="V382" s="320"/>
    </row>
    <row r="383" spans="1:22">
      <c r="A383" s="317"/>
      <c r="O383" s="319"/>
      <c r="P383" s="317"/>
      <c r="Q383" s="319"/>
      <c r="R383" s="317"/>
      <c r="S383" s="317"/>
      <c r="T383" s="317"/>
      <c r="U383" s="295"/>
      <c r="V383" s="320"/>
    </row>
    <row r="384" spans="1:22">
      <c r="A384" s="317"/>
      <c r="O384" s="319"/>
      <c r="P384" s="317"/>
      <c r="Q384" s="319"/>
      <c r="R384" s="317"/>
      <c r="S384" s="317"/>
      <c r="T384" s="317"/>
      <c r="U384" s="295"/>
      <c r="V384" s="320"/>
    </row>
    <row r="385" spans="1:22">
      <c r="A385" s="317"/>
      <c r="O385" s="319"/>
      <c r="P385" s="317"/>
      <c r="Q385" s="319"/>
      <c r="R385" s="317"/>
      <c r="S385" s="317"/>
      <c r="T385" s="317"/>
      <c r="U385" s="295"/>
      <c r="V385" s="320"/>
    </row>
    <row r="386" spans="1:22">
      <c r="A386" s="317"/>
      <c r="O386" s="319"/>
      <c r="P386" s="317"/>
      <c r="Q386" s="319"/>
      <c r="R386" s="317"/>
      <c r="S386" s="317"/>
      <c r="T386" s="317"/>
      <c r="U386" s="295"/>
      <c r="V386" s="320"/>
    </row>
    <row r="387" spans="1:22">
      <c r="A387" s="317"/>
      <c r="O387" s="319"/>
      <c r="P387" s="317"/>
      <c r="Q387" s="319"/>
      <c r="R387" s="317"/>
      <c r="S387" s="317"/>
      <c r="T387" s="317"/>
      <c r="U387" s="295"/>
      <c r="V387" s="320"/>
    </row>
    <row r="388" spans="1:22">
      <c r="A388" s="317"/>
      <c r="O388" s="319"/>
      <c r="P388" s="317"/>
      <c r="Q388" s="319"/>
      <c r="R388" s="317"/>
      <c r="S388" s="317"/>
      <c r="T388" s="317"/>
      <c r="U388" s="295"/>
      <c r="V388" s="320"/>
    </row>
    <row r="389" spans="1:22">
      <c r="A389" s="317"/>
      <c r="O389" s="319"/>
      <c r="P389" s="317"/>
      <c r="Q389" s="319"/>
      <c r="R389" s="317"/>
      <c r="S389" s="317"/>
      <c r="T389" s="317"/>
      <c r="U389" s="295"/>
      <c r="V389" s="320"/>
    </row>
    <row r="390" spans="1:22">
      <c r="A390" s="317"/>
      <c r="O390" s="319"/>
      <c r="P390" s="317"/>
      <c r="Q390" s="319"/>
      <c r="R390" s="317"/>
      <c r="S390" s="317"/>
      <c r="T390" s="317"/>
      <c r="U390" s="295"/>
      <c r="V390" s="320"/>
    </row>
    <row r="391" spans="1:22">
      <c r="A391" s="317"/>
      <c r="O391" s="319"/>
      <c r="P391" s="317"/>
      <c r="Q391" s="319"/>
      <c r="R391" s="317"/>
      <c r="S391" s="317"/>
      <c r="T391" s="317"/>
      <c r="U391" s="295"/>
      <c r="V391" s="320"/>
    </row>
    <row r="392" spans="1:22">
      <c r="A392" s="317"/>
      <c r="O392" s="319"/>
      <c r="P392" s="317"/>
      <c r="Q392" s="319"/>
      <c r="R392" s="317"/>
      <c r="S392" s="317"/>
      <c r="T392" s="317"/>
      <c r="U392" s="295"/>
      <c r="V392" s="320"/>
    </row>
    <row r="393" spans="1:22">
      <c r="A393" s="317"/>
      <c r="O393" s="319"/>
      <c r="P393" s="317"/>
      <c r="Q393" s="319"/>
      <c r="R393" s="317"/>
      <c r="S393" s="317"/>
      <c r="T393" s="317"/>
      <c r="U393" s="295"/>
      <c r="V393" s="320"/>
    </row>
    <row r="394" spans="1:22">
      <c r="A394" s="317"/>
      <c r="O394" s="319"/>
      <c r="P394" s="317"/>
      <c r="Q394" s="319"/>
      <c r="R394" s="317"/>
      <c r="S394" s="317"/>
      <c r="T394" s="317"/>
      <c r="U394" s="295"/>
      <c r="V394" s="320"/>
    </row>
    <row r="395" spans="1:22">
      <c r="A395" s="317"/>
      <c r="O395" s="319"/>
      <c r="P395" s="317"/>
      <c r="Q395" s="319"/>
      <c r="R395" s="317"/>
      <c r="S395" s="317"/>
      <c r="T395" s="317"/>
      <c r="U395" s="295"/>
      <c r="V395" s="320"/>
    </row>
    <row r="396" spans="1:22">
      <c r="A396" s="317"/>
      <c r="O396" s="319"/>
      <c r="P396" s="317"/>
      <c r="Q396" s="319"/>
      <c r="R396" s="317"/>
      <c r="S396" s="317"/>
      <c r="T396" s="317"/>
      <c r="U396" s="295"/>
      <c r="V396" s="320"/>
    </row>
    <row r="397" spans="1:22">
      <c r="A397" s="317"/>
      <c r="O397" s="319"/>
      <c r="P397" s="317"/>
      <c r="Q397" s="319"/>
      <c r="R397" s="317"/>
      <c r="S397" s="317"/>
      <c r="T397" s="317"/>
      <c r="U397" s="295"/>
      <c r="V397" s="320"/>
    </row>
    <row r="398" spans="1:22">
      <c r="A398" s="317"/>
      <c r="O398" s="319"/>
      <c r="P398" s="317"/>
      <c r="Q398" s="319"/>
      <c r="R398" s="317"/>
      <c r="S398" s="317"/>
      <c r="T398" s="317"/>
      <c r="U398" s="295"/>
      <c r="V398" s="320"/>
    </row>
    <row r="399" spans="1:22">
      <c r="A399" s="317"/>
      <c r="O399" s="319"/>
      <c r="P399" s="317"/>
      <c r="Q399" s="319"/>
      <c r="R399" s="317"/>
      <c r="S399" s="317"/>
      <c r="T399" s="317"/>
      <c r="U399" s="295"/>
      <c r="V399" s="320"/>
    </row>
    <row r="400" spans="1:22">
      <c r="A400" s="317"/>
      <c r="O400" s="319"/>
      <c r="P400" s="317"/>
      <c r="Q400" s="319"/>
      <c r="R400" s="317"/>
      <c r="S400" s="317"/>
      <c r="T400" s="317"/>
      <c r="U400" s="295"/>
      <c r="V400" s="320"/>
    </row>
    <row r="401" spans="1:22">
      <c r="A401" s="317"/>
      <c r="O401" s="319"/>
      <c r="P401" s="317"/>
      <c r="Q401" s="319"/>
      <c r="R401" s="317"/>
      <c r="S401" s="317"/>
      <c r="T401" s="317"/>
      <c r="U401" s="295"/>
      <c r="V401" s="320"/>
    </row>
    <row r="402" spans="1:22">
      <c r="A402" s="317"/>
      <c r="O402" s="319"/>
      <c r="P402" s="317"/>
      <c r="Q402" s="319"/>
      <c r="R402" s="317"/>
      <c r="S402" s="317"/>
      <c r="T402" s="317"/>
      <c r="U402" s="295"/>
      <c r="V402" s="320"/>
    </row>
    <row r="403" spans="1:22">
      <c r="A403" s="317"/>
      <c r="O403" s="319"/>
      <c r="P403" s="317"/>
      <c r="Q403" s="319"/>
      <c r="R403" s="317"/>
      <c r="S403" s="317"/>
      <c r="T403" s="317"/>
      <c r="U403" s="295"/>
      <c r="V403" s="320"/>
    </row>
    <row r="404" spans="1:22">
      <c r="A404" s="317"/>
      <c r="O404" s="319"/>
      <c r="P404" s="317"/>
      <c r="Q404" s="319"/>
      <c r="R404" s="317"/>
      <c r="S404" s="317"/>
      <c r="T404" s="317"/>
      <c r="U404" s="295"/>
      <c r="V404" s="320"/>
    </row>
    <row r="405" spans="1:22">
      <c r="A405" s="317"/>
      <c r="O405" s="319"/>
      <c r="P405" s="317"/>
      <c r="Q405" s="319"/>
      <c r="R405" s="317"/>
      <c r="S405" s="317"/>
      <c r="T405" s="317"/>
      <c r="U405" s="295"/>
      <c r="V405" s="320"/>
    </row>
    <row r="406" spans="1:22">
      <c r="A406" s="317"/>
      <c r="O406" s="319"/>
      <c r="P406" s="317"/>
      <c r="Q406" s="319"/>
      <c r="R406" s="317"/>
      <c r="S406" s="317"/>
      <c r="T406" s="317"/>
      <c r="U406" s="295"/>
      <c r="V406" s="320"/>
    </row>
    <row r="407" spans="1:22">
      <c r="A407" s="317"/>
      <c r="O407" s="319"/>
      <c r="P407" s="317"/>
      <c r="Q407" s="319"/>
      <c r="R407" s="317"/>
      <c r="S407" s="317"/>
      <c r="T407" s="317"/>
      <c r="U407" s="295"/>
      <c r="V407" s="320"/>
    </row>
    <row r="408" spans="1:22">
      <c r="A408" s="317"/>
      <c r="O408" s="319"/>
      <c r="P408" s="317"/>
      <c r="Q408" s="319"/>
      <c r="R408" s="317"/>
      <c r="S408" s="317"/>
      <c r="T408" s="317"/>
      <c r="U408" s="295"/>
      <c r="V408" s="320"/>
    </row>
    <row r="409" spans="1:22">
      <c r="A409" s="317"/>
      <c r="O409" s="319"/>
      <c r="P409" s="317"/>
      <c r="Q409" s="319"/>
      <c r="R409" s="317"/>
      <c r="S409" s="317"/>
      <c r="T409" s="317"/>
      <c r="U409" s="295"/>
      <c r="V409" s="320"/>
    </row>
    <row r="410" spans="1:22">
      <c r="A410" s="317"/>
      <c r="O410" s="319"/>
      <c r="P410" s="317"/>
      <c r="Q410" s="319"/>
      <c r="R410" s="317"/>
      <c r="S410" s="317"/>
      <c r="T410" s="317"/>
      <c r="U410" s="295"/>
      <c r="V410" s="320"/>
    </row>
    <row r="411" spans="1:22">
      <c r="A411" s="317"/>
      <c r="O411" s="319"/>
      <c r="P411" s="317"/>
      <c r="Q411" s="319"/>
      <c r="R411" s="317"/>
      <c r="S411" s="317"/>
      <c r="T411" s="317"/>
      <c r="U411" s="295"/>
      <c r="V411" s="320"/>
    </row>
    <row r="412" spans="1:22">
      <c r="A412" s="317"/>
      <c r="O412" s="319"/>
      <c r="P412" s="317"/>
      <c r="Q412" s="319"/>
      <c r="R412" s="317"/>
      <c r="S412" s="317"/>
      <c r="T412" s="317"/>
      <c r="U412" s="295"/>
      <c r="V412" s="320"/>
    </row>
    <row r="413" spans="1:22">
      <c r="A413" s="317"/>
      <c r="O413" s="319"/>
      <c r="P413" s="317"/>
      <c r="Q413" s="319"/>
      <c r="R413" s="317"/>
      <c r="S413" s="317"/>
      <c r="T413" s="317"/>
      <c r="U413" s="295"/>
      <c r="V413" s="320"/>
    </row>
    <row r="414" spans="1:22">
      <c r="A414" s="317"/>
      <c r="O414" s="319"/>
      <c r="P414" s="317"/>
      <c r="Q414" s="319"/>
      <c r="R414" s="317"/>
      <c r="S414" s="317"/>
      <c r="T414" s="317"/>
      <c r="U414" s="295"/>
      <c r="V414" s="320"/>
    </row>
    <row r="415" spans="1:22">
      <c r="A415" s="317"/>
      <c r="O415" s="319"/>
      <c r="P415" s="317"/>
      <c r="Q415" s="319"/>
      <c r="R415" s="317"/>
      <c r="S415" s="317"/>
      <c r="T415" s="317"/>
      <c r="U415" s="295"/>
      <c r="V415" s="320"/>
    </row>
    <row r="416" spans="1:22">
      <c r="A416" s="317"/>
      <c r="O416" s="319"/>
      <c r="P416" s="317"/>
      <c r="Q416" s="319"/>
      <c r="R416" s="317"/>
      <c r="S416" s="317"/>
      <c r="T416" s="317"/>
      <c r="U416" s="295"/>
      <c r="V416" s="320"/>
    </row>
    <row r="417" spans="1:22">
      <c r="A417" s="317"/>
      <c r="O417" s="319"/>
      <c r="P417" s="317"/>
      <c r="Q417" s="319"/>
      <c r="R417" s="317"/>
      <c r="S417" s="317"/>
      <c r="T417" s="317"/>
      <c r="U417" s="295"/>
      <c r="V417" s="320"/>
    </row>
    <row r="418" spans="1:22">
      <c r="A418" s="317"/>
      <c r="O418" s="319"/>
      <c r="P418" s="317"/>
      <c r="Q418" s="319"/>
      <c r="R418" s="317"/>
      <c r="S418" s="317"/>
      <c r="T418" s="317"/>
      <c r="U418" s="295"/>
      <c r="V418" s="320"/>
    </row>
    <row r="419" spans="1:22">
      <c r="A419" s="317"/>
      <c r="O419" s="319"/>
      <c r="P419" s="317"/>
      <c r="Q419" s="319"/>
      <c r="R419" s="317"/>
      <c r="S419" s="317"/>
      <c r="T419" s="317"/>
      <c r="U419" s="295"/>
      <c r="V419" s="320"/>
    </row>
    <row r="420" spans="1:22">
      <c r="A420" s="317"/>
      <c r="O420" s="319"/>
      <c r="P420" s="317"/>
      <c r="Q420" s="319"/>
      <c r="R420" s="317"/>
      <c r="S420" s="317"/>
      <c r="T420" s="317"/>
      <c r="U420" s="295"/>
      <c r="V420" s="320"/>
    </row>
    <row r="421" spans="1:22">
      <c r="A421" s="317"/>
      <c r="O421" s="319"/>
      <c r="P421" s="317"/>
      <c r="Q421" s="319"/>
      <c r="R421" s="317"/>
      <c r="S421" s="317"/>
      <c r="T421" s="317"/>
      <c r="U421" s="295"/>
      <c r="V421" s="320"/>
    </row>
    <row r="422" spans="1:22">
      <c r="A422" s="317"/>
      <c r="O422" s="319"/>
      <c r="P422" s="317"/>
      <c r="Q422" s="319"/>
      <c r="R422" s="317"/>
      <c r="S422" s="317"/>
      <c r="T422" s="317"/>
      <c r="U422" s="295"/>
      <c r="V422" s="320"/>
    </row>
    <row r="423" spans="1:22">
      <c r="A423" s="317"/>
      <c r="O423" s="319"/>
      <c r="P423" s="317"/>
      <c r="Q423" s="319"/>
      <c r="R423" s="317"/>
      <c r="S423" s="317"/>
      <c r="T423" s="317"/>
      <c r="U423" s="295"/>
      <c r="V423" s="320"/>
    </row>
    <row r="424" spans="1:22">
      <c r="A424" s="317"/>
      <c r="O424" s="319"/>
      <c r="P424" s="317"/>
      <c r="Q424" s="319"/>
      <c r="R424" s="317"/>
      <c r="S424" s="317"/>
      <c r="T424" s="317"/>
      <c r="U424" s="295"/>
      <c r="V424" s="320"/>
    </row>
    <row r="425" spans="1:22">
      <c r="A425" s="317"/>
      <c r="O425" s="319"/>
      <c r="P425" s="317"/>
      <c r="Q425" s="319"/>
      <c r="R425" s="317"/>
      <c r="S425" s="317"/>
      <c r="T425" s="317"/>
      <c r="U425" s="295"/>
      <c r="V425" s="320"/>
    </row>
    <row r="426" spans="1:22">
      <c r="A426" s="317"/>
      <c r="O426" s="319"/>
      <c r="P426" s="317"/>
      <c r="Q426" s="319"/>
      <c r="R426" s="317"/>
      <c r="S426" s="317"/>
      <c r="T426" s="317"/>
      <c r="U426" s="295"/>
      <c r="V426" s="320"/>
    </row>
    <row r="427" spans="1:22">
      <c r="A427" s="317"/>
      <c r="O427" s="319"/>
      <c r="P427" s="317"/>
      <c r="Q427" s="319"/>
      <c r="R427" s="317"/>
      <c r="S427" s="317"/>
      <c r="T427" s="317"/>
      <c r="U427" s="295"/>
      <c r="V427" s="320"/>
    </row>
    <row r="428" spans="1:22">
      <c r="A428" s="317"/>
      <c r="O428" s="319"/>
      <c r="P428" s="317"/>
      <c r="Q428" s="319"/>
      <c r="R428" s="317"/>
      <c r="S428" s="317"/>
      <c r="T428" s="317"/>
      <c r="U428" s="295"/>
      <c r="V428" s="320"/>
    </row>
    <row r="429" spans="1:22">
      <c r="A429" s="317"/>
      <c r="O429" s="319"/>
      <c r="P429" s="317"/>
      <c r="Q429" s="319"/>
      <c r="R429" s="317"/>
      <c r="S429" s="317"/>
      <c r="T429" s="317"/>
      <c r="U429" s="295"/>
      <c r="V429" s="320"/>
    </row>
    <row r="430" spans="1:22">
      <c r="A430" s="317"/>
      <c r="O430" s="319"/>
      <c r="P430" s="317"/>
      <c r="Q430" s="319"/>
      <c r="R430" s="317"/>
      <c r="S430" s="317"/>
      <c r="T430" s="317"/>
      <c r="U430" s="295"/>
      <c r="V430" s="320"/>
    </row>
    <row r="431" spans="1:22">
      <c r="A431" s="317"/>
      <c r="O431" s="319"/>
      <c r="P431" s="317"/>
      <c r="Q431" s="319"/>
      <c r="R431" s="317"/>
      <c r="S431" s="317"/>
      <c r="T431" s="317"/>
      <c r="U431" s="295"/>
      <c r="V431" s="320"/>
    </row>
    <row r="432" spans="1:22">
      <c r="A432" s="317"/>
      <c r="O432" s="319"/>
      <c r="P432" s="317"/>
      <c r="Q432" s="319"/>
      <c r="R432" s="317"/>
      <c r="S432" s="317"/>
      <c r="T432" s="317"/>
      <c r="U432" s="295"/>
      <c r="V432" s="320"/>
    </row>
    <row r="433" spans="1:22">
      <c r="A433" s="317"/>
      <c r="O433" s="319"/>
      <c r="P433" s="317"/>
      <c r="Q433" s="319"/>
      <c r="R433" s="317"/>
      <c r="S433" s="317"/>
      <c r="T433" s="317"/>
      <c r="U433" s="295"/>
      <c r="V433" s="320"/>
    </row>
    <row r="434" spans="1:22">
      <c r="A434" s="317"/>
      <c r="O434" s="319"/>
      <c r="P434" s="317"/>
      <c r="Q434" s="319"/>
      <c r="R434" s="317"/>
      <c r="S434" s="317"/>
      <c r="T434" s="317"/>
      <c r="U434" s="295"/>
      <c r="V434" s="320"/>
    </row>
    <row r="435" spans="1:22">
      <c r="A435" s="317"/>
      <c r="O435" s="319"/>
      <c r="P435" s="317"/>
      <c r="Q435" s="319"/>
      <c r="R435" s="317"/>
      <c r="S435" s="317"/>
      <c r="T435" s="317"/>
      <c r="U435" s="295"/>
      <c r="V435" s="320"/>
    </row>
    <row r="436" spans="1:22">
      <c r="A436" s="317"/>
      <c r="O436" s="319"/>
      <c r="P436" s="317"/>
      <c r="Q436" s="319"/>
      <c r="R436" s="317"/>
      <c r="S436" s="317"/>
      <c r="T436" s="317"/>
      <c r="U436" s="295"/>
      <c r="V436" s="320"/>
    </row>
    <row r="437" spans="1:22">
      <c r="A437" s="317"/>
      <c r="O437" s="319"/>
      <c r="P437" s="317"/>
      <c r="Q437" s="319"/>
      <c r="R437" s="317"/>
      <c r="S437" s="317"/>
      <c r="T437" s="317"/>
      <c r="U437" s="295"/>
      <c r="V437" s="320"/>
    </row>
    <row r="438" spans="1:22">
      <c r="A438" s="317"/>
      <c r="O438" s="319"/>
      <c r="P438" s="317"/>
      <c r="Q438" s="319"/>
      <c r="R438" s="317"/>
      <c r="S438" s="317"/>
      <c r="T438" s="317"/>
      <c r="U438" s="295"/>
      <c r="V438" s="320"/>
    </row>
    <row r="439" spans="1:22">
      <c r="A439" s="317"/>
      <c r="O439" s="319"/>
      <c r="P439" s="317"/>
      <c r="Q439" s="319"/>
      <c r="R439" s="317"/>
      <c r="S439" s="317"/>
      <c r="T439" s="317"/>
      <c r="U439" s="295"/>
      <c r="V439" s="320"/>
    </row>
    <row r="440" spans="1:22">
      <c r="A440" s="317"/>
      <c r="O440" s="319"/>
      <c r="P440" s="317"/>
      <c r="Q440" s="319"/>
      <c r="R440" s="317"/>
      <c r="S440" s="317"/>
      <c r="T440" s="317"/>
      <c r="U440" s="295"/>
      <c r="V440" s="320"/>
    </row>
    <row r="441" spans="1:22">
      <c r="A441" s="317"/>
      <c r="O441" s="319"/>
      <c r="P441" s="317"/>
      <c r="Q441" s="319"/>
      <c r="R441" s="317"/>
      <c r="S441" s="317"/>
      <c r="T441" s="317"/>
      <c r="U441" s="295"/>
      <c r="V441" s="320"/>
    </row>
    <row r="442" spans="1:22">
      <c r="A442" s="317"/>
      <c r="O442" s="319"/>
      <c r="P442" s="317"/>
      <c r="Q442" s="319"/>
      <c r="R442" s="317"/>
      <c r="S442" s="317"/>
      <c r="T442" s="317"/>
      <c r="U442" s="295"/>
      <c r="V442" s="320"/>
    </row>
    <row r="443" spans="1:22">
      <c r="A443" s="317"/>
      <c r="O443" s="319"/>
      <c r="P443" s="317"/>
      <c r="Q443" s="319"/>
      <c r="R443" s="317"/>
      <c r="S443" s="317"/>
      <c r="T443" s="317"/>
      <c r="U443" s="295"/>
      <c r="V443" s="320"/>
    </row>
    <row r="444" spans="1:22">
      <c r="A444" s="317"/>
      <c r="O444" s="319"/>
      <c r="P444" s="317"/>
      <c r="Q444" s="319"/>
      <c r="R444" s="317"/>
      <c r="S444" s="317"/>
      <c r="T444" s="317"/>
      <c r="U444" s="295"/>
      <c r="V444" s="320"/>
    </row>
    <row r="445" spans="1:22">
      <c r="A445" s="317"/>
      <c r="O445" s="319"/>
      <c r="P445" s="317"/>
      <c r="Q445" s="319"/>
      <c r="R445" s="317"/>
      <c r="S445" s="317"/>
      <c r="T445" s="317"/>
      <c r="U445" s="295"/>
      <c r="V445" s="320"/>
    </row>
    <row r="446" spans="1:22">
      <c r="A446" s="317"/>
      <c r="O446" s="319"/>
      <c r="P446" s="317"/>
      <c r="Q446" s="319"/>
      <c r="R446" s="317"/>
      <c r="S446" s="317"/>
      <c r="T446" s="317"/>
      <c r="U446" s="295"/>
      <c r="V446" s="320"/>
    </row>
    <row r="447" spans="1:22">
      <c r="A447" s="317"/>
      <c r="O447" s="319"/>
      <c r="P447" s="317"/>
      <c r="Q447" s="319"/>
      <c r="R447" s="317"/>
      <c r="S447" s="317"/>
      <c r="T447" s="317"/>
      <c r="U447" s="295"/>
      <c r="V447" s="320"/>
    </row>
    <row r="448" spans="1:22">
      <c r="A448" s="317"/>
      <c r="O448" s="319"/>
      <c r="P448" s="317"/>
      <c r="Q448" s="319"/>
      <c r="R448" s="317"/>
      <c r="S448" s="317"/>
      <c r="T448" s="317"/>
      <c r="U448" s="295"/>
      <c r="V448" s="320"/>
    </row>
    <row r="449" spans="1:22">
      <c r="A449" s="317"/>
      <c r="O449" s="319"/>
      <c r="P449" s="317"/>
      <c r="Q449" s="319"/>
      <c r="R449" s="317"/>
      <c r="S449" s="317"/>
      <c r="T449" s="317"/>
      <c r="U449" s="295"/>
      <c r="V449" s="320"/>
    </row>
    <row r="450" spans="1:22">
      <c r="A450" s="317"/>
      <c r="O450" s="319"/>
      <c r="P450" s="317"/>
      <c r="Q450" s="319"/>
      <c r="R450" s="317"/>
      <c r="S450" s="317"/>
      <c r="T450" s="317"/>
      <c r="U450" s="295"/>
      <c r="V450" s="320"/>
    </row>
    <row r="451" spans="1:22">
      <c r="A451" s="317"/>
      <c r="O451" s="319"/>
      <c r="P451" s="317"/>
      <c r="Q451" s="319"/>
      <c r="R451" s="317"/>
      <c r="S451" s="317"/>
      <c r="T451" s="317"/>
      <c r="U451" s="295"/>
      <c r="V451" s="320"/>
    </row>
    <row r="452" spans="1:22">
      <c r="A452" s="317"/>
      <c r="O452" s="319"/>
      <c r="P452" s="317"/>
      <c r="Q452" s="319"/>
      <c r="R452" s="317"/>
      <c r="S452" s="317"/>
      <c r="T452" s="317"/>
      <c r="U452" s="295"/>
      <c r="V452" s="320"/>
    </row>
    <row r="453" spans="1:22">
      <c r="A453" s="317"/>
      <c r="O453" s="319"/>
      <c r="P453" s="317"/>
      <c r="Q453" s="319"/>
      <c r="R453" s="317"/>
      <c r="S453" s="317"/>
      <c r="T453" s="317"/>
      <c r="U453" s="295"/>
      <c r="V453" s="320"/>
    </row>
    <row r="454" spans="1:22">
      <c r="A454" s="317"/>
      <c r="O454" s="319"/>
      <c r="P454" s="317"/>
      <c r="Q454" s="319"/>
      <c r="R454" s="317"/>
      <c r="S454" s="317"/>
      <c r="T454" s="317"/>
      <c r="U454" s="295"/>
      <c r="V454" s="320"/>
    </row>
    <row r="455" spans="1:22">
      <c r="A455" s="317"/>
      <c r="O455" s="319"/>
      <c r="P455" s="317"/>
      <c r="Q455" s="319"/>
      <c r="R455" s="317"/>
      <c r="S455" s="317"/>
      <c r="T455" s="317"/>
      <c r="U455" s="295"/>
      <c r="V455" s="320"/>
    </row>
    <row r="456" spans="1:22">
      <c r="A456" s="317"/>
      <c r="O456" s="319"/>
      <c r="P456" s="317"/>
      <c r="Q456" s="319"/>
      <c r="R456" s="317"/>
      <c r="S456" s="317"/>
      <c r="T456" s="317"/>
      <c r="U456" s="295"/>
      <c r="V456" s="320"/>
    </row>
    <row r="457" spans="1:22">
      <c r="A457" s="317"/>
      <c r="O457" s="319"/>
      <c r="P457" s="317"/>
      <c r="Q457" s="319"/>
      <c r="R457" s="317"/>
      <c r="S457" s="317"/>
      <c r="T457" s="317"/>
      <c r="U457" s="295"/>
      <c r="V457" s="320"/>
    </row>
    <row r="458" spans="1:22">
      <c r="A458" s="317"/>
      <c r="O458" s="319"/>
      <c r="P458" s="317"/>
      <c r="Q458" s="319"/>
      <c r="R458" s="317"/>
      <c r="S458" s="317"/>
      <c r="T458" s="317"/>
      <c r="U458" s="295"/>
      <c r="V458" s="320"/>
    </row>
    <row r="459" spans="1:22">
      <c r="A459" s="317"/>
      <c r="O459" s="319"/>
      <c r="P459" s="317"/>
      <c r="Q459" s="319"/>
      <c r="R459" s="317"/>
      <c r="S459" s="317"/>
      <c r="T459" s="317"/>
      <c r="U459" s="295"/>
      <c r="V459" s="320"/>
    </row>
    <row r="460" spans="1:22">
      <c r="A460" s="317"/>
      <c r="O460" s="319"/>
      <c r="P460" s="317"/>
      <c r="Q460" s="319"/>
      <c r="R460" s="317"/>
      <c r="S460" s="317"/>
      <c r="T460" s="317"/>
      <c r="U460" s="295"/>
      <c r="V460" s="320"/>
    </row>
    <row r="461" spans="1:22">
      <c r="A461" s="317"/>
      <c r="O461" s="319"/>
      <c r="P461" s="317"/>
      <c r="Q461" s="319"/>
      <c r="R461" s="317"/>
      <c r="S461" s="317"/>
      <c r="T461" s="317"/>
      <c r="U461" s="295"/>
      <c r="V461" s="320"/>
    </row>
    <row r="462" spans="1:22">
      <c r="A462" s="317"/>
      <c r="O462" s="319"/>
      <c r="P462" s="317"/>
      <c r="Q462" s="319"/>
      <c r="R462" s="317"/>
      <c r="S462" s="317"/>
      <c r="T462" s="317"/>
      <c r="U462" s="295"/>
      <c r="V462" s="320"/>
    </row>
    <row r="463" spans="1:22">
      <c r="A463" s="317"/>
      <c r="O463" s="319"/>
      <c r="P463" s="317"/>
      <c r="Q463" s="319"/>
      <c r="R463" s="317"/>
      <c r="S463" s="317"/>
      <c r="T463" s="317"/>
      <c r="U463" s="295"/>
      <c r="V463" s="320"/>
    </row>
    <row r="464" spans="1:22">
      <c r="A464" s="317"/>
      <c r="O464" s="319"/>
      <c r="P464" s="317"/>
      <c r="Q464" s="319"/>
      <c r="R464" s="317"/>
      <c r="S464" s="317"/>
      <c r="T464" s="317"/>
      <c r="U464" s="295"/>
      <c r="V464" s="320"/>
    </row>
    <row r="465" spans="1:22">
      <c r="A465" s="317"/>
      <c r="O465" s="319"/>
      <c r="P465" s="317"/>
      <c r="Q465" s="319"/>
      <c r="R465" s="317"/>
      <c r="S465" s="317"/>
      <c r="T465" s="317"/>
      <c r="U465" s="295"/>
      <c r="V465" s="320"/>
    </row>
    <row r="466" spans="1:22">
      <c r="A466" s="317"/>
      <c r="O466" s="319"/>
      <c r="P466" s="317"/>
      <c r="Q466" s="319"/>
      <c r="R466" s="317"/>
      <c r="S466" s="317"/>
      <c r="T466" s="317"/>
      <c r="U466" s="295"/>
      <c r="V466" s="320"/>
    </row>
    <row r="467" spans="1:22">
      <c r="A467" s="317"/>
      <c r="O467" s="319"/>
      <c r="P467" s="317"/>
      <c r="Q467" s="319"/>
      <c r="R467" s="317"/>
      <c r="S467" s="317"/>
      <c r="T467" s="317"/>
      <c r="U467" s="295"/>
      <c r="V467" s="320"/>
    </row>
    <row r="468" spans="1:22">
      <c r="A468" s="317"/>
      <c r="O468" s="319"/>
      <c r="P468" s="317"/>
      <c r="Q468" s="319"/>
      <c r="R468" s="317"/>
      <c r="S468" s="317"/>
      <c r="T468" s="317"/>
      <c r="U468" s="295"/>
      <c r="V468" s="320"/>
    </row>
    <row r="469" spans="1:22">
      <c r="A469" s="317"/>
      <c r="O469" s="319"/>
      <c r="P469" s="317"/>
      <c r="Q469" s="319"/>
      <c r="R469" s="317"/>
      <c r="S469" s="317"/>
      <c r="T469" s="317"/>
      <c r="U469" s="295"/>
      <c r="V469" s="320"/>
    </row>
    <row r="470" spans="1:22">
      <c r="A470" s="317"/>
      <c r="O470" s="319"/>
      <c r="P470" s="317"/>
      <c r="Q470" s="319"/>
      <c r="R470" s="317"/>
      <c r="S470" s="317"/>
      <c r="T470" s="317"/>
      <c r="U470" s="295"/>
      <c r="V470" s="320"/>
    </row>
    <row r="471" spans="1:22">
      <c r="A471" s="317"/>
      <c r="O471" s="319"/>
      <c r="P471" s="317"/>
      <c r="Q471" s="319"/>
      <c r="R471" s="317"/>
      <c r="S471" s="317"/>
      <c r="T471" s="317"/>
      <c r="U471" s="295"/>
      <c r="V471" s="320"/>
    </row>
    <row r="472" spans="1:22">
      <c r="A472" s="317"/>
      <c r="O472" s="319"/>
      <c r="P472" s="317"/>
      <c r="Q472" s="319"/>
      <c r="R472" s="317"/>
      <c r="S472" s="317"/>
      <c r="T472" s="317"/>
      <c r="U472" s="295"/>
      <c r="V472" s="320"/>
    </row>
    <row r="473" spans="1:22">
      <c r="A473" s="317"/>
      <c r="O473" s="319"/>
      <c r="P473" s="317"/>
      <c r="Q473" s="319"/>
      <c r="R473" s="317"/>
      <c r="S473" s="317"/>
      <c r="T473" s="317"/>
      <c r="U473" s="295"/>
      <c r="V473" s="320"/>
    </row>
    <row r="474" spans="1:22">
      <c r="A474" s="317"/>
      <c r="O474" s="319"/>
      <c r="P474" s="317"/>
      <c r="Q474" s="319"/>
      <c r="R474" s="317"/>
      <c r="S474" s="317"/>
      <c r="T474" s="317"/>
      <c r="U474" s="295"/>
      <c r="V474" s="320"/>
    </row>
    <row r="475" spans="1:22">
      <c r="A475" s="317"/>
      <c r="O475" s="319"/>
      <c r="P475" s="317"/>
      <c r="Q475" s="319"/>
      <c r="R475" s="317"/>
      <c r="S475" s="317"/>
      <c r="T475" s="317"/>
      <c r="U475" s="295"/>
      <c r="V475" s="320"/>
    </row>
    <row r="476" spans="1:22">
      <c r="A476" s="317"/>
      <c r="O476" s="319"/>
      <c r="P476" s="317"/>
      <c r="Q476" s="319"/>
      <c r="R476" s="317"/>
      <c r="S476" s="317"/>
      <c r="T476" s="317"/>
      <c r="U476" s="295"/>
      <c r="V476" s="320"/>
    </row>
    <row r="477" spans="1:22">
      <c r="A477" s="317"/>
      <c r="O477" s="319"/>
      <c r="P477" s="317"/>
      <c r="Q477" s="319"/>
      <c r="R477" s="317"/>
      <c r="S477" s="317"/>
      <c r="T477" s="317"/>
      <c r="U477" s="295"/>
      <c r="V477" s="320"/>
    </row>
    <row r="478" spans="1:22">
      <c r="A478" s="317"/>
      <c r="O478" s="319"/>
      <c r="P478" s="317"/>
      <c r="Q478" s="319"/>
      <c r="R478" s="317"/>
      <c r="S478" s="317"/>
      <c r="T478" s="317"/>
      <c r="U478" s="295"/>
      <c r="V478" s="320"/>
    </row>
    <row r="479" spans="1:22">
      <c r="A479" s="317"/>
      <c r="O479" s="319"/>
      <c r="P479" s="317"/>
      <c r="Q479" s="319"/>
      <c r="R479" s="317"/>
      <c r="S479" s="317"/>
      <c r="T479" s="317"/>
      <c r="U479" s="295"/>
      <c r="V479" s="320"/>
    </row>
    <row r="480" spans="1:22">
      <c r="A480" s="317"/>
      <c r="O480" s="319"/>
      <c r="P480" s="317"/>
      <c r="Q480" s="319"/>
      <c r="R480" s="317"/>
      <c r="S480" s="317"/>
      <c r="T480" s="317"/>
      <c r="U480" s="295"/>
      <c r="V480" s="320"/>
    </row>
    <row r="481" spans="1:22">
      <c r="A481" s="317"/>
      <c r="O481" s="319"/>
      <c r="P481" s="317"/>
      <c r="Q481" s="319"/>
      <c r="R481" s="317"/>
      <c r="S481" s="317"/>
      <c r="T481" s="317"/>
      <c r="U481" s="295"/>
      <c r="V481" s="320"/>
    </row>
    <row r="482" spans="1:22">
      <c r="A482" s="317"/>
      <c r="O482" s="319"/>
      <c r="P482" s="317"/>
      <c r="Q482" s="319"/>
      <c r="R482" s="317"/>
      <c r="S482" s="317"/>
      <c r="T482" s="317"/>
      <c r="U482" s="295"/>
      <c r="V482" s="320"/>
    </row>
    <row r="483" spans="1:22">
      <c r="A483" s="317"/>
      <c r="O483" s="319"/>
      <c r="P483" s="317"/>
      <c r="Q483" s="319"/>
      <c r="R483" s="317"/>
      <c r="S483" s="317"/>
      <c r="T483" s="317"/>
      <c r="U483" s="295"/>
      <c r="V483" s="320"/>
    </row>
    <row r="484" spans="1:22">
      <c r="A484" s="317"/>
      <c r="O484" s="319"/>
      <c r="P484" s="317"/>
      <c r="Q484" s="319"/>
      <c r="R484" s="317"/>
      <c r="S484" s="317"/>
      <c r="T484" s="317"/>
      <c r="U484" s="295"/>
      <c r="V484" s="320"/>
    </row>
    <row r="485" spans="1:22">
      <c r="A485" s="317"/>
      <c r="O485" s="319"/>
      <c r="P485" s="317"/>
      <c r="Q485" s="319"/>
      <c r="R485" s="317"/>
      <c r="S485" s="317"/>
      <c r="T485" s="317"/>
      <c r="U485" s="295"/>
      <c r="V485" s="320"/>
    </row>
    <row r="486" spans="1:22">
      <c r="A486" s="317"/>
      <c r="O486" s="319"/>
      <c r="P486" s="317"/>
      <c r="Q486" s="319"/>
      <c r="R486" s="317"/>
      <c r="S486" s="317"/>
      <c r="T486" s="317"/>
      <c r="U486" s="295"/>
      <c r="V486" s="320"/>
    </row>
    <row r="487" spans="1:22">
      <c r="A487" s="317"/>
      <c r="O487" s="319"/>
      <c r="P487" s="317"/>
      <c r="Q487" s="319"/>
      <c r="R487" s="317"/>
      <c r="S487" s="317"/>
      <c r="T487" s="317"/>
      <c r="U487" s="295"/>
      <c r="V487" s="320"/>
    </row>
    <row r="488" spans="1:22">
      <c r="A488" s="317"/>
      <c r="O488" s="319"/>
      <c r="P488" s="317"/>
      <c r="Q488" s="319"/>
      <c r="R488" s="317"/>
      <c r="S488" s="317"/>
      <c r="T488" s="317"/>
      <c r="U488" s="295"/>
      <c r="V488" s="320"/>
    </row>
    <row r="489" spans="1:22">
      <c r="A489" s="317"/>
      <c r="O489" s="319"/>
      <c r="P489" s="317"/>
      <c r="Q489" s="319"/>
      <c r="R489" s="317"/>
      <c r="S489" s="317"/>
      <c r="T489" s="317"/>
      <c r="U489" s="295"/>
      <c r="V489" s="320"/>
    </row>
    <row r="490" spans="1:22">
      <c r="A490" s="317"/>
      <c r="O490" s="319"/>
      <c r="P490" s="317"/>
      <c r="Q490" s="319"/>
      <c r="R490" s="317"/>
      <c r="S490" s="317"/>
      <c r="T490" s="317"/>
      <c r="U490" s="295"/>
      <c r="V490" s="320"/>
    </row>
    <row r="491" spans="1:22">
      <c r="A491" s="317"/>
      <c r="O491" s="319"/>
      <c r="P491" s="317"/>
      <c r="Q491" s="319"/>
      <c r="R491" s="317"/>
      <c r="S491" s="317"/>
      <c r="T491" s="317"/>
      <c r="U491" s="295"/>
      <c r="V491" s="320"/>
    </row>
    <row r="492" spans="1:22">
      <c r="A492" s="317"/>
      <c r="O492" s="319"/>
      <c r="P492" s="317"/>
      <c r="Q492" s="319"/>
      <c r="R492" s="317"/>
      <c r="S492" s="317"/>
      <c r="T492" s="317"/>
      <c r="U492" s="295"/>
      <c r="V492" s="320"/>
    </row>
    <row r="493" spans="1:22">
      <c r="A493" s="317"/>
      <c r="O493" s="319"/>
      <c r="P493" s="317"/>
      <c r="Q493" s="319"/>
      <c r="R493" s="317"/>
      <c r="S493" s="317"/>
      <c r="T493" s="317"/>
      <c r="U493" s="295"/>
      <c r="V493" s="320"/>
    </row>
    <row r="494" spans="1:22">
      <c r="A494" s="317"/>
      <c r="O494" s="319"/>
      <c r="P494" s="317"/>
      <c r="Q494" s="319"/>
      <c r="R494" s="317"/>
      <c r="S494" s="317"/>
      <c r="T494" s="317"/>
      <c r="U494" s="295"/>
      <c r="V494" s="320"/>
    </row>
    <row r="495" spans="1:22">
      <c r="A495" s="317"/>
      <c r="O495" s="319"/>
      <c r="P495" s="317"/>
      <c r="Q495" s="319"/>
      <c r="R495" s="317"/>
      <c r="S495" s="317"/>
      <c r="T495" s="317"/>
      <c r="U495" s="295"/>
      <c r="V495" s="320"/>
    </row>
    <row r="496" spans="1:22">
      <c r="A496" s="317"/>
      <c r="O496" s="319"/>
      <c r="P496" s="317"/>
      <c r="Q496" s="319"/>
      <c r="R496" s="317"/>
      <c r="S496" s="317"/>
      <c r="T496" s="317"/>
      <c r="U496" s="295"/>
      <c r="V496" s="320"/>
    </row>
    <row r="497" spans="1:22">
      <c r="A497" s="317"/>
      <c r="O497" s="319"/>
      <c r="P497" s="317"/>
      <c r="Q497" s="319"/>
      <c r="R497" s="317"/>
      <c r="S497" s="317"/>
      <c r="T497" s="317"/>
      <c r="U497" s="295"/>
      <c r="V497" s="320"/>
    </row>
    <row r="498" spans="1:22">
      <c r="A498" s="317"/>
      <c r="O498" s="319"/>
      <c r="P498" s="317"/>
      <c r="Q498" s="319"/>
      <c r="R498" s="317"/>
      <c r="S498" s="317"/>
      <c r="T498" s="317"/>
      <c r="U498" s="295"/>
      <c r="V498" s="320"/>
    </row>
    <row r="499" spans="1:22">
      <c r="A499" s="317"/>
      <c r="O499" s="319"/>
      <c r="P499" s="317"/>
      <c r="Q499" s="319"/>
      <c r="R499" s="317"/>
      <c r="S499" s="317"/>
      <c r="T499" s="317"/>
      <c r="U499" s="295"/>
      <c r="V499" s="320"/>
    </row>
    <row r="500" spans="1:22">
      <c r="A500" s="317"/>
      <c r="O500" s="319"/>
      <c r="P500" s="317"/>
      <c r="Q500" s="319"/>
      <c r="R500" s="317"/>
      <c r="S500" s="317"/>
      <c r="T500" s="317"/>
      <c r="U500" s="295"/>
      <c r="V500" s="320"/>
    </row>
    <row r="501" spans="1:22">
      <c r="A501" s="317"/>
      <c r="O501" s="319"/>
      <c r="P501" s="317"/>
      <c r="Q501" s="319"/>
      <c r="R501" s="317"/>
      <c r="S501" s="317"/>
      <c r="T501" s="317"/>
      <c r="U501" s="295"/>
      <c r="V501" s="320"/>
    </row>
    <row r="502" spans="1:22">
      <c r="A502" s="317"/>
      <c r="O502" s="319"/>
      <c r="P502" s="317"/>
      <c r="Q502" s="319"/>
      <c r="R502" s="317"/>
      <c r="S502" s="317"/>
      <c r="T502" s="317"/>
      <c r="U502" s="295"/>
      <c r="V502" s="320"/>
    </row>
    <row r="503" spans="1:22">
      <c r="A503" s="317"/>
      <c r="O503" s="319"/>
      <c r="P503" s="317"/>
      <c r="Q503" s="319"/>
      <c r="R503" s="317"/>
      <c r="S503" s="317"/>
      <c r="T503" s="317"/>
      <c r="U503" s="295"/>
      <c r="V503" s="320"/>
    </row>
    <row r="504" spans="1:22">
      <c r="A504" s="317"/>
      <c r="O504" s="319"/>
      <c r="P504" s="317"/>
      <c r="Q504" s="319"/>
      <c r="R504" s="317"/>
      <c r="S504" s="317"/>
      <c r="T504" s="317"/>
      <c r="U504" s="295"/>
      <c r="V504" s="320"/>
    </row>
    <row r="505" spans="1:22">
      <c r="A505" s="317"/>
      <c r="O505" s="319"/>
      <c r="P505" s="317"/>
      <c r="Q505" s="319"/>
      <c r="R505" s="317"/>
      <c r="S505" s="317"/>
      <c r="T505" s="317"/>
      <c r="U505" s="295"/>
      <c r="V505" s="320"/>
    </row>
    <row r="506" spans="1:22">
      <c r="A506" s="317"/>
      <c r="O506" s="319"/>
      <c r="P506" s="317"/>
      <c r="Q506" s="319"/>
      <c r="R506" s="317"/>
      <c r="S506" s="317"/>
      <c r="T506" s="317"/>
      <c r="U506" s="295"/>
      <c r="V506" s="320"/>
    </row>
    <row r="507" spans="1:22">
      <c r="A507" s="317"/>
      <c r="O507" s="319"/>
      <c r="P507" s="317"/>
      <c r="Q507" s="319"/>
      <c r="R507" s="317"/>
      <c r="S507" s="317"/>
      <c r="T507" s="317"/>
      <c r="U507" s="295"/>
      <c r="V507" s="320"/>
    </row>
    <row r="508" spans="1:22">
      <c r="A508" s="317"/>
      <c r="O508" s="319"/>
      <c r="P508" s="317"/>
      <c r="Q508" s="319"/>
      <c r="R508" s="317"/>
      <c r="S508" s="317"/>
      <c r="T508" s="317"/>
      <c r="U508" s="295"/>
      <c r="V508" s="320"/>
    </row>
    <row r="509" spans="1:22">
      <c r="A509" s="317"/>
      <c r="O509" s="319"/>
      <c r="P509" s="317"/>
      <c r="Q509" s="319"/>
      <c r="R509" s="317"/>
      <c r="S509" s="317"/>
      <c r="T509" s="317"/>
      <c r="U509" s="295"/>
      <c r="V509" s="320"/>
    </row>
    <row r="510" spans="1:22">
      <c r="A510" s="317"/>
      <c r="O510" s="319"/>
      <c r="P510" s="317"/>
      <c r="Q510" s="319"/>
      <c r="R510" s="317"/>
      <c r="S510" s="317"/>
      <c r="T510" s="317"/>
      <c r="U510" s="295"/>
      <c r="V510" s="320"/>
    </row>
    <row r="511" spans="1:22">
      <c r="A511" s="317"/>
      <c r="O511" s="319"/>
      <c r="P511" s="317"/>
      <c r="Q511" s="319"/>
      <c r="R511" s="317"/>
      <c r="S511" s="317"/>
      <c r="T511" s="317"/>
      <c r="U511" s="295"/>
      <c r="V511" s="320"/>
    </row>
    <row r="512" spans="1:22">
      <c r="A512" s="317"/>
      <c r="O512" s="319"/>
      <c r="P512" s="317"/>
      <c r="Q512" s="319"/>
      <c r="R512" s="317"/>
      <c r="S512" s="317"/>
      <c r="T512" s="317"/>
      <c r="U512" s="295"/>
      <c r="V512" s="320"/>
    </row>
    <row r="513" spans="1:22">
      <c r="A513" s="317"/>
      <c r="O513" s="319"/>
      <c r="P513" s="317"/>
      <c r="Q513" s="319"/>
      <c r="R513" s="317"/>
      <c r="S513" s="317"/>
      <c r="T513" s="317"/>
      <c r="U513" s="295"/>
      <c r="V513" s="320"/>
    </row>
    <row r="514" spans="1:22">
      <c r="A514" s="317"/>
      <c r="O514" s="319"/>
      <c r="P514" s="317"/>
      <c r="Q514" s="319"/>
      <c r="R514" s="317"/>
      <c r="S514" s="317"/>
      <c r="T514" s="317"/>
      <c r="U514" s="295"/>
      <c r="V514" s="320"/>
    </row>
    <row r="515" spans="1:22">
      <c r="A515" s="317"/>
      <c r="O515" s="319"/>
      <c r="P515" s="317"/>
      <c r="Q515" s="319"/>
      <c r="R515" s="317"/>
      <c r="S515" s="317"/>
      <c r="T515" s="317"/>
      <c r="U515" s="295"/>
      <c r="V515" s="320"/>
    </row>
    <row r="516" spans="1:22">
      <c r="A516" s="317"/>
      <c r="O516" s="319"/>
      <c r="P516" s="317"/>
      <c r="Q516" s="319"/>
      <c r="R516" s="317"/>
      <c r="S516" s="317"/>
      <c r="T516" s="317"/>
      <c r="U516" s="295"/>
      <c r="V516" s="320"/>
    </row>
    <row r="517" spans="1:22">
      <c r="A517" s="317"/>
      <c r="O517" s="319"/>
      <c r="P517" s="317"/>
      <c r="Q517" s="319"/>
      <c r="R517" s="317"/>
      <c r="S517" s="317"/>
      <c r="T517" s="317"/>
      <c r="U517" s="295"/>
      <c r="V517" s="320"/>
    </row>
    <row r="518" spans="1:22">
      <c r="A518" s="317"/>
      <c r="O518" s="319"/>
      <c r="P518" s="317"/>
      <c r="Q518" s="319"/>
      <c r="R518" s="317"/>
      <c r="S518" s="317"/>
      <c r="T518" s="317"/>
      <c r="U518" s="295"/>
      <c r="V518" s="320"/>
    </row>
    <row r="519" spans="1:22">
      <c r="A519" s="317"/>
      <c r="O519" s="319"/>
      <c r="P519" s="317"/>
      <c r="Q519" s="319"/>
      <c r="R519" s="317"/>
      <c r="S519" s="317"/>
      <c r="T519" s="317"/>
      <c r="U519" s="295"/>
      <c r="V519" s="320"/>
    </row>
    <row r="520" spans="1:22">
      <c r="A520" s="317"/>
      <c r="O520" s="319"/>
      <c r="P520" s="317"/>
      <c r="Q520" s="319"/>
      <c r="R520" s="317"/>
      <c r="S520" s="317"/>
      <c r="T520" s="317"/>
      <c r="U520" s="295"/>
      <c r="V520" s="320"/>
    </row>
    <row r="521" spans="1:22">
      <c r="A521" s="317"/>
      <c r="O521" s="319"/>
      <c r="P521" s="317"/>
      <c r="Q521" s="319"/>
      <c r="R521" s="317"/>
      <c r="S521" s="317"/>
      <c r="T521" s="317"/>
      <c r="U521" s="295"/>
      <c r="V521" s="320"/>
    </row>
    <row r="522" spans="1:22">
      <c r="A522" s="317"/>
      <c r="O522" s="319"/>
      <c r="P522" s="317"/>
      <c r="Q522" s="319"/>
      <c r="R522" s="317"/>
      <c r="S522" s="317"/>
      <c r="T522" s="317"/>
      <c r="U522" s="295"/>
      <c r="V522" s="320"/>
    </row>
    <row r="523" spans="1:22">
      <c r="A523" s="317"/>
      <c r="O523" s="319"/>
      <c r="P523" s="317"/>
      <c r="Q523" s="319"/>
      <c r="R523" s="317"/>
      <c r="S523" s="317"/>
      <c r="T523" s="317"/>
      <c r="U523" s="295"/>
      <c r="V523" s="320"/>
    </row>
    <row r="524" spans="1:22">
      <c r="A524" s="317"/>
      <c r="O524" s="319"/>
      <c r="P524" s="317"/>
      <c r="Q524" s="319"/>
      <c r="R524" s="317"/>
      <c r="S524" s="317"/>
      <c r="T524" s="317"/>
      <c r="U524" s="295"/>
      <c r="V524" s="320"/>
    </row>
    <row r="525" spans="1:22">
      <c r="A525" s="317"/>
      <c r="O525" s="319"/>
      <c r="P525" s="317"/>
      <c r="Q525" s="319"/>
      <c r="R525" s="317"/>
      <c r="S525" s="317"/>
      <c r="T525" s="317"/>
      <c r="U525" s="295"/>
      <c r="V525" s="320"/>
    </row>
  </sheetData>
  <sheetProtection selectLockedCells="1" selectUnlockedCells="1"/>
  <mergeCells count="53">
    <mergeCell ref="J212:L212"/>
    <mergeCell ref="M212:N212"/>
    <mergeCell ref="Q212:R212"/>
    <mergeCell ref="J216:L216"/>
    <mergeCell ref="M216:N216"/>
    <mergeCell ref="J213:L213"/>
    <mergeCell ref="M213:N213"/>
    <mergeCell ref="Q213:R213"/>
    <mergeCell ref="J214:L214"/>
    <mergeCell ref="M214:N214"/>
    <mergeCell ref="J215:L215"/>
    <mergeCell ref="M215:N215"/>
    <mergeCell ref="J210:L210"/>
    <mergeCell ref="M210:N210"/>
    <mergeCell ref="Q210:R210"/>
    <mergeCell ref="J211:L211"/>
    <mergeCell ref="M211:N211"/>
    <mergeCell ref="Q211:R211"/>
    <mergeCell ref="J208:L208"/>
    <mergeCell ref="M208:N208"/>
    <mergeCell ref="Q208:R208"/>
    <mergeCell ref="J209:L209"/>
    <mergeCell ref="M209:N209"/>
    <mergeCell ref="Q209:R209"/>
    <mergeCell ref="J206:L206"/>
    <mergeCell ref="M206:N206"/>
    <mergeCell ref="Q206:R206"/>
    <mergeCell ref="J207:L207"/>
    <mergeCell ref="M207:N207"/>
    <mergeCell ref="Q207:R207"/>
    <mergeCell ref="O5:P5"/>
    <mergeCell ref="Q5:R5"/>
    <mergeCell ref="U5:U6"/>
    <mergeCell ref="F204:G204"/>
    <mergeCell ref="J205:L205"/>
    <mergeCell ref="M205:N205"/>
    <mergeCell ref="Q205:R205"/>
    <mergeCell ref="G5:H5"/>
    <mergeCell ref="I5:J5"/>
    <mergeCell ref="K5:L5"/>
    <mergeCell ref="A5:A6"/>
    <mergeCell ref="B5:B6"/>
    <mergeCell ref="C5:C6"/>
    <mergeCell ref="D5:D6"/>
    <mergeCell ref="E5:F5"/>
    <mergeCell ref="A1:AF1"/>
    <mergeCell ref="A2:AF2"/>
    <mergeCell ref="A3:AF3"/>
    <mergeCell ref="A4:B4"/>
    <mergeCell ref="C4:F4"/>
    <mergeCell ref="G4:J4"/>
    <mergeCell ref="K4:N4"/>
    <mergeCell ref="U4:V4"/>
  </mergeCells>
  <pageMargins left="0.39370078740157483" right="3.937007874015748E-2" top="0.35433070866141736" bottom="0.39370078740157483" header="0.19685039370078741" footer="0.31496062992125984"/>
  <pageSetup paperSize="8" scale="50" orientation="landscape" r:id="rId1"/>
  <headerFooter>
    <oddHeader>&amp;R&amp;18&amp;P</oddHeader>
  </headerFooter>
</worksheet>
</file>

<file path=xl/worksheets/sheet8.xml><?xml version="1.0" encoding="utf-8"?>
<worksheet xmlns="http://schemas.openxmlformats.org/spreadsheetml/2006/main" xmlns:r="http://schemas.openxmlformats.org/officeDocument/2006/relationships">
  <sheetPr>
    <tabColor rgb="FF00B050"/>
    <pageSetUpPr fitToPage="1"/>
  </sheetPr>
  <dimension ref="A1:Q1925"/>
  <sheetViews>
    <sheetView showZeros="0" view="pageBreakPreview" topLeftCell="A1687" zoomScale="85" zoomScaleNormal="85" zoomScaleSheetLayoutView="85" workbookViewId="0">
      <selection activeCell="I1694" sqref="I1694"/>
    </sheetView>
  </sheetViews>
  <sheetFormatPr defaultRowHeight="18.75"/>
  <cols>
    <col min="1" max="1" width="11.28515625" style="130" customWidth="1"/>
    <col min="2" max="2" width="53.42578125" style="129" customWidth="1"/>
    <col min="3" max="3" width="8.140625" style="131" customWidth="1"/>
    <col min="4" max="4" width="6.28515625" style="129" customWidth="1"/>
    <col min="5" max="5" width="6.28515625" style="131" customWidth="1"/>
    <col min="6" max="6" width="10.85546875" style="132" customWidth="1"/>
    <col min="7" max="7" width="11.7109375" style="132" customWidth="1"/>
    <col min="8" max="8" width="10.85546875" style="132" customWidth="1"/>
    <col min="9" max="9" width="12.7109375" style="133" bestFit="1" customWidth="1"/>
    <col min="10" max="10" width="10.28515625" style="358" customWidth="1"/>
    <col min="11" max="11" width="31" style="129" customWidth="1"/>
    <col min="12" max="12" width="5.5703125" style="129" bestFit="1" customWidth="1"/>
    <col min="13" max="13" width="7.140625" style="129" customWidth="1"/>
    <col min="14" max="14" width="15.42578125" style="129" bestFit="1" customWidth="1"/>
    <col min="15" max="15" width="6.140625" style="129" bestFit="1" customWidth="1"/>
    <col min="16" max="16" width="9.140625" style="129"/>
    <col min="17" max="17" width="12.42578125" style="129" bestFit="1" customWidth="1"/>
    <col min="18" max="256" width="9.140625" style="129"/>
    <col min="257" max="257" width="11.28515625" style="129" customWidth="1"/>
    <col min="258" max="258" width="53.42578125" style="129" customWidth="1"/>
    <col min="259" max="259" width="6.7109375" style="129" bestFit="1" customWidth="1"/>
    <col min="260" max="260" width="3" style="129" customWidth="1"/>
    <col min="261" max="261" width="6.7109375" style="129" customWidth="1"/>
    <col min="262" max="262" width="8.5703125" style="129" customWidth="1"/>
    <col min="263" max="263" width="9.42578125" style="129" customWidth="1"/>
    <col min="264" max="264" width="8" style="129" bestFit="1" customWidth="1"/>
    <col min="265" max="265" width="12.7109375" style="129" bestFit="1" customWidth="1"/>
    <col min="266" max="266" width="7.7109375" style="129" customWidth="1"/>
    <col min="267" max="267" width="31" style="129" customWidth="1"/>
    <col min="268" max="268" width="5.5703125" style="129" bestFit="1" customWidth="1"/>
    <col min="269" max="269" width="7.140625" style="129" customWidth="1"/>
    <col min="270" max="271" width="6.140625" style="129" bestFit="1" customWidth="1"/>
    <col min="272" max="272" width="9.140625" style="129"/>
    <col min="273" max="273" width="12.42578125" style="129" bestFit="1" customWidth="1"/>
    <col min="274" max="512" width="9.140625" style="129"/>
    <col min="513" max="513" width="11.28515625" style="129" customWidth="1"/>
    <col min="514" max="514" width="53.42578125" style="129" customWidth="1"/>
    <col min="515" max="515" width="6.7109375" style="129" bestFit="1" customWidth="1"/>
    <col min="516" max="516" width="3" style="129" customWidth="1"/>
    <col min="517" max="517" width="6.7109375" style="129" customWidth="1"/>
    <col min="518" max="518" width="8.5703125" style="129" customWidth="1"/>
    <col min="519" max="519" width="9.42578125" style="129" customWidth="1"/>
    <col min="520" max="520" width="8" style="129" bestFit="1" customWidth="1"/>
    <col min="521" max="521" width="12.7109375" style="129" bestFit="1" customWidth="1"/>
    <col min="522" max="522" width="7.7109375" style="129" customWidth="1"/>
    <col min="523" max="523" width="31" style="129" customWidth="1"/>
    <col min="524" max="524" width="5.5703125" style="129" bestFit="1" customWidth="1"/>
    <col min="525" max="525" width="7.140625" style="129" customWidth="1"/>
    <col min="526" max="527" width="6.140625" style="129" bestFit="1" customWidth="1"/>
    <col min="528" max="528" width="9.140625" style="129"/>
    <col min="529" max="529" width="12.42578125" style="129" bestFit="1" customWidth="1"/>
    <col min="530" max="768" width="9.140625" style="129"/>
    <col min="769" max="769" width="11.28515625" style="129" customWidth="1"/>
    <col min="770" max="770" width="53.42578125" style="129" customWidth="1"/>
    <col min="771" max="771" width="6.7109375" style="129" bestFit="1" customWidth="1"/>
    <col min="772" max="772" width="3" style="129" customWidth="1"/>
    <col min="773" max="773" width="6.7109375" style="129" customWidth="1"/>
    <col min="774" max="774" width="8.5703125" style="129" customWidth="1"/>
    <col min="775" max="775" width="9.42578125" style="129" customWidth="1"/>
    <col min="776" max="776" width="8" style="129" bestFit="1" customWidth="1"/>
    <col min="777" max="777" width="12.7109375" style="129" bestFit="1" customWidth="1"/>
    <col min="778" max="778" width="7.7109375" style="129" customWidth="1"/>
    <col min="779" max="779" width="31" style="129" customWidth="1"/>
    <col min="780" max="780" width="5.5703125" style="129" bestFit="1" customWidth="1"/>
    <col min="781" max="781" width="7.140625" style="129" customWidth="1"/>
    <col min="782" max="783" width="6.140625" style="129" bestFit="1" customWidth="1"/>
    <col min="784" max="784" width="9.140625" style="129"/>
    <col min="785" max="785" width="12.42578125" style="129" bestFit="1" customWidth="1"/>
    <col min="786" max="1024" width="9.140625" style="129"/>
    <col min="1025" max="1025" width="11.28515625" style="129" customWidth="1"/>
    <col min="1026" max="1026" width="53.42578125" style="129" customWidth="1"/>
    <col min="1027" max="1027" width="6.7109375" style="129" bestFit="1" customWidth="1"/>
    <col min="1028" max="1028" width="3" style="129" customWidth="1"/>
    <col min="1029" max="1029" width="6.7109375" style="129" customWidth="1"/>
    <col min="1030" max="1030" width="8.5703125" style="129" customWidth="1"/>
    <col min="1031" max="1031" width="9.42578125" style="129" customWidth="1"/>
    <col min="1032" max="1032" width="8" style="129" bestFit="1" customWidth="1"/>
    <col min="1033" max="1033" width="12.7109375" style="129" bestFit="1" customWidth="1"/>
    <col min="1034" max="1034" width="7.7109375" style="129" customWidth="1"/>
    <col min="1035" max="1035" width="31" style="129" customWidth="1"/>
    <col min="1036" max="1036" width="5.5703125" style="129" bestFit="1" customWidth="1"/>
    <col min="1037" max="1037" width="7.140625" style="129" customWidth="1"/>
    <col min="1038" max="1039" width="6.140625" style="129" bestFit="1" customWidth="1"/>
    <col min="1040" max="1040" width="9.140625" style="129"/>
    <col min="1041" max="1041" width="12.42578125" style="129" bestFit="1" customWidth="1"/>
    <col min="1042" max="1280" width="9.140625" style="129"/>
    <col min="1281" max="1281" width="11.28515625" style="129" customWidth="1"/>
    <col min="1282" max="1282" width="53.42578125" style="129" customWidth="1"/>
    <col min="1283" max="1283" width="6.7109375" style="129" bestFit="1" customWidth="1"/>
    <col min="1284" max="1284" width="3" style="129" customWidth="1"/>
    <col min="1285" max="1285" width="6.7109375" style="129" customWidth="1"/>
    <col min="1286" max="1286" width="8.5703125" style="129" customWidth="1"/>
    <col min="1287" max="1287" width="9.42578125" style="129" customWidth="1"/>
    <col min="1288" max="1288" width="8" style="129" bestFit="1" customWidth="1"/>
    <col min="1289" max="1289" width="12.7109375" style="129" bestFit="1" customWidth="1"/>
    <col min="1290" max="1290" width="7.7109375" style="129" customWidth="1"/>
    <col min="1291" max="1291" width="31" style="129" customWidth="1"/>
    <col min="1292" max="1292" width="5.5703125" style="129" bestFit="1" customWidth="1"/>
    <col min="1293" max="1293" width="7.140625" style="129" customWidth="1"/>
    <col min="1294" max="1295" width="6.140625" style="129" bestFit="1" customWidth="1"/>
    <col min="1296" max="1296" width="9.140625" style="129"/>
    <col min="1297" max="1297" width="12.42578125" style="129" bestFit="1" customWidth="1"/>
    <col min="1298" max="1536" width="9.140625" style="129"/>
    <col min="1537" max="1537" width="11.28515625" style="129" customWidth="1"/>
    <col min="1538" max="1538" width="53.42578125" style="129" customWidth="1"/>
    <col min="1539" max="1539" width="6.7109375" style="129" bestFit="1" customWidth="1"/>
    <col min="1540" max="1540" width="3" style="129" customWidth="1"/>
    <col min="1541" max="1541" width="6.7109375" style="129" customWidth="1"/>
    <col min="1542" max="1542" width="8.5703125" style="129" customWidth="1"/>
    <col min="1543" max="1543" width="9.42578125" style="129" customWidth="1"/>
    <col min="1544" max="1544" width="8" style="129" bestFit="1" customWidth="1"/>
    <col min="1545" max="1545" width="12.7109375" style="129" bestFit="1" customWidth="1"/>
    <col min="1546" max="1546" width="7.7109375" style="129" customWidth="1"/>
    <col min="1547" max="1547" width="31" style="129" customWidth="1"/>
    <col min="1548" max="1548" width="5.5703125" style="129" bestFit="1" customWidth="1"/>
    <col min="1549" max="1549" width="7.140625" style="129" customWidth="1"/>
    <col min="1550" max="1551" width="6.140625" style="129" bestFit="1" customWidth="1"/>
    <col min="1552" max="1552" width="9.140625" style="129"/>
    <col min="1553" max="1553" width="12.42578125" style="129" bestFit="1" customWidth="1"/>
    <col min="1554" max="1792" width="9.140625" style="129"/>
    <col min="1793" max="1793" width="11.28515625" style="129" customWidth="1"/>
    <col min="1794" max="1794" width="53.42578125" style="129" customWidth="1"/>
    <col min="1795" max="1795" width="6.7109375" style="129" bestFit="1" customWidth="1"/>
    <col min="1796" max="1796" width="3" style="129" customWidth="1"/>
    <col min="1797" max="1797" width="6.7109375" style="129" customWidth="1"/>
    <col min="1798" max="1798" width="8.5703125" style="129" customWidth="1"/>
    <col min="1799" max="1799" width="9.42578125" style="129" customWidth="1"/>
    <col min="1800" max="1800" width="8" style="129" bestFit="1" customWidth="1"/>
    <col min="1801" max="1801" width="12.7109375" style="129" bestFit="1" customWidth="1"/>
    <col min="1802" max="1802" width="7.7109375" style="129" customWidth="1"/>
    <col min="1803" max="1803" width="31" style="129" customWidth="1"/>
    <col min="1804" max="1804" width="5.5703125" style="129" bestFit="1" customWidth="1"/>
    <col min="1805" max="1805" width="7.140625" style="129" customWidth="1"/>
    <col min="1806" max="1807" width="6.140625" style="129" bestFit="1" customWidth="1"/>
    <col min="1808" max="1808" width="9.140625" style="129"/>
    <col min="1809" max="1809" width="12.42578125" style="129" bestFit="1" customWidth="1"/>
    <col min="1810" max="2048" width="9.140625" style="129"/>
    <col min="2049" max="2049" width="11.28515625" style="129" customWidth="1"/>
    <col min="2050" max="2050" width="53.42578125" style="129" customWidth="1"/>
    <col min="2051" max="2051" width="6.7109375" style="129" bestFit="1" customWidth="1"/>
    <col min="2052" max="2052" width="3" style="129" customWidth="1"/>
    <col min="2053" max="2053" width="6.7109375" style="129" customWidth="1"/>
    <col min="2054" max="2054" width="8.5703125" style="129" customWidth="1"/>
    <col min="2055" max="2055" width="9.42578125" style="129" customWidth="1"/>
    <col min="2056" max="2056" width="8" style="129" bestFit="1" customWidth="1"/>
    <col min="2057" max="2057" width="12.7109375" style="129" bestFit="1" customWidth="1"/>
    <col min="2058" max="2058" width="7.7109375" style="129" customWidth="1"/>
    <col min="2059" max="2059" width="31" style="129" customWidth="1"/>
    <col min="2060" max="2060" width="5.5703125" style="129" bestFit="1" customWidth="1"/>
    <col min="2061" max="2061" width="7.140625" style="129" customWidth="1"/>
    <col min="2062" max="2063" width="6.140625" style="129" bestFit="1" customWidth="1"/>
    <col min="2064" max="2064" width="9.140625" style="129"/>
    <col min="2065" max="2065" width="12.42578125" style="129" bestFit="1" customWidth="1"/>
    <col min="2066" max="2304" width="9.140625" style="129"/>
    <col min="2305" max="2305" width="11.28515625" style="129" customWidth="1"/>
    <col min="2306" max="2306" width="53.42578125" style="129" customWidth="1"/>
    <col min="2307" max="2307" width="6.7109375" style="129" bestFit="1" customWidth="1"/>
    <col min="2308" max="2308" width="3" style="129" customWidth="1"/>
    <col min="2309" max="2309" width="6.7109375" style="129" customWidth="1"/>
    <col min="2310" max="2310" width="8.5703125" style="129" customWidth="1"/>
    <col min="2311" max="2311" width="9.42578125" style="129" customWidth="1"/>
    <col min="2312" max="2312" width="8" style="129" bestFit="1" customWidth="1"/>
    <col min="2313" max="2313" width="12.7109375" style="129" bestFit="1" customWidth="1"/>
    <col min="2314" max="2314" width="7.7109375" style="129" customWidth="1"/>
    <col min="2315" max="2315" width="31" style="129" customWidth="1"/>
    <col min="2316" max="2316" width="5.5703125" style="129" bestFit="1" customWidth="1"/>
    <col min="2317" max="2317" width="7.140625" style="129" customWidth="1"/>
    <col min="2318" max="2319" width="6.140625" style="129" bestFit="1" customWidth="1"/>
    <col min="2320" max="2320" width="9.140625" style="129"/>
    <col min="2321" max="2321" width="12.42578125" style="129" bestFit="1" customWidth="1"/>
    <col min="2322" max="2560" width="9.140625" style="129"/>
    <col min="2561" max="2561" width="11.28515625" style="129" customWidth="1"/>
    <col min="2562" max="2562" width="53.42578125" style="129" customWidth="1"/>
    <col min="2563" max="2563" width="6.7109375" style="129" bestFit="1" customWidth="1"/>
    <col min="2564" max="2564" width="3" style="129" customWidth="1"/>
    <col min="2565" max="2565" width="6.7109375" style="129" customWidth="1"/>
    <col min="2566" max="2566" width="8.5703125" style="129" customWidth="1"/>
    <col min="2567" max="2567" width="9.42578125" style="129" customWidth="1"/>
    <col min="2568" max="2568" width="8" style="129" bestFit="1" customWidth="1"/>
    <col min="2569" max="2569" width="12.7109375" style="129" bestFit="1" customWidth="1"/>
    <col min="2570" max="2570" width="7.7109375" style="129" customWidth="1"/>
    <col min="2571" max="2571" width="31" style="129" customWidth="1"/>
    <col min="2572" max="2572" width="5.5703125" style="129" bestFit="1" customWidth="1"/>
    <col min="2573" max="2573" width="7.140625" style="129" customWidth="1"/>
    <col min="2574" max="2575" width="6.140625" style="129" bestFit="1" customWidth="1"/>
    <col min="2576" max="2576" width="9.140625" style="129"/>
    <col min="2577" max="2577" width="12.42578125" style="129" bestFit="1" customWidth="1"/>
    <col min="2578" max="2816" width="9.140625" style="129"/>
    <col min="2817" max="2817" width="11.28515625" style="129" customWidth="1"/>
    <col min="2818" max="2818" width="53.42578125" style="129" customWidth="1"/>
    <col min="2819" max="2819" width="6.7109375" style="129" bestFit="1" customWidth="1"/>
    <col min="2820" max="2820" width="3" style="129" customWidth="1"/>
    <col min="2821" max="2821" width="6.7109375" style="129" customWidth="1"/>
    <col min="2822" max="2822" width="8.5703125" style="129" customWidth="1"/>
    <col min="2823" max="2823" width="9.42578125" style="129" customWidth="1"/>
    <col min="2824" max="2824" width="8" style="129" bestFit="1" customWidth="1"/>
    <col min="2825" max="2825" width="12.7109375" style="129" bestFit="1" customWidth="1"/>
    <col min="2826" max="2826" width="7.7109375" style="129" customWidth="1"/>
    <col min="2827" max="2827" width="31" style="129" customWidth="1"/>
    <col min="2828" max="2828" width="5.5703125" style="129" bestFit="1" customWidth="1"/>
    <col min="2829" max="2829" width="7.140625" style="129" customWidth="1"/>
    <col min="2830" max="2831" width="6.140625" style="129" bestFit="1" customWidth="1"/>
    <col min="2832" max="2832" width="9.140625" style="129"/>
    <col min="2833" max="2833" width="12.42578125" style="129" bestFit="1" customWidth="1"/>
    <col min="2834" max="3072" width="9.140625" style="129"/>
    <col min="3073" max="3073" width="11.28515625" style="129" customWidth="1"/>
    <col min="3074" max="3074" width="53.42578125" style="129" customWidth="1"/>
    <col min="3075" max="3075" width="6.7109375" style="129" bestFit="1" customWidth="1"/>
    <col min="3076" max="3076" width="3" style="129" customWidth="1"/>
    <col min="3077" max="3077" width="6.7109375" style="129" customWidth="1"/>
    <col min="3078" max="3078" width="8.5703125" style="129" customWidth="1"/>
    <col min="3079" max="3079" width="9.42578125" style="129" customWidth="1"/>
    <col min="3080" max="3080" width="8" style="129" bestFit="1" customWidth="1"/>
    <col min="3081" max="3081" width="12.7109375" style="129" bestFit="1" customWidth="1"/>
    <col min="3082" max="3082" width="7.7109375" style="129" customWidth="1"/>
    <col min="3083" max="3083" width="31" style="129" customWidth="1"/>
    <col min="3084" max="3084" width="5.5703125" style="129" bestFit="1" customWidth="1"/>
    <col min="3085" max="3085" width="7.140625" style="129" customWidth="1"/>
    <col min="3086" max="3087" width="6.140625" style="129" bestFit="1" customWidth="1"/>
    <col min="3088" max="3088" width="9.140625" style="129"/>
    <col min="3089" max="3089" width="12.42578125" style="129" bestFit="1" customWidth="1"/>
    <col min="3090" max="3328" width="9.140625" style="129"/>
    <col min="3329" max="3329" width="11.28515625" style="129" customWidth="1"/>
    <col min="3330" max="3330" width="53.42578125" style="129" customWidth="1"/>
    <col min="3331" max="3331" width="6.7109375" style="129" bestFit="1" customWidth="1"/>
    <col min="3332" max="3332" width="3" style="129" customWidth="1"/>
    <col min="3333" max="3333" width="6.7109375" style="129" customWidth="1"/>
    <col min="3334" max="3334" width="8.5703125" style="129" customWidth="1"/>
    <col min="3335" max="3335" width="9.42578125" style="129" customWidth="1"/>
    <col min="3336" max="3336" width="8" style="129" bestFit="1" customWidth="1"/>
    <col min="3337" max="3337" width="12.7109375" style="129" bestFit="1" customWidth="1"/>
    <col min="3338" max="3338" width="7.7109375" style="129" customWidth="1"/>
    <col min="3339" max="3339" width="31" style="129" customWidth="1"/>
    <col min="3340" max="3340" width="5.5703125" style="129" bestFit="1" customWidth="1"/>
    <col min="3341" max="3341" width="7.140625" style="129" customWidth="1"/>
    <col min="3342" max="3343" width="6.140625" style="129" bestFit="1" customWidth="1"/>
    <col min="3344" max="3344" width="9.140625" style="129"/>
    <col min="3345" max="3345" width="12.42578125" style="129" bestFit="1" customWidth="1"/>
    <col min="3346" max="3584" width="9.140625" style="129"/>
    <col min="3585" max="3585" width="11.28515625" style="129" customWidth="1"/>
    <col min="3586" max="3586" width="53.42578125" style="129" customWidth="1"/>
    <col min="3587" max="3587" width="6.7109375" style="129" bestFit="1" customWidth="1"/>
    <col min="3588" max="3588" width="3" style="129" customWidth="1"/>
    <col min="3589" max="3589" width="6.7109375" style="129" customWidth="1"/>
    <col min="3590" max="3590" width="8.5703125" style="129" customWidth="1"/>
    <col min="3591" max="3591" width="9.42578125" style="129" customWidth="1"/>
    <col min="3592" max="3592" width="8" style="129" bestFit="1" customWidth="1"/>
    <col min="3593" max="3593" width="12.7109375" style="129" bestFit="1" customWidth="1"/>
    <col min="3594" max="3594" width="7.7109375" style="129" customWidth="1"/>
    <col min="3595" max="3595" width="31" style="129" customWidth="1"/>
    <col min="3596" max="3596" width="5.5703125" style="129" bestFit="1" customWidth="1"/>
    <col min="3597" max="3597" width="7.140625" style="129" customWidth="1"/>
    <col min="3598" max="3599" width="6.140625" style="129" bestFit="1" customWidth="1"/>
    <col min="3600" max="3600" width="9.140625" style="129"/>
    <col min="3601" max="3601" width="12.42578125" style="129" bestFit="1" customWidth="1"/>
    <col min="3602" max="3840" width="9.140625" style="129"/>
    <col min="3841" max="3841" width="11.28515625" style="129" customWidth="1"/>
    <col min="3842" max="3842" width="53.42578125" style="129" customWidth="1"/>
    <col min="3843" max="3843" width="6.7109375" style="129" bestFit="1" customWidth="1"/>
    <col min="3844" max="3844" width="3" style="129" customWidth="1"/>
    <col min="3845" max="3845" width="6.7109375" style="129" customWidth="1"/>
    <col min="3846" max="3846" width="8.5703125" style="129" customWidth="1"/>
    <col min="3847" max="3847" width="9.42578125" style="129" customWidth="1"/>
    <col min="3848" max="3848" width="8" style="129" bestFit="1" customWidth="1"/>
    <col min="3849" max="3849" width="12.7109375" style="129" bestFit="1" customWidth="1"/>
    <col min="3850" max="3850" width="7.7109375" style="129" customWidth="1"/>
    <col min="3851" max="3851" width="31" style="129" customWidth="1"/>
    <col min="3852" max="3852" width="5.5703125" style="129" bestFit="1" customWidth="1"/>
    <col min="3853" max="3853" width="7.140625" style="129" customWidth="1"/>
    <col min="3854" max="3855" width="6.140625" style="129" bestFit="1" customWidth="1"/>
    <col min="3856" max="3856" width="9.140625" style="129"/>
    <col min="3857" max="3857" width="12.42578125" style="129" bestFit="1" customWidth="1"/>
    <col min="3858" max="4096" width="9.140625" style="129"/>
    <col min="4097" max="4097" width="11.28515625" style="129" customWidth="1"/>
    <col min="4098" max="4098" width="53.42578125" style="129" customWidth="1"/>
    <col min="4099" max="4099" width="6.7109375" style="129" bestFit="1" customWidth="1"/>
    <col min="4100" max="4100" width="3" style="129" customWidth="1"/>
    <col min="4101" max="4101" width="6.7109375" style="129" customWidth="1"/>
    <col min="4102" max="4102" width="8.5703125" style="129" customWidth="1"/>
    <col min="4103" max="4103" width="9.42578125" style="129" customWidth="1"/>
    <col min="4104" max="4104" width="8" style="129" bestFit="1" customWidth="1"/>
    <col min="4105" max="4105" width="12.7109375" style="129" bestFit="1" customWidth="1"/>
    <col min="4106" max="4106" width="7.7109375" style="129" customWidth="1"/>
    <col min="4107" max="4107" width="31" style="129" customWidth="1"/>
    <col min="4108" max="4108" width="5.5703125" style="129" bestFit="1" customWidth="1"/>
    <col min="4109" max="4109" width="7.140625" style="129" customWidth="1"/>
    <col min="4110" max="4111" width="6.140625" style="129" bestFit="1" customWidth="1"/>
    <col min="4112" max="4112" width="9.140625" style="129"/>
    <col min="4113" max="4113" width="12.42578125" style="129" bestFit="1" customWidth="1"/>
    <col min="4114" max="4352" width="9.140625" style="129"/>
    <col min="4353" max="4353" width="11.28515625" style="129" customWidth="1"/>
    <col min="4354" max="4354" width="53.42578125" style="129" customWidth="1"/>
    <col min="4355" max="4355" width="6.7109375" style="129" bestFit="1" customWidth="1"/>
    <col min="4356" max="4356" width="3" style="129" customWidth="1"/>
    <col min="4357" max="4357" width="6.7109375" style="129" customWidth="1"/>
    <col min="4358" max="4358" width="8.5703125" style="129" customWidth="1"/>
    <col min="4359" max="4359" width="9.42578125" style="129" customWidth="1"/>
    <col min="4360" max="4360" width="8" style="129" bestFit="1" customWidth="1"/>
    <col min="4361" max="4361" width="12.7109375" style="129" bestFit="1" customWidth="1"/>
    <col min="4362" max="4362" width="7.7109375" style="129" customWidth="1"/>
    <col min="4363" max="4363" width="31" style="129" customWidth="1"/>
    <col min="4364" max="4364" width="5.5703125" style="129" bestFit="1" customWidth="1"/>
    <col min="4365" max="4365" width="7.140625" style="129" customWidth="1"/>
    <col min="4366" max="4367" width="6.140625" style="129" bestFit="1" customWidth="1"/>
    <col min="4368" max="4368" width="9.140625" style="129"/>
    <col min="4369" max="4369" width="12.42578125" style="129" bestFit="1" customWidth="1"/>
    <col min="4370" max="4608" width="9.140625" style="129"/>
    <col min="4609" max="4609" width="11.28515625" style="129" customWidth="1"/>
    <col min="4610" max="4610" width="53.42578125" style="129" customWidth="1"/>
    <col min="4611" max="4611" width="6.7109375" style="129" bestFit="1" customWidth="1"/>
    <col min="4612" max="4612" width="3" style="129" customWidth="1"/>
    <col min="4613" max="4613" width="6.7109375" style="129" customWidth="1"/>
    <col min="4614" max="4614" width="8.5703125" style="129" customWidth="1"/>
    <col min="4615" max="4615" width="9.42578125" style="129" customWidth="1"/>
    <col min="4616" max="4616" width="8" style="129" bestFit="1" customWidth="1"/>
    <col min="4617" max="4617" width="12.7109375" style="129" bestFit="1" customWidth="1"/>
    <col min="4618" max="4618" width="7.7109375" style="129" customWidth="1"/>
    <col min="4619" max="4619" width="31" style="129" customWidth="1"/>
    <col min="4620" max="4620" width="5.5703125" style="129" bestFit="1" customWidth="1"/>
    <col min="4621" max="4621" width="7.140625" style="129" customWidth="1"/>
    <col min="4622" max="4623" width="6.140625" style="129" bestFit="1" customWidth="1"/>
    <col min="4624" max="4624" width="9.140625" style="129"/>
    <col min="4625" max="4625" width="12.42578125" style="129" bestFit="1" customWidth="1"/>
    <col min="4626" max="4864" width="9.140625" style="129"/>
    <col min="4865" max="4865" width="11.28515625" style="129" customWidth="1"/>
    <col min="4866" max="4866" width="53.42578125" style="129" customWidth="1"/>
    <col min="4867" max="4867" width="6.7109375" style="129" bestFit="1" customWidth="1"/>
    <col min="4868" max="4868" width="3" style="129" customWidth="1"/>
    <col min="4869" max="4869" width="6.7109375" style="129" customWidth="1"/>
    <col min="4870" max="4870" width="8.5703125" style="129" customWidth="1"/>
    <col min="4871" max="4871" width="9.42578125" style="129" customWidth="1"/>
    <col min="4872" max="4872" width="8" style="129" bestFit="1" customWidth="1"/>
    <col min="4873" max="4873" width="12.7109375" style="129" bestFit="1" customWidth="1"/>
    <col min="4874" max="4874" width="7.7109375" style="129" customWidth="1"/>
    <col min="4875" max="4875" width="31" style="129" customWidth="1"/>
    <col min="4876" max="4876" width="5.5703125" style="129" bestFit="1" customWidth="1"/>
    <col min="4877" max="4877" width="7.140625" style="129" customWidth="1"/>
    <col min="4878" max="4879" width="6.140625" style="129" bestFit="1" customWidth="1"/>
    <col min="4880" max="4880" width="9.140625" style="129"/>
    <col min="4881" max="4881" width="12.42578125" style="129" bestFit="1" customWidth="1"/>
    <col min="4882" max="5120" width="9.140625" style="129"/>
    <col min="5121" max="5121" width="11.28515625" style="129" customWidth="1"/>
    <col min="5122" max="5122" width="53.42578125" style="129" customWidth="1"/>
    <col min="5123" max="5123" width="6.7109375" style="129" bestFit="1" customWidth="1"/>
    <col min="5124" max="5124" width="3" style="129" customWidth="1"/>
    <col min="5125" max="5125" width="6.7109375" style="129" customWidth="1"/>
    <col min="5126" max="5126" width="8.5703125" style="129" customWidth="1"/>
    <col min="5127" max="5127" width="9.42578125" style="129" customWidth="1"/>
    <col min="5128" max="5128" width="8" style="129" bestFit="1" customWidth="1"/>
    <col min="5129" max="5129" width="12.7109375" style="129" bestFit="1" customWidth="1"/>
    <col min="5130" max="5130" width="7.7109375" style="129" customWidth="1"/>
    <col min="5131" max="5131" width="31" style="129" customWidth="1"/>
    <col min="5132" max="5132" width="5.5703125" style="129" bestFit="1" customWidth="1"/>
    <col min="5133" max="5133" width="7.140625" style="129" customWidth="1"/>
    <col min="5134" max="5135" width="6.140625" style="129" bestFit="1" customWidth="1"/>
    <col min="5136" max="5136" width="9.140625" style="129"/>
    <col min="5137" max="5137" width="12.42578125" style="129" bestFit="1" customWidth="1"/>
    <col min="5138" max="5376" width="9.140625" style="129"/>
    <col min="5377" max="5377" width="11.28515625" style="129" customWidth="1"/>
    <col min="5378" max="5378" width="53.42578125" style="129" customWidth="1"/>
    <col min="5379" max="5379" width="6.7109375" style="129" bestFit="1" customWidth="1"/>
    <col min="5380" max="5380" width="3" style="129" customWidth="1"/>
    <col min="5381" max="5381" width="6.7109375" style="129" customWidth="1"/>
    <col min="5382" max="5382" width="8.5703125" style="129" customWidth="1"/>
    <col min="5383" max="5383" width="9.42578125" style="129" customWidth="1"/>
    <col min="5384" max="5384" width="8" style="129" bestFit="1" customWidth="1"/>
    <col min="5385" max="5385" width="12.7109375" style="129" bestFit="1" customWidth="1"/>
    <col min="5386" max="5386" width="7.7109375" style="129" customWidth="1"/>
    <col min="5387" max="5387" width="31" style="129" customWidth="1"/>
    <col min="5388" max="5388" width="5.5703125" style="129" bestFit="1" customWidth="1"/>
    <col min="5389" max="5389" width="7.140625" style="129" customWidth="1"/>
    <col min="5390" max="5391" width="6.140625" style="129" bestFit="1" customWidth="1"/>
    <col min="5392" max="5392" width="9.140625" style="129"/>
    <col min="5393" max="5393" width="12.42578125" style="129" bestFit="1" customWidth="1"/>
    <col min="5394" max="5632" width="9.140625" style="129"/>
    <col min="5633" max="5633" width="11.28515625" style="129" customWidth="1"/>
    <col min="5634" max="5634" width="53.42578125" style="129" customWidth="1"/>
    <col min="5635" max="5635" width="6.7109375" style="129" bestFit="1" customWidth="1"/>
    <col min="5636" max="5636" width="3" style="129" customWidth="1"/>
    <col min="5637" max="5637" width="6.7109375" style="129" customWidth="1"/>
    <col min="5638" max="5638" width="8.5703125" style="129" customWidth="1"/>
    <col min="5639" max="5639" width="9.42578125" style="129" customWidth="1"/>
    <col min="5640" max="5640" width="8" style="129" bestFit="1" customWidth="1"/>
    <col min="5641" max="5641" width="12.7109375" style="129" bestFit="1" customWidth="1"/>
    <col min="5642" max="5642" width="7.7109375" style="129" customWidth="1"/>
    <col min="5643" max="5643" width="31" style="129" customWidth="1"/>
    <col min="5644" max="5644" width="5.5703125" style="129" bestFit="1" customWidth="1"/>
    <col min="5645" max="5645" width="7.140625" style="129" customWidth="1"/>
    <col min="5646" max="5647" width="6.140625" style="129" bestFit="1" customWidth="1"/>
    <col min="5648" max="5648" width="9.140625" style="129"/>
    <col min="5649" max="5649" width="12.42578125" style="129" bestFit="1" customWidth="1"/>
    <col min="5650" max="5888" width="9.140625" style="129"/>
    <col min="5889" max="5889" width="11.28515625" style="129" customWidth="1"/>
    <col min="5890" max="5890" width="53.42578125" style="129" customWidth="1"/>
    <col min="5891" max="5891" width="6.7109375" style="129" bestFit="1" customWidth="1"/>
    <col min="5892" max="5892" width="3" style="129" customWidth="1"/>
    <col min="5893" max="5893" width="6.7109375" style="129" customWidth="1"/>
    <col min="5894" max="5894" width="8.5703125" style="129" customWidth="1"/>
    <col min="5895" max="5895" width="9.42578125" style="129" customWidth="1"/>
    <col min="5896" max="5896" width="8" style="129" bestFit="1" customWidth="1"/>
    <col min="5897" max="5897" width="12.7109375" style="129" bestFit="1" customWidth="1"/>
    <col min="5898" max="5898" width="7.7109375" style="129" customWidth="1"/>
    <col min="5899" max="5899" width="31" style="129" customWidth="1"/>
    <col min="5900" max="5900" width="5.5703125" style="129" bestFit="1" customWidth="1"/>
    <col min="5901" max="5901" width="7.140625" style="129" customWidth="1"/>
    <col min="5902" max="5903" width="6.140625" style="129" bestFit="1" customWidth="1"/>
    <col min="5904" max="5904" width="9.140625" style="129"/>
    <col min="5905" max="5905" width="12.42578125" style="129" bestFit="1" customWidth="1"/>
    <col min="5906" max="6144" width="9.140625" style="129"/>
    <col min="6145" max="6145" width="11.28515625" style="129" customWidth="1"/>
    <col min="6146" max="6146" width="53.42578125" style="129" customWidth="1"/>
    <col min="6147" max="6147" width="6.7109375" style="129" bestFit="1" customWidth="1"/>
    <col min="6148" max="6148" width="3" style="129" customWidth="1"/>
    <col min="6149" max="6149" width="6.7109375" style="129" customWidth="1"/>
    <col min="6150" max="6150" width="8.5703125" style="129" customWidth="1"/>
    <col min="6151" max="6151" width="9.42578125" style="129" customWidth="1"/>
    <col min="6152" max="6152" width="8" style="129" bestFit="1" customWidth="1"/>
    <col min="6153" max="6153" width="12.7109375" style="129" bestFit="1" customWidth="1"/>
    <col min="6154" max="6154" width="7.7109375" style="129" customWidth="1"/>
    <col min="6155" max="6155" width="31" style="129" customWidth="1"/>
    <col min="6156" max="6156" width="5.5703125" style="129" bestFit="1" customWidth="1"/>
    <col min="6157" max="6157" width="7.140625" style="129" customWidth="1"/>
    <col min="6158" max="6159" width="6.140625" style="129" bestFit="1" customWidth="1"/>
    <col min="6160" max="6160" width="9.140625" style="129"/>
    <col min="6161" max="6161" width="12.42578125" style="129" bestFit="1" customWidth="1"/>
    <col min="6162" max="6400" width="9.140625" style="129"/>
    <col min="6401" max="6401" width="11.28515625" style="129" customWidth="1"/>
    <col min="6402" max="6402" width="53.42578125" style="129" customWidth="1"/>
    <col min="6403" max="6403" width="6.7109375" style="129" bestFit="1" customWidth="1"/>
    <col min="6404" max="6404" width="3" style="129" customWidth="1"/>
    <col min="6405" max="6405" width="6.7109375" style="129" customWidth="1"/>
    <col min="6406" max="6406" width="8.5703125" style="129" customWidth="1"/>
    <col min="6407" max="6407" width="9.42578125" style="129" customWidth="1"/>
    <col min="6408" max="6408" width="8" style="129" bestFit="1" customWidth="1"/>
    <col min="6409" max="6409" width="12.7109375" style="129" bestFit="1" customWidth="1"/>
    <col min="6410" max="6410" width="7.7109375" style="129" customWidth="1"/>
    <col min="6411" max="6411" width="31" style="129" customWidth="1"/>
    <col min="6412" max="6412" width="5.5703125" style="129" bestFit="1" customWidth="1"/>
    <col min="6413" max="6413" width="7.140625" style="129" customWidth="1"/>
    <col min="6414" max="6415" width="6.140625" style="129" bestFit="1" customWidth="1"/>
    <col min="6416" max="6416" width="9.140625" style="129"/>
    <col min="6417" max="6417" width="12.42578125" style="129" bestFit="1" customWidth="1"/>
    <col min="6418" max="6656" width="9.140625" style="129"/>
    <col min="6657" max="6657" width="11.28515625" style="129" customWidth="1"/>
    <col min="6658" max="6658" width="53.42578125" style="129" customWidth="1"/>
    <col min="6659" max="6659" width="6.7109375" style="129" bestFit="1" customWidth="1"/>
    <col min="6660" max="6660" width="3" style="129" customWidth="1"/>
    <col min="6661" max="6661" width="6.7109375" style="129" customWidth="1"/>
    <col min="6662" max="6662" width="8.5703125" style="129" customWidth="1"/>
    <col min="6663" max="6663" width="9.42578125" style="129" customWidth="1"/>
    <col min="6664" max="6664" width="8" style="129" bestFit="1" customWidth="1"/>
    <col min="6665" max="6665" width="12.7109375" style="129" bestFit="1" customWidth="1"/>
    <col min="6666" max="6666" width="7.7109375" style="129" customWidth="1"/>
    <col min="6667" max="6667" width="31" style="129" customWidth="1"/>
    <col min="6668" max="6668" width="5.5703125" style="129" bestFit="1" customWidth="1"/>
    <col min="6669" max="6669" width="7.140625" style="129" customWidth="1"/>
    <col min="6670" max="6671" width="6.140625" style="129" bestFit="1" customWidth="1"/>
    <col min="6672" max="6672" width="9.140625" style="129"/>
    <col min="6673" max="6673" width="12.42578125" style="129" bestFit="1" customWidth="1"/>
    <col min="6674" max="6912" width="9.140625" style="129"/>
    <col min="6913" max="6913" width="11.28515625" style="129" customWidth="1"/>
    <col min="6914" max="6914" width="53.42578125" style="129" customWidth="1"/>
    <col min="6915" max="6915" width="6.7109375" style="129" bestFit="1" customWidth="1"/>
    <col min="6916" max="6916" width="3" style="129" customWidth="1"/>
    <col min="6917" max="6917" width="6.7109375" style="129" customWidth="1"/>
    <col min="6918" max="6918" width="8.5703125" style="129" customWidth="1"/>
    <col min="6919" max="6919" width="9.42578125" style="129" customWidth="1"/>
    <col min="6920" max="6920" width="8" style="129" bestFit="1" customWidth="1"/>
    <col min="6921" max="6921" width="12.7109375" style="129" bestFit="1" customWidth="1"/>
    <col min="6922" max="6922" width="7.7109375" style="129" customWidth="1"/>
    <col min="6923" max="6923" width="31" style="129" customWidth="1"/>
    <col min="6924" max="6924" width="5.5703125" style="129" bestFit="1" customWidth="1"/>
    <col min="6925" max="6925" width="7.140625" style="129" customWidth="1"/>
    <col min="6926" max="6927" width="6.140625" style="129" bestFit="1" customWidth="1"/>
    <col min="6928" max="6928" width="9.140625" style="129"/>
    <col min="6929" max="6929" width="12.42578125" style="129" bestFit="1" customWidth="1"/>
    <col min="6930" max="7168" width="9.140625" style="129"/>
    <col min="7169" max="7169" width="11.28515625" style="129" customWidth="1"/>
    <col min="7170" max="7170" width="53.42578125" style="129" customWidth="1"/>
    <col min="7171" max="7171" width="6.7109375" style="129" bestFit="1" customWidth="1"/>
    <col min="7172" max="7172" width="3" style="129" customWidth="1"/>
    <col min="7173" max="7173" width="6.7109375" style="129" customWidth="1"/>
    <col min="7174" max="7174" width="8.5703125" style="129" customWidth="1"/>
    <col min="7175" max="7175" width="9.42578125" style="129" customWidth="1"/>
    <col min="7176" max="7176" width="8" style="129" bestFit="1" customWidth="1"/>
    <col min="7177" max="7177" width="12.7109375" style="129" bestFit="1" customWidth="1"/>
    <col min="7178" max="7178" width="7.7109375" style="129" customWidth="1"/>
    <col min="7179" max="7179" width="31" style="129" customWidth="1"/>
    <col min="7180" max="7180" width="5.5703125" style="129" bestFit="1" customWidth="1"/>
    <col min="7181" max="7181" width="7.140625" style="129" customWidth="1"/>
    <col min="7182" max="7183" width="6.140625" style="129" bestFit="1" customWidth="1"/>
    <col min="7184" max="7184" width="9.140625" style="129"/>
    <col min="7185" max="7185" width="12.42578125" style="129" bestFit="1" customWidth="1"/>
    <col min="7186" max="7424" width="9.140625" style="129"/>
    <col min="7425" max="7425" width="11.28515625" style="129" customWidth="1"/>
    <col min="7426" max="7426" width="53.42578125" style="129" customWidth="1"/>
    <col min="7427" max="7427" width="6.7109375" style="129" bestFit="1" customWidth="1"/>
    <col min="7428" max="7428" width="3" style="129" customWidth="1"/>
    <col min="7429" max="7429" width="6.7109375" style="129" customWidth="1"/>
    <col min="7430" max="7430" width="8.5703125" style="129" customWidth="1"/>
    <col min="7431" max="7431" width="9.42578125" style="129" customWidth="1"/>
    <col min="7432" max="7432" width="8" style="129" bestFit="1" customWidth="1"/>
    <col min="7433" max="7433" width="12.7109375" style="129" bestFit="1" customWidth="1"/>
    <col min="7434" max="7434" width="7.7109375" style="129" customWidth="1"/>
    <col min="7435" max="7435" width="31" style="129" customWidth="1"/>
    <col min="7436" max="7436" width="5.5703125" style="129" bestFit="1" customWidth="1"/>
    <col min="7437" max="7437" width="7.140625" style="129" customWidth="1"/>
    <col min="7438" max="7439" width="6.140625" style="129" bestFit="1" customWidth="1"/>
    <col min="7440" max="7440" width="9.140625" style="129"/>
    <col min="7441" max="7441" width="12.42578125" style="129" bestFit="1" customWidth="1"/>
    <col min="7442" max="7680" width="9.140625" style="129"/>
    <col min="7681" max="7681" width="11.28515625" style="129" customWidth="1"/>
    <col min="7682" max="7682" width="53.42578125" style="129" customWidth="1"/>
    <col min="7683" max="7683" width="6.7109375" style="129" bestFit="1" customWidth="1"/>
    <col min="7684" max="7684" width="3" style="129" customWidth="1"/>
    <col min="7685" max="7685" width="6.7109375" style="129" customWidth="1"/>
    <col min="7686" max="7686" width="8.5703125" style="129" customWidth="1"/>
    <col min="7687" max="7687" width="9.42578125" style="129" customWidth="1"/>
    <col min="7688" max="7688" width="8" style="129" bestFit="1" customWidth="1"/>
    <col min="7689" max="7689" width="12.7109375" style="129" bestFit="1" customWidth="1"/>
    <col min="7690" max="7690" width="7.7109375" style="129" customWidth="1"/>
    <col min="7691" max="7691" width="31" style="129" customWidth="1"/>
    <col min="7692" max="7692" width="5.5703125" style="129" bestFit="1" customWidth="1"/>
    <col min="7693" max="7693" width="7.140625" style="129" customWidth="1"/>
    <col min="7694" max="7695" width="6.140625" style="129" bestFit="1" customWidth="1"/>
    <col min="7696" max="7696" width="9.140625" style="129"/>
    <col min="7697" max="7697" width="12.42578125" style="129" bestFit="1" customWidth="1"/>
    <col min="7698" max="7936" width="9.140625" style="129"/>
    <col min="7937" max="7937" width="11.28515625" style="129" customWidth="1"/>
    <col min="7938" max="7938" width="53.42578125" style="129" customWidth="1"/>
    <col min="7939" max="7939" width="6.7109375" style="129" bestFit="1" customWidth="1"/>
    <col min="7940" max="7940" width="3" style="129" customWidth="1"/>
    <col min="7941" max="7941" width="6.7109375" style="129" customWidth="1"/>
    <col min="7942" max="7942" width="8.5703125" style="129" customWidth="1"/>
    <col min="7943" max="7943" width="9.42578125" style="129" customWidth="1"/>
    <col min="7944" max="7944" width="8" style="129" bestFit="1" customWidth="1"/>
    <col min="7945" max="7945" width="12.7109375" style="129" bestFit="1" customWidth="1"/>
    <col min="7946" max="7946" width="7.7109375" style="129" customWidth="1"/>
    <col min="7947" max="7947" width="31" style="129" customWidth="1"/>
    <col min="7948" max="7948" width="5.5703125" style="129" bestFit="1" customWidth="1"/>
    <col min="7949" max="7949" width="7.140625" style="129" customWidth="1"/>
    <col min="7950" max="7951" width="6.140625" style="129" bestFit="1" customWidth="1"/>
    <col min="7952" max="7952" width="9.140625" style="129"/>
    <col min="7953" max="7953" width="12.42578125" style="129" bestFit="1" customWidth="1"/>
    <col min="7954" max="8192" width="9.140625" style="129"/>
    <col min="8193" max="8193" width="11.28515625" style="129" customWidth="1"/>
    <col min="8194" max="8194" width="53.42578125" style="129" customWidth="1"/>
    <col min="8195" max="8195" width="6.7109375" style="129" bestFit="1" customWidth="1"/>
    <col min="8196" max="8196" width="3" style="129" customWidth="1"/>
    <col min="8197" max="8197" width="6.7109375" style="129" customWidth="1"/>
    <col min="8198" max="8198" width="8.5703125" style="129" customWidth="1"/>
    <col min="8199" max="8199" width="9.42578125" style="129" customWidth="1"/>
    <col min="8200" max="8200" width="8" style="129" bestFit="1" customWidth="1"/>
    <col min="8201" max="8201" width="12.7109375" style="129" bestFit="1" customWidth="1"/>
    <col min="8202" max="8202" width="7.7109375" style="129" customWidth="1"/>
    <col min="8203" max="8203" width="31" style="129" customWidth="1"/>
    <col min="8204" max="8204" width="5.5703125" style="129" bestFit="1" customWidth="1"/>
    <col min="8205" max="8205" width="7.140625" style="129" customWidth="1"/>
    <col min="8206" max="8207" width="6.140625" style="129" bestFit="1" customWidth="1"/>
    <col min="8208" max="8208" width="9.140625" style="129"/>
    <col min="8209" max="8209" width="12.42578125" style="129" bestFit="1" customWidth="1"/>
    <col min="8210" max="8448" width="9.140625" style="129"/>
    <col min="8449" max="8449" width="11.28515625" style="129" customWidth="1"/>
    <col min="8450" max="8450" width="53.42578125" style="129" customWidth="1"/>
    <col min="8451" max="8451" width="6.7109375" style="129" bestFit="1" customWidth="1"/>
    <col min="8452" max="8452" width="3" style="129" customWidth="1"/>
    <col min="8453" max="8453" width="6.7109375" style="129" customWidth="1"/>
    <col min="8454" max="8454" width="8.5703125" style="129" customWidth="1"/>
    <col min="8455" max="8455" width="9.42578125" style="129" customWidth="1"/>
    <col min="8456" max="8456" width="8" style="129" bestFit="1" customWidth="1"/>
    <col min="8457" max="8457" width="12.7109375" style="129" bestFit="1" customWidth="1"/>
    <col min="8458" max="8458" width="7.7109375" style="129" customWidth="1"/>
    <col min="8459" max="8459" width="31" style="129" customWidth="1"/>
    <col min="8460" max="8460" width="5.5703125" style="129" bestFit="1" customWidth="1"/>
    <col min="8461" max="8461" width="7.140625" style="129" customWidth="1"/>
    <col min="8462" max="8463" width="6.140625" style="129" bestFit="1" customWidth="1"/>
    <col min="8464" max="8464" width="9.140625" style="129"/>
    <col min="8465" max="8465" width="12.42578125" style="129" bestFit="1" customWidth="1"/>
    <col min="8466" max="8704" width="9.140625" style="129"/>
    <col min="8705" max="8705" width="11.28515625" style="129" customWidth="1"/>
    <col min="8706" max="8706" width="53.42578125" style="129" customWidth="1"/>
    <col min="8707" max="8707" width="6.7109375" style="129" bestFit="1" customWidth="1"/>
    <col min="8708" max="8708" width="3" style="129" customWidth="1"/>
    <col min="8709" max="8709" width="6.7109375" style="129" customWidth="1"/>
    <col min="8710" max="8710" width="8.5703125" style="129" customWidth="1"/>
    <col min="8711" max="8711" width="9.42578125" style="129" customWidth="1"/>
    <col min="8712" max="8712" width="8" style="129" bestFit="1" customWidth="1"/>
    <col min="8713" max="8713" width="12.7109375" style="129" bestFit="1" customWidth="1"/>
    <col min="8714" max="8714" width="7.7109375" style="129" customWidth="1"/>
    <col min="8715" max="8715" width="31" style="129" customWidth="1"/>
    <col min="8716" max="8716" width="5.5703125" style="129" bestFit="1" customWidth="1"/>
    <col min="8717" max="8717" width="7.140625" style="129" customWidth="1"/>
    <col min="8718" max="8719" width="6.140625" style="129" bestFit="1" customWidth="1"/>
    <col min="8720" max="8720" width="9.140625" style="129"/>
    <col min="8721" max="8721" width="12.42578125" style="129" bestFit="1" customWidth="1"/>
    <col min="8722" max="8960" width="9.140625" style="129"/>
    <col min="8961" max="8961" width="11.28515625" style="129" customWidth="1"/>
    <col min="8962" max="8962" width="53.42578125" style="129" customWidth="1"/>
    <col min="8963" max="8963" width="6.7109375" style="129" bestFit="1" customWidth="1"/>
    <col min="8964" max="8964" width="3" style="129" customWidth="1"/>
    <col min="8965" max="8965" width="6.7109375" style="129" customWidth="1"/>
    <col min="8966" max="8966" width="8.5703125" style="129" customWidth="1"/>
    <col min="8967" max="8967" width="9.42578125" style="129" customWidth="1"/>
    <col min="8968" max="8968" width="8" style="129" bestFit="1" customWidth="1"/>
    <col min="8969" max="8969" width="12.7109375" style="129" bestFit="1" customWidth="1"/>
    <col min="8970" max="8970" width="7.7109375" style="129" customWidth="1"/>
    <col min="8971" max="8971" width="31" style="129" customWidth="1"/>
    <col min="8972" max="8972" width="5.5703125" style="129" bestFit="1" customWidth="1"/>
    <col min="8973" max="8973" width="7.140625" style="129" customWidth="1"/>
    <col min="8974" max="8975" width="6.140625" style="129" bestFit="1" customWidth="1"/>
    <col min="8976" max="8976" width="9.140625" style="129"/>
    <col min="8977" max="8977" width="12.42578125" style="129" bestFit="1" customWidth="1"/>
    <col min="8978" max="9216" width="9.140625" style="129"/>
    <col min="9217" max="9217" width="11.28515625" style="129" customWidth="1"/>
    <col min="9218" max="9218" width="53.42578125" style="129" customWidth="1"/>
    <col min="9219" max="9219" width="6.7109375" style="129" bestFit="1" customWidth="1"/>
    <col min="9220" max="9220" width="3" style="129" customWidth="1"/>
    <col min="9221" max="9221" width="6.7109375" style="129" customWidth="1"/>
    <col min="9222" max="9222" width="8.5703125" style="129" customWidth="1"/>
    <col min="9223" max="9223" width="9.42578125" style="129" customWidth="1"/>
    <col min="9224" max="9224" width="8" style="129" bestFit="1" customWidth="1"/>
    <col min="9225" max="9225" width="12.7109375" style="129" bestFit="1" customWidth="1"/>
    <col min="9226" max="9226" width="7.7109375" style="129" customWidth="1"/>
    <col min="9227" max="9227" width="31" style="129" customWidth="1"/>
    <col min="9228" max="9228" width="5.5703125" style="129" bestFit="1" customWidth="1"/>
    <col min="9229" max="9229" width="7.140625" style="129" customWidth="1"/>
    <col min="9230" max="9231" width="6.140625" style="129" bestFit="1" customWidth="1"/>
    <col min="9232" max="9232" width="9.140625" style="129"/>
    <col min="9233" max="9233" width="12.42578125" style="129" bestFit="1" customWidth="1"/>
    <col min="9234" max="9472" width="9.140625" style="129"/>
    <col min="9473" max="9473" width="11.28515625" style="129" customWidth="1"/>
    <col min="9474" max="9474" width="53.42578125" style="129" customWidth="1"/>
    <col min="9475" max="9475" width="6.7109375" style="129" bestFit="1" customWidth="1"/>
    <col min="9476" max="9476" width="3" style="129" customWidth="1"/>
    <col min="9477" max="9477" width="6.7109375" style="129" customWidth="1"/>
    <col min="9478" max="9478" width="8.5703125" style="129" customWidth="1"/>
    <col min="9479" max="9479" width="9.42578125" style="129" customWidth="1"/>
    <col min="9480" max="9480" width="8" style="129" bestFit="1" customWidth="1"/>
    <col min="9481" max="9481" width="12.7109375" style="129" bestFit="1" customWidth="1"/>
    <col min="9482" max="9482" width="7.7109375" style="129" customWidth="1"/>
    <col min="9483" max="9483" width="31" style="129" customWidth="1"/>
    <col min="9484" max="9484" width="5.5703125" style="129" bestFit="1" customWidth="1"/>
    <col min="9485" max="9485" width="7.140625" style="129" customWidth="1"/>
    <col min="9486" max="9487" width="6.140625" style="129" bestFit="1" customWidth="1"/>
    <col min="9488" max="9488" width="9.140625" style="129"/>
    <col min="9489" max="9489" width="12.42578125" style="129" bestFit="1" customWidth="1"/>
    <col min="9490" max="9728" width="9.140625" style="129"/>
    <col min="9729" max="9729" width="11.28515625" style="129" customWidth="1"/>
    <col min="9730" max="9730" width="53.42578125" style="129" customWidth="1"/>
    <col min="9731" max="9731" width="6.7109375" style="129" bestFit="1" customWidth="1"/>
    <col min="9732" max="9732" width="3" style="129" customWidth="1"/>
    <col min="9733" max="9733" width="6.7109375" style="129" customWidth="1"/>
    <col min="9734" max="9734" width="8.5703125" style="129" customWidth="1"/>
    <col min="9735" max="9735" width="9.42578125" style="129" customWidth="1"/>
    <col min="9736" max="9736" width="8" style="129" bestFit="1" customWidth="1"/>
    <col min="9737" max="9737" width="12.7109375" style="129" bestFit="1" customWidth="1"/>
    <col min="9738" max="9738" width="7.7109375" style="129" customWidth="1"/>
    <col min="9739" max="9739" width="31" style="129" customWidth="1"/>
    <col min="9740" max="9740" width="5.5703125" style="129" bestFit="1" customWidth="1"/>
    <col min="9741" max="9741" width="7.140625" style="129" customWidth="1"/>
    <col min="9742" max="9743" width="6.140625" style="129" bestFit="1" customWidth="1"/>
    <col min="9744" max="9744" width="9.140625" style="129"/>
    <col min="9745" max="9745" width="12.42578125" style="129" bestFit="1" customWidth="1"/>
    <col min="9746" max="9984" width="9.140625" style="129"/>
    <col min="9985" max="9985" width="11.28515625" style="129" customWidth="1"/>
    <col min="9986" max="9986" width="53.42578125" style="129" customWidth="1"/>
    <col min="9987" max="9987" width="6.7109375" style="129" bestFit="1" customWidth="1"/>
    <col min="9988" max="9988" width="3" style="129" customWidth="1"/>
    <col min="9989" max="9989" width="6.7109375" style="129" customWidth="1"/>
    <col min="9990" max="9990" width="8.5703125" style="129" customWidth="1"/>
    <col min="9991" max="9991" width="9.42578125" style="129" customWidth="1"/>
    <col min="9992" max="9992" width="8" style="129" bestFit="1" customWidth="1"/>
    <col min="9993" max="9993" width="12.7109375" style="129" bestFit="1" customWidth="1"/>
    <col min="9994" max="9994" width="7.7109375" style="129" customWidth="1"/>
    <col min="9995" max="9995" width="31" style="129" customWidth="1"/>
    <col min="9996" max="9996" width="5.5703125" style="129" bestFit="1" customWidth="1"/>
    <col min="9997" max="9997" width="7.140625" style="129" customWidth="1"/>
    <col min="9998" max="9999" width="6.140625" style="129" bestFit="1" customWidth="1"/>
    <col min="10000" max="10000" width="9.140625" style="129"/>
    <col min="10001" max="10001" width="12.42578125" style="129" bestFit="1" customWidth="1"/>
    <col min="10002" max="10240" width="9.140625" style="129"/>
    <col min="10241" max="10241" width="11.28515625" style="129" customWidth="1"/>
    <col min="10242" max="10242" width="53.42578125" style="129" customWidth="1"/>
    <col min="10243" max="10243" width="6.7109375" style="129" bestFit="1" customWidth="1"/>
    <col min="10244" max="10244" width="3" style="129" customWidth="1"/>
    <col min="10245" max="10245" width="6.7109375" style="129" customWidth="1"/>
    <col min="10246" max="10246" width="8.5703125" style="129" customWidth="1"/>
    <col min="10247" max="10247" width="9.42578125" style="129" customWidth="1"/>
    <col min="10248" max="10248" width="8" style="129" bestFit="1" customWidth="1"/>
    <col min="10249" max="10249" width="12.7109375" style="129" bestFit="1" customWidth="1"/>
    <col min="10250" max="10250" width="7.7109375" style="129" customWidth="1"/>
    <col min="10251" max="10251" width="31" style="129" customWidth="1"/>
    <col min="10252" max="10252" width="5.5703125" style="129" bestFit="1" customWidth="1"/>
    <col min="10253" max="10253" width="7.140625" style="129" customWidth="1"/>
    <col min="10254" max="10255" width="6.140625" style="129" bestFit="1" customWidth="1"/>
    <col min="10256" max="10256" width="9.140625" style="129"/>
    <col min="10257" max="10257" width="12.42578125" style="129" bestFit="1" customWidth="1"/>
    <col min="10258" max="10496" width="9.140625" style="129"/>
    <col min="10497" max="10497" width="11.28515625" style="129" customWidth="1"/>
    <col min="10498" max="10498" width="53.42578125" style="129" customWidth="1"/>
    <col min="10499" max="10499" width="6.7109375" style="129" bestFit="1" customWidth="1"/>
    <col min="10500" max="10500" width="3" style="129" customWidth="1"/>
    <col min="10501" max="10501" width="6.7109375" style="129" customWidth="1"/>
    <col min="10502" max="10502" width="8.5703125" style="129" customWidth="1"/>
    <col min="10503" max="10503" width="9.42578125" style="129" customWidth="1"/>
    <col min="10504" max="10504" width="8" style="129" bestFit="1" customWidth="1"/>
    <col min="10505" max="10505" width="12.7109375" style="129" bestFit="1" customWidth="1"/>
    <col min="10506" max="10506" width="7.7109375" style="129" customWidth="1"/>
    <col min="10507" max="10507" width="31" style="129" customWidth="1"/>
    <col min="10508" max="10508" width="5.5703125" style="129" bestFit="1" customWidth="1"/>
    <col min="10509" max="10509" width="7.140625" style="129" customWidth="1"/>
    <col min="10510" max="10511" width="6.140625" style="129" bestFit="1" customWidth="1"/>
    <col min="10512" max="10512" width="9.140625" style="129"/>
    <col min="10513" max="10513" width="12.42578125" style="129" bestFit="1" customWidth="1"/>
    <col min="10514" max="10752" width="9.140625" style="129"/>
    <col min="10753" max="10753" width="11.28515625" style="129" customWidth="1"/>
    <col min="10754" max="10754" width="53.42578125" style="129" customWidth="1"/>
    <col min="10755" max="10755" width="6.7109375" style="129" bestFit="1" customWidth="1"/>
    <col min="10756" max="10756" width="3" style="129" customWidth="1"/>
    <col min="10757" max="10757" width="6.7109375" style="129" customWidth="1"/>
    <col min="10758" max="10758" width="8.5703125" style="129" customWidth="1"/>
    <col min="10759" max="10759" width="9.42578125" style="129" customWidth="1"/>
    <col min="10760" max="10760" width="8" style="129" bestFit="1" customWidth="1"/>
    <col min="10761" max="10761" width="12.7109375" style="129" bestFit="1" customWidth="1"/>
    <col min="10762" max="10762" width="7.7109375" style="129" customWidth="1"/>
    <col min="10763" max="10763" width="31" style="129" customWidth="1"/>
    <col min="10764" max="10764" width="5.5703125" style="129" bestFit="1" customWidth="1"/>
    <col min="10765" max="10765" width="7.140625" style="129" customWidth="1"/>
    <col min="10766" max="10767" width="6.140625" style="129" bestFit="1" customWidth="1"/>
    <col min="10768" max="10768" width="9.140625" style="129"/>
    <col min="10769" max="10769" width="12.42578125" style="129" bestFit="1" customWidth="1"/>
    <col min="10770" max="11008" width="9.140625" style="129"/>
    <col min="11009" max="11009" width="11.28515625" style="129" customWidth="1"/>
    <col min="11010" max="11010" width="53.42578125" style="129" customWidth="1"/>
    <col min="11011" max="11011" width="6.7109375" style="129" bestFit="1" customWidth="1"/>
    <col min="11012" max="11012" width="3" style="129" customWidth="1"/>
    <col min="11013" max="11013" width="6.7109375" style="129" customWidth="1"/>
    <col min="11014" max="11014" width="8.5703125" style="129" customWidth="1"/>
    <col min="11015" max="11015" width="9.42578125" style="129" customWidth="1"/>
    <col min="11016" max="11016" width="8" style="129" bestFit="1" customWidth="1"/>
    <col min="11017" max="11017" width="12.7109375" style="129" bestFit="1" customWidth="1"/>
    <col min="11018" max="11018" width="7.7109375" style="129" customWidth="1"/>
    <col min="11019" max="11019" width="31" style="129" customWidth="1"/>
    <col min="11020" max="11020" width="5.5703125" style="129" bestFit="1" customWidth="1"/>
    <col min="11021" max="11021" width="7.140625" style="129" customWidth="1"/>
    <col min="11022" max="11023" width="6.140625" style="129" bestFit="1" customWidth="1"/>
    <col min="11024" max="11024" width="9.140625" style="129"/>
    <col min="11025" max="11025" width="12.42578125" style="129" bestFit="1" customWidth="1"/>
    <col min="11026" max="11264" width="9.140625" style="129"/>
    <col min="11265" max="11265" width="11.28515625" style="129" customWidth="1"/>
    <col min="11266" max="11266" width="53.42578125" style="129" customWidth="1"/>
    <col min="11267" max="11267" width="6.7109375" style="129" bestFit="1" customWidth="1"/>
    <col min="11268" max="11268" width="3" style="129" customWidth="1"/>
    <col min="11269" max="11269" width="6.7109375" style="129" customWidth="1"/>
    <col min="11270" max="11270" width="8.5703125" style="129" customWidth="1"/>
    <col min="11271" max="11271" width="9.42578125" style="129" customWidth="1"/>
    <col min="11272" max="11272" width="8" style="129" bestFit="1" customWidth="1"/>
    <col min="11273" max="11273" width="12.7109375" style="129" bestFit="1" customWidth="1"/>
    <col min="11274" max="11274" width="7.7109375" style="129" customWidth="1"/>
    <col min="11275" max="11275" width="31" style="129" customWidth="1"/>
    <col min="11276" max="11276" width="5.5703125" style="129" bestFit="1" customWidth="1"/>
    <col min="11277" max="11277" width="7.140625" style="129" customWidth="1"/>
    <col min="11278" max="11279" width="6.140625" style="129" bestFit="1" customWidth="1"/>
    <col min="11280" max="11280" width="9.140625" style="129"/>
    <col min="11281" max="11281" width="12.42578125" style="129" bestFit="1" customWidth="1"/>
    <col min="11282" max="11520" width="9.140625" style="129"/>
    <col min="11521" max="11521" width="11.28515625" style="129" customWidth="1"/>
    <col min="11522" max="11522" width="53.42578125" style="129" customWidth="1"/>
    <col min="11523" max="11523" width="6.7109375" style="129" bestFit="1" customWidth="1"/>
    <col min="11524" max="11524" width="3" style="129" customWidth="1"/>
    <col min="11525" max="11525" width="6.7109375" style="129" customWidth="1"/>
    <col min="11526" max="11526" width="8.5703125" style="129" customWidth="1"/>
    <col min="11527" max="11527" width="9.42578125" style="129" customWidth="1"/>
    <col min="11528" max="11528" width="8" style="129" bestFit="1" customWidth="1"/>
    <col min="11529" max="11529" width="12.7109375" style="129" bestFit="1" customWidth="1"/>
    <col min="11530" max="11530" width="7.7109375" style="129" customWidth="1"/>
    <col min="11531" max="11531" width="31" style="129" customWidth="1"/>
    <col min="11532" max="11532" width="5.5703125" style="129" bestFit="1" customWidth="1"/>
    <col min="11533" max="11533" width="7.140625" style="129" customWidth="1"/>
    <col min="11534" max="11535" width="6.140625" style="129" bestFit="1" customWidth="1"/>
    <col min="11536" max="11536" width="9.140625" style="129"/>
    <col min="11537" max="11537" width="12.42578125" style="129" bestFit="1" customWidth="1"/>
    <col min="11538" max="11776" width="9.140625" style="129"/>
    <col min="11777" max="11777" width="11.28515625" style="129" customWidth="1"/>
    <col min="11778" max="11778" width="53.42578125" style="129" customWidth="1"/>
    <col min="11779" max="11779" width="6.7109375" style="129" bestFit="1" customWidth="1"/>
    <col min="11780" max="11780" width="3" style="129" customWidth="1"/>
    <col min="11781" max="11781" width="6.7109375" style="129" customWidth="1"/>
    <col min="11782" max="11782" width="8.5703125" style="129" customWidth="1"/>
    <col min="11783" max="11783" width="9.42578125" style="129" customWidth="1"/>
    <col min="11784" max="11784" width="8" style="129" bestFit="1" customWidth="1"/>
    <col min="11785" max="11785" width="12.7109375" style="129" bestFit="1" customWidth="1"/>
    <col min="11786" max="11786" width="7.7109375" style="129" customWidth="1"/>
    <col min="11787" max="11787" width="31" style="129" customWidth="1"/>
    <col min="11788" max="11788" width="5.5703125" style="129" bestFit="1" customWidth="1"/>
    <col min="11789" max="11789" width="7.140625" style="129" customWidth="1"/>
    <col min="11790" max="11791" width="6.140625" style="129" bestFit="1" customWidth="1"/>
    <col min="11792" max="11792" width="9.140625" style="129"/>
    <col min="11793" max="11793" width="12.42578125" style="129" bestFit="1" customWidth="1"/>
    <col min="11794" max="12032" width="9.140625" style="129"/>
    <col min="12033" max="12033" width="11.28515625" style="129" customWidth="1"/>
    <col min="12034" max="12034" width="53.42578125" style="129" customWidth="1"/>
    <col min="12035" max="12035" width="6.7109375" style="129" bestFit="1" customWidth="1"/>
    <col min="12036" max="12036" width="3" style="129" customWidth="1"/>
    <col min="12037" max="12037" width="6.7109375" style="129" customWidth="1"/>
    <col min="12038" max="12038" width="8.5703125" style="129" customWidth="1"/>
    <col min="12039" max="12039" width="9.42578125" style="129" customWidth="1"/>
    <col min="12040" max="12040" width="8" style="129" bestFit="1" customWidth="1"/>
    <col min="12041" max="12041" width="12.7109375" style="129" bestFit="1" customWidth="1"/>
    <col min="12042" max="12042" width="7.7109375" style="129" customWidth="1"/>
    <col min="12043" max="12043" width="31" style="129" customWidth="1"/>
    <col min="12044" max="12044" width="5.5703125" style="129" bestFit="1" customWidth="1"/>
    <col min="12045" max="12045" width="7.140625" style="129" customWidth="1"/>
    <col min="12046" max="12047" width="6.140625" style="129" bestFit="1" customWidth="1"/>
    <col min="12048" max="12048" width="9.140625" style="129"/>
    <col min="12049" max="12049" width="12.42578125" style="129" bestFit="1" customWidth="1"/>
    <col min="12050" max="12288" width="9.140625" style="129"/>
    <col min="12289" max="12289" width="11.28515625" style="129" customWidth="1"/>
    <col min="12290" max="12290" width="53.42578125" style="129" customWidth="1"/>
    <col min="12291" max="12291" width="6.7109375" style="129" bestFit="1" customWidth="1"/>
    <col min="12292" max="12292" width="3" style="129" customWidth="1"/>
    <col min="12293" max="12293" width="6.7109375" style="129" customWidth="1"/>
    <col min="12294" max="12294" width="8.5703125" style="129" customWidth="1"/>
    <col min="12295" max="12295" width="9.42578125" style="129" customWidth="1"/>
    <col min="12296" max="12296" width="8" style="129" bestFit="1" customWidth="1"/>
    <col min="12297" max="12297" width="12.7109375" style="129" bestFit="1" customWidth="1"/>
    <col min="12298" max="12298" width="7.7109375" style="129" customWidth="1"/>
    <col min="12299" max="12299" width="31" style="129" customWidth="1"/>
    <col min="12300" max="12300" width="5.5703125" style="129" bestFit="1" customWidth="1"/>
    <col min="12301" max="12301" width="7.140625" style="129" customWidth="1"/>
    <col min="12302" max="12303" width="6.140625" style="129" bestFit="1" customWidth="1"/>
    <col min="12304" max="12304" width="9.140625" style="129"/>
    <col min="12305" max="12305" width="12.42578125" style="129" bestFit="1" customWidth="1"/>
    <col min="12306" max="12544" width="9.140625" style="129"/>
    <col min="12545" max="12545" width="11.28515625" style="129" customWidth="1"/>
    <col min="12546" max="12546" width="53.42578125" style="129" customWidth="1"/>
    <col min="12547" max="12547" width="6.7109375" style="129" bestFit="1" customWidth="1"/>
    <col min="12548" max="12548" width="3" style="129" customWidth="1"/>
    <col min="12549" max="12549" width="6.7109375" style="129" customWidth="1"/>
    <col min="12550" max="12550" width="8.5703125" style="129" customWidth="1"/>
    <col min="12551" max="12551" width="9.42578125" style="129" customWidth="1"/>
    <col min="12552" max="12552" width="8" style="129" bestFit="1" customWidth="1"/>
    <col min="12553" max="12553" width="12.7109375" style="129" bestFit="1" customWidth="1"/>
    <col min="12554" max="12554" width="7.7109375" style="129" customWidth="1"/>
    <col min="12555" max="12555" width="31" style="129" customWidth="1"/>
    <col min="12556" max="12556" width="5.5703125" style="129" bestFit="1" customWidth="1"/>
    <col min="12557" max="12557" width="7.140625" style="129" customWidth="1"/>
    <col min="12558" max="12559" width="6.140625" style="129" bestFit="1" customWidth="1"/>
    <col min="12560" max="12560" width="9.140625" style="129"/>
    <col min="12561" max="12561" width="12.42578125" style="129" bestFit="1" customWidth="1"/>
    <col min="12562" max="12800" width="9.140625" style="129"/>
    <col min="12801" max="12801" width="11.28515625" style="129" customWidth="1"/>
    <col min="12802" max="12802" width="53.42578125" style="129" customWidth="1"/>
    <col min="12803" max="12803" width="6.7109375" style="129" bestFit="1" customWidth="1"/>
    <col min="12804" max="12804" width="3" style="129" customWidth="1"/>
    <col min="12805" max="12805" width="6.7109375" style="129" customWidth="1"/>
    <col min="12806" max="12806" width="8.5703125" style="129" customWidth="1"/>
    <col min="12807" max="12807" width="9.42578125" style="129" customWidth="1"/>
    <col min="12808" max="12808" width="8" style="129" bestFit="1" customWidth="1"/>
    <col min="12809" max="12809" width="12.7109375" style="129" bestFit="1" customWidth="1"/>
    <col min="12810" max="12810" width="7.7109375" style="129" customWidth="1"/>
    <col min="12811" max="12811" width="31" style="129" customWidth="1"/>
    <col min="12812" max="12812" width="5.5703125" style="129" bestFit="1" customWidth="1"/>
    <col min="12813" max="12813" width="7.140625" style="129" customWidth="1"/>
    <col min="12814" max="12815" width="6.140625" style="129" bestFit="1" customWidth="1"/>
    <col min="12816" max="12816" width="9.140625" style="129"/>
    <col min="12817" max="12817" width="12.42578125" style="129" bestFit="1" customWidth="1"/>
    <col min="12818" max="13056" width="9.140625" style="129"/>
    <col min="13057" max="13057" width="11.28515625" style="129" customWidth="1"/>
    <col min="13058" max="13058" width="53.42578125" style="129" customWidth="1"/>
    <col min="13059" max="13059" width="6.7109375" style="129" bestFit="1" customWidth="1"/>
    <col min="13060" max="13060" width="3" style="129" customWidth="1"/>
    <col min="13061" max="13061" width="6.7109375" style="129" customWidth="1"/>
    <col min="13062" max="13062" width="8.5703125" style="129" customWidth="1"/>
    <col min="13063" max="13063" width="9.42578125" style="129" customWidth="1"/>
    <col min="13064" max="13064" width="8" style="129" bestFit="1" customWidth="1"/>
    <col min="13065" max="13065" width="12.7109375" style="129" bestFit="1" customWidth="1"/>
    <col min="13066" max="13066" width="7.7109375" style="129" customWidth="1"/>
    <col min="13067" max="13067" width="31" style="129" customWidth="1"/>
    <col min="13068" max="13068" width="5.5703125" style="129" bestFit="1" customWidth="1"/>
    <col min="13069" max="13069" width="7.140625" style="129" customWidth="1"/>
    <col min="13070" max="13071" width="6.140625" style="129" bestFit="1" customWidth="1"/>
    <col min="13072" max="13072" width="9.140625" style="129"/>
    <col min="13073" max="13073" width="12.42578125" style="129" bestFit="1" customWidth="1"/>
    <col min="13074" max="13312" width="9.140625" style="129"/>
    <col min="13313" max="13313" width="11.28515625" style="129" customWidth="1"/>
    <col min="13314" max="13314" width="53.42578125" style="129" customWidth="1"/>
    <col min="13315" max="13315" width="6.7109375" style="129" bestFit="1" customWidth="1"/>
    <col min="13316" max="13316" width="3" style="129" customWidth="1"/>
    <col min="13317" max="13317" width="6.7109375" style="129" customWidth="1"/>
    <col min="13318" max="13318" width="8.5703125" style="129" customWidth="1"/>
    <col min="13319" max="13319" width="9.42578125" style="129" customWidth="1"/>
    <col min="13320" max="13320" width="8" style="129" bestFit="1" customWidth="1"/>
    <col min="13321" max="13321" width="12.7109375" style="129" bestFit="1" customWidth="1"/>
    <col min="13322" max="13322" width="7.7109375" style="129" customWidth="1"/>
    <col min="13323" max="13323" width="31" style="129" customWidth="1"/>
    <col min="13324" max="13324" width="5.5703125" style="129" bestFit="1" customWidth="1"/>
    <col min="13325" max="13325" width="7.140625" style="129" customWidth="1"/>
    <col min="13326" max="13327" width="6.140625" style="129" bestFit="1" customWidth="1"/>
    <col min="13328" max="13328" width="9.140625" style="129"/>
    <col min="13329" max="13329" width="12.42578125" style="129" bestFit="1" customWidth="1"/>
    <col min="13330" max="13568" width="9.140625" style="129"/>
    <col min="13569" max="13569" width="11.28515625" style="129" customWidth="1"/>
    <col min="13570" max="13570" width="53.42578125" style="129" customWidth="1"/>
    <col min="13571" max="13571" width="6.7109375" style="129" bestFit="1" customWidth="1"/>
    <col min="13572" max="13572" width="3" style="129" customWidth="1"/>
    <col min="13573" max="13573" width="6.7109375" style="129" customWidth="1"/>
    <col min="13574" max="13574" width="8.5703125" style="129" customWidth="1"/>
    <col min="13575" max="13575" width="9.42578125" style="129" customWidth="1"/>
    <col min="13576" max="13576" width="8" style="129" bestFit="1" customWidth="1"/>
    <col min="13577" max="13577" width="12.7109375" style="129" bestFit="1" customWidth="1"/>
    <col min="13578" max="13578" width="7.7109375" style="129" customWidth="1"/>
    <col min="13579" max="13579" width="31" style="129" customWidth="1"/>
    <col min="13580" max="13580" width="5.5703125" style="129" bestFit="1" customWidth="1"/>
    <col min="13581" max="13581" width="7.140625" style="129" customWidth="1"/>
    <col min="13582" max="13583" width="6.140625" style="129" bestFit="1" customWidth="1"/>
    <col min="13584" max="13584" width="9.140625" style="129"/>
    <col min="13585" max="13585" width="12.42578125" style="129" bestFit="1" customWidth="1"/>
    <col min="13586" max="13824" width="9.140625" style="129"/>
    <col min="13825" max="13825" width="11.28515625" style="129" customWidth="1"/>
    <col min="13826" max="13826" width="53.42578125" style="129" customWidth="1"/>
    <col min="13827" max="13827" width="6.7109375" style="129" bestFit="1" customWidth="1"/>
    <col min="13828" max="13828" width="3" style="129" customWidth="1"/>
    <col min="13829" max="13829" width="6.7109375" style="129" customWidth="1"/>
    <col min="13830" max="13830" width="8.5703125" style="129" customWidth="1"/>
    <col min="13831" max="13831" width="9.42578125" style="129" customWidth="1"/>
    <col min="13832" max="13832" width="8" style="129" bestFit="1" customWidth="1"/>
    <col min="13833" max="13833" width="12.7109375" style="129" bestFit="1" customWidth="1"/>
    <col min="13834" max="13834" width="7.7109375" style="129" customWidth="1"/>
    <col min="13835" max="13835" width="31" style="129" customWidth="1"/>
    <col min="13836" max="13836" width="5.5703125" style="129" bestFit="1" customWidth="1"/>
    <col min="13837" max="13837" width="7.140625" style="129" customWidth="1"/>
    <col min="13838" max="13839" width="6.140625" style="129" bestFit="1" customWidth="1"/>
    <col min="13840" max="13840" width="9.140625" style="129"/>
    <col min="13841" max="13841" width="12.42578125" style="129" bestFit="1" customWidth="1"/>
    <col min="13842" max="14080" width="9.140625" style="129"/>
    <col min="14081" max="14081" width="11.28515625" style="129" customWidth="1"/>
    <col min="14082" max="14082" width="53.42578125" style="129" customWidth="1"/>
    <col min="14083" max="14083" width="6.7109375" style="129" bestFit="1" customWidth="1"/>
    <col min="14084" max="14084" width="3" style="129" customWidth="1"/>
    <col min="14085" max="14085" width="6.7109375" style="129" customWidth="1"/>
    <col min="14086" max="14086" width="8.5703125" style="129" customWidth="1"/>
    <col min="14087" max="14087" width="9.42578125" style="129" customWidth="1"/>
    <col min="14088" max="14088" width="8" style="129" bestFit="1" customWidth="1"/>
    <col min="14089" max="14089" width="12.7109375" style="129" bestFit="1" customWidth="1"/>
    <col min="14090" max="14090" width="7.7109375" style="129" customWidth="1"/>
    <col min="14091" max="14091" width="31" style="129" customWidth="1"/>
    <col min="14092" max="14092" width="5.5703125" style="129" bestFit="1" customWidth="1"/>
    <col min="14093" max="14093" width="7.140625" style="129" customWidth="1"/>
    <col min="14094" max="14095" width="6.140625" style="129" bestFit="1" customWidth="1"/>
    <col min="14096" max="14096" width="9.140625" style="129"/>
    <col min="14097" max="14097" width="12.42578125" style="129" bestFit="1" customWidth="1"/>
    <col min="14098" max="14336" width="9.140625" style="129"/>
    <col min="14337" max="14337" width="11.28515625" style="129" customWidth="1"/>
    <col min="14338" max="14338" width="53.42578125" style="129" customWidth="1"/>
    <col min="14339" max="14339" width="6.7109375" style="129" bestFit="1" customWidth="1"/>
    <col min="14340" max="14340" width="3" style="129" customWidth="1"/>
    <col min="14341" max="14341" width="6.7109375" style="129" customWidth="1"/>
    <col min="14342" max="14342" width="8.5703125" style="129" customWidth="1"/>
    <col min="14343" max="14343" width="9.42578125" style="129" customWidth="1"/>
    <col min="14344" max="14344" width="8" style="129" bestFit="1" customWidth="1"/>
    <col min="14345" max="14345" width="12.7109375" style="129" bestFit="1" customWidth="1"/>
    <col min="14346" max="14346" width="7.7109375" style="129" customWidth="1"/>
    <col min="14347" max="14347" width="31" style="129" customWidth="1"/>
    <col min="14348" max="14348" width="5.5703125" style="129" bestFit="1" customWidth="1"/>
    <col min="14349" max="14349" width="7.140625" style="129" customWidth="1"/>
    <col min="14350" max="14351" width="6.140625" style="129" bestFit="1" customWidth="1"/>
    <col min="14352" max="14352" width="9.140625" style="129"/>
    <col min="14353" max="14353" width="12.42578125" style="129" bestFit="1" customWidth="1"/>
    <col min="14354" max="14592" width="9.140625" style="129"/>
    <col min="14593" max="14593" width="11.28515625" style="129" customWidth="1"/>
    <col min="14594" max="14594" width="53.42578125" style="129" customWidth="1"/>
    <col min="14595" max="14595" width="6.7109375" style="129" bestFit="1" customWidth="1"/>
    <col min="14596" max="14596" width="3" style="129" customWidth="1"/>
    <col min="14597" max="14597" width="6.7109375" style="129" customWidth="1"/>
    <col min="14598" max="14598" width="8.5703125" style="129" customWidth="1"/>
    <col min="14599" max="14599" width="9.42578125" style="129" customWidth="1"/>
    <col min="14600" max="14600" width="8" style="129" bestFit="1" customWidth="1"/>
    <col min="14601" max="14601" width="12.7109375" style="129" bestFit="1" customWidth="1"/>
    <col min="14602" max="14602" width="7.7109375" style="129" customWidth="1"/>
    <col min="14603" max="14603" width="31" style="129" customWidth="1"/>
    <col min="14604" max="14604" width="5.5703125" style="129" bestFit="1" customWidth="1"/>
    <col min="14605" max="14605" width="7.140625" style="129" customWidth="1"/>
    <col min="14606" max="14607" width="6.140625" style="129" bestFit="1" customWidth="1"/>
    <col min="14608" max="14608" width="9.140625" style="129"/>
    <col min="14609" max="14609" width="12.42578125" style="129" bestFit="1" customWidth="1"/>
    <col min="14610" max="14848" width="9.140625" style="129"/>
    <col min="14849" max="14849" width="11.28515625" style="129" customWidth="1"/>
    <col min="14850" max="14850" width="53.42578125" style="129" customWidth="1"/>
    <col min="14851" max="14851" width="6.7109375" style="129" bestFit="1" customWidth="1"/>
    <col min="14852" max="14852" width="3" style="129" customWidth="1"/>
    <col min="14853" max="14853" width="6.7109375" style="129" customWidth="1"/>
    <col min="14854" max="14854" width="8.5703125" style="129" customWidth="1"/>
    <col min="14855" max="14855" width="9.42578125" style="129" customWidth="1"/>
    <col min="14856" max="14856" width="8" style="129" bestFit="1" customWidth="1"/>
    <col min="14857" max="14857" width="12.7109375" style="129" bestFit="1" customWidth="1"/>
    <col min="14858" max="14858" width="7.7109375" style="129" customWidth="1"/>
    <col min="14859" max="14859" width="31" style="129" customWidth="1"/>
    <col min="14860" max="14860" width="5.5703125" style="129" bestFit="1" customWidth="1"/>
    <col min="14861" max="14861" width="7.140625" style="129" customWidth="1"/>
    <col min="14862" max="14863" width="6.140625" style="129" bestFit="1" customWidth="1"/>
    <col min="14864" max="14864" width="9.140625" style="129"/>
    <col min="14865" max="14865" width="12.42578125" style="129" bestFit="1" customWidth="1"/>
    <col min="14866" max="15104" width="9.140625" style="129"/>
    <col min="15105" max="15105" width="11.28515625" style="129" customWidth="1"/>
    <col min="15106" max="15106" width="53.42578125" style="129" customWidth="1"/>
    <col min="15107" max="15107" width="6.7109375" style="129" bestFit="1" customWidth="1"/>
    <col min="15108" max="15108" width="3" style="129" customWidth="1"/>
    <col min="15109" max="15109" width="6.7109375" style="129" customWidth="1"/>
    <col min="15110" max="15110" width="8.5703125" style="129" customWidth="1"/>
    <col min="15111" max="15111" width="9.42578125" style="129" customWidth="1"/>
    <col min="15112" max="15112" width="8" style="129" bestFit="1" customWidth="1"/>
    <col min="15113" max="15113" width="12.7109375" style="129" bestFit="1" customWidth="1"/>
    <col min="15114" max="15114" width="7.7109375" style="129" customWidth="1"/>
    <col min="15115" max="15115" width="31" style="129" customWidth="1"/>
    <col min="15116" max="15116" width="5.5703125" style="129" bestFit="1" customWidth="1"/>
    <col min="15117" max="15117" width="7.140625" style="129" customWidth="1"/>
    <col min="15118" max="15119" width="6.140625" style="129" bestFit="1" customWidth="1"/>
    <col min="15120" max="15120" width="9.140625" style="129"/>
    <col min="15121" max="15121" width="12.42578125" style="129" bestFit="1" customWidth="1"/>
    <col min="15122" max="15360" width="9.140625" style="129"/>
    <col min="15361" max="15361" width="11.28515625" style="129" customWidth="1"/>
    <col min="15362" max="15362" width="53.42578125" style="129" customWidth="1"/>
    <col min="15363" max="15363" width="6.7109375" style="129" bestFit="1" customWidth="1"/>
    <col min="15364" max="15364" width="3" style="129" customWidth="1"/>
    <col min="15365" max="15365" width="6.7109375" style="129" customWidth="1"/>
    <col min="15366" max="15366" width="8.5703125" style="129" customWidth="1"/>
    <col min="15367" max="15367" width="9.42578125" style="129" customWidth="1"/>
    <col min="15368" max="15368" width="8" style="129" bestFit="1" customWidth="1"/>
    <col min="15369" max="15369" width="12.7109375" style="129" bestFit="1" customWidth="1"/>
    <col min="15370" max="15370" width="7.7109375" style="129" customWidth="1"/>
    <col min="15371" max="15371" width="31" style="129" customWidth="1"/>
    <col min="15372" max="15372" width="5.5703125" style="129" bestFit="1" customWidth="1"/>
    <col min="15373" max="15373" width="7.140625" style="129" customWidth="1"/>
    <col min="15374" max="15375" width="6.140625" style="129" bestFit="1" customWidth="1"/>
    <col min="15376" max="15376" width="9.140625" style="129"/>
    <col min="15377" max="15377" width="12.42578125" style="129" bestFit="1" customWidth="1"/>
    <col min="15378" max="15616" width="9.140625" style="129"/>
    <col min="15617" max="15617" width="11.28515625" style="129" customWidth="1"/>
    <col min="15618" max="15618" width="53.42578125" style="129" customWidth="1"/>
    <col min="15619" max="15619" width="6.7109375" style="129" bestFit="1" customWidth="1"/>
    <col min="15620" max="15620" width="3" style="129" customWidth="1"/>
    <col min="15621" max="15621" width="6.7109375" style="129" customWidth="1"/>
    <col min="15622" max="15622" width="8.5703125" style="129" customWidth="1"/>
    <col min="15623" max="15623" width="9.42578125" style="129" customWidth="1"/>
    <col min="15624" max="15624" width="8" style="129" bestFit="1" customWidth="1"/>
    <col min="15625" max="15625" width="12.7109375" style="129" bestFit="1" customWidth="1"/>
    <col min="15626" max="15626" width="7.7109375" style="129" customWidth="1"/>
    <col min="15627" max="15627" width="31" style="129" customWidth="1"/>
    <col min="15628" max="15628" width="5.5703125" style="129" bestFit="1" customWidth="1"/>
    <col min="15629" max="15629" width="7.140625" style="129" customWidth="1"/>
    <col min="15630" max="15631" width="6.140625" style="129" bestFit="1" customWidth="1"/>
    <col min="15632" max="15632" width="9.140625" style="129"/>
    <col min="15633" max="15633" width="12.42578125" style="129" bestFit="1" customWidth="1"/>
    <col min="15634" max="15872" width="9.140625" style="129"/>
    <col min="15873" max="15873" width="11.28515625" style="129" customWidth="1"/>
    <col min="15874" max="15874" width="53.42578125" style="129" customWidth="1"/>
    <col min="15875" max="15875" width="6.7109375" style="129" bestFit="1" customWidth="1"/>
    <col min="15876" max="15876" width="3" style="129" customWidth="1"/>
    <col min="15877" max="15877" width="6.7109375" style="129" customWidth="1"/>
    <col min="15878" max="15878" width="8.5703125" style="129" customWidth="1"/>
    <col min="15879" max="15879" width="9.42578125" style="129" customWidth="1"/>
    <col min="15880" max="15880" width="8" style="129" bestFit="1" customWidth="1"/>
    <col min="15881" max="15881" width="12.7109375" style="129" bestFit="1" customWidth="1"/>
    <col min="15882" max="15882" width="7.7109375" style="129" customWidth="1"/>
    <col min="15883" max="15883" width="31" style="129" customWidth="1"/>
    <col min="15884" max="15884" width="5.5703125" style="129" bestFit="1" customWidth="1"/>
    <col min="15885" max="15885" width="7.140625" style="129" customWidth="1"/>
    <col min="15886" max="15887" width="6.140625" style="129" bestFit="1" customWidth="1"/>
    <col min="15888" max="15888" width="9.140625" style="129"/>
    <col min="15889" max="15889" width="12.42578125" style="129" bestFit="1" customWidth="1"/>
    <col min="15890" max="16128" width="9.140625" style="129"/>
    <col min="16129" max="16129" width="11.28515625" style="129" customWidth="1"/>
    <col min="16130" max="16130" width="53.42578125" style="129" customWidth="1"/>
    <col min="16131" max="16131" width="6.7109375" style="129" bestFit="1" customWidth="1"/>
    <col min="16132" max="16132" width="3" style="129" customWidth="1"/>
    <col min="16133" max="16133" width="6.7109375" style="129" customWidth="1"/>
    <col min="16134" max="16134" width="8.5703125" style="129" customWidth="1"/>
    <col min="16135" max="16135" width="9.42578125" style="129" customWidth="1"/>
    <col min="16136" max="16136" width="8" style="129" bestFit="1" customWidth="1"/>
    <col min="16137" max="16137" width="12.7109375" style="129" bestFit="1" customWidth="1"/>
    <col min="16138" max="16138" width="7.7109375" style="129" customWidth="1"/>
    <col min="16139" max="16139" width="31" style="129" customWidth="1"/>
    <col min="16140" max="16140" width="5.5703125" style="129" bestFit="1" customWidth="1"/>
    <col min="16141" max="16141" width="7.140625" style="129" customWidth="1"/>
    <col min="16142" max="16143" width="6.140625" style="129" bestFit="1" customWidth="1"/>
    <col min="16144" max="16144" width="9.140625" style="129"/>
    <col min="16145" max="16145" width="12.42578125" style="129" bestFit="1" customWidth="1"/>
    <col min="16146" max="16384" width="9.140625" style="129"/>
  </cols>
  <sheetData>
    <row r="1" spans="1:10" s="136" customFormat="1" ht="45.75" customHeight="1">
      <c r="A1" s="134" t="s">
        <v>238</v>
      </c>
      <c r="B1" s="135"/>
      <c r="C1" s="135"/>
      <c r="D1" s="135"/>
      <c r="E1" s="135"/>
      <c r="F1" s="135"/>
      <c r="G1" s="135"/>
      <c r="H1" s="135"/>
      <c r="I1" s="135"/>
      <c r="J1" s="355"/>
    </row>
    <row r="2" spans="1:10" s="136" customFormat="1" ht="24.75" customHeight="1">
      <c r="A2" s="478" t="s">
        <v>239</v>
      </c>
      <c r="B2" s="479"/>
      <c r="C2" s="479"/>
      <c r="D2" s="479"/>
      <c r="E2" s="479"/>
      <c r="F2" s="479"/>
      <c r="G2" s="479"/>
      <c r="H2" s="479"/>
      <c r="I2" s="479"/>
      <c r="J2" s="356"/>
    </row>
    <row r="3" spans="1:10" s="136" customFormat="1" ht="21.75" customHeight="1">
      <c r="A3" s="480" t="s">
        <v>240</v>
      </c>
      <c r="B3" s="481" t="s">
        <v>241</v>
      </c>
      <c r="C3" s="482" t="s">
        <v>85</v>
      </c>
      <c r="D3" s="482"/>
      <c r="E3" s="482"/>
      <c r="F3" s="483" t="s">
        <v>242</v>
      </c>
      <c r="G3" s="483"/>
      <c r="H3" s="483"/>
      <c r="I3" s="484" t="s">
        <v>69</v>
      </c>
      <c r="J3" s="477" t="s">
        <v>243</v>
      </c>
    </row>
    <row r="4" spans="1:10" s="136" customFormat="1" ht="34.5" customHeight="1">
      <c r="A4" s="480"/>
      <c r="B4" s="481"/>
      <c r="C4" s="482"/>
      <c r="D4" s="482"/>
      <c r="E4" s="482"/>
      <c r="F4" s="397" t="s">
        <v>70</v>
      </c>
      <c r="G4" s="397" t="s">
        <v>71</v>
      </c>
      <c r="H4" s="397" t="s">
        <v>72</v>
      </c>
      <c r="I4" s="484"/>
      <c r="J4" s="477"/>
    </row>
    <row r="5" spans="1:10" s="136" customFormat="1" ht="51" customHeight="1">
      <c r="A5" s="348" t="s">
        <v>1444</v>
      </c>
      <c r="B5" s="347" t="s">
        <v>1445</v>
      </c>
      <c r="C5" s="396"/>
      <c r="D5" s="396"/>
      <c r="E5" s="396"/>
      <c r="F5" s="397"/>
      <c r="G5" s="397"/>
      <c r="H5" s="397"/>
      <c r="I5" s="398"/>
      <c r="J5" s="394"/>
    </row>
    <row r="6" spans="1:10" s="136" customFormat="1" ht="18.75" customHeight="1">
      <c r="A6" s="343"/>
      <c r="B6" s="144" t="s">
        <v>1692</v>
      </c>
      <c r="C6" s="138">
        <v>1</v>
      </c>
      <c r="D6" s="143" t="s">
        <v>73</v>
      </c>
      <c r="E6" s="138">
        <v>23</v>
      </c>
      <c r="F6" s="139">
        <v>1.1000000000000001</v>
      </c>
      <c r="G6" s="139">
        <v>1.1000000000000001</v>
      </c>
      <c r="H6" s="139">
        <v>1.2</v>
      </c>
      <c r="I6" s="140">
        <f t="shared" ref="I6" si="0">ROUND(PRODUCT(C6:H6),2)</f>
        <v>33.4</v>
      </c>
      <c r="J6" s="394"/>
    </row>
    <row r="7" spans="1:10" s="136" customFormat="1" ht="18.75" customHeight="1">
      <c r="A7" s="343"/>
      <c r="B7" s="144" t="s">
        <v>1710</v>
      </c>
      <c r="C7" s="138">
        <v>1</v>
      </c>
      <c r="D7" s="143" t="s">
        <v>73</v>
      </c>
      <c r="E7" s="138">
        <v>14</v>
      </c>
      <c r="F7" s="139">
        <v>1.1000000000000001</v>
      </c>
      <c r="G7" s="139">
        <v>1.1000000000000001</v>
      </c>
      <c r="H7" s="139">
        <v>1.2</v>
      </c>
      <c r="I7" s="140">
        <f t="shared" ref="I7:I8" si="1">ROUND(PRODUCT(C7:H7),2)</f>
        <v>20.329999999999998</v>
      </c>
      <c r="J7" s="394"/>
    </row>
    <row r="8" spans="1:10" s="136" customFormat="1" ht="18.75" customHeight="1">
      <c r="A8" s="343"/>
      <c r="B8" s="144" t="s">
        <v>1721</v>
      </c>
      <c r="C8" s="138">
        <v>1</v>
      </c>
      <c r="D8" s="143" t="s">
        <v>73</v>
      </c>
      <c r="E8" s="138">
        <v>3</v>
      </c>
      <c r="F8" s="139">
        <v>1.1000000000000001</v>
      </c>
      <c r="G8" s="139">
        <v>1.1000000000000001</v>
      </c>
      <c r="H8" s="139">
        <v>1.2</v>
      </c>
      <c r="I8" s="140">
        <f t="shared" si="1"/>
        <v>4.3600000000000003</v>
      </c>
      <c r="J8" s="433"/>
    </row>
    <row r="9" spans="1:10" s="136" customFormat="1" ht="18.75" customHeight="1">
      <c r="A9" s="343"/>
      <c r="B9" s="144" t="s">
        <v>1722</v>
      </c>
      <c r="C9" s="138">
        <v>1</v>
      </c>
      <c r="D9" s="143" t="s">
        <v>73</v>
      </c>
      <c r="E9" s="138">
        <v>18</v>
      </c>
      <c r="F9" s="139">
        <v>1.1000000000000001</v>
      </c>
      <c r="G9" s="139">
        <v>1.1000000000000001</v>
      </c>
      <c r="H9" s="139">
        <v>1.2</v>
      </c>
      <c r="I9" s="140">
        <f t="shared" ref="I9" si="2">ROUND(PRODUCT(C9:H9),2)</f>
        <v>26.14</v>
      </c>
      <c r="J9" s="433"/>
    </row>
    <row r="10" spans="1:10" s="136" customFormat="1" ht="18.75" customHeight="1">
      <c r="A10" s="343"/>
      <c r="B10" s="144" t="s">
        <v>1687</v>
      </c>
      <c r="C10" s="138">
        <v>2</v>
      </c>
      <c r="D10" s="143" t="s">
        <v>73</v>
      </c>
      <c r="E10" s="138">
        <v>2</v>
      </c>
      <c r="F10" s="139">
        <v>1.1000000000000001</v>
      </c>
      <c r="G10" s="139">
        <v>1.1000000000000001</v>
      </c>
      <c r="H10" s="139">
        <v>1.2</v>
      </c>
      <c r="I10" s="140">
        <f t="shared" ref="I10" si="3">ROUND(PRODUCT(C10:H10),2)</f>
        <v>5.81</v>
      </c>
      <c r="J10" s="394"/>
    </row>
    <row r="11" spans="1:10" s="136" customFormat="1" ht="18.75" customHeight="1">
      <c r="A11" s="343"/>
      <c r="B11" s="439" t="s">
        <v>1688</v>
      </c>
      <c r="C11" s="440">
        <v>2</v>
      </c>
      <c r="D11" s="143" t="s">
        <v>73</v>
      </c>
      <c r="E11" s="138">
        <v>2</v>
      </c>
      <c r="F11" s="139">
        <v>1.4</v>
      </c>
      <c r="G11" s="139">
        <v>1.4</v>
      </c>
      <c r="H11" s="139">
        <v>1.2</v>
      </c>
      <c r="I11" s="140">
        <f t="shared" ref="I11" si="4">ROUND(PRODUCT(C11:H11),2)</f>
        <v>9.41</v>
      </c>
      <c r="J11" s="394"/>
    </row>
    <row r="12" spans="1:10" s="136" customFormat="1" ht="18.75" customHeight="1">
      <c r="A12" s="343"/>
      <c r="B12" s="439" t="s">
        <v>1689</v>
      </c>
      <c r="C12" s="440">
        <v>1</v>
      </c>
      <c r="D12" s="143" t="s">
        <v>73</v>
      </c>
      <c r="E12" s="138">
        <v>1</v>
      </c>
      <c r="F12" s="139">
        <v>66</v>
      </c>
      <c r="G12" s="139">
        <v>0.38</v>
      </c>
      <c r="H12" s="139">
        <v>0.5</v>
      </c>
      <c r="I12" s="140">
        <f t="shared" ref="I12:I14" si="5">ROUND(PRODUCT(C12:H12),2)</f>
        <v>12.54</v>
      </c>
      <c r="J12" s="394"/>
    </row>
    <row r="13" spans="1:10" s="136" customFormat="1" ht="18.75" customHeight="1">
      <c r="A13" s="343"/>
      <c r="B13" s="144" t="s">
        <v>1723</v>
      </c>
      <c r="C13" s="138">
        <v>1</v>
      </c>
      <c r="D13" s="143" t="s">
        <v>73</v>
      </c>
      <c r="E13" s="138">
        <v>1</v>
      </c>
      <c r="F13" s="139">
        <v>3</v>
      </c>
      <c r="G13" s="139">
        <v>0.38</v>
      </c>
      <c r="H13" s="139">
        <v>0.5</v>
      </c>
      <c r="I13" s="140">
        <f t="shared" si="5"/>
        <v>0.56999999999999995</v>
      </c>
      <c r="J13" s="433"/>
    </row>
    <row r="14" spans="1:10" s="136" customFormat="1" ht="18.75" customHeight="1">
      <c r="A14" s="343"/>
      <c r="B14" s="144" t="s">
        <v>1724</v>
      </c>
      <c r="C14" s="138">
        <v>1</v>
      </c>
      <c r="D14" s="143" t="s">
        <v>73</v>
      </c>
      <c r="E14" s="138">
        <v>1</v>
      </c>
      <c r="F14" s="139">
        <v>50</v>
      </c>
      <c r="G14" s="139">
        <v>0.38</v>
      </c>
      <c r="H14" s="139">
        <v>0.5</v>
      </c>
      <c r="I14" s="140">
        <f t="shared" si="5"/>
        <v>9.5</v>
      </c>
      <c r="J14" s="433"/>
    </row>
    <row r="15" spans="1:10" s="136" customFormat="1" ht="18.75" customHeight="1">
      <c r="A15" s="343"/>
      <c r="B15" s="439" t="s">
        <v>1691</v>
      </c>
      <c r="C15" s="440">
        <v>1</v>
      </c>
      <c r="D15" s="143" t="s">
        <v>73</v>
      </c>
      <c r="E15" s="138">
        <v>1</v>
      </c>
      <c r="F15" s="139">
        <v>38.4</v>
      </c>
      <c r="G15" s="139">
        <v>0.38</v>
      </c>
      <c r="H15" s="139">
        <v>0.5</v>
      </c>
      <c r="I15" s="140">
        <f t="shared" ref="I15:I17" si="6">ROUND(PRODUCT(C15:H15),2)</f>
        <v>7.3</v>
      </c>
      <c r="J15" s="394"/>
    </row>
    <row r="16" spans="1:10" s="136" customFormat="1" ht="18.75" customHeight="1">
      <c r="A16" s="345"/>
      <c r="B16" s="441" t="s">
        <v>1475</v>
      </c>
      <c r="C16" s="440">
        <v>1</v>
      </c>
      <c r="D16" s="143" t="s">
        <v>73</v>
      </c>
      <c r="E16" s="138">
        <v>10</v>
      </c>
      <c r="F16" s="139">
        <v>1.21</v>
      </c>
      <c r="G16" s="139">
        <v>1.21</v>
      </c>
      <c r="H16" s="139">
        <v>1</v>
      </c>
      <c r="I16" s="140">
        <f t="shared" si="6"/>
        <v>14.64</v>
      </c>
      <c r="J16" s="394"/>
    </row>
    <row r="17" spans="1:10" s="136" customFormat="1" ht="18.75" customHeight="1">
      <c r="A17" s="345"/>
      <c r="B17" s="441" t="s">
        <v>1693</v>
      </c>
      <c r="C17" s="440">
        <v>1</v>
      </c>
      <c r="D17" s="143" t="s">
        <v>73</v>
      </c>
      <c r="E17" s="138">
        <v>1</v>
      </c>
      <c r="F17" s="139">
        <v>1.21</v>
      </c>
      <c r="G17" s="139">
        <v>1.21</v>
      </c>
      <c r="H17" s="139">
        <v>1</v>
      </c>
      <c r="I17" s="140">
        <f t="shared" si="6"/>
        <v>1.46</v>
      </c>
      <c r="J17" s="394"/>
    </row>
    <row r="18" spans="1:10" s="136" customFormat="1" ht="18.75" customHeight="1">
      <c r="A18" s="345"/>
      <c r="B18" s="441" t="s">
        <v>1694</v>
      </c>
      <c r="C18" s="440">
        <v>1</v>
      </c>
      <c r="D18" s="143" t="s">
        <v>73</v>
      </c>
      <c r="E18" s="138">
        <v>2</v>
      </c>
      <c r="F18" s="139">
        <v>1.21</v>
      </c>
      <c r="G18" s="139">
        <v>1.21</v>
      </c>
      <c r="H18" s="139">
        <v>1</v>
      </c>
      <c r="I18" s="140">
        <f t="shared" ref="I18" si="7">ROUND(PRODUCT(C18:H18),2)</f>
        <v>2.93</v>
      </c>
      <c r="J18" s="394"/>
    </row>
    <row r="19" spans="1:10" s="136" customFormat="1" ht="18.75" customHeight="1">
      <c r="A19" s="345"/>
      <c r="B19" s="441" t="s">
        <v>1695</v>
      </c>
      <c r="C19" s="440">
        <v>1</v>
      </c>
      <c r="D19" s="143" t="s">
        <v>73</v>
      </c>
      <c r="E19" s="138">
        <v>1</v>
      </c>
      <c r="F19" s="139">
        <v>16.7</v>
      </c>
      <c r="G19" s="139">
        <v>0.38</v>
      </c>
      <c r="H19" s="139">
        <v>0.45</v>
      </c>
      <c r="I19" s="140">
        <f t="shared" ref="I19" si="8">ROUND(PRODUCT(C19:H19),2)</f>
        <v>2.86</v>
      </c>
      <c r="J19" s="394"/>
    </row>
    <row r="20" spans="1:10" s="136" customFormat="1" ht="18.75" customHeight="1">
      <c r="A20" s="345"/>
      <c r="B20" s="441"/>
      <c r="C20" s="442"/>
      <c r="D20" s="438"/>
      <c r="E20" s="138"/>
      <c r="F20" s="139"/>
      <c r="G20" s="139"/>
      <c r="H20" s="139"/>
      <c r="I20" s="443">
        <f>SUM(I6:I19)</f>
        <v>151.25000000000003</v>
      </c>
      <c r="J20" s="394" t="str">
        <f>'[1]Excess details F &amp; B'!$I$14</f>
        <v>Cum</v>
      </c>
    </row>
    <row r="21" spans="1:10" s="136" customFormat="1" ht="18.75" customHeight="1">
      <c r="A21" s="345"/>
      <c r="B21" s="347"/>
      <c r="C21" s="393"/>
      <c r="D21" s="396"/>
      <c r="E21" s="396"/>
      <c r="F21" s="397"/>
      <c r="G21" s="397"/>
      <c r="H21" s="397"/>
      <c r="I21" s="398"/>
      <c r="J21" s="394"/>
    </row>
    <row r="22" spans="1:10" s="136" customFormat="1" ht="37.5" customHeight="1">
      <c r="A22" s="345">
        <v>2.2999999999999998</v>
      </c>
      <c r="B22" s="387" t="s">
        <v>1604</v>
      </c>
      <c r="C22" s="393"/>
      <c r="D22" s="396"/>
      <c r="E22" s="396"/>
      <c r="F22" s="397"/>
      <c r="G22" s="397"/>
      <c r="H22" s="397"/>
      <c r="I22" s="398"/>
      <c r="J22" s="394"/>
    </row>
    <row r="23" spans="1:10" s="136" customFormat="1" ht="18.75" customHeight="1">
      <c r="A23" s="345"/>
      <c r="B23" s="347" t="s">
        <v>1696</v>
      </c>
      <c r="C23" s="440">
        <v>1</v>
      </c>
      <c r="D23" s="143" t="s">
        <v>73</v>
      </c>
      <c r="E23" s="138">
        <v>1</v>
      </c>
      <c r="F23" s="139">
        <v>8</v>
      </c>
      <c r="G23" s="139">
        <v>1</v>
      </c>
      <c r="H23" s="139">
        <v>0.6</v>
      </c>
      <c r="I23" s="443">
        <f t="shared" ref="I23" si="9">ROUND(PRODUCT(C23:H23),2)</f>
        <v>4.8</v>
      </c>
      <c r="J23" s="394" t="str">
        <f>'[1]Excess details F &amp; B'!$I$14</f>
        <v>Cum</v>
      </c>
    </row>
    <row r="24" spans="1:10" s="136" customFormat="1" ht="18.75" customHeight="1">
      <c r="A24" s="345"/>
      <c r="B24" s="347"/>
      <c r="C24" s="341"/>
      <c r="D24" s="396"/>
      <c r="E24" s="396"/>
      <c r="F24" s="397"/>
      <c r="G24" s="397"/>
      <c r="H24" s="397"/>
      <c r="I24" s="398"/>
      <c r="J24" s="394"/>
    </row>
    <row r="25" spans="1:10" s="136" customFormat="1" ht="36.75" customHeight="1">
      <c r="A25" s="345">
        <v>2.4</v>
      </c>
      <c r="B25" s="387" t="s">
        <v>1605</v>
      </c>
      <c r="C25" s="393"/>
      <c r="D25" s="396"/>
      <c r="E25" s="396"/>
      <c r="F25" s="397"/>
      <c r="G25" s="397"/>
      <c r="H25" s="397"/>
      <c r="I25" s="398"/>
      <c r="J25" s="394"/>
    </row>
    <row r="26" spans="1:10" s="136" customFormat="1" ht="18.75" customHeight="1">
      <c r="A26" s="345"/>
      <c r="B26" s="347" t="s">
        <v>1696</v>
      </c>
      <c r="C26" s="440">
        <v>1</v>
      </c>
      <c r="D26" s="143" t="s">
        <v>73</v>
      </c>
      <c r="E26" s="138">
        <v>1</v>
      </c>
      <c r="F26" s="139">
        <v>8</v>
      </c>
      <c r="G26" s="139">
        <v>1</v>
      </c>
      <c r="H26" s="139">
        <v>0.2</v>
      </c>
      <c r="I26" s="443">
        <f t="shared" ref="I26" si="10">ROUND(PRODUCT(C26:H26),2)</f>
        <v>1.6</v>
      </c>
      <c r="J26" s="394" t="str">
        <f>'[1]Excess details F &amp; B'!$I$14</f>
        <v>Cum</v>
      </c>
    </row>
    <row r="27" spans="1:10" s="136" customFormat="1" ht="18.75" customHeight="1">
      <c r="A27" s="345"/>
      <c r="B27" s="343"/>
      <c r="C27" s="341"/>
      <c r="D27" s="396"/>
      <c r="E27" s="396"/>
      <c r="F27" s="397"/>
      <c r="G27" s="397"/>
      <c r="H27" s="397"/>
      <c r="I27" s="398"/>
      <c r="J27" s="394"/>
    </row>
    <row r="28" spans="1:10" s="136" customFormat="1" ht="50.25" customHeight="1">
      <c r="A28" s="348" t="s">
        <v>1447</v>
      </c>
      <c r="B28" s="347" t="s">
        <v>1448</v>
      </c>
      <c r="C28" s="341"/>
      <c r="D28" s="396"/>
      <c r="E28" s="396"/>
      <c r="F28" s="397"/>
      <c r="G28" s="397"/>
      <c r="H28" s="397"/>
      <c r="I28" s="398"/>
      <c r="J28" s="394"/>
    </row>
    <row r="29" spans="1:10" s="136" customFormat="1" ht="18.75" customHeight="1">
      <c r="A29" s="343"/>
      <c r="B29" s="144" t="s">
        <v>1692</v>
      </c>
      <c r="C29" s="138">
        <v>1</v>
      </c>
      <c r="D29" s="143" t="s">
        <v>73</v>
      </c>
      <c r="E29" s="138">
        <v>23</v>
      </c>
      <c r="F29" s="139">
        <v>1.1000000000000001</v>
      </c>
      <c r="G29" s="139">
        <v>1.1000000000000001</v>
      </c>
      <c r="H29" s="139">
        <v>0.1</v>
      </c>
      <c r="I29" s="140">
        <f t="shared" ref="I29:I43" si="11">ROUND(PRODUCT(C29:H29),2)</f>
        <v>2.78</v>
      </c>
      <c r="J29" s="394"/>
    </row>
    <row r="30" spans="1:10" s="136" customFormat="1" ht="18.75" customHeight="1">
      <c r="A30" s="343"/>
      <c r="B30" s="144" t="s">
        <v>1710</v>
      </c>
      <c r="C30" s="138">
        <v>1</v>
      </c>
      <c r="D30" s="143" t="s">
        <v>73</v>
      </c>
      <c r="E30" s="138">
        <v>14</v>
      </c>
      <c r="F30" s="139">
        <v>1.1000000000000001</v>
      </c>
      <c r="G30" s="139">
        <v>1.1000000000000001</v>
      </c>
      <c r="H30" s="139">
        <v>0.1</v>
      </c>
      <c r="I30" s="140">
        <f t="shared" si="11"/>
        <v>1.69</v>
      </c>
      <c r="J30" s="394"/>
    </row>
    <row r="31" spans="1:10" s="136" customFormat="1" ht="18.75" customHeight="1">
      <c r="A31" s="343"/>
      <c r="B31" s="144" t="s">
        <v>1721</v>
      </c>
      <c r="C31" s="138">
        <v>1</v>
      </c>
      <c r="D31" s="143" t="s">
        <v>73</v>
      </c>
      <c r="E31" s="138">
        <v>3</v>
      </c>
      <c r="F31" s="139">
        <v>1.1000000000000001</v>
      </c>
      <c r="G31" s="139">
        <v>1.1000000000000001</v>
      </c>
      <c r="H31" s="139">
        <v>0.1</v>
      </c>
      <c r="I31" s="140">
        <f t="shared" ref="I31" si="12">ROUND(PRODUCT(C31:H31),2)</f>
        <v>0.36</v>
      </c>
      <c r="J31" s="433"/>
    </row>
    <row r="32" spans="1:10" s="136" customFormat="1" ht="18.75" customHeight="1">
      <c r="A32" s="343"/>
      <c r="B32" s="144" t="s">
        <v>1722</v>
      </c>
      <c r="C32" s="138">
        <v>1</v>
      </c>
      <c r="D32" s="143" t="s">
        <v>73</v>
      </c>
      <c r="E32" s="138">
        <v>18</v>
      </c>
      <c r="F32" s="139">
        <v>1.1000000000000001</v>
      </c>
      <c r="G32" s="139">
        <v>1.1000000000000001</v>
      </c>
      <c r="H32" s="139">
        <v>0.1</v>
      </c>
      <c r="I32" s="140">
        <f t="shared" si="11"/>
        <v>2.1800000000000002</v>
      </c>
      <c r="J32" s="394"/>
    </row>
    <row r="33" spans="1:10" s="136" customFormat="1" ht="18.75" customHeight="1">
      <c r="A33" s="343"/>
      <c r="B33" s="144" t="s">
        <v>1687</v>
      </c>
      <c r="C33" s="138">
        <v>2</v>
      </c>
      <c r="D33" s="143" t="s">
        <v>73</v>
      </c>
      <c r="E33" s="138">
        <v>2</v>
      </c>
      <c r="F33" s="139">
        <v>1.1000000000000001</v>
      </c>
      <c r="G33" s="139">
        <v>1.1000000000000001</v>
      </c>
      <c r="H33" s="139">
        <v>0.1</v>
      </c>
      <c r="I33" s="140">
        <f t="shared" si="11"/>
        <v>0.48</v>
      </c>
      <c r="J33" s="394"/>
    </row>
    <row r="34" spans="1:10" s="136" customFormat="1" ht="18.75" customHeight="1">
      <c r="A34" s="343"/>
      <c r="B34" s="439" t="s">
        <v>1688</v>
      </c>
      <c r="C34" s="440">
        <v>2</v>
      </c>
      <c r="D34" s="143" t="s">
        <v>73</v>
      </c>
      <c r="E34" s="138">
        <v>2</v>
      </c>
      <c r="F34" s="139">
        <v>1.4</v>
      </c>
      <c r="G34" s="139">
        <v>1.4</v>
      </c>
      <c r="H34" s="139">
        <v>0.1</v>
      </c>
      <c r="I34" s="140">
        <f t="shared" si="11"/>
        <v>0.78</v>
      </c>
      <c r="J34" s="394"/>
    </row>
    <row r="35" spans="1:10" s="136" customFormat="1" ht="18.75" customHeight="1">
      <c r="A35" s="343"/>
      <c r="B35" s="439" t="s">
        <v>1698</v>
      </c>
      <c r="C35" s="440">
        <v>1</v>
      </c>
      <c r="D35" s="143" t="s">
        <v>73</v>
      </c>
      <c r="E35" s="138">
        <v>1</v>
      </c>
      <c r="F35" s="139">
        <v>66</v>
      </c>
      <c r="G35" s="139">
        <v>0.38</v>
      </c>
      <c r="H35" s="369">
        <v>7.4999999999999997E-2</v>
      </c>
      <c r="I35" s="140">
        <f t="shared" si="11"/>
        <v>1.88</v>
      </c>
      <c r="J35" s="394"/>
    </row>
    <row r="36" spans="1:10" s="136" customFormat="1" ht="18.75" customHeight="1">
      <c r="A36" s="343"/>
      <c r="B36" s="144" t="s">
        <v>1723</v>
      </c>
      <c r="C36" s="138">
        <v>1</v>
      </c>
      <c r="D36" s="143" t="s">
        <v>73</v>
      </c>
      <c r="E36" s="138">
        <v>1</v>
      </c>
      <c r="F36" s="139">
        <v>3</v>
      </c>
      <c r="G36" s="139">
        <v>0.38</v>
      </c>
      <c r="H36" s="369">
        <v>7.4999999999999997E-2</v>
      </c>
      <c r="I36" s="140">
        <f t="shared" si="11"/>
        <v>0.09</v>
      </c>
      <c r="J36" s="433"/>
    </row>
    <row r="37" spans="1:10" s="136" customFormat="1" ht="18.75" customHeight="1">
      <c r="A37" s="343"/>
      <c r="B37" s="144" t="s">
        <v>1724</v>
      </c>
      <c r="C37" s="138">
        <v>1</v>
      </c>
      <c r="D37" s="143" t="s">
        <v>73</v>
      </c>
      <c r="E37" s="138">
        <v>1</v>
      </c>
      <c r="F37" s="139">
        <v>50</v>
      </c>
      <c r="G37" s="139">
        <v>0.38</v>
      </c>
      <c r="H37" s="369">
        <v>7.4999999999999997E-2</v>
      </c>
      <c r="I37" s="140">
        <f t="shared" ref="I37" si="13">ROUND(PRODUCT(C37:H37),2)</f>
        <v>1.43</v>
      </c>
      <c r="J37" s="433"/>
    </row>
    <row r="38" spans="1:10" s="136" customFormat="1" ht="18.75" customHeight="1">
      <c r="A38" s="343"/>
      <c r="B38" s="439" t="s">
        <v>1691</v>
      </c>
      <c r="C38" s="440">
        <v>1</v>
      </c>
      <c r="D38" s="143" t="s">
        <v>73</v>
      </c>
      <c r="E38" s="138">
        <v>1</v>
      </c>
      <c r="F38" s="139">
        <v>38.4</v>
      </c>
      <c r="G38" s="139">
        <v>0.38</v>
      </c>
      <c r="H38" s="369">
        <v>7.4999999999999997E-2</v>
      </c>
      <c r="I38" s="140">
        <f t="shared" si="11"/>
        <v>1.0900000000000001</v>
      </c>
      <c r="J38" s="394"/>
    </row>
    <row r="39" spans="1:10" s="136" customFormat="1" ht="18.75" customHeight="1">
      <c r="A39" s="345"/>
      <c r="B39" s="441" t="s">
        <v>1699</v>
      </c>
      <c r="C39" s="440">
        <v>1</v>
      </c>
      <c r="D39" s="143" t="s">
        <v>73</v>
      </c>
      <c r="E39" s="138">
        <v>10</v>
      </c>
      <c r="F39" s="139">
        <v>1.21</v>
      </c>
      <c r="G39" s="139">
        <v>1.21</v>
      </c>
      <c r="H39" s="139">
        <v>0.1</v>
      </c>
      <c r="I39" s="140">
        <f t="shared" si="11"/>
        <v>1.46</v>
      </c>
      <c r="J39" s="394"/>
    </row>
    <row r="40" spans="1:10" s="136" customFormat="1" ht="18.75" customHeight="1">
      <c r="A40" s="345"/>
      <c r="B40" s="441" t="s">
        <v>1693</v>
      </c>
      <c r="C40" s="440">
        <v>1</v>
      </c>
      <c r="D40" s="143" t="s">
        <v>73</v>
      </c>
      <c r="E40" s="138">
        <v>1</v>
      </c>
      <c r="F40" s="139">
        <v>1.21</v>
      </c>
      <c r="G40" s="139">
        <v>1.21</v>
      </c>
      <c r="H40" s="139">
        <v>0.1</v>
      </c>
      <c r="I40" s="140">
        <f t="shared" si="11"/>
        <v>0.15</v>
      </c>
      <c r="J40" s="394"/>
    </row>
    <row r="41" spans="1:10" s="136" customFormat="1" ht="18.75" customHeight="1">
      <c r="A41" s="345"/>
      <c r="B41" s="441" t="s">
        <v>1694</v>
      </c>
      <c r="C41" s="440">
        <v>1</v>
      </c>
      <c r="D41" s="143" t="s">
        <v>73</v>
      </c>
      <c r="E41" s="138">
        <v>2</v>
      </c>
      <c r="F41" s="139">
        <v>1.21</v>
      </c>
      <c r="G41" s="139">
        <v>1.21</v>
      </c>
      <c r="H41" s="139">
        <v>0.1</v>
      </c>
      <c r="I41" s="140">
        <f t="shared" si="11"/>
        <v>0.28999999999999998</v>
      </c>
      <c r="J41" s="394"/>
    </row>
    <row r="42" spans="1:10" s="136" customFormat="1" ht="18.75" customHeight="1">
      <c r="A42" s="345"/>
      <c r="B42" s="441" t="s">
        <v>1700</v>
      </c>
      <c r="C42" s="440">
        <v>1</v>
      </c>
      <c r="D42" s="143" t="s">
        <v>73</v>
      </c>
      <c r="E42" s="138">
        <v>1</v>
      </c>
      <c r="F42" s="139">
        <v>16.7</v>
      </c>
      <c r="G42" s="139">
        <v>0.38</v>
      </c>
      <c r="H42" s="369">
        <v>7.4999999999999997E-2</v>
      </c>
      <c r="I42" s="140">
        <f t="shared" si="11"/>
        <v>0.48</v>
      </c>
      <c r="J42" s="394"/>
    </row>
    <row r="43" spans="1:10" s="136" customFormat="1" ht="18.75" customHeight="1">
      <c r="A43" s="345"/>
      <c r="B43" s="441" t="s">
        <v>1701</v>
      </c>
      <c r="C43" s="440">
        <v>1</v>
      </c>
      <c r="D43" s="143" t="s">
        <v>73</v>
      </c>
      <c r="E43" s="138">
        <v>2</v>
      </c>
      <c r="F43" s="139">
        <v>11.5</v>
      </c>
      <c r="G43" s="378">
        <v>3.5</v>
      </c>
      <c r="H43" s="369">
        <v>0.15</v>
      </c>
      <c r="I43" s="140">
        <f t="shared" si="11"/>
        <v>12.08</v>
      </c>
      <c r="J43" s="394"/>
    </row>
    <row r="44" spans="1:10" s="136" customFormat="1" ht="18.75" customHeight="1">
      <c r="A44" s="345"/>
      <c r="B44" s="441" t="s">
        <v>1697</v>
      </c>
      <c r="C44" s="440">
        <v>1</v>
      </c>
      <c r="D44" s="143" t="s">
        <v>73</v>
      </c>
      <c r="E44" s="138">
        <v>1</v>
      </c>
      <c r="F44" s="139">
        <v>28.7</v>
      </c>
      <c r="G44" s="139">
        <v>4.5</v>
      </c>
      <c r="H44" s="369">
        <v>0.15</v>
      </c>
      <c r="I44" s="140">
        <f t="shared" ref="I44:I49" si="14">ROUND(PRODUCT(C44:H44),2)</f>
        <v>19.37</v>
      </c>
      <c r="J44" s="394"/>
    </row>
    <row r="45" spans="1:10" s="136" customFormat="1" ht="18.75" customHeight="1">
      <c r="A45" s="345"/>
      <c r="B45" s="441" t="s">
        <v>1706</v>
      </c>
      <c r="C45" s="440">
        <v>1</v>
      </c>
      <c r="D45" s="143" t="s">
        <v>73</v>
      </c>
      <c r="E45" s="138">
        <v>2</v>
      </c>
      <c r="F45" s="139">
        <v>4.5</v>
      </c>
      <c r="G45" s="139">
        <v>3.5</v>
      </c>
      <c r="H45" s="369">
        <v>0.15</v>
      </c>
      <c r="I45" s="140">
        <f t="shared" si="14"/>
        <v>4.7300000000000004</v>
      </c>
      <c r="J45" s="394"/>
    </row>
    <row r="46" spans="1:10" s="136" customFormat="1" ht="18.75" customHeight="1">
      <c r="A46" s="345"/>
      <c r="B46" s="441" t="s">
        <v>1706</v>
      </c>
      <c r="C46" s="440">
        <v>1</v>
      </c>
      <c r="D46" s="143" t="s">
        <v>73</v>
      </c>
      <c r="E46" s="138">
        <v>1</v>
      </c>
      <c r="F46" s="139">
        <v>1.5</v>
      </c>
      <c r="G46" s="139">
        <v>3.5</v>
      </c>
      <c r="H46" s="369">
        <v>0.15</v>
      </c>
      <c r="I46" s="140">
        <f t="shared" ref="I46" si="15">ROUND(PRODUCT(C46:H46),2)</f>
        <v>0.79</v>
      </c>
      <c r="J46" s="433"/>
    </row>
    <row r="47" spans="1:10" s="136" customFormat="1" ht="18.75" customHeight="1">
      <c r="A47" s="345"/>
      <c r="B47" s="441" t="s">
        <v>1725</v>
      </c>
      <c r="C47" s="440">
        <v>1</v>
      </c>
      <c r="D47" s="143" t="s">
        <v>73</v>
      </c>
      <c r="E47" s="138">
        <v>2</v>
      </c>
      <c r="F47" s="139">
        <v>4.5</v>
      </c>
      <c r="G47" s="139">
        <v>1</v>
      </c>
      <c r="H47" s="369">
        <v>0.15</v>
      </c>
      <c r="I47" s="140">
        <f t="shared" si="14"/>
        <v>1.35</v>
      </c>
      <c r="J47" s="394"/>
    </row>
    <row r="48" spans="1:10" s="136" customFormat="1" ht="18.75" customHeight="1">
      <c r="A48" s="345"/>
      <c r="B48" s="441" t="s">
        <v>1602</v>
      </c>
      <c r="C48" s="444">
        <v>0.5</v>
      </c>
      <c r="D48" s="143" t="s">
        <v>73</v>
      </c>
      <c r="E48" s="138">
        <v>4</v>
      </c>
      <c r="F48" s="139">
        <v>1.5</v>
      </c>
      <c r="G48" s="139">
        <v>3.5</v>
      </c>
      <c r="H48" s="369">
        <v>0.15</v>
      </c>
      <c r="I48" s="140">
        <f t="shared" si="14"/>
        <v>1.58</v>
      </c>
      <c r="J48" s="394"/>
    </row>
    <row r="49" spans="1:14" s="136" customFormat="1" ht="18.75" customHeight="1">
      <c r="A49" s="345"/>
      <c r="B49" s="441" t="s">
        <v>1602</v>
      </c>
      <c r="C49" s="444">
        <v>0.5</v>
      </c>
      <c r="D49" s="143" t="s">
        <v>73</v>
      </c>
      <c r="E49" s="138">
        <v>2</v>
      </c>
      <c r="F49" s="139">
        <v>1.5</v>
      </c>
      <c r="G49" s="139">
        <v>3.5</v>
      </c>
      <c r="H49" s="369">
        <v>0.15</v>
      </c>
      <c r="I49" s="140">
        <f t="shared" si="14"/>
        <v>0.79</v>
      </c>
      <c r="J49" s="394"/>
    </row>
    <row r="50" spans="1:14" s="136" customFormat="1" ht="18.75" customHeight="1">
      <c r="A50" s="345"/>
      <c r="B50" s="441"/>
      <c r="C50" s="442"/>
      <c r="D50" s="438"/>
      <c r="E50" s="138"/>
      <c r="F50" s="139"/>
      <c r="G50" s="139"/>
      <c r="H50" s="139"/>
      <c r="I50" s="379">
        <f>SUM(I29:I49)</f>
        <v>55.830000000000005</v>
      </c>
      <c r="J50" s="394" t="str">
        <f>'[1]Excess details F &amp; B'!$I$14</f>
        <v>Cum</v>
      </c>
    </row>
    <row r="51" spans="1:14" s="136" customFormat="1" ht="18.75" customHeight="1">
      <c r="A51" s="345"/>
      <c r="B51" s="344"/>
      <c r="C51" s="341"/>
      <c r="D51" s="396"/>
      <c r="E51" s="396"/>
      <c r="F51" s="397"/>
      <c r="G51" s="397"/>
      <c r="H51" s="397"/>
      <c r="I51" s="398"/>
      <c r="J51" s="394"/>
    </row>
    <row r="52" spans="1:14" s="136" customFormat="1" ht="49.5" customHeight="1">
      <c r="A52" s="348" t="s">
        <v>1449</v>
      </c>
      <c r="B52" s="347" t="s">
        <v>1450</v>
      </c>
      <c r="C52" s="341"/>
      <c r="D52" s="396"/>
      <c r="E52" s="396"/>
      <c r="F52" s="397"/>
      <c r="G52" s="397"/>
      <c r="H52" s="397"/>
      <c r="I52" s="398"/>
      <c r="J52" s="394"/>
    </row>
    <row r="53" spans="1:14" s="136" customFormat="1" ht="18.75" customHeight="1">
      <c r="A53" s="345"/>
      <c r="B53" s="441" t="s">
        <v>1702</v>
      </c>
      <c r="C53" s="440">
        <v>1</v>
      </c>
      <c r="D53" s="143" t="s">
        <v>73</v>
      </c>
      <c r="E53" s="138">
        <v>1</v>
      </c>
      <c r="F53" s="139">
        <v>14.7</v>
      </c>
      <c r="G53" s="139">
        <v>10.14</v>
      </c>
      <c r="H53" s="369">
        <v>0.1</v>
      </c>
      <c r="I53" s="140">
        <f t="shared" ref="I53:I57" si="16">ROUND(PRODUCT(C53:H53),2)</f>
        <v>14.91</v>
      </c>
      <c r="J53" s="394"/>
    </row>
    <row r="54" spans="1:14" s="136" customFormat="1" ht="18.75" customHeight="1">
      <c r="A54" s="345"/>
      <c r="B54" s="441" t="s">
        <v>1321</v>
      </c>
      <c r="C54" s="440">
        <v>-1</v>
      </c>
      <c r="D54" s="143" t="s">
        <v>73</v>
      </c>
      <c r="E54" s="138">
        <v>1</v>
      </c>
      <c r="F54" s="139">
        <v>5.0199999999999996</v>
      </c>
      <c r="G54" s="139">
        <v>3.56</v>
      </c>
      <c r="H54" s="369">
        <v>0.1</v>
      </c>
      <c r="I54" s="140">
        <f t="shared" si="16"/>
        <v>-1.79</v>
      </c>
      <c r="J54" s="394"/>
    </row>
    <row r="55" spans="1:14" s="136" customFormat="1" ht="18.75" customHeight="1">
      <c r="A55" s="345"/>
      <c r="B55" s="441" t="s">
        <v>1703</v>
      </c>
      <c r="C55" s="440">
        <v>-1</v>
      </c>
      <c r="D55" s="143" t="s">
        <v>73</v>
      </c>
      <c r="E55" s="138">
        <v>1</v>
      </c>
      <c r="F55" s="139">
        <v>3.23</v>
      </c>
      <c r="G55" s="139">
        <v>2.93</v>
      </c>
      <c r="H55" s="369">
        <v>0.1</v>
      </c>
      <c r="I55" s="140">
        <f t="shared" si="16"/>
        <v>-0.95</v>
      </c>
      <c r="J55" s="394"/>
    </row>
    <row r="56" spans="1:14" s="136" customFormat="1" ht="18.75" customHeight="1">
      <c r="A56" s="345"/>
      <c r="B56" s="441" t="s">
        <v>1704</v>
      </c>
      <c r="C56" s="440">
        <v>-1</v>
      </c>
      <c r="D56" s="143" t="s">
        <v>73</v>
      </c>
      <c r="E56" s="138">
        <v>7</v>
      </c>
      <c r="F56" s="139">
        <v>0.38</v>
      </c>
      <c r="G56" s="139">
        <v>0.23</v>
      </c>
      <c r="H56" s="369">
        <v>0.1</v>
      </c>
      <c r="I56" s="140">
        <f t="shared" si="16"/>
        <v>-0.06</v>
      </c>
      <c r="J56" s="394"/>
    </row>
    <row r="57" spans="1:14" s="136" customFormat="1" ht="18.75" customHeight="1">
      <c r="A57" s="345"/>
      <c r="B57" s="441" t="s">
        <v>1704</v>
      </c>
      <c r="C57" s="440">
        <v>-1</v>
      </c>
      <c r="D57" s="143" t="s">
        <v>73</v>
      </c>
      <c r="E57" s="138">
        <v>2</v>
      </c>
      <c r="F57" s="139">
        <v>0.3</v>
      </c>
      <c r="G57" s="139">
        <v>0.23</v>
      </c>
      <c r="H57" s="369">
        <v>0.1</v>
      </c>
      <c r="I57" s="140">
        <f t="shared" si="16"/>
        <v>-0.01</v>
      </c>
      <c r="J57" s="394"/>
      <c r="N57" s="136">
        <v>8700</v>
      </c>
    </row>
    <row r="58" spans="1:14" s="136" customFormat="1" ht="18.75" customHeight="1">
      <c r="A58" s="345"/>
      <c r="B58" s="441" t="s">
        <v>1705</v>
      </c>
      <c r="C58" s="440">
        <v>-1</v>
      </c>
      <c r="D58" s="143" t="s">
        <v>73</v>
      </c>
      <c r="E58" s="138">
        <v>1</v>
      </c>
      <c r="F58" s="139">
        <v>4.79</v>
      </c>
      <c r="G58" s="139">
        <v>0.23</v>
      </c>
      <c r="H58" s="369">
        <v>0.1</v>
      </c>
      <c r="I58" s="140">
        <f t="shared" ref="I58" si="17">ROUND(PRODUCT(C58:H58),2)</f>
        <v>-0.11</v>
      </c>
      <c r="J58" s="394"/>
    </row>
    <row r="59" spans="1:14" s="136" customFormat="1" ht="18.75" customHeight="1">
      <c r="A59" s="345"/>
      <c r="B59" s="441" t="s">
        <v>1701</v>
      </c>
      <c r="C59" s="440">
        <v>1</v>
      </c>
      <c r="D59" s="143" t="s">
        <v>73</v>
      </c>
      <c r="E59" s="138">
        <v>2</v>
      </c>
      <c r="F59" s="139">
        <v>11.5</v>
      </c>
      <c r="G59" s="378">
        <v>3.5</v>
      </c>
      <c r="H59" s="369">
        <v>7.4999999999999997E-2</v>
      </c>
      <c r="I59" s="140">
        <f t="shared" ref="I59:I65" si="18">ROUND(PRODUCT(C59:H59),2)</f>
        <v>6.04</v>
      </c>
      <c r="J59" s="394"/>
    </row>
    <row r="60" spans="1:14" s="136" customFormat="1" ht="18.75" customHeight="1">
      <c r="A60" s="345"/>
      <c r="B60" s="441" t="s">
        <v>1697</v>
      </c>
      <c r="C60" s="440">
        <v>1</v>
      </c>
      <c r="D60" s="143" t="s">
        <v>73</v>
      </c>
      <c r="E60" s="138">
        <v>1</v>
      </c>
      <c r="F60" s="139">
        <v>28.7</v>
      </c>
      <c r="G60" s="139">
        <v>4.5</v>
      </c>
      <c r="H60" s="369">
        <v>7.4999999999999997E-2</v>
      </c>
      <c r="I60" s="140">
        <f t="shared" si="18"/>
        <v>9.69</v>
      </c>
      <c r="J60" s="433"/>
    </row>
    <row r="61" spans="1:14" s="136" customFormat="1" ht="18.75" customHeight="1">
      <c r="A61" s="345"/>
      <c r="B61" s="441" t="s">
        <v>1706</v>
      </c>
      <c r="C61" s="440">
        <v>1</v>
      </c>
      <c r="D61" s="143" t="s">
        <v>73</v>
      </c>
      <c r="E61" s="138">
        <v>2</v>
      </c>
      <c r="F61" s="139">
        <v>4.5</v>
      </c>
      <c r="G61" s="139">
        <v>3.5</v>
      </c>
      <c r="H61" s="369">
        <v>7.4999999999999997E-2</v>
      </c>
      <c r="I61" s="140">
        <f t="shared" si="18"/>
        <v>2.36</v>
      </c>
      <c r="J61" s="433"/>
    </row>
    <row r="62" spans="1:14" s="136" customFormat="1" ht="18.75" customHeight="1">
      <c r="A62" s="345"/>
      <c r="B62" s="441" t="s">
        <v>1706</v>
      </c>
      <c r="C62" s="440">
        <v>1</v>
      </c>
      <c r="D62" s="143" t="s">
        <v>73</v>
      </c>
      <c r="E62" s="138">
        <v>1</v>
      </c>
      <c r="F62" s="139">
        <v>1.5</v>
      </c>
      <c r="G62" s="139">
        <v>3.5</v>
      </c>
      <c r="H62" s="369">
        <v>7.4999999999999997E-2</v>
      </c>
      <c r="I62" s="140">
        <f t="shared" si="18"/>
        <v>0.39</v>
      </c>
      <c r="J62" s="433"/>
    </row>
    <row r="63" spans="1:14" s="136" customFormat="1" ht="18.75" customHeight="1">
      <c r="A63" s="345"/>
      <c r="B63" s="441" t="s">
        <v>1725</v>
      </c>
      <c r="C63" s="440">
        <v>1</v>
      </c>
      <c r="D63" s="143" t="s">
        <v>73</v>
      </c>
      <c r="E63" s="138">
        <v>2</v>
      </c>
      <c r="F63" s="139">
        <v>4.5</v>
      </c>
      <c r="G63" s="139">
        <v>1</v>
      </c>
      <c r="H63" s="369">
        <v>7.4999999999999997E-2</v>
      </c>
      <c r="I63" s="140">
        <f t="shared" si="18"/>
        <v>0.68</v>
      </c>
      <c r="J63" s="433"/>
    </row>
    <row r="64" spans="1:14" s="136" customFormat="1" ht="18.75" customHeight="1">
      <c r="A64" s="345"/>
      <c r="B64" s="441" t="s">
        <v>1602</v>
      </c>
      <c r="C64" s="444">
        <v>0.5</v>
      </c>
      <c r="D64" s="143" t="s">
        <v>73</v>
      </c>
      <c r="E64" s="138">
        <v>4</v>
      </c>
      <c r="F64" s="139">
        <v>1.5</v>
      </c>
      <c r="G64" s="139">
        <v>3.5</v>
      </c>
      <c r="H64" s="369">
        <v>7.4999999999999997E-2</v>
      </c>
      <c r="I64" s="140">
        <f t="shared" si="18"/>
        <v>0.79</v>
      </c>
      <c r="J64" s="433"/>
    </row>
    <row r="65" spans="1:10" s="136" customFormat="1" ht="18.75" customHeight="1">
      <c r="A65" s="345"/>
      <c r="B65" s="441" t="s">
        <v>1602</v>
      </c>
      <c r="C65" s="444">
        <v>0.5</v>
      </c>
      <c r="D65" s="143" t="s">
        <v>73</v>
      </c>
      <c r="E65" s="138">
        <v>2</v>
      </c>
      <c r="F65" s="139">
        <v>1.5</v>
      </c>
      <c r="G65" s="139">
        <v>3.5</v>
      </c>
      <c r="H65" s="369">
        <v>7.4999999999999997E-2</v>
      </c>
      <c r="I65" s="140">
        <f t="shared" si="18"/>
        <v>0.39</v>
      </c>
      <c r="J65" s="433"/>
    </row>
    <row r="66" spans="1:10" s="136" customFormat="1" ht="18.75" customHeight="1">
      <c r="A66" s="345"/>
      <c r="B66" s="347"/>
      <c r="C66" s="341"/>
      <c r="D66" s="396"/>
      <c r="E66" s="396"/>
      <c r="F66" s="397"/>
      <c r="G66" s="397"/>
      <c r="H66" s="397"/>
      <c r="I66" s="475">
        <f>SUM(I53:I65)</f>
        <v>32.33</v>
      </c>
      <c r="J66" s="394" t="str">
        <f>'[1]Excess details F &amp; B'!$I$14</f>
        <v>Cum</v>
      </c>
    </row>
    <row r="67" spans="1:10" s="136" customFormat="1" ht="18.75" customHeight="1">
      <c r="A67" s="345"/>
      <c r="B67" s="347"/>
      <c r="C67" s="341"/>
      <c r="D67" s="396"/>
      <c r="E67" s="396"/>
      <c r="F67" s="397"/>
      <c r="G67" s="397"/>
      <c r="H67" s="397"/>
      <c r="I67" s="398"/>
      <c r="J67" s="394"/>
    </row>
    <row r="68" spans="1:10" s="136" customFormat="1" ht="39.75" customHeight="1">
      <c r="A68" s="345">
        <v>3.3</v>
      </c>
      <c r="B68" s="387" t="s">
        <v>1606</v>
      </c>
      <c r="C68" s="341"/>
      <c r="D68" s="396"/>
      <c r="E68" s="396"/>
      <c r="F68" s="397"/>
      <c r="G68" s="397"/>
      <c r="H68" s="397"/>
      <c r="I68" s="398"/>
      <c r="J68" s="394"/>
    </row>
    <row r="69" spans="1:10" s="136" customFormat="1" ht="18.75" customHeight="1">
      <c r="A69" s="345"/>
      <c r="B69" s="441" t="s">
        <v>1707</v>
      </c>
      <c r="C69" s="440">
        <v>1</v>
      </c>
      <c r="D69" s="143" t="s">
        <v>73</v>
      </c>
      <c r="E69" s="138">
        <v>2</v>
      </c>
      <c r="F69" s="139">
        <v>0.6</v>
      </c>
      <c r="G69" s="139">
        <v>0.6</v>
      </c>
      <c r="H69" s="369">
        <v>0.28000000000000003</v>
      </c>
      <c r="I69" s="443">
        <f t="shared" ref="I69" si="19">ROUND(PRODUCT(C69:H69),2)</f>
        <v>0.2</v>
      </c>
      <c r="J69" s="394" t="str">
        <f>'[1]Excess details F &amp; B'!$I$14</f>
        <v>Cum</v>
      </c>
    </row>
    <row r="70" spans="1:10" s="136" customFormat="1" ht="18.75" customHeight="1">
      <c r="A70" s="345"/>
      <c r="B70" s="343"/>
      <c r="C70" s="341"/>
      <c r="D70" s="396"/>
      <c r="E70" s="396"/>
      <c r="F70" s="397"/>
      <c r="G70" s="397"/>
      <c r="H70" s="397"/>
      <c r="I70" s="398"/>
      <c r="J70" s="394"/>
    </row>
    <row r="71" spans="1:10" s="136" customFormat="1" ht="49.5" customHeight="1">
      <c r="A71" s="348">
        <v>6.2</v>
      </c>
      <c r="B71" s="347" t="s">
        <v>1451</v>
      </c>
      <c r="C71" s="341"/>
      <c r="D71" s="396"/>
      <c r="E71" s="396"/>
      <c r="F71" s="397"/>
      <c r="G71" s="397"/>
      <c r="H71" s="397"/>
      <c r="I71" s="398"/>
      <c r="J71" s="394"/>
    </row>
    <row r="72" spans="1:10" s="136" customFormat="1" ht="18.75" customHeight="1">
      <c r="A72" s="343"/>
      <c r="B72" s="144" t="s">
        <v>1474</v>
      </c>
      <c r="C72" s="138">
        <v>1</v>
      </c>
      <c r="D72" s="143" t="s">
        <v>73</v>
      </c>
      <c r="E72" s="138">
        <v>1</v>
      </c>
      <c r="F72" s="139">
        <v>66</v>
      </c>
      <c r="G72" s="139">
        <v>0.23</v>
      </c>
      <c r="H72" s="139">
        <v>0.9</v>
      </c>
      <c r="I72" s="140">
        <f t="shared" ref="I72:I77" si="20">ROUND(PRODUCT(C72:H72),2)</f>
        <v>13.66</v>
      </c>
      <c r="J72" s="394"/>
    </row>
    <row r="73" spans="1:10" s="136" customFormat="1" ht="18.75" customHeight="1">
      <c r="A73" s="343"/>
      <c r="B73" s="144"/>
      <c r="C73" s="138"/>
      <c r="D73" s="143"/>
      <c r="E73" s="138"/>
      <c r="F73" s="139"/>
      <c r="G73" s="139"/>
      <c r="H73" s="139"/>
      <c r="I73" s="140"/>
      <c r="J73" s="433"/>
    </row>
    <row r="74" spans="1:10" s="136" customFormat="1" ht="18.75" customHeight="1">
      <c r="A74" s="343"/>
      <c r="B74" s="148" t="s">
        <v>1475</v>
      </c>
      <c r="C74" s="138">
        <v>1</v>
      </c>
      <c r="D74" s="143" t="s">
        <v>73</v>
      </c>
      <c r="E74" s="138">
        <v>10</v>
      </c>
      <c r="F74" s="139">
        <v>3.32</v>
      </c>
      <c r="G74" s="139">
        <v>0.23</v>
      </c>
      <c r="H74" s="139">
        <v>0.9</v>
      </c>
      <c r="I74" s="140">
        <f t="shared" si="20"/>
        <v>6.87</v>
      </c>
      <c r="J74" s="394"/>
    </row>
    <row r="75" spans="1:10" s="136" customFormat="1" ht="18.75" customHeight="1">
      <c r="A75" s="343"/>
      <c r="B75" s="148" t="s">
        <v>1476</v>
      </c>
      <c r="C75" s="138">
        <v>1</v>
      </c>
      <c r="D75" s="143" t="s">
        <v>73</v>
      </c>
      <c r="E75" s="138">
        <v>1</v>
      </c>
      <c r="F75" s="139">
        <v>3.32</v>
      </c>
      <c r="G75" s="139">
        <v>0.23</v>
      </c>
      <c r="H75" s="139">
        <v>0.9</v>
      </c>
      <c r="I75" s="140">
        <f t="shared" si="20"/>
        <v>0.69</v>
      </c>
      <c r="J75" s="394"/>
    </row>
    <row r="76" spans="1:10" s="136" customFormat="1" ht="18.75" customHeight="1">
      <c r="A76" s="343"/>
      <c r="B76" s="148" t="s">
        <v>1477</v>
      </c>
      <c r="C76" s="138">
        <v>1</v>
      </c>
      <c r="D76" s="143" t="s">
        <v>73</v>
      </c>
      <c r="E76" s="138">
        <v>2</v>
      </c>
      <c r="F76" s="139">
        <v>3.32</v>
      </c>
      <c r="G76" s="139">
        <v>0.23</v>
      </c>
      <c r="H76" s="139">
        <v>0.9</v>
      </c>
      <c r="I76" s="140">
        <f t="shared" ref="I76" si="21">ROUND(PRODUCT(C76:H76),2)</f>
        <v>1.37</v>
      </c>
      <c r="J76" s="394"/>
    </row>
    <row r="77" spans="1:10" s="136" customFormat="1" ht="18.75" customHeight="1">
      <c r="A77" s="343"/>
      <c r="B77" s="148" t="s">
        <v>1694</v>
      </c>
      <c r="C77" s="138">
        <v>1</v>
      </c>
      <c r="D77" s="143" t="s">
        <v>73</v>
      </c>
      <c r="E77" s="138">
        <v>1</v>
      </c>
      <c r="F77" s="139">
        <v>3.32</v>
      </c>
      <c r="G77" s="139">
        <v>0.23</v>
      </c>
      <c r="H77" s="139">
        <v>0.9</v>
      </c>
      <c r="I77" s="140">
        <f t="shared" si="20"/>
        <v>0.69</v>
      </c>
      <c r="J77" s="394"/>
    </row>
    <row r="78" spans="1:10" s="136" customFormat="1" ht="18.75" customHeight="1">
      <c r="A78" s="345"/>
      <c r="B78" s="347"/>
      <c r="C78" s="341"/>
      <c r="D78" s="396"/>
      <c r="E78" s="396"/>
      <c r="F78" s="397"/>
      <c r="G78" s="397"/>
      <c r="H78" s="397"/>
      <c r="I78" s="445">
        <f>SUM(I72:I77)</f>
        <v>23.280000000000005</v>
      </c>
      <c r="J78" s="394" t="str">
        <f>'[1]Excess details F &amp; B'!$I$14</f>
        <v>Cum</v>
      </c>
    </row>
    <row r="79" spans="1:10" s="136" customFormat="1" ht="18.75" customHeight="1">
      <c r="A79" s="345"/>
      <c r="B79" s="347"/>
      <c r="C79" s="341"/>
      <c r="D79" s="396"/>
      <c r="E79" s="396"/>
      <c r="F79" s="397"/>
      <c r="G79" s="397"/>
      <c r="H79" s="397"/>
      <c r="I79" s="398"/>
      <c r="J79" s="394"/>
    </row>
    <row r="80" spans="1:10" s="136" customFormat="1" ht="38.25" customHeight="1">
      <c r="A80" s="392">
        <v>7.2</v>
      </c>
      <c r="B80" s="387" t="s">
        <v>1603</v>
      </c>
      <c r="C80" s="341"/>
      <c r="D80" s="396"/>
      <c r="E80" s="396"/>
      <c r="F80" s="397"/>
      <c r="G80" s="397"/>
      <c r="H80" s="397"/>
      <c r="I80" s="398"/>
      <c r="J80" s="394"/>
    </row>
    <row r="81" spans="1:10" s="136" customFormat="1" ht="18.75" customHeight="1">
      <c r="A81" s="343"/>
      <c r="B81" s="144" t="s">
        <v>1708</v>
      </c>
      <c r="C81" s="138">
        <v>1</v>
      </c>
      <c r="D81" s="143" t="s">
        <v>73</v>
      </c>
      <c r="E81" s="138">
        <v>2</v>
      </c>
      <c r="F81" s="139">
        <v>0.23</v>
      </c>
      <c r="G81" s="139"/>
      <c r="H81" s="139">
        <v>3.3</v>
      </c>
      <c r="I81" s="140">
        <f t="shared" ref="I81:I84" si="22">ROUND(PRODUCT(C81:H81),2)</f>
        <v>1.52</v>
      </c>
      <c r="J81" s="394"/>
    </row>
    <row r="82" spans="1:10" s="136" customFormat="1" ht="18.75" customHeight="1">
      <c r="A82" s="343"/>
      <c r="B82" s="144" t="s">
        <v>1709</v>
      </c>
      <c r="C82" s="138">
        <v>1</v>
      </c>
      <c r="D82" s="143" t="s">
        <v>73</v>
      </c>
      <c r="E82" s="138">
        <v>8</v>
      </c>
      <c r="F82" s="378">
        <v>3.5</v>
      </c>
      <c r="G82" s="139"/>
      <c r="H82" s="369">
        <v>0.22500000000000001</v>
      </c>
      <c r="I82" s="140">
        <f t="shared" ref="I82" si="23">ROUND(PRODUCT(C82:H82),2)</f>
        <v>6.3</v>
      </c>
      <c r="J82" s="433"/>
    </row>
    <row r="83" spans="1:10" s="136" customFormat="1" ht="18.75" customHeight="1">
      <c r="A83" s="343"/>
      <c r="B83" s="144" t="s">
        <v>1709</v>
      </c>
      <c r="C83" s="138">
        <v>2</v>
      </c>
      <c r="D83" s="143" t="s">
        <v>73</v>
      </c>
      <c r="E83" s="138">
        <v>2</v>
      </c>
      <c r="F83" s="139">
        <v>4.5</v>
      </c>
      <c r="G83" s="139"/>
      <c r="H83" s="369">
        <v>0.22500000000000001</v>
      </c>
      <c r="I83" s="140">
        <f t="shared" si="22"/>
        <v>4.05</v>
      </c>
      <c r="J83" s="394"/>
    </row>
    <row r="84" spans="1:10" s="136" customFormat="1" ht="18.75" customHeight="1">
      <c r="A84" s="343"/>
      <c r="B84" s="144" t="s">
        <v>1709</v>
      </c>
      <c r="C84" s="138">
        <v>1</v>
      </c>
      <c r="D84" s="143" t="s">
        <v>73</v>
      </c>
      <c r="E84" s="138">
        <v>4</v>
      </c>
      <c r="F84" s="139">
        <v>3.5</v>
      </c>
      <c r="G84" s="139"/>
      <c r="H84" s="369">
        <v>0.22500000000000001</v>
      </c>
      <c r="I84" s="140">
        <f t="shared" si="22"/>
        <v>3.15</v>
      </c>
      <c r="J84" s="394"/>
    </row>
    <row r="85" spans="1:10" s="136" customFormat="1" ht="18.75" customHeight="1">
      <c r="A85" s="343"/>
      <c r="B85" s="144" t="s">
        <v>1709</v>
      </c>
      <c r="C85" s="138">
        <v>1</v>
      </c>
      <c r="D85" s="143" t="s">
        <v>73</v>
      </c>
      <c r="E85" s="138">
        <v>2</v>
      </c>
      <c r="F85" s="139">
        <v>1.7</v>
      </c>
      <c r="G85" s="139"/>
      <c r="H85" s="369">
        <v>0.22500000000000001</v>
      </c>
      <c r="I85" s="140">
        <f t="shared" ref="I85" si="24">ROUND(PRODUCT(C85:H85),2)</f>
        <v>0.77</v>
      </c>
      <c r="J85" s="394"/>
    </row>
    <row r="86" spans="1:10" s="136" customFormat="1" ht="18.75" customHeight="1">
      <c r="A86" s="345"/>
      <c r="B86" s="347"/>
      <c r="C86" s="341"/>
      <c r="D86" s="396"/>
      <c r="E86" s="396"/>
      <c r="F86" s="397"/>
      <c r="G86" s="397"/>
      <c r="H86" s="397"/>
      <c r="I86" s="476">
        <f>SUM(I81:I85)</f>
        <v>15.790000000000001</v>
      </c>
      <c r="J86" s="394" t="s">
        <v>75</v>
      </c>
    </row>
    <row r="87" spans="1:10" s="136" customFormat="1" ht="18.75" customHeight="1">
      <c r="A87" s="345"/>
      <c r="B87" s="343"/>
      <c r="C87" s="341"/>
      <c r="D87" s="396"/>
      <c r="E87" s="396"/>
      <c r="F87" s="397"/>
      <c r="G87" s="397"/>
      <c r="H87" s="397"/>
      <c r="I87" s="398"/>
      <c r="J87" s="394"/>
    </row>
    <row r="88" spans="1:10" s="136" customFormat="1" ht="18.75" customHeight="1">
      <c r="A88" s="152">
        <v>9.1999999999999993</v>
      </c>
      <c r="B88" s="178" t="s">
        <v>1452</v>
      </c>
      <c r="C88" s="149"/>
      <c r="D88" s="149"/>
      <c r="E88" s="149"/>
      <c r="F88" s="150"/>
      <c r="G88" s="150"/>
      <c r="H88" s="150"/>
      <c r="I88" s="151"/>
      <c r="J88" s="394"/>
    </row>
    <row r="89" spans="1:10" s="136" customFormat="1" ht="18.75" customHeight="1">
      <c r="A89" s="343"/>
      <c r="B89" s="155" t="s">
        <v>247</v>
      </c>
      <c r="C89" s="149"/>
      <c r="D89" s="149"/>
      <c r="E89" s="149"/>
      <c r="F89" s="150"/>
      <c r="G89" s="150"/>
      <c r="H89" s="150"/>
      <c r="I89" s="151"/>
      <c r="J89" s="394"/>
    </row>
    <row r="90" spans="1:10" s="154" customFormat="1">
      <c r="A90" s="276"/>
      <c r="B90" s="148" t="s">
        <v>1483</v>
      </c>
      <c r="C90" s="138">
        <v>1</v>
      </c>
      <c r="D90" s="143" t="s">
        <v>73</v>
      </c>
      <c r="E90" s="138">
        <v>1</v>
      </c>
      <c r="F90" s="139">
        <v>12.41</v>
      </c>
      <c r="G90" s="139">
        <v>0.23</v>
      </c>
      <c r="H90" s="139">
        <v>3.02</v>
      </c>
      <c r="I90" s="140">
        <f t="shared" ref="I90:I104" si="25">ROUND(PRODUCT(C90:H90),2)</f>
        <v>8.6199999999999992</v>
      </c>
      <c r="J90" s="161"/>
    </row>
    <row r="91" spans="1:10" s="154" customFormat="1">
      <c r="A91" s="276"/>
      <c r="B91" s="148" t="s">
        <v>1726</v>
      </c>
      <c r="C91" s="149">
        <v>-1</v>
      </c>
      <c r="D91" s="149" t="s">
        <v>73</v>
      </c>
      <c r="E91" s="149">
        <v>2</v>
      </c>
      <c r="F91" s="150">
        <v>1.35</v>
      </c>
      <c r="G91" s="150">
        <v>0.23</v>
      </c>
      <c r="H91" s="150">
        <v>1.35</v>
      </c>
      <c r="I91" s="140">
        <f t="shared" si="25"/>
        <v>-0.84</v>
      </c>
      <c r="J91" s="161"/>
    </row>
    <row r="92" spans="1:10" s="154" customFormat="1">
      <c r="A92" s="276"/>
      <c r="B92" s="148" t="s">
        <v>1156</v>
      </c>
      <c r="C92" s="149">
        <v>-1</v>
      </c>
      <c r="D92" s="149" t="s">
        <v>73</v>
      </c>
      <c r="E92" s="149">
        <v>1</v>
      </c>
      <c r="F92" s="150">
        <v>3.16</v>
      </c>
      <c r="G92" s="150">
        <v>0.23</v>
      </c>
      <c r="H92" s="150">
        <v>0.23</v>
      </c>
      <c r="I92" s="140">
        <f t="shared" si="25"/>
        <v>-0.17</v>
      </c>
      <c r="J92" s="161"/>
    </row>
    <row r="93" spans="1:10" s="154" customFormat="1">
      <c r="A93" s="276"/>
      <c r="B93" s="148" t="s">
        <v>1727</v>
      </c>
      <c r="C93" s="149">
        <v>-1</v>
      </c>
      <c r="D93" s="149" t="s">
        <v>73</v>
      </c>
      <c r="E93" s="149">
        <v>1</v>
      </c>
      <c r="F93" s="150">
        <v>1.35</v>
      </c>
      <c r="G93" s="150">
        <v>0.23</v>
      </c>
      <c r="H93" s="150">
        <v>1.35</v>
      </c>
      <c r="I93" s="140">
        <f t="shared" si="25"/>
        <v>-0.42</v>
      </c>
      <c r="J93" s="161"/>
    </row>
    <row r="94" spans="1:10" s="154" customFormat="1">
      <c r="A94" s="276"/>
      <c r="B94" s="148" t="s">
        <v>1157</v>
      </c>
      <c r="C94" s="149">
        <v>-1</v>
      </c>
      <c r="D94" s="149" t="s">
        <v>73</v>
      </c>
      <c r="E94" s="149">
        <v>1</v>
      </c>
      <c r="F94" s="150">
        <v>1.81</v>
      </c>
      <c r="G94" s="150">
        <v>0.23</v>
      </c>
      <c r="H94" s="150">
        <v>0.15</v>
      </c>
      <c r="I94" s="140">
        <f t="shared" si="25"/>
        <v>-0.06</v>
      </c>
      <c r="J94" s="161"/>
    </row>
    <row r="95" spans="1:10" s="154" customFormat="1">
      <c r="A95" s="276"/>
      <c r="B95" s="148" t="s">
        <v>1728</v>
      </c>
      <c r="C95" s="149">
        <v>-1</v>
      </c>
      <c r="D95" s="149" t="s">
        <v>73</v>
      </c>
      <c r="E95" s="149">
        <v>1</v>
      </c>
      <c r="F95" s="150">
        <v>1</v>
      </c>
      <c r="G95" s="150">
        <v>0.23</v>
      </c>
      <c r="H95" s="150">
        <v>2.1</v>
      </c>
      <c r="I95" s="140">
        <f t="shared" si="25"/>
        <v>-0.48</v>
      </c>
      <c r="J95" s="161"/>
    </row>
    <row r="96" spans="1:10" s="154" customFormat="1">
      <c r="A96" s="276"/>
      <c r="B96" s="148" t="s">
        <v>1729</v>
      </c>
      <c r="C96" s="149">
        <v>-1</v>
      </c>
      <c r="D96" s="149" t="s">
        <v>73</v>
      </c>
      <c r="E96" s="149">
        <v>1</v>
      </c>
      <c r="F96" s="150">
        <v>1.35</v>
      </c>
      <c r="G96" s="150">
        <v>0.23</v>
      </c>
      <c r="H96" s="150">
        <v>1.35</v>
      </c>
      <c r="I96" s="140">
        <f t="shared" si="25"/>
        <v>-0.42</v>
      </c>
      <c r="J96" s="161"/>
    </row>
    <row r="97" spans="1:10" s="154" customFormat="1">
      <c r="A97" s="276"/>
      <c r="B97" s="148" t="s">
        <v>1159</v>
      </c>
      <c r="C97" s="149">
        <v>-1</v>
      </c>
      <c r="D97" s="149" t="s">
        <v>73</v>
      </c>
      <c r="E97" s="149">
        <v>1</v>
      </c>
      <c r="F97" s="150">
        <v>3.3</v>
      </c>
      <c r="G97" s="150">
        <v>0.23</v>
      </c>
      <c r="H97" s="150">
        <v>0.15</v>
      </c>
      <c r="I97" s="140">
        <f t="shared" si="25"/>
        <v>-0.11</v>
      </c>
      <c r="J97" s="161"/>
    </row>
    <row r="98" spans="1:10" s="154" customFormat="1">
      <c r="A98" s="276"/>
      <c r="B98" s="148" t="s">
        <v>1160</v>
      </c>
      <c r="C98" s="138">
        <v>1</v>
      </c>
      <c r="D98" s="143" t="s">
        <v>73</v>
      </c>
      <c r="E98" s="138">
        <v>4</v>
      </c>
      <c r="F98" s="139">
        <v>0.6</v>
      </c>
      <c r="G98" s="139">
        <v>0.23</v>
      </c>
      <c r="H98" s="139">
        <v>3.02</v>
      </c>
      <c r="I98" s="140">
        <f t="shared" si="25"/>
        <v>1.67</v>
      </c>
      <c r="J98" s="161"/>
    </row>
    <row r="99" spans="1:10" s="154" customFormat="1">
      <c r="A99" s="276"/>
      <c r="B99" s="148" t="s">
        <v>1172</v>
      </c>
      <c r="C99" s="138">
        <v>1</v>
      </c>
      <c r="D99" s="143" t="s">
        <v>73</v>
      </c>
      <c r="E99" s="138">
        <v>1</v>
      </c>
      <c r="F99" s="139">
        <v>0.9</v>
      </c>
      <c r="G99" s="139">
        <v>0.45</v>
      </c>
      <c r="H99" s="139">
        <v>0.1</v>
      </c>
      <c r="I99" s="140">
        <f t="shared" si="25"/>
        <v>0.04</v>
      </c>
      <c r="J99" s="161"/>
    </row>
    <row r="100" spans="1:10" s="154" customFormat="1">
      <c r="A100" s="276"/>
      <c r="B100" s="148" t="s">
        <v>1484</v>
      </c>
      <c r="C100" s="138"/>
      <c r="D100" s="143"/>
      <c r="E100" s="138"/>
      <c r="F100" s="139"/>
      <c r="G100" s="139"/>
      <c r="H100" s="139"/>
      <c r="I100" s="140">
        <f t="shared" si="25"/>
        <v>0</v>
      </c>
      <c r="J100" s="161"/>
    </row>
    <row r="101" spans="1:10" s="154" customFormat="1">
      <c r="A101" s="276"/>
      <c r="B101" s="148" t="s">
        <v>1730</v>
      </c>
      <c r="C101" s="138">
        <v>2</v>
      </c>
      <c r="D101" s="143" t="s">
        <v>73</v>
      </c>
      <c r="E101" s="138">
        <v>20</v>
      </c>
      <c r="F101" s="139">
        <v>0.23</v>
      </c>
      <c r="G101" s="139">
        <v>0.23</v>
      </c>
      <c r="H101" s="369">
        <v>0.83699999999999997</v>
      </c>
      <c r="I101" s="140">
        <f t="shared" si="25"/>
        <v>1.77</v>
      </c>
      <c r="J101" s="161"/>
    </row>
    <row r="102" spans="1:10" s="154" customFormat="1">
      <c r="A102" s="276"/>
      <c r="B102" s="148" t="s">
        <v>1481</v>
      </c>
      <c r="C102" s="138">
        <v>1</v>
      </c>
      <c r="D102" s="143" t="s">
        <v>73</v>
      </c>
      <c r="E102" s="138">
        <v>20</v>
      </c>
      <c r="F102" s="139">
        <v>0.8</v>
      </c>
      <c r="G102" s="139">
        <v>0.23</v>
      </c>
      <c r="H102" s="369">
        <v>0.55900000000000005</v>
      </c>
      <c r="I102" s="140">
        <f t="shared" si="25"/>
        <v>2.06</v>
      </c>
      <c r="J102" s="161"/>
    </row>
    <row r="103" spans="1:10" s="154" customFormat="1">
      <c r="A103" s="276"/>
      <c r="B103" s="148" t="s">
        <v>1482</v>
      </c>
      <c r="C103" s="370">
        <v>-0.5</v>
      </c>
      <c r="D103" s="149" t="s">
        <v>73</v>
      </c>
      <c r="E103" s="149">
        <v>20</v>
      </c>
      <c r="F103" s="150">
        <v>3.14</v>
      </c>
      <c r="G103" s="218">
        <f>(0.17*0.17)</f>
        <v>2.8900000000000006E-2</v>
      </c>
      <c r="H103" s="150">
        <v>0.23</v>
      </c>
      <c r="I103" s="140">
        <f t="shared" si="25"/>
        <v>-0.21</v>
      </c>
      <c r="J103" s="161"/>
    </row>
    <row r="104" spans="1:10" s="154" customFormat="1">
      <c r="A104" s="276"/>
      <c r="B104" s="148" t="s">
        <v>1485</v>
      </c>
      <c r="C104" s="138">
        <v>1</v>
      </c>
      <c r="D104" s="143" t="s">
        <v>73</v>
      </c>
      <c r="E104" s="138">
        <v>37</v>
      </c>
      <c r="F104" s="139">
        <v>0.23</v>
      </c>
      <c r="G104" s="139">
        <v>0.23</v>
      </c>
      <c r="H104" s="139">
        <v>1.5</v>
      </c>
      <c r="I104" s="140">
        <f t="shared" si="25"/>
        <v>2.94</v>
      </c>
      <c r="J104" s="161"/>
    </row>
    <row r="105" spans="1:10" s="154" customFormat="1">
      <c r="A105" s="276"/>
      <c r="B105" s="157"/>
      <c r="C105" s="149"/>
      <c r="D105" s="156"/>
      <c r="E105" s="149"/>
      <c r="F105" s="150"/>
      <c r="G105" s="158" t="s">
        <v>11</v>
      </c>
      <c r="H105" s="150"/>
      <c r="I105" s="159">
        <f>SUM(I90:I104)</f>
        <v>14.389999999999999</v>
      </c>
      <c r="J105" s="161" t="s">
        <v>12</v>
      </c>
    </row>
    <row r="106" spans="1:10" s="154" customFormat="1">
      <c r="A106" s="276"/>
      <c r="B106" s="157"/>
      <c r="C106" s="149"/>
      <c r="D106" s="156"/>
      <c r="E106" s="149"/>
      <c r="F106" s="150"/>
      <c r="G106" s="158"/>
      <c r="H106" s="158"/>
      <c r="I106" s="159"/>
      <c r="J106" s="161"/>
    </row>
    <row r="107" spans="1:10" s="154" customFormat="1">
      <c r="A107" s="276"/>
      <c r="B107" s="155" t="s">
        <v>250</v>
      </c>
      <c r="C107" s="149"/>
      <c r="D107" s="149"/>
      <c r="E107" s="149"/>
      <c r="F107" s="150"/>
      <c r="G107" s="150"/>
      <c r="H107" s="150"/>
      <c r="I107" s="151"/>
      <c r="J107" s="161"/>
    </row>
    <row r="108" spans="1:10" s="154" customFormat="1">
      <c r="A108" s="276"/>
      <c r="B108" s="148" t="s">
        <v>1731</v>
      </c>
      <c r="C108" s="138">
        <v>1</v>
      </c>
      <c r="D108" s="143" t="s">
        <v>73</v>
      </c>
      <c r="E108" s="138">
        <v>1</v>
      </c>
      <c r="F108" s="139">
        <v>0.23</v>
      </c>
      <c r="G108" s="139">
        <v>0.23</v>
      </c>
      <c r="H108" s="139">
        <v>2.92</v>
      </c>
      <c r="I108" s="140">
        <f t="shared" ref="I108" si="26">ROUND(PRODUCT(C108:H108),2)</f>
        <v>0.15</v>
      </c>
      <c r="J108" s="161"/>
    </row>
    <row r="109" spans="1:10" s="154" customFormat="1">
      <c r="A109" s="276"/>
      <c r="B109" s="148" t="s">
        <v>1428</v>
      </c>
      <c r="C109" s="138">
        <v>1</v>
      </c>
      <c r="D109" s="143" t="s">
        <v>73</v>
      </c>
      <c r="E109" s="138">
        <v>1</v>
      </c>
      <c r="F109" s="139">
        <v>4.21</v>
      </c>
      <c r="G109" s="139">
        <v>0.6</v>
      </c>
      <c r="H109" s="139">
        <v>0.1</v>
      </c>
      <c r="I109" s="140">
        <f t="shared" ref="I109:I110" si="27">ROUND(PRODUCT(C109:H109),2)</f>
        <v>0.25</v>
      </c>
      <c r="J109" s="161"/>
    </row>
    <row r="110" spans="1:10" s="154" customFormat="1">
      <c r="A110" s="276"/>
      <c r="B110" s="148" t="s">
        <v>1175</v>
      </c>
      <c r="C110" s="138">
        <v>1</v>
      </c>
      <c r="D110" s="143" t="s">
        <v>73</v>
      </c>
      <c r="E110" s="138">
        <v>4</v>
      </c>
      <c r="F110" s="139">
        <v>0.8</v>
      </c>
      <c r="G110" s="139">
        <v>0.45</v>
      </c>
      <c r="H110" s="139">
        <v>0.1</v>
      </c>
      <c r="I110" s="140">
        <f t="shared" si="27"/>
        <v>0.14000000000000001</v>
      </c>
      <c r="J110" s="161"/>
    </row>
    <row r="111" spans="1:10" s="154" customFormat="1">
      <c r="A111" s="276"/>
      <c r="B111" s="148"/>
      <c r="C111" s="162"/>
      <c r="D111" s="148"/>
      <c r="E111" s="162"/>
      <c r="F111" s="150"/>
      <c r="G111" s="158" t="s">
        <v>11</v>
      </c>
      <c r="H111" s="150"/>
      <c r="I111" s="159">
        <f>SUM(I108:I110)</f>
        <v>0.54</v>
      </c>
      <c r="J111" s="161" t="s">
        <v>12</v>
      </c>
    </row>
    <row r="112" spans="1:10" s="154" customFormat="1">
      <c r="A112" s="276"/>
      <c r="B112" s="148"/>
      <c r="C112" s="149"/>
      <c r="D112" s="149"/>
      <c r="E112" s="149"/>
      <c r="F112" s="150"/>
      <c r="G112" s="158"/>
      <c r="H112" s="158"/>
      <c r="I112" s="160"/>
      <c r="J112" s="161"/>
    </row>
    <row r="113" spans="1:10" s="154" customFormat="1">
      <c r="A113" s="276"/>
      <c r="B113" s="155" t="s">
        <v>253</v>
      </c>
      <c r="C113" s="149"/>
      <c r="D113" s="149"/>
      <c r="E113" s="149"/>
      <c r="F113" s="150"/>
      <c r="G113" s="150"/>
      <c r="H113" s="150"/>
      <c r="I113" s="151"/>
      <c r="J113" s="161"/>
    </row>
    <row r="114" spans="1:10" s="154" customFormat="1">
      <c r="A114" s="276"/>
      <c r="B114" s="148" t="s">
        <v>1177</v>
      </c>
      <c r="C114" s="149">
        <v>1</v>
      </c>
      <c r="D114" s="149" t="s">
        <v>73</v>
      </c>
      <c r="E114" s="149">
        <v>1</v>
      </c>
      <c r="F114" s="150">
        <v>2.67</v>
      </c>
      <c r="G114" s="150">
        <v>0.23</v>
      </c>
      <c r="H114" s="165">
        <v>2.92</v>
      </c>
      <c r="I114" s="151">
        <f t="shared" ref="I114:I125" si="28">ROUND(PRODUCT(C114:H114),2)</f>
        <v>1.79</v>
      </c>
      <c r="J114" s="161"/>
    </row>
    <row r="115" spans="1:10" s="154" customFormat="1">
      <c r="A115" s="276"/>
      <c r="B115" s="148" t="s">
        <v>1140</v>
      </c>
      <c r="C115" s="149">
        <v>-1</v>
      </c>
      <c r="D115" s="149" t="s">
        <v>73</v>
      </c>
      <c r="E115" s="149">
        <v>1</v>
      </c>
      <c r="F115" s="150">
        <v>1</v>
      </c>
      <c r="G115" s="150">
        <v>0.23</v>
      </c>
      <c r="H115" s="150">
        <v>2.1</v>
      </c>
      <c r="I115" s="151">
        <f t="shared" si="28"/>
        <v>-0.48</v>
      </c>
      <c r="J115" s="161"/>
    </row>
    <row r="116" spans="1:10" s="154" customFormat="1">
      <c r="A116" s="276"/>
      <c r="B116" s="148" t="s">
        <v>1732</v>
      </c>
      <c r="C116" s="149">
        <v>-1</v>
      </c>
      <c r="D116" s="149" t="s">
        <v>73</v>
      </c>
      <c r="E116" s="149">
        <v>1</v>
      </c>
      <c r="F116" s="150">
        <v>1.46</v>
      </c>
      <c r="G116" s="150">
        <v>0.23</v>
      </c>
      <c r="H116" s="150">
        <v>0.15</v>
      </c>
      <c r="I116" s="151">
        <f t="shared" si="28"/>
        <v>-0.05</v>
      </c>
      <c r="J116" s="161"/>
    </row>
    <row r="117" spans="1:10" s="154" customFormat="1">
      <c r="A117" s="276"/>
      <c r="B117" s="148" t="s">
        <v>1142</v>
      </c>
      <c r="C117" s="149">
        <v>-1</v>
      </c>
      <c r="D117" s="149" t="s">
        <v>73</v>
      </c>
      <c r="E117" s="149">
        <v>3</v>
      </c>
      <c r="F117" s="150">
        <v>1.35</v>
      </c>
      <c r="G117" s="150">
        <v>0.23</v>
      </c>
      <c r="H117" s="150">
        <v>1.35</v>
      </c>
      <c r="I117" s="151">
        <f t="shared" si="28"/>
        <v>-1.26</v>
      </c>
      <c r="J117" s="161"/>
    </row>
    <row r="118" spans="1:10" s="154" customFormat="1">
      <c r="A118" s="276"/>
      <c r="B118" s="148" t="s">
        <v>1143</v>
      </c>
      <c r="C118" s="149">
        <v>-1</v>
      </c>
      <c r="D118" s="149" t="s">
        <v>73</v>
      </c>
      <c r="E118" s="149">
        <v>3</v>
      </c>
      <c r="F118" s="150">
        <v>1.81</v>
      </c>
      <c r="G118" s="150">
        <v>0.23</v>
      </c>
      <c r="H118" s="150">
        <v>0.15</v>
      </c>
      <c r="I118" s="151">
        <f t="shared" si="28"/>
        <v>-0.19</v>
      </c>
      <c r="J118" s="161"/>
    </row>
    <row r="119" spans="1:10" s="154" customFormat="1">
      <c r="A119" s="276"/>
      <c r="B119" s="148" t="s">
        <v>1178</v>
      </c>
      <c r="C119" s="138">
        <v>1</v>
      </c>
      <c r="D119" s="143" t="s">
        <v>73</v>
      </c>
      <c r="E119" s="138">
        <v>2</v>
      </c>
      <c r="F119" s="139">
        <v>0.9</v>
      </c>
      <c r="G119" s="139">
        <v>0.45</v>
      </c>
      <c r="H119" s="139">
        <v>0.1</v>
      </c>
      <c r="I119" s="140">
        <f t="shared" si="28"/>
        <v>0.08</v>
      </c>
      <c r="J119" s="161"/>
    </row>
    <row r="120" spans="1:10" s="154" customFormat="1">
      <c r="A120" s="276"/>
      <c r="B120" s="148" t="s">
        <v>1175</v>
      </c>
      <c r="C120" s="138">
        <v>1</v>
      </c>
      <c r="D120" s="143" t="s">
        <v>73</v>
      </c>
      <c r="E120" s="138">
        <v>4</v>
      </c>
      <c r="F120" s="139">
        <v>0.8</v>
      </c>
      <c r="G120" s="139">
        <v>0.45</v>
      </c>
      <c r="H120" s="139">
        <v>0.1</v>
      </c>
      <c r="I120" s="140">
        <f t="shared" si="28"/>
        <v>0.14000000000000001</v>
      </c>
      <c r="J120" s="161"/>
    </row>
    <row r="121" spans="1:10" s="154" customFormat="1">
      <c r="A121" s="276"/>
      <c r="B121" s="148" t="s">
        <v>1173</v>
      </c>
      <c r="C121" s="138">
        <v>1</v>
      </c>
      <c r="D121" s="143" t="s">
        <v>73</v>
      </c>
      <c r="E121" s="138">
        <v>3</v>
      </c>
      <c r="F121" s="139">
        <v>1.1499999999999999</v>
      </c>
      <c r="G121" s="139">
        <v>0.45</v>
      </c>
      <c r="H121" s="139">
        <v>0.1</v>
      </c>
      <c r="I121" s="140">
        <f t="shared" si="28"/>
        <v>0.16</v>
      </c>
      <c r="J121" s="161"/>
    </row>
    <row r="122" spans="1:10" s="154" customFormat="1">
      <c r="A122" s="276"/>
      <c r="B122" s="148" t="s">
        <v>1179</v>
      </c>
      <c r="C122" s="138">
        <v>1</v>
      </c>
      <c r="D122" s="143" t="s">
        <v>73</v>
      </c>
      <c r="E122" s="138">
        <v>1</v>
      </c>
      <c r="F122" s="139">
        <v>20.399999999999999</v>
      </c>
      <c r="G122" s="139">
        <v>0.23</v>
      </c>
      <c r="H122" s="139">
        <v>1.2</v>
      </c>
      <c r="I122" s="140">
        <f t="shared" si="28"/>
        <v>5.63</v>
      </c>
      <c r="J122" s="161"/>
    </row>
    <row r="123" spans="1:10" s="154" customFormat="1">
      <c r="A123" s="276"/>
      <c r="B123" s="148" t="s">
        <v>249</v>
      </c>
      <c r="C123" s="162">
        <v>-1</v>
      </c>
      <c r="D123" s="162" t="s">
        <v>73</v>
      </c>
      <c r="E123" s="162">
        <v>1</v>
      </c>
      <c r="F123" s="162">
        <v>0.38</v>
      </c>
      <c r="G123" s="163">
        <v>0.23</v>
      </c>
      <c r="H123" s="163">
        <v>1.2</v>
      </c>
      <c r="I123" s="151">
        <f t="shared" si="28"/>
        <v>-0.1</v>
      </c>
      <c r="J123" s="161"/>
    </row>
    <row r="124" spans="1:10" s="154" customFormat="1">
      <c r="A124" s="276"/>
      <c r="B124" s="148" t="s">
        <v>249</v>
      </c>
      <c r="C124" s="162">
        <v>-1</v>
      </c>
      <c r="D124" s="162" t="s">
        <v>73</v>
      </c>
      <c r="E124" s="162">
        <v>2</v>
      </c>
      <c r="F124" s="162">
        <v>0.23</v>
      </c>
      <c r="G124" s="163">
        <v>0.23</v>
      </c>
      <c r="H124" s="163">
        <v>1.2</v>
      </c>
      <c r="I124" s="151">
        <f t="shared" si="28"/>
        <v>-0.13</v>
      </c>
      <c r="J124" s="161"/>
    </row>
    <row r="125" spans="1:10" s="154" customFormat="1">
      <c r="A125" s="276"/>
      <c r="B125" s="148" t="s">
        <v>249</v>
      </c>
      <c r="C125" s="162">
        <v>-1</v>
      </c>
      <c r="D125" s="162" t="s">
        <v>73</v>
      </c>
      <c r="E125" s="162">
        <v>1</v>
      </c>
      <c r="F125" s="162">
        <v>0.3</v>
      </c>
      <c r="G125" s="163">
        <v>0.23</v>
      </c>
      <c r="H125" s="163">
        <v>1.2</v>
      </c>
      <c r="I125" s="151">
        <f t="shared" si="28"/>
        <v>-0.08</v>
      </c>
      <c r="J125" s="161"/>
    </row>
    <row r="126" spans="1:10" s="154" customFormat="1">
      <c r="A126" s="276"/>
      <c r="B126" s="148"/>
      <c r="C126" s="162"/>
      <c r="D126" s="162"/>
      <c r="E126" s="162"/>
      <c r="F126" s="162"/>
      <c r="G126" s="163"/>
      <c r="H126" s="163"/>
      <c r="I126" s="159">
        <f>SUM(I114:I125)</f>
        <v>5.5100000000000007</v>
      </c>
      <c r="J126" s="161" t="s">
        <v>12</v>
      </c>
    </row>
    <row r="127" spans="1:10" s="154" customFormat="1">
      <c r="A127" s="276"/>
      <c r="B127" s="170"/>
      <c r="C127" s="166"/>
      <c r="D127" s="167"/>
      <c r="E127" s="166"/>
      <c r="F127" s="168"/>
      <c r="G127" s="168"/>
      <c r="H127" s="158"/>
      <c r="I127" s="160"/>
      <c r="J127" s="161"/>
    </row>
    <row r="128" spans="1:10" s="154" customFormat="1">
      <c r="A128" s="276"/>
      <c r="B128" s="155" t="s">
        <v>272</v>
      </c>
      <c r="C128" s="149"/>
      <c r="D128" s="149"/>
      <c r="E128" s="149"/>
      <c r="F128" s="150"/>
      <c r="G128" s="150"/>
      <c r="H128" s="150"/>
      <c r="I128" s="151"/>
      <c r="J128" s="161"/>
    </row>
    <row r="129" spans="1:10" s="154" customFormat="1">
      <c r="A129" s="276"/>
      <c r="B129" s="148" t="s">
        <v>1180</v>
      </c>
      <c r="C129" s="149">
        <v>1</v>
      </c>
      <c r="D129" s="149" t="s">
        <v>73</v>
      </c>
      <c r="E129" s="149">
        <v>1</v>
      </c>
      <c r="F129" s="150">
        <v>42.32</v>
      </c>
      <c r="G129" s="150">
        <v>0.23</v>
      </c>
      <c r="H129" s="150">
        <v>2.92</v>
      </c>
      <c r="I129" s="151">
        <f t="shared" ref="I129:I151" si="29">ROUND(PRODUCT(C129:H129),2)</f>
        <v>28.42</v>
      </c>
      <c r="J129" s="161"/>
    </row>
    <row r="130" spans="1:10" s="154" customFormat="1">
      <c r="A130" s="276"/>
      <c r="B130" s="148" t="s">
        <v>252</v>
      </c>
      <c r="C130" s="149">
        <v>1</v>
      </c>
      <c r="D130" s="156" t="s">
        <v>73</v>
      </c>
      <c r="E130" s="149">
        <v>2</v>
      </c>
      <c r="F130" s="150">
        <v>6.23</v>
      </c>
      <c r="G130" s="150">
        <v>0.23</v>
      </c>
      <c r="H130" s="150">
        <v>2.92</v>
      </c>
      <c r="I130" s="151">
        <f t="shared" si="29"/>
        <v>8.3699999999999992</v>
      </c>
      <c r="J130" s="161"/>
    </row>
    <row r="131" spans="1:10" s="154" customFormat="1">
      <c r="A131" s="276"/>
      <c r="B131" s="148" t="s">
        <v>1135</v>
      </c>
      <c r="C131" s="138">
        <v>1</v>
      </c>
      <c r="D131" s="143" t="s">
        <v>73</v>
      </c>
      <c r="E131" s="138">
        <v>1</v>
      </c>
      <c r="F131" s="139">
        <v>8.1199999999999992</v>
      </c>
      <c r="G131" s="139">
        <v>0.23</v>
      </c>
      <c r="H131" s="139">
        <v>2.92</v>
      </c>
      <c r="I131" s="140">
        <f t="shared" si="29"/>
        <v>5.45</v>
      </c>
      <c r="J131" s="161"/>
    </row>
    <row r="132" spans="1:10" s="154" customFormat="1">
      <c r="A132" s="276"/>
      <c r="B132" s="148" t="s">
        <v>1183</v>
      </c>
      <c r="C132" s="138">
        <v>1</v>
      </c>
      <c r="D132" s="143" t="s">
        <v>73</v>
      </c>
      <c r="E132" s="138">
        <v>2</v>
      </c>
      <c r="F132" s="139">
        <v>0.6</v>
      </c>
      <c r="G132" s="139">
        <v>0.23</v>
      </c>
      <c r="H132" s="139">
        <v>2.92</v>
      </c>
      <c r="I132" s="140">
        <f t="shared" si="29"/>
        <v>0.81</v>
      </c>
      <c r="J132" s="161"/>
    </row>
    <row r="133" spans="1:10" s="154" customFormat="1">
      <c r="A133" s="169"/>
      <c r="B133" s="148" t="s">
        <v>1181</v>
      </c>
      <c r="C133" s="149">
        <v>-1</v>
      </c>
      <c r="D133" s="149" t="s">
        <v>73</v>
      </c>
      <c r="E133" s="149">
        <v>3</v>
      </c>
      <c r="F133" s="150">
        <v>1</v>
      </c>
      <c r="G133" s="150">
        <v>0.23</v>
      </c>
      <c r="H133" s="150">
        <v>2.1</v>
      </c>
      <c r="I133" s="151">
        <f t="shared" si="29"/>
        <v>-1.45</v>
      </c>
      <c r="J133" s="164"/>
    </row>
    <row r="134" spans="1:10" s="154" customFormat="1">
      <c r="A134" s="169"/>
      <c r="B134" s="148" t="s">
        <v>1168</v>
      </c>
      <c r="C134" s="149">
        <v>-1</v>
      </c>
      <c r="D134" s="149" t="s">
        <v>73</v>
      </c>
      <c r="E134" s="149">
        <v>3</v>
      </c>
      <c r="F134" s="150">
        <v>1.46</v>
      </c>
      <c r="G134" s="150">
        <v>0.23</v>
      </c>
      <c r="H134" s="150">
        <v>0.15</v>
      </c>
      <c r="I134" s="151">
        <f t="shared" si="29"/>
        <v>-0.15</v>
      </c>
      <c r="J134" s="164"/>
    </row>
    <row r="135" spans="1:10" s="154" customFormat="1">
      <c r="A135" s="276"/>
      <c r="B135" s="148" t="s">
        <v>1142</v>
      </c>
      <c r="C135" s="149">
        <v>-1</v>
      </c>
      <c r="D135" s="149" t="s">
        <v>73</v>
      </c>
      <c r="E135" s="149">
        <v>4</v>
      </c>
      <c r="F135" s="150">
        <v>1.35</v>
      </c>
      <c r="G135" s="150">
        <v>0.23</v>
      </c>
      <c r="H135" s="150">
        <v>1.35</v>
      </c>
      <c r="I135" s="151">
        <f t="shared" si="29"/>
        <v>-1.68</v>
      </c>
      <c r="J135" s="161"/>
    </row>
    <row r="136" spans="1:10" s="154" customFormat="1">
      <c r="A136" s="276"/>
      <c r="B136" s="148" t="s">
        <v>1143</v>
      </c>
      <c r="C136" s="149">
        <v>-1</v>
      </c>
      <c r="D136" s="149" t="s">
        <v>73</v>
      </c>
      <c r="E136" s="149">
        <v>4</v>
      </c>
      <c r="F136" s="150">
        <v>1.81</v>
      </c>
      <c r="G136" s="150">
        <v>0.23</v>
      </c>
      <c r="H136" s="150">
        <v>0.15</v>
      </c>
      <c r="I136" s="151">
        <f t="shared" si="29"/>
        <v>-0.25</v>
      </c>
      <c r="J136" s="161"/>
    </row>
    <row r="137" spans="1:10" s="154" customFormat="1">
      <c r="A137" s="276"/>
      <c r="B137" s="148" t="s">
        <v>1144</v>
      </c>
      <c r="C137" s="149">
        <v>-1</v>
      </c>
      <c r="D137" s="149" t="s">
        <v>73</v>
      </c>
      <c r="E137" s="149">
        <v>1</v>
      </c>
      <c r="F137" s="150">
        <v>0.75</v>
      </c>
      <c r="G137" s="150">
        <v>0.23</v>
      </c>
      <c r="H137" s="150">
        <v>2.1</v>
      </c>
      <c r="I137" s="151">
        <f t="shared" si="29"/>
        <v>-0.36</v>
      </c>
      <c r="J137" s="161"/>
    </row>
    <row r="138" spans="1:10" s="154" customFormat="1">
      <c r="A138" s="276"/>
      <c r="B138" s="148" t="s">
        <v>1145</v>
      </c>
      <c r="C138" s="149">
        <v>-1</v>
      </c>
      <c r="D138" s="149" t="s">
        <v>73</v>
      </c>
      <c r="E138" s="149">
        <v>1</v>
      </c>
      <c r="F138" s="150">
        <v>1.21</v>
      </c>
      <c r="G138" s="150">
        <v>0.23</v>
      </c>
      <c r="H138" s="150">
        <v>0.15</v>
      </c>
      <c r="I138" s="151">
        <f t="shared" si="29"/>
        <v>-0.04</v>
      </c>
      <c r="J138" s="161"/>
    </row>
    <row r="139" spans="1:10" s="154" customFormat="1">
      <c r="A139" s="276"/>
      <c r="B139" s="148" t="s">
        <v>1150</v>
      </c>
      <c r="C139" s="149">
        <v>-1</v>
      </c>
      <c r="D139" s="149" t="s">
        <v>73</v>
      </c>
      <c r="E139" s="149">
        <v>8</v>
      </c>
      <c r="F139" s="150">
        <v>0.75</v>
      </c>
      <c r="G139" s="150">
        <v>0.23</v>
      </c>
      <c r="H139" s="150">
        <v>0.6</v>
      </c>
      <c r="I139" s="151">
        <f t="shared" si="29"/>
        <v>-0.83</v>
      </c>
      <c r="J139" s="161"/>
    </row>
    <row r="140" spans="1:10" s="154" customFormat="1">
      <c r="A140" s="276"/>
      <c r="B140" s="148" t="s">
        <v>1151</v>
      </c>
      <c r="C140" s="149">
        <v>-1</v>
      </c>
      <c r="D140" s="149" t="s">
        <v>73</v>
      </c>
      <c r="E140" s="149">
        <v>8</v>
      </c>
      <c r="F140" s="150">
        <v>1.21</v>
      </c>
      <c r="G140" s="150">
        <v>0.23</v>
      </c>
      <c r="H140" s="150">
        <v>0.15</v>
      </c>
      <c r="I140" s="151">
        <f t="shared" si="29"/>
        <v>-0.33</v>
      </c>
      <c r="J140" s="161"/>
    </row>
    <row r="141" spans="1:10" s="154" customFormat="1">
      <c r="A141" s="276"/>
      <c r="B141" s="148" t="s">
        <v>1152</v>
      </c>
      <c r="C141" s="149">
        <v>-1</v>
      </c>
      <c r="D141" s="149" t="s">
        <v>73</v>
      </c>
      <c r="E141" s="149">
        <v>2</v>
      </c>
      <c r="F141" s="150">
        <v>0.9</v>
      </c>
      <c r="G141" s="150">
        <v>0.23</v>
      </c>
      <c r="H141" s="150">
        <v>0.9</v>
      </c>
      <c r="I141" s="151">
        <f t="shared" si="29"/>
        <v>-0.37</v>
      </c>
      <c r="J141" s="161"/>
    </row>
    <row r="142" spans="1:10" s="154" customFormat="1">
      <c r="A142" s="276"/>
      <c r="B142" s="148" t="s">
        <v>1153</v>
      </c>
      <c r="C142" s="149">
        <v>-1</v>
      </c>
      <c r="D142" s="149" t="s">
        <v>73</v>
      </c>
      <c r="E142" s="149">
        <v>2</v>
      </c>
      <c r="F142" s="150">
        <v>1.36</v>
      </c>
      <c r="G142" s="150">
        <v>0.23</v>
      </c>
      <c r="H142" s="150">
        <v>0.15</v>
      </c>
      <c r="I142" s="151">
        <f t="shared" si="29"/>
        <v>-0.09</v>
      </c>
      <c r="J142" s="161"/>
    </row>
    <row r="143" spans="1:10" s="154" customFormat="1">
      <c r="A143" s="276"/>
      <c r="B143" s="148" t="s">
        <v>249</v>
      </c>
      <c r="C143" s="162">
        <v>-1</v>
      </c>
      <c r="D143" s="162" t="s">
        <v>73</v>
      </c>
      <c r="E143" s="162">
        <v>7</v>
      </c>
      <c r="F143" s="162">
        <v>0.38</v>
      </c>
      <c r="G143" s="163">
        <v>0.23</v>
      </c>
      <c r="H143" s="163">
        <v>2.92</v>
      </c>
      <c r="I143" s="151">
        <f t="shared" si="29"/>
        <v>-1.79</v>
      </c>
      <c r="J143" s="161"/>
    </row>
    <row r="144" spans="1:10" s="154" customFormat="1">
      <c r="A144" s="276"/>
      <c r="B144" s="148" t="s">
        <v>249</v>
      </c>
      <c r="C144" s="162">
        <v>-1</v>
      </c>
      <c r="D144" s="162" t="s">
        <v>73</v>
      </c>
      <c r="E144" s="162">
        <v>10</v>
      </c>
      <c r="F144" s="162">
        <v>0.23</v>
      </c>
      <c r="G144" s="163">
        <v>0.23</v>
      </c>
      <c r="H144" s="163">
        <v>2.92</v>
      </c>
      <c r="I144" s="151">
        <f t="shared" si="29"/>
        <v>-1.54</v>
      </c>
      <c r="J144" s="161"/>
    </row>
    <row r="145" spans="1:10" s="154" customFormat="1">
      <c r="A145" s="276"/>
      <c r="B145" s="148" t="s">
        <v>249</v>
      </c>
      <c r="C145" s="162">
        <v>-1</v>
      </c>
      <c r="D145" s="162" t="s">
        <v>73</v>
      </c>
      <c r="E145" s="162">
        <v>1</v>
      </c>
      <c r="F145" s="162">
        <v>0.3</v>
      </c>
      <c r="G145" s="163">
        <v>0.23</v>
      </c>
      <c r="H145" s="163">
        <v>2.92</v>
      </c>
      <c r="I145" s="151">
        <f t="shared" si="29"/>
        <v>-0.2</v>
      </c>
      <c r="J145" s="161"/>
    </row>
    <row r="146" spans="1:10" s="154" customFormat="1">
      <c r="A146" s="276"/>
      <c r="B146" s="148" t="s">
        <v>1182</v>
      </c>
      <c r="C146" s="138">
        <v>2</v>
      </c>
      <c r="D146" s="143" t="s">
        <v>73</v>
      </c>
      <c r="E146" s="138">
        <v>4</v>
      </c>
      <c r="F146" s="139">
        <v>0.7</v>
      </c>
      <c r="G146" s="139">
        <v>0.6</v>
      </c>
      <c r="H146" s="139">
        <v>0.1</v>
      </c>
      <c r="I146" s="140">
        <f t="shared" si="29"/>
        <v>0.34</v>
      </c>
      <c r="J146" s="161"/>
    </row>
    <row r="147" spans="1:10" s="154" customFormat="1">
      <c r="A147" s="276"/>
      <c r="B147" s="148" t="s">
        <v>1186</v>
      </c>
      <c r="C147" s="138">
        <v>1</v>
      </c>
      <c r="D147" s="143" t="s">
        <v>73</v>
      </c>
      <c r="E147" s="138">
        <v>1</v>
      </c>
      <c r="F147" s="139">
        <v>6.54</v>
      </c>
      <c r="G147" s="139">
        <v>0.23</v>
      </c>
      <c r="H147" s="139">
        <v>1.2</v>
      </c>
      <c r="I147" s="140">
        <f t="shared" si="29"/>
        <v>1.81</v>
      </c>
      <c r="J147" s="161"/>
    </row>
    <row r="148" spans="1:10" s="154" customFormat="1">
      <c r="A148" s="276"/>
      <c r="B148" s="148" t="s">
        <v>1185</v>
      </c>
      <c r="C148" s="138">
        <v>1</v>
      </c>
      <c r="D148" s="143" t="s">
        <v>73</v>
      </c>
      <c r="E148" s="138">
        <v>1</v>
      </c>
      <c r="F148" s="139">
        <v>8.1199999999999992</v>
      </c>
      <c r="G148" s="139">
        <v>0.23</v>
      </c>
      <c r="H148" s="139">
        <v>0.82</v>
      </c>
      <c r="I148" s="140">
        <f t="shared" si="29"/>
        <v>1.53</v>
      </c>
      <c r="J148" s="161"/>
    </row>
    <row r="149" spans="1:10" s="154" customFormat="1">
      <c r="A149" s="276"/>
      <c r="B149" s="148" t="s">
        <v>1756</v>
      </c>
      <c r="C149" s="138">
        <v>1</v>
      </c>
      <c r="D149" s="143" t="s">
        <v>73</v>
      </c>
      <c r="E149" s="138">
        <v>1</v>
      </c>
      <c r="F149" s="139">
        <v>29.05</v>
      </c>
      <c r="G149" s="139">
        <v>0.23</v>
      </c>
      <c r="H149" s="139">
        <v>0.45</v>
      </c>
      <c r="I149" s="140">
        <f t="shared" ref="I149" si="30">ROUND(PRODUCT(C149:H149),2)</f>
        <v>3.01</v>
      </c>
      <c r="J149" s="161"/>
    </row>
    <row r="150" spans="1:10" s="154" customFormat="1">
      <c r="A150" s="276"/>
      <c r="B150" s="148" t="s">
        <v>1757</v>
      </c>
      <c r="C150" s="138">
        <v>1</v>
      </c>
      <c r="D150" s="143" t="s">
        <v>73</v>
      </c>
      <c r="E150" s="138">
        <v>7</v>
      </c>
      <c r="F150" s="139">
        <v>0.23</v>
      </c>
      <c r="G150" s="139">
        <v>0.23</v>
      </c>
      <c r="H150" s="139">
        <v>0.45</v>
      </c>
      <c r="I150" s="140">
        <f t="shared" si="29"/>
        <v>0.17</v>
      </c>
      <c r="J150" s="161"/>
    </row>
    <row r="151" spans="1:10" s="154" customFormat="1">
      <c r="A151" s="276"/>
      <c r="B151" s="148" t="s">
        <v>249</v>
      </c>
      <c r="C151" s="162">
        <v>-1</v>
      </c>
      <c r="D151" s="162" t="s">
        <v>73</v>
      </c>
      <c r="E151" s="162">
        <v>4</v>
      </c>
      <c r="F151" s="162">
        <v>0.23</v>
      </c>
      <c r="G151" s="163">
        <v>0.23</v>
      </c>
      <c r="H151" s="163">
        <v>0.82</v>
      </c>
      <c r="I151" s="151">
        <f t="shared" si="29"/>
        <v>-0.17</v>
      </c>
      <c r="J151" s="161"/>
    </row>
    <row r="152" spans="1:10" s="154" customFormat="1">
      <c r="A152" s="276"/>
      <c r="B152" s="148"/>
      <c r="C152" s="162"/>
      <c r="D152" s="162"/>
      <c r="E152" s="162"/>
      <c r="F152" s="162"/>
      <c r="G152" s="163"/>
      <c r="H152" s="163"/>
      <c r="I152" s="151">
        <f>SUM(I129:I151)</f>
        <v>40.660000000000011</v>
      </c>
      <c r="J152" s="161"/>
    </row>
    <row r="153" spans="1:10" s="154" customFormat="1">
      <c r="A153" s="276"/>
      <c r="B153" s="157" t="s">
        <v>1406</v>
      </c>
      <c r="C153" s="162"/>
      <c r="D153" s="162"/>
      <c r="E153" s="162"/>
      <c r="F153" s="162"/>
      <c r="G153" s="163"/>
      <c r="H153" s="163"/>
      <c r="I153" s="151">
        <f>-excess!G22</f>
        <v>-23.59</v>
      </c>
      <c r="J153" s="161"/>
    </row>
    <row r="154" spans="1:10" s="154" customFormat="1">
      <c r="A154" s="276"/>
      <c r="B154" s="157"/>
      <c r="C154" s="162"/>
      <c r="D154" s="162"/>
      <c r="E154" s="162"/>
      <c r="F154" s="162"/>
      <c r="G154" s="163"/>
      <c r="H154" s="158" t="s">
        <v>245</v>
      </c>
      <c r="I154" s="159">
        <f>SUM(I152:I153)</f>
        <v>17.070000000000011</v>
      </c>
      <c r="J154" s="161" t="s">
        <v>12</v>
      </c>
    </row>
    <row r="155" spans="1:10" s="154" customFormat="1">
      <c r="A155" s="276"/>
      <c r="B155" s="170"/>
      <c r="C155" s="166"/>
      <c r="D155" s="167"/>
      <c r="E155" s="166"/>
      <c r="F155" s="168"/>
      <c r="G155" s="168"/>
      <c r="H155" s="158"/>
      <c r="I155" s="160"/>
      <c r="J155" s="161"/>
    </row>
    <row r="156" spans="1:10" s="154" customFormat="1" ht="90" customHeight="1">
      <c r="A156" s="169">
        <v>10.199999999999999</v>
      </c>
      <c r="B156" s="153" t="s">
        <v>257</v>
      </c>
      <c r="C156" s="149"/>
      <c r="D156" s="149"/>
      <c r="E156" s="149"/>
      <c r="F156" s="150"/>
      <c r="G156" s="150"/>
      <c r="H156" s="150"/>
      <c r="I156" s="151"/>
      <c r="J156" s="161"/>
    </row>
    <row r="157" spans="1:10" s="154" customFormat="1" ht="18.75" customHeight="1">
      <c r="A157" s="169"/>
      <c r="B157" s="155" t="s">
        <v>1471</v>
      </c>
      <c r="C157" s="149"/>
      <c r="D157" s="149"/>
      <c r="E157" s="149"/>
      <c r="F157" s="150"/>
      <c r="G157" s="150"/>
      <c r="H157" s="150"/>
      <c r="I157" s="151"/>
      <c r="J157" s="161"/>
    </row>
    <row r="158" spans="1:10" s="154" customFormat="1">
      <c r="A158" s="276"/>
      <c r="B158" s="148" t="s">
        <v>1284</v>
      </c>
      <c r="C158" s="138">
        <v>1</v>
      </c>
      <c r="D158" s="143" t="s">
        <v>73</v>
      </c>
      <c r="E158" s="138">
        <v>1</v>
      </c>
      <c r="F158" s="139">
        <v>16.7</v>
      </c>
      <c r="G158" s="139"/>
      <c r="H158" s="139">
        <v>0.5</v>
      </c>
      <c r="I158" s="443">
        <f t="shared" ref="I158" si="31">ROUND(PRODUCT(C158:H158),2)</f>
        <v>8.35</v>
      </c>
      <c r="J158" s="161" t="s">
        <v>75</v>
      </c>
    </row>
    <row r="159" spans="1:10" s="154" customFormat="1" ht="18.75" customHeight="1">
      <c r="A159" s="169"/>
      <c r="B159" s="221"/>
      <c r="C159" s="149"/>
      <c r="D159" s="149"/>
      <c r="E159" s="149"/>
      <c r="F159" s="150"/>
      <c r="G159" s="150"/>
      <c r="H159" s="150"/>
      <c r="I159" s="151"/>
      <c r="J159" s="161"/>
    </row>
    <row r="160" spans="1:10" s="154" customFormat="1">
      <c r="A160" s="276"/>
      <c r="B160" s="155" t="s">
        <v>1479</v>
      </c>
      <c r="C160" s="149"/>
      <c r="D160" s="149"/>
      <c r="E160" s="149"/>
      <c r="F160" s="150"/>
      <c r="G160" s="150"/>
      <c r="H160" s="150"/>
      <c r="I160" s="151"/>
      <c r="J160" s="161"/>
    </row>
    <row r="161" spans="1:10" s="154" customFormat="1">
      <c r="A161" s="276"/>
      <c r="B161" s="148" t="s">
        <v>1484</v>
      </c>
      <c r="C161" s="138"/>
      <c r="D161" s="143"/>
      <c r="E161" s="138"/>
      <c r="F161" s="139"/>
      <c r="G161" s="139"/>
      <c r="H161" s="139"/>
      <c r="I161" s="140">
        <f t="shared" ref="I161:I169" si="32">ROUND(PRODUCT(C161:H161),2)</f>
        <v>0</v>
      </c>
      <c r="J161" s="161"/>
    </row>
    <row r="162" spans="1:10" s="154" customFormat="1">
      <c r="A162" s="276"/>
      <c r="B162" s="148" t="s">
        <v>1474</v>
      </c>
      <c r="C162" s="138">
        <v>1</v>
      </c>
      <c r="D162" s="143" t="s">
        <v>73</v>
      </c>
      <c r="E162" s="138">
        <v>1</v>
      </c>
      <c r="F162" s="139">
        <v>66</v>
      </c>
      <c r="G162" s="139"/>
      <c r="H162" s="139">
        <v>1.5</v>
      </c>
      <c r="I162" s="140">
        <f t="shared" si="32"/>
        <v>99</v>
      </c>
      <c r="J162" s="161"/>
    </row>
    <row r="163" spans="1:10" s="154" customFormat="1">
      <c r="A163" s="276"/>
      <c r="B163" s="148" t="s">
        <v>1486</v>
      </c>
      <c r="C163" s="138">
        <v>-1</v>
      </c>
      <c r="D163" s="143" t="s">
        <v>73</v>
      </c>
      <c r="E163" s="138">
        <v>2</v>
      </c>
      <c r="F163" s="139">
        <v>4.5</v>
      </c>
      <c r="G163" s="139"/>
      <c r="H163" s="139">
        <v>1.5</v>
      </c>
      <c r="I163" s="140">
        <f t="shared" si="32"/>
        <v>-13.5</v>
      </c>
      <c r="J163" s="161"/>
    </row>
    <row r="164" spans="1:10" s="154" customFormat="1">
      <c r="A164" s="276"/>
      <c r="B164" s="148" t="s">
        <v>1487</v>
      </c>
      <c r="C164" s="138">
        <v>-2</v>
      </c>
      <c r="D164" s="143" t="s">
        <v>73</v>
      </c>
      <c r="E164" s="138">
        <v>20</v>
      </c>
      <c r="F164" s="139">
        <v>0.23</v>
      </c>
      <c r="G164" s="139"/>
      <c r="H164" s="139">
        <v>1.5</v>
      </c>
      <c r="I164" s="140">
        <f t="shared" si="32"/>
        <v>-13.8</v>
      </c>
      <c r="J164" s="161"/>
    </row>
    <row r="165" spans="1:10" s="154" customFormat="1">
      <c r="A165" s="276"/>
      <c r="B165" s="148" t="s">
        <v>1488</v>
      </c>
      <c r="C165" s="149">
        <v>-1</v>
      </c>
      <c r="D165" s="149" t="s">
        <v>73</v>
      </c>
      <c r="E165" s="149">
        <v>20</v>
      </c>
      <c r="F165" s="150">
        <v>0.34</v>
      </c>
      <c r="G165" s="218"/>
      <c r="H165" s="165">
        <v>0.38900000000000001</v>
      </c>
      <c r="I165" s="140">
        <f t="shared" si="32"/>
        <v>-2.65</v>
      </c>
      <c r="J165" s="161"/>
    </row>
    <row r="166" spans="1:10" s="154" customFormat="1">
      <c r="A166" s="276"/>
      <c r="B166" s="148" t="s">
        <v>1734</v>
      </c>
      <c r="C166" s="138">
        <v>1</v>
      </c>
      <c r="D166" s="143" t="s">
        <v>73</v>
      </c>
      <c r="E166" s="138">
        <v>1</v>
      </c>
      <c r="F166" s="139">
        <v>53</v>
      </c>
      <c r="G166" s="139"/>
      <c r="H166" s="139">
        <v>1.5</v>
      </c>
      <c r="I166" s="140">
        <f t="shared" ref="I166:I167" si="33">ROUND(PRODUCT(C166:H166),2)</f>
        <v>79.5</v>
      </c>
      <c r="J166" s="161"/>
    </row>
    <row r="167" spans="1:10" s="154" customFormat="1">
      <c r="A167" s="276"/>
      <c r="B167" s="148" t="s">
        <v>1735</v>
      </c>
      <c r="C167" s="138">
        <v>-1</v>
      </c>
      <c r="D167" s="143" t="s">
        <v>73</v>
      </c>
      <c r="E167" s="138">
        <v>21</v>
      </c>
      <c r="F167" s="139">
        <v>0.23</v>
      </c>
      <c r="G167" s="139"/>
      <c r="H167" s="139">
        <v>1.5</v>
      </c>
      <c r="I167" s="140">
        <f t="shared" si="33"/>
        <v>-7.25</v>
      </c>
      <c r="J167" s="161"/>
    </row>
    <row r="168" spans="1:10" s="154" customFormat="1">
      <c r="A168" s="276"/>
      <c r="B168" s="148" t="s">
        <v>1733</v>
      </c>
      <c r="C168" s="138">
        <v>1</v>
      </c>
      <c r="D168" s="143" t="s">
        <v>73</v>
      </c>
      <c r="E168" s="138">
        <v>1</v>
      </c>
      <c r="F168" s="139">
        <v>38.4</v>
      </c>
      <c r="G168" s="139"/>
      <c r="H168" s="139">
        <v>1.5</v>
      </c>
      <c r="I168" s="140">
        <f t="shared" si="32"/>
        <v>57.6</v>
      </c>
      <c r="J168" s="161"/>
    </row>
    <row r="169" spans="1:10" s="154" customFormat="1">
      <c r="A169" s="276"/>
      <c r="B169" s="148" t="s">
        <v>1735</v>
      </c>
      <c r="C169" s="138">
        <v>-1</v>
      </c>
      <c r="D169" s="143" t="s">
        <v>73</v>
      </c>
      <c r="E169" s="138">
        <v>14</v>
      </c>
      <c r="F169" s="139">
        <v>0.23</v>
      </c>
      <c r="G169" s="139"/>
      <c r="H169" s="139">
        <v>1.5</v>
      </c>
      <c r="I169" s="140">
        <f t="shared" si="32"/>
        <v>-4.83</v>
      </c>
      <c r="J169" s="161"/>
    </row>
    <row r="170" spans="1:10" s="154" customFormat="1">
      <c r="A170" s="276"/>
      <c r="B170" s="221"/>
      <c r="C170" s="149"/>
      <c r="D170" s="149"/>
      <c r="E170" s="149"/>
      <c r="F170" s="150"/>
      <c r="G170" s="150"/>
      <c r="H170" s="150"/>
      <c r="I170" s="159">
        <f>SUM(I162:I169)</f>
        <v>194.07</v>
      </c>
      <c r="J170" s="161" t="s">
        <v>75</v>
      </c>
    </row>
    <row r="171" spans="1:10" s="154" customFormat="1" ht="18.75" customHeight="1">
      <c r="A171" s="169"/>
      <c r="B171" s="153"/>
      <c r="C171" s="149"/>
      <c r="D171" s="149"/>
      <c r="E171" s="149"/>
      <c r="F171" s="150"/>
      <c r="G171" s="150"/>
      <c r="H171" s="150"/>
      <c r="I171" s="151"/>
      <c r="J171" s="161"/>
    </row>
    <row r="172" spans="1:10" s="154" customFormat="1">
      <c r="A172" s="276"/>
      <c r="B172" s="155" t="s">
        <v>258</v>
      </c>
      <c r="C172" s="149"/>
      <c r="D172" s="149"/>
      <c r="E172" s="149"/>
      <c r="F172" s="150"/>
      <c r="G172" s="150"/>
      <c r="H172" s="150"/>
      <c r="I172" s="151"/>
      <c r="J172" s="161"/>
    </row>
    <row r="173" spans="1:10" s="154" customFormat="1">
      <c r="A173" s="276"/>
      <c r="B173" s="171" t="s">
        <v>259</v>
      </c>
      <c r="C173" s="172">
        <v>1</v>
      </c>
      <c r="D173" s="172" t="s">
        <v>73</v>
      </c>
      <c r="E173" s="172">
        <v>1</v>
      </c>
      <c r="F173" s="173">
        <v>6.67</v>
      </c>
      <c r="G173" s="173"/>
      <c r="H173" s="174">
        <v>2.92</v>
      </c>
      <c r="I173" s="175">
        <f>PRODUCT(C173:H173)</f>
        <v>19.476399999999998</v>
      </c>
      <c r="J173" s="161"/>
    </row>
    <row r="174" spans="1:10" s="154" customFormat="1">
      <c r="A174" s="276"/>
      <c r="B174" s="171" t="s">
        <v>260</v>
      </c>
      <c r="C174" s="172">
        <v>1</v>
      </c>
      <c r="D174" s="156" t="s">
        <v>73</v>
      </c>
      <c r="E174" s="172">
        <v>1</v>
      </c>
      <c r="F174" s="173">
        <v>2.1800000000000002</v>
      </c>
      <c r="G174" s="173"/>
      <c r="H174" s="174">
        <v>2.92</v>
      </c>
      <c r="I174" s="175">
        <f t="shared" ref="I174:I188" si="34">PRODUCT(C174:H174)</f>
        <v>6.3656000000000006</v>
      </c>
      <c r="J174" s="161"/>
    </row>
    <row r="175" spans="1:10" s="154" customFormat="1">
      <c r="A175" s="276"/>
      <c r="B175" s="171" t="s">
        <v>261</v>
      </c>
      <c r="C175" s="172">
        <v>1</v>
      </c>
      <c r="D175" s="156" t="s">
        <v>73</v>
      </c>
      <c r="E175" s="172">
        <v>1</v>
      </c>
      <c r="F175" s="173">
        <v>1.85</v>
      </c>
      <c r="G175" s="173"/>
      <c r="H175" s="174">
        <v>2.92</v>
      </c>
      <c r="I175" s="175">
        <f t="shared" si="34"/>
        <v>5.4020000000000001</v>
      </c>
      <c r="J175" s="161"/>
    </row>
    <row r="176" spans="1:10" s="154" customFormat="1">
      <c r="A176" s="169"/>
      <c r="B176" s="171" t="s">
        <v>1187</v>
      </c>
      <c r="C176" s="172">
        <v>1</v>
      </c>
      <c r="D176" s="156" t="s">
        <v>73</v>
      </c>
      <c r="E176" s="172">
        <v>1</v>
      </c>
      <c r="F176" s="173">
        <v>1.91</v>
      </c>
      <c r="G176" s="173"/>
      <c r="H176" s="174">
        <v>2.92</v>
      </c>
      <c r="I176" s="175">
        <f t="shared" si="34"/>
        <v>5.5771999999999995</v>
      </c>
      <c r="J176" s="164"/>
    </row>
    <row r="177" spans="1:10" s="154" customFormat="1" ht="18.75" customHeight="1">
      <c r="A177" s="349"/>
      <c r="B177" s="171" t="s">
        <v>1188</v>
      </c>
      <c r="C177" s="172">
        <v>1</v>
      </c>
      <c r="D177" s="156" t="s">
        <v>73</v>
      </c>
      <c r="E177" s="172">
        <v>1</v>
      </c>
      <c r="F177" s="173">
        <v>2.2149999999999999</v>
      </c>
      <c r="G177" s="173"/>
      <c r="H177" s="174">
        <v>1.35</v>
      </c>
      <c r="I177" s="175">
        <f t="shared" si="34"/>
        <v>2.9902500000000001</v>
      </c>
      <c r="J177" s="161"/>
    </row>
    <row r="178" spans="1:10" s="154" customFormat="1">
      <c r="A178" s="276"/>
      <c r="B178" s="171" t="s">
        <v>263</v>
      </c>
      <c r="C178" s="172">
        <v>1</v>
      </c>
      <c r="D178" s="156" t="s">
        <v>73</v>
      </c>
      <c r="E178" s="172">
        <v>1</v>
      </c>
      <c r="F178" s="173">
        <v>4.12</v>
      </c>
      <c r="G178" s="173"/>
      <c r="H178" s="174">
        <v>2.92</v>
      </c>
      <c r="I178" s="175">
        <f t="shared" si="34"/>
        <v>12.0304</v>
      </c>
      <c r="J178" s="161"/>
    </row>
    <row r="179" spans="1:10" s="154" customFormat="1">
      <c r="A179" s="276"/>
      <c r="B179" s="171" t="s">
        <v>264</v>
      </c>
      <c r="C179" s="172">
        <v>1</v>
      </c>
      <c r="D179" s="156" t="s">
        <v>73</v>
      </c>
      <c r="E179" s="172">
        <v>1</v>
      </c>
      <c r="F179" s="173">
        <v>2.0750000000000002</v>
      </c>
      <c r="G179" s="173"/>
      <c r="H179" s="174">
        <v>2.92</v>
      </c>
      <c r="I179" s="175">
        <f t="shared" si="34"/>
        <v>6.0590000000000002</v>
      </c>
      <c r="J179" s="161"/>
    </row>
    <row r="180" spans="1:10" s="154" customFormat="1">
      <c r="A180" s="276"/>
      <c r="B180" s="176" t="s">
        <v>254</v>
      </c>
      <c r="C180" s="172"/>
      <c r="D180" s="156"/>
      <c r="E180" s="172"/>
      <c r="F180" s="173"/>
      <c r="G180" s="173"/>
      <c r="H180" s="174"/>
      <c r="I180" s="175">
        <f t="shared" si="34"/>
        <v>0</v>
      </c>
      <c r="J180" s="161"/>
    </row>
    <row r="181" spans="1:10" s="154" customFormat="1">
      <c r="A181" s="276"/>
      <c r="B181" s="177" t="s">
        <v>72</v>
      </c>
      <c r="C181" s="172">
        <v>-1</v>
      </c>
      <c r="D181" s="156" t="s">
        <v>73</v>
      </c>
      <c r="E181" s="172">
        <v>3</v>
      </c>
      <c r="F181" s="173">
        <v>1</v>
      </c>
      <c r="G181" s="174"/>
      <c r="H181" s="174">
        <v>2.1</v>
      </c>
      <c r="I181" s="175">
        <f>PRODUCT(C181:H181)</f>
        <v>-6.3000000000000007</v>
      </c>
      <c r="J181" s="161"/>
    </row>
    <row r="182" spans="1:10" s="154" customFormat="1">
      <c r="A182" s="276"/>
      <c r="B182" s="177" t="s">
        <v>1189</v>
      </c>
      <c r="C182" s="172">
        <v>-1</v>
      </c>
      <c r="D182" s="156" t="s">
        <v>73</v>
      </c>
      <c r="E182" s="172">
        <v>2</v>
      </c>
      <c r="F182" s="173">
        <v>1.46</v>
      </c>
      <c r="G182" s="174"/>
      <c r="H182" s="174">
        <v>0.15</v>
      </c>
      <c r="I182" s="175">
        <f t="shared" si="34"/>
        <v>-0.438</v>
      </c>
      <c r="J182" s="161"/>
    </row>
    <row r="183" spans="1:10" s="154" customFormat="1">
      <c r="A183" s="276"/>
      <c r="B183" s="177" t="s">
        <v>265</v>
      </c>
      <c r="C183" s="172">
        <v>-1</v>
      </c>
      <c r="D183" s="156" t="s">
        <v>73</v>
      </c>
      <c r="E183" s="172">
        <v>1</v>
      </c>
      <c r="F183" s="173">
        <v>0.9</v>
      </c>
      <c r="G183" s="174"/>
      <c r="H183" s="174">
        <v>2.1</v>
      </c>
      <c r="I183" s="175">
        <f t="shared" si="34"/>
        <v>-1.8900000000000001</v>
      </c>
      <c r="J183" s="161"/>
    </row>
    <row r="184" spans="1:10" s="154" customFormat="1">
      <c r="A184" s="276"/>
      <c r="B184" s="177" t="s">
        <v>1190</v>
      </c>
      <c r="C184" s="172">
        <v>-1</v>
      </c>
      <c r="D184" s="156" t="s">
        <v>73</v>
      </c>
      <c r="E184" s="172">
        <v>1</v>
      </c>
      <c r="F184" s="173">
        <v>1.36</v>
      </c>
      <c r="G184" s="174"/>
      <c r="H184" s="174">
        <v>0.15</v>
      </c>
      <c r="I184" s="175">
        <f t="shared" si="34"/>
        <v>-0.20400000000000001</v>
      </c>
      <c r="J184" s="161"/>
    </row>
    <row r="185" spans="1:10" s="154" customFormat="1">
      <c r="A185" s="276"/>
      <c r="B185" s="177" t="s">
        <v>266</v>
      </c>
      <c r="C185" s="172">
        <v>-1</v>
      </c>
      <c r="D185" s="156" t="s">
        <v>73</v>
      </c>
      <c r="E185" s="172">
        <v>2</v>
      </c>
      <c r="F185" s="173">
        <v>0.75</v>
      </c>
      <c r="G185" s="174"/>
      <c r="H185" s="174">
        <v>2.1</v>
      </c>
      <c r="I185" s="175">
        <f t="shared" si="34"/>
        <v>-3.1500000000000004</v>
      </c>
      <c r="J185" s="161"/>
    </row>
    <row r="186" spans="1:10" s="154" customFormat="1">
      <c r="A186" s="276"/>
      <c r="B186" s="177" t="s">
        <v>1196</v>
      </c>
      <c r="C186" s="172">
        <v>-1</v>
      </c>
      <c r="D186" s="156" t="s">
        <v>73</v>
      </c>
      <c r="E186" s="172">
        <v>1</v>
      </c>
      <c r="F186" s="173">
        <v>0.75</v>
      </c>
      <c r="G186" s="174"/>
      <c r="H186" s="174">
        <v>1.35</v>
      </c>
      <c r="I186" s="175">
        <f t="shared" si="34"/>
        <v>-1.0125000000000002</v>
      </c>
      <c r="J186" s="161"/>
    </row>
    <row r="187" spans="1:10" s="154" customFormat="1">
      <c r="A187" s="276"/>
      <c r="B187" s="177" t="s">
        <v>1191</v>
      </c>
      <c r="C187" s="172">
        <v>-1</v>
      </c>
      <c r="D187" s="156" t="s">
        <v>73</v>
      </c>
      <c r="E187" s="172">
        <v>2</v>
      </c>
      <c r="F187" s="173">
        <v>1.21</v>
      </c>
      <c r="G187" s="174"/>
      <c r="H187" s="174">
        <v>0.15</v>
      </c>
      <c r="I187" s="175">
        <f t="shared" si="34"/>
        <v>-0.36299999999999999</v>
      </c>
      <c r="J187" s="161"/>
    </row>
    <row r="188" spans="1:10" s="154" customFormat="1">
      <c r="A188" s="276"/>
      <c r="B188" s="177" t="s">
        <v>1192</v>
      </c>
      <c r="C188" s="172">
        <v>-1</v>
      </c>
      <c r="D188" s="156" t="s">
        <v>73</v>
      </c>
      <c r="E188" s="172">
        <v>1</v>
      </c>
      <c r="F188" s="173">
        <v>6.67</v>
      </c>
      <c r="G188" s="174"/>
      <c r="H188" s="174">
        <v>0.15</v>
      </c>
      <c r="I188" s="175">
        <f t="shared" si="34"/>
        <v>-1.0004999999999999</v>
      </c>
      <c r="J188" s="161"/>
    </row>
    <row r="189" spans="1:10" s="154" customFormat="1">
      <c r="A189" s="276"/>
      <c r="B189" s="148"/>
      <c r="C189" s="149"/>
      <c r="D189" s="149"/>
      <c r="E189" s="149"/>
      <c r="F189" s="150"/>
      <c r="G189" s="150"/>
      <c r="H189" s="150"/>
      <c r="I189" s="151">
        <f>SUM(I173:I188)</f>
        <v>43.542849999999987</v>
      </c>
      <c r="J189" s="161"/>
    </row>
    <row r="190" spans="1:10" s="154" customFormat="1">
      <c r="A190" s="276"/>
      <c r="B190" s="157" t="s">
        <v>1407</v>
      </c>
      <c r="C190" s="149"/>
      <c r="D190" s="149"/>
      <c r="E190" s="149"/>
      <c r="F190" s="150"/>
      <c r="G190" s="150"/>
      <c r="H190" s="150"/>
      <c r="I190" s="151">
        <f>-excess!G25</f>
        <v>-31.69</v>
      </c>
      <c r="J190" s="161"/>
    </row>
    <row r="191" spans="1:10" s="154" customFormat="1">
      <c r="A191" s="276"/>
      <c r="B191" s="148"/>
      <c r="C191" s="149"/>
      <c r="D191" s="149"/>
      <c r="E191" s="149"/>
      <c r="F191" s="150"/>
      <c r="G191" s="150"/>
      <c r="H191" s="150"/>
      <c r="I191" s="159">
        <f>SUM(I189:I190)</f>
        <v>11.852849999999986</v>
      </c>
      <c r="J191" s="161" t="s">
        <v>75</v>
      </c>
    </row>
    <row r="192" spans="1:10" s="154" customFormat="1">
      <c r="A192" s="276"/>
      <c r="B192" s="148"/>
      <c r="C192" s="149"/>
      <c r="D192" s="149"/>
      <c r="E192" s="149"/>
      <c r="F192" s="150"/>
      <c r="G192" s="150"/>
      <c r="H192" s="158"/>
      <c r="I192" s="160"/>
      <c r="J192" s="161"/>
    </row>
    <row r="193" spans="1:10" s="154" customFormat="1">
      <c r="A193" s="276"/>
      <c r="B193" s="155" t="s">
        <v>267</v>
      </c>
      <c r="C193" s="149"/>
      <c r="D193" s="149"/>
      <c r="E193" s="149"/>
      <c r="F193" s="150"/>
      <c r="G193" s="150"/>
      <c r="H193" s="150"/>
      <c r="I193" s="151"/>
      <c r="J193" s="161"/>
    </row>
    <row r="194" spans="1:10" s="154" customFormat="1">
      <c r="A194" s="276"/>
      <c r="B194" s="171" t="s">
        <v>259</v>
      </c>
      <c r="C194" s="172">
        <v>1</v>
      </c>
      <c r="D194" s="172" t="s">
        <v>73</v>
      </c>
      <c r="E194" s="172">
        <v>1</v>
      </c>
      <c r="F194" s="173">
        <v>6.67</v>
      </c>
      <c r="G194" s="173"/>
      <c r="H194" s="174">
        <v>2.92</v>
      </c>
      <c r="I194" s="175">
        <f t="shared" ref="I194:I198" si="35">PRODUCT(C194:H194)</f>
        <v>19.476399999999998</v>
      </c>
      <c r="J194" s="161"/>
    </row>
    <row r="195" spans="1:10" s="154" customFormat="1">
      <c r="A195" s="276"/>
      <c r="B195" s="171" t="s">
        <v>262</v>
      </c>
      <c r="C195" s="172">
        <v>1</v>
      </c>
      <c r="D195" s="156" t="s">
        <v>73</v>
      </c>
      <c r="E195" s="172">
        <v>1</v>
      </c>
      <c r="F195" s="174">
        <v>1.835</v>
      </c>
      <c r="G195" s="173"/>
      <c r="H195" s="174">
        <v>3.1749999999999998</v>
      </c>
      <c r="I195" s="175">
        <f t="shared" si="35"/>
        <v>5.8261249999999993</v>
      </c>
      <c r="J195" s="161"/>
    </row>
    <row r="196" spans="1:10" s="154" customFormat="1">
      <c r="A196" s="276"/>
      <c r="B196" s="171" t="s">
        <v>1188</v>
      </c>
      <c r="C196" s="172">
        <v>1</v>
      </c>
      <c r="D196" s="156" t="s">
        <v>73</v>
      </c>
      <c r="E196" s="172">
        <v>1</v>
      </c>
      <c r="F196" s="173">
        <v>2.2149999999999999</v>
      </c>
      <c r="G196" s="173"/>
      <c r="H196" s="174">
        <v>1.35</v>
      </c>
      <c r="I196" s="175">
        <f t="shared" si="35"/>
        <v>2.9902500000000001</v>
      </c>
      <c r="J196" s="161"/>
    </row>
    <row r="197" spans="1:10" s="154" customFormat="1">
      <c r="A197" s="276"/>
      <c r="B197" s="171" t="s">
        <v>263</v>
      </c>
      <c r="C197" s="172">
        <v>1</v>
      </c>
      <c r="D197" s="156" t="s">
        <v>73</v>
      </c>
      <c r="E197" s="172">
        <v>1</v>
      </c>
      <c r="F197" s="173">
        <v>4.12</v>
      </c>
      <c r="G197" s="173"/>
      <c r="H197" s="174">
        <v>2.92</v>
      </c>
      <c r="I197" s="175">
        <f t="shared" si="35"/>
        <v>12.0304</v>
      </c>
      <c r="J197" s="161"/>
    </row>
    <row r="198" spans="1:10" s="154" customFormat="1">
      <c r="A198" s="276"/>
      <c r="B198" s="171" t="s">
        <v>264</v>
      </c>
      <c r="C198" s="172">
        <v>1</v>
      </c>
      <c r="D198" s="156" t="s">
        <v>73</v>
      </c>
      <c r="E198" s="172">
        <v>1</v>
      </c>
      <c r="F198" s="173">
        <v>2.19</v>
      </c>
      <c r="G198" s="173"/>
      <c r="H198" s="174">
        <v>3.1749999999999998</v>
      </c>
      <c r="I198" s="175">
        <f t="shared" si="35"/>
        <v>6.9532499999999997</v>
      </c>
      <c r="J198" s="164"/>
    </row>
    <row r="199" spans="1:10" s="154" customFormat="1">
      <c r="A199" s="276"/>
      <c r="B199" s="176" t="s">
        <v>254</v>
      </c>
      <c r="C199" s="172"/>
      <c r="D199" s="156"/>
      <c r="E199" s="172"/>
      <c r="F199" s="173"/>
      <c r="G199" s="173"/>
      <c r="H199" s="174"/>
      <c r="I199" s="175"/>
      <c r="J199" s="164"/>
    </row>
    <row r="200" spans="1:10" s="154" customFormat="1">
      <c r="A200" s="276"/>
      <c r="B200" s="177" t="s">
        <v>72</v>
      </c>
      <c r="C200" s="172">
        <v>-1</v>
      </c>
      <c r="D200" s="156" t="s">
        <v>73</v>
      </c>
      <c r="E200" s="172">
        <v>2</v>
      </c>
      <c r="F200" s="173">
        <v>1</v>
      </c>
      <c r="G200" s="174"/>
      <c r="H200" s="174">
        <v>2.1</v>
      </c>
      <c r="I200" s="175">
        <f t="shared" ref="I200:I208" si="36">PRODUCT(C200:H200)</f>
        <v>-4.2</v>
      </c>
      <c r="J200" s="161"/>
    </row>
    <row r="201" spans="1:10" s="154" customFormat="1">
      <c r="A201" s="276"/>
      <c r="B201" s="177" t="s">
        <v>1189</v>
      </c>
      <c r="C201" s="172">
        <v>-1</v>
      </c>
      <c r="D201" s="156" t="s">
        <v>73</v>
      </c>
      <c r="E201" s="172">
        <v>1</v>
      </c>
      <c r="F201" s="173">
        <v>1.46</v>
      </c>
      <c r="G201" s="174"/>
      <c r="H201" s="174">
        <v>0.15</v>
      </c>
      <c r="I201" s="175">
        <f t="shared" si="36"/>
        <v>-0.219</v>
      </c>
      <c r="J201" s="161"/>
    </row>
    <row r="202" spans="1:10" s="154" customFormat="1">
      <c r="A202" s="276"/>
      <c r="B202" s="177" t="s">
        <v>266</v>
      </c>
      <c r="C202" s="172">
        <v>-1</v>
      </c>
      <c r="D202" s="156" t="s">
        <v>73</v>
      </c>
      <c r="E202" s="172">
        <v>1</v>
      </c>
      <c r="F202" s="173">
        <v>0.75</v>
      </c>
      <c r="G202" s="174"/>
      <c r="H202" s="174">
        <v>2.1</v>
      </c>
      <c r="I202" s="175">
        <f t="shared" si="36"/>
        <v>-1.5750000000000002</v>
      </c>
      <c r="J202" s="161"/>
    </row>
    <row r="203" spans="1:10" s="154" customFormat="1">
      <c r="A203" s="276"/>
      <c r="B203" s="177" t="s">
        <v>1196</v>
      </c>
      <c r="C203" s="172">
        <v>-1</v>
      </c>
      <c r="D203" s="156" t="s">
        <v>73</v>
      </c>
      <c r="E203" s="172">
        <v>1</v>
      </c>
      <c r="F203" s="173">
        <v>0.75</v>
      </c>
      <c r="G203" s="174"/>
      <c r="H203" s="174">
        <v>1.35</v>
      </c>
      <c r="I203" s="175">
        <f t="shared" si="36"/>
        <v>-1.0125000000000002</v>
      </c>
      <c r="J203" s="161"/>
    </row>
    <row r="204" spans="1:10" s="154" customFormat="1">
      <c r="A204" s="276"/>
      <c r="B204" s="177" t="s">
        <v>1191</v>
      </c>
      <c r="C204" s="172">
        <v>-1</v>
      </c>
      <c r="D204" s="156" t="s">
        <v>73</v>
      </c>
      <c r="E204" s="172">
        <v>1</v>
      </c>
      <c r="F204" s="173">
        <v>1.21</v>
      </c>
      <c r="G204" s="174"/>
      <c r="H204" s="174">
        <v>0.15</v>
      </c>
      <c r="I204" s="175">
        <f t="shared" si="36"/>
        <v>-0.18149999999999999</v>
      </c>
      <c r="J204" s="161"/>
    </row>
    <row r="205" spans="1:10" s="154" customFormat="1">
      <c r="A205" s="276"/>
      <c r="B205" s="177" t="s">
        <v>1192</v>
      </c>
      <c r="C205" s="172">
        <v>-1</v>
      </c>
      <c r="D205" s="156" t="s">
        <v>73</v>
      </c>
      <c r="E205" s="172">
        <v>1</v>
      </c>
      <c r="F205" s="173">
        <v>6.67</v>
      </c>
      <c r="G205" s="174"/>
      <c r="H205" s="174">
        <v>0.15</v>
      </c>
      <c r="I205" s="175">
        <f t="shared" si="36"/>
        <v>-1.0004999999999999</v>
      </c>
      <c r="J205" s="161"/>
    </row>
    <row r="206" spans="1:10" s="154" customFormat="1">
      <c r="A206" s="276"/>
      <c r="B206" s="177" t="s">
        <v>1193</v>
      </c>
      <c r="C206" s="172">
        <v>-1</v>
      </c>
      <c r="D206" s="156" t="s">
        <v>73</v>
      </c>
      <c r="E206" s="172">
        <v>1</v>
      </c>
      <c r="F206" s="174">
        <v>1.835</v>
      </c>
      <c r="G206" s="174"/>
      <c r="H206" s="174">
        <v>0.15</v>
      </c>
      <c r="I206" s="175">
        <f t="shared" si="36"/>
        <v>-0.27524999999999999</v>
      </c>
      <c r="J206" s="161"/>
    </row>
    <row r="207" spans="1:10" s="154" customFormat="1">
      <c r="A207" s="276"/>
      <c r="B207" s="177" t="s">
        <v>1194</v>
      </c>
      <c r="C207" s="172">
        <v>-1</v>
      </c>
      <c r="D207" s="156" t="s">
        <v>73</v>
      </c>
      <c r="E207" s="172">
        <v>1</v>
      </c>
      <c r="F207" s="173">
        <v>1</v>
      </c>
      <c r="G207" s="174"/>
      <c r="H207" s="174">
        <v>2.1</v>
      </c>
      <c r="I207" s="175">
        <f t="shared" si="36"/>
        <v>-2.1</v>
      </c>
      <c r="J207" s="161"/>
    </row>
    <row r="208" spans="1:10" s="154" customFormat="1">
      <c r="A208" s="276"/>
      <c r="B208" s="177" t="s">
        <v>1195</v>
      </c>
      <c r="C208" s="172">
        <v>-1</v>
      </c>
      <c r="D208" s="156" t="s">
        <v>73</v>
      </c>
      <c r="E208" s="172">
        <v>1</v>
      </c>
      <c r="F208" s="174">
        <v>0.83499999999999996</v>
      </c>
      <c r="G208" s="174"/>
      <c r="H208" s="174">
        <v>1.35</v>
      </c>
      <c r="I208" s="175">
        <f t="shared" si="36"/>
        <v>-1.1272500000000001</v>
      </c>
      <c r="J208" s="161"/>
    </row>
    <row r="209" spans="1:10" s="154" customFormat="1">
      <c r="A209" s="276"/>
      <c r="B209" s="148"/>
      <c r="C209" s="149"/>
      <c r="D209" s="149"/>
      <c r="E209" s="149"/>
      <c r="F209" s="150"/>
      <c r="G209" s="150"/>
      <c r="H209" s="150"/>
      <c r="I209" s="151">
        <f>SUM(I194:I208)</f>
        <v>35.585424999999972</v>
      </c>
      <c r="J209" s="161"/>
    </row>
    <row r="210" spans="1:10" s="154" customFormat="1">
      <c r="A210" s="276"/>
      <c r="B210" s="157" t="s">
        <v>1407</v>
      </c>
      <c r="C210" s="149"/>
      <c r="D210" s="149"/>
      <c r="E210" s="149"/>
      <c r="F210" s="150"/>
      <c r="G210" s="150"/>
      <c r="H210" s="150"/>
      <c r="I210" s="151">
        <f>-excess!G26</f>
        <v>-34</v>
      </c>
      <c r="J210" s="161"/>
    </row>
    <row r="211" spans="1:10" s="154" customFormat="1">
      <c r="A211" s="276"/>
      <c r="B211" s="157"/>
      <c r="C211" s="149"/>
      <c r="D211" s="149"/>
      <c r="E211" s="149"/>
      <c r="F211" s="150"/>
      <c r="G211" s="150"/>
      <c r="H211" s="158" t="s">
        <v>245</v>
      </c>
      <c r="I211" s="159">
        <f>SUM(I209:I210)</f>
        <v>1.5854249999999723</v>
      </c>
      <c r="J211" s="161" t="s">
        <v>75</v>
      </c>
    </row>
    <row r="212" spans="1:10" s="154" customFormat="1">
      <c r="A212" s="276"/>
      <c r="B212" s="177"/>
      <c r="C212" s="172"/>
      <c r="D212" s="156"/>
      <c r="E212" s="172"/>
      <c r="F212" s="173"/>
      <c r="G212" s="174"/>
      <c r="H212" s="174"/>
      <c r="I212" s="175"/>
      <c r="J212" s="161"/>
    </row>
    <row r="213" spans="1:10" s="154" customFormat="1">
      <c r="A213" s="276"/>
      <c r="B213" s="155" t="s">
        <v>268</v>
      </c>
      <c r="C213" s="149"/>
      <c r="D213" s="149"/>
      <c r="E213" s="149"/>
      <c r="F213" s="150"/>
      <c r="G213" s="150"/>
      <c r="H213" s="150"/>
      <c r="I213" s="151"/>
      <c r="J213" s="161"/>
    </row>
    <row r="214" spans="1:10" s="154" customFormat="1">
      <c r="A214" s="276"/>
      <c r="B214" s="171" t="s">
        <v>1197</v>
      </c>
      <c r="C214" s="172">
        <v>1</v>
      </c>
      <c r="D214" s="172" t="s">
        <v>73</v>
      </c>
      <c r="E214" s="172">
        <v>2</v>
      </c>
      <c r="F214" s="173">
        <v>4.6100000000000003</v>
      </c>
      <c r="G214" s="173"/>
      <c r="H214" s="174">
        <v>2.92</v>
      </c>
      <c r="I214" s="175">
        <f t="shared" ref="I214:I216" si="37">PRODUCT(C214:H214)</f>
        <v>26.9224</v>
      </c>
      <c r="J214" s="161"/>
    </row>
    <row r="215" spans="1:10" s="154" customFormat="1">
      <c r="A215" s="276"/>
      <c r="B215" s="171" t="s">
        <v>1198</v>
      </c>
      <c r="C215" s="172">
        <v>1</v>
      </c>
      <c r="D215" s="156" t="s">
        <v>73</v>
      </c>
      <c r="E215" s="172">
        <v>2</v>
      </c>
      <c r="F215" s="174">
        <v>4.6100000000000003</v>
      </c>
      <c r="G215" s="173"/>
      <c r="H215" s="174">
        <v>3.1749999999999998</v>
      </c>
      <c r="I215" s="175">
        <f t="shared" si="37"/>
        <v>29.273500000000002</v>
      </c>
      <c r="J215" s="161"/>
    </row>
    <row r="216" spans="1:10" s="154" customFormat="1">
      <c r="A216" s="276"/>
      <c r="B216" s="171" t="s">
        <v>1199</v>
      </c>
      <c r="C216" s="172">
        <v>2</v>
      </c>
      <c r="D216" s="156" t="s">
        <v>73</v>
      </c>
      <c r="E216" s="172">
        <v>2</v>
      </c>
      <c r="F216" s="173">
        <v>1.4850000000000001</v>
      </c>
      <c r="G216" s="173"/>
      <c r="H216" s="174">
        <v>3.1749999999999998</v>
      </c>
      <c r="I216" s="175">
        <f t="shared" si="37"/>
        <v>18.859500000000001</v>
      </c>
      <c r="J216" s="161"/>
    </row>
    <row r="217" spans="1:10" s="154" customFormat="1">
      <c r="A217" s="276"/>
      <c r="B217" s="176" t="s">
        <v>254</v>
      </c>
      <c r="C217" s="172"/>
      <c r="D217" s="156"/>
      <c r="E217" s="172"/>
      <c r="F217" s="173"/>
      <c r="G217" s="173"/>
      <c r="H217" s="174"/>
      <c r="I217" s="175"/>
      <c r="J217" s="161"/>
    </row>
    <row r="218" spans="1:10" s="154" customFormat="1">
      <c r="A218" s="276"/>
      <c r="B218" s="177" t="s">
        <v>265</v>
      </c>
      <c r="C218" s="172">
        <v>-1</v>
      </c>
      <c r="D218" s="156" t="s">
        <v>73</v>
      </c>
      <c r="E218" s="172">
        <v>2</v>
      </c>
      <c r="F218" s="173">
        <v>0.9</v>
      </c>
      <c r="G218" s="174"/>
      <c r="H218" s="174">
        <v>2.1</v>
      </c>
      <c r="I218" s="175">
        <f>PRODUCT(C218:H218)</f>
        <v>-3.7800000000000002</v>
      </c>
      <c r="J218" s="164"/>
    </row>
    <row r="219" spans="1:10" s="154" customFormat="1">
      <c r="A219" s="276"/>
      <c r="B219" s="177" t="s">
        <v>1190</v>
      </c>
      <c r="C219" s="172">
        <v>-1</v>
      </c>
      <c r="D219" s="156" t="s">
        <v>73</v>
      </c>
      <c r="E219" s="172">
        <v>2</v>
      </c>
      <c r="F219" s="173">
        <v>1.46</v>
      </c>
      <c r="G219" s="174"/>
      <c r="H219" s="174">
        <v>0.15</v>
      </c>
      <c r="I219" s="175">
        <f>PRODUCT(C219:H219)</f>
        <v>-0.438</v>
      </c>
      <c r="J219" s="161"/>
    </row>
    <row r="220" spans="1:10" s="154" customFormat="1">
      <c r="A220" s="276"/>
      <c r="B220" s="177" t="s">
        <v>266</v>
      </c>
      <c r="C220" s="172">
        <v>-1</v>
      </c>
      <c r="D220" s="156" t="s">
        <v>73</v>
      </c>
      <c r="E220" s="172">
        <v>6</v>
      </c>
      <c r="F220" s="173">
        <v>0.75</v>
      </c>
      <c r="G220" s="174"/>
      <c r="H220" s="174">
        <v>2.1</v>
      </c>
      <c r="I220" s="175">
        <f>PRODUCT(C220:H220)</f>
        <v>-9.4500000000000011</v>
      </c>
      <c r="J220" s="161"/>
    </row>
    <row r="221" spans="1:10" s="154" customFormat="1">
      <c r="A221" s="276"/>
      <c r="B221" s="177" t="s">
        <v>1200</v>
      </c>
      <c r="C221" s="172">
        <v>-1</v>
      </c>
      <c r="D221" s="156" t="s">
        <v>73</v>
      </c>
      <c r="E221" s="172">
        <v>1</v>
      </c>
      <c r="F221" s="173">
        <v>4.6100000000000003</v>
      </c>
      <c r="G221" s="174"/>
      <c r="H221" s="174">
        <v>0.15</v>
      </c>
      <c r="I221" s="175">
        <f>PRODUCT(C221:H221)</f>
        <v>-0.6915</v>
      </c>
      <c r="J221" s="161"/>
    </row>
    <row r="222" spans="1:10" s="154" customFormat="1">
      <c r="A222" s="276"/>
      <c r="B222" s="148" t="s">
        <v>1220</v>
      </c>
      <c r="C222" s="138">
        <v>1</v>
      </c>
      <c r="D222" s="143" t="s">
        <v>73</v>
      </c>
      <c r="E222" s="138">
        <v>1</v>
      </c>
      <c r="F222" s="139">
        <v>14.7</v>
      </c>
      <c r="G222" s="139"/>
      <c r="H222" s="139">
        <v>0.45</v>
      </c>
      <c r="I222" s="140">
        <f>ROUND(PRODUCT(C222:H222),2)</f>
        <v>6.62</v>
      </c>
      <c r="J222" s="161"/>
    </row>
    <row r="223" spans="1:10" s="154" customFormat="1">
      <c r="A223" s="276"/>
      <c r="B223" s="148" t="s">
        <v>1758</v>
      </c>
      <c r="C223" s="138">
        <v>1</v>
      </c>
      <c r="D223" s="143" t="s">
        <v>73</v>
      </c>
      <c r="E223" s="138">
        <v>1</v>
      </c>
      <c r="F223" s="139">
        <v>14.7</v>
      </c>
      <c r="G223" s="139"/>
      <c r="H223" s="139">
        <v>0.3</v>
      </c>
      <c r="I223" s="140">
        <f>ROUND(PRODUCT(C223:H223),2)</f>
        <v>4.41</v>
      </c>
      <c r="J223" s="161"/>
    </row>
    <row r="224" spans="1:10" s="154" customFormat="1">
      <c r="A224" s="276"/>
      <c r="B224" s="148" t="s">
        <v>1760</v>
      </c>
      <c r="C224" s="138">
        <v>1</v>
      </c>
      <c r="D224" s="143" t="s">
        <v>73</v>
      </c>
      <c r="E224" s="138">
        <v>1</v>
      </c>
      <c r="F224" s="139">
        <f>2*(2.36+1.93)</f>
        <v>8.58</v>
      </c>
      <c r="G224" s="139"/>
      <c r="H224" s="139">
        <v>0.3</v>
      </c>
      <c r="I224" s="140">
        <f>ROUND(PRODUCT(C224:H224),2)</f>
        <v>2.57</v>
      </c>
      <c r="J224" s="161"/>
    </row>
    <row r="225" spans="1:10" s="154" customFormat="1">
      <c r="A225" s="276"/>
      <c r="B225" s="148"/>
      <c r="C225" s="149"/>
      <c r="D225" s="149"/>
      <c r="E225" s="149"/>
      <c r="F225" s="150"/>
      <c r="G225" s="150"/>
      <c r="H225" s="158" t="s">
        <v>245</v>
      </c>
      <c r="I225" s="159">
        <f>SUM(I214:I224)</f>
        <v>74.295899999999989</v>
      </c>
      <c r="J225" s="161" t="s">
        <v>75</v>
      </c>
    </row>
    <row r="226" spans="1:10" s="154" customFormat="1">
      <c r="A226" s="276"/>
      <c r="B226" s="148"/>
      <c r="C226" s="149"/>
      <c r="D226" s="149"/>
      <c r="E226" s="149"/>
      <c r="F226" s="150"/>
      <c r="G226" s="150"/>
      <c r="H226" s="158"/>
      <c r="I226" s="159"/>
      <c r="J226" s="161"/>
    </row>
    <row r="227" spans="1:10" s="154" customFormat="1" ht="93" customHeight="1">
      <c r="A227" s="276">
        <v>11.2</v>
      </c>
      <c r="B227" s="153" t="s">
        <v>269</v>
      </c>
      <c r="C227" s="149"/>
      <c r="D227" s="149"/>
      <c r="E227" s="149"/>
      <c r="F227" s="150"/>
      <c r="G227" s="150"/>
      <c r="H227" s="150"/>
      <c r="I227" s="151"/>
      <c r="J227" s="161"/>
    </row>
    <row r="228" spans="1:10" s="154" customFormat="1">
      <c r="A228" s="276"/>
      <c r="B228" s="155" t="s">
        <v>253</v>
      </c>
      <c r="C228" s="149"/>
      <c r="D228" s="149"/>
      <c r="E228" s="149"/>
      <c r="F228" s="150"/>
      <c r="G228" s="150"/>
      <c r="H228" s="150"/>
      <c r="I228" s="151"/>
      <c r="J228" s="161"/>
    </row>
    <row r="229" spans="1:10" s="154" customFormat="1">
      <c r="A229" s="152"/>
      <c r="B229" s="148" t="s">
        <v>299</v>
      </c>
      <c r="C229" s="149">
        <v>1</v>
      </c>
      <c r="D229" s="149" t="s">
        <v>73</v>
      </c>
      <c r="E229" s="149">
        <v>2</v>
      </c>
      <c r="F229" s="150">
        <v>0.45</v>
      </c>
      <c r="G229" s="150"/>
      <c r="H229" s="150">
        <v>2.1</v>
      </c>
      <c r="I229" s="151">
        <f>ROUND(PRODUCT(C229:H229),2)</f>
        <v>1.89</v>
      </c>
      <c r="J229" s="161"/>
    </row>
    <row r="230" spans="1:10" s="154" customFormat="1">
      <c r="A230" s="152"/>
      <c r="B230" s="148" t="s">
        <v>1201</v>
      </c>
      <c r="C230" s="149">
        <v>1</v>
      </c>
      <c r="D230" s="149" t="s">
        <v>73</v>
      </c>
      <c r="E230" s="149">
        <v>5</v>
      </c>
      <c r="F230" s="150">
        <v>0.45</v>
      </c>
      <c r="G230" s="150"/>
      <c r="H230" s="150">
        <v>2.1</v>
      </c>
      <c r="I230" s="151">
        <f>ROUND(PRODUCT(C230:H230),2)</f>
        <v>4.7300000000000004</v>
      </c>
      <c r="J230" s="161"/>
    </row>
    <row r="231" spans="1:10" s="154" customFormat="1">
      <c r="A231" s="152"/>
      <c r="B231" s="148" t="s">
        <v>1202</v>
      </c>
      <c r="C231" s="149">
        <v>2</v>
      </c>
      <c r="D231" s="149" t="s">
        <v>73</v>
      </c>
      <c r="E231" s="149">
        <v>2</v>
      </c>
      <c r="F231" s="150">
        <v>0.45</v>
      </c>
      <c r="G231" s="150"/>
      <c r="H231" s="150">
        <v>2.1</v>
      </c>
      <c r="I231" s="151">
        <f>ROUND(PRODUCT(C231:H231),2)</f>
        <v>3.78</v>
      </c>
      <c r="J231" s="161"/>
    </row>
    <row r="232" spans="1:10" s="154" customFormat="1">
      <c r="A232" s="276"/>
      <c r="B232" s="148"/>
      <c r="C232" s="149"/>
      <c r="D232" s="149"/>
      <c r="E232" s="149"/>
      <c r="F232" s="150"/>
      <c r="G232" s="158" t="s">
        <v>11</v>
      </c>
      <c r="H232" s="150"/>
      <c r="I232" s="159">
        <f>SUM(I229:I231)</f>
        <v>10.4</v>
      </c>
      <c r="J232" s="161" t="s">
        <v>75</v>
      </c>
    </row>
    <row r="233" spans="1:10" s="154" customFormat="1" ht="16.5" customHeight="1">
      <c r="A233" s="276"/>
      <c r="B233" s="148"/>
      <c r="C233" s="149"/>
      <c r="D233" s="149"/>
      <c r="E233" s="149"/>
      <c r="F233" s="150"/>
      <c r="G233" s="150"/>
      <c r="H233" s="158"/>
      <c r="I233" s="160"/>
      <c r="J233" s="161"/>
    </row>
    <row r="234" spans="1:10" s="154" customFormat="1" ht="16.5" customHeight="1">
      <c r="A234" s="276"/>
      <c r="B234" s="155" t="s">
        <v>272</v>
      </c>
      <c r="C234" s="149"/>
      <c r="D234" s="149"/>
      <c r="E234" s="149"/>
      <c r="F234" s="150"/>
      <c r="G234" s="150"/>
      <c r="H234" s="150"/>
      <c r="I234" s="151"/>
      <c r="J234" s="164"/>
    </row>
    <row r="235" spans="1:10" s="154" customFormat="1">
      <c r="A235" s="276"/>
      <c r="B235" s="148" t="s">
        <v>273</v>
      </c>
      <c r="C235" s="149">
        <v>2</v>
      </c>
      <c r="D235" s="149" t="s">
        <v>73</v>
      </c>
      <c r="E235" s="149">
        <v>5</v>
      </c>
      <c r="F235" s="150">
        <v>0.6</v>
      </c>
      <c r="G235" s="150"/>
      <c r="H235" s="150">
        <v>2.1</v>
      </c>
      <c r="I235" s="151">
        <f>ROUND(PRODUCT(C235:H235),2)</f>
        <v>12.6</v>
      </c>
      <c r="J235" s="161"/>
    </row>
    <row r="236" spans="1:10" s="154" customFormat="1">
      <c r="A236" s="152"/>
      <c r="B236" s="148"/>
      <c r="C236" s="149"/>
      <c r="D236" s="149"/>
      <c r="E236" s="149"/>
      <c r="F236" s="150"/>
      <c r="G236" s="158" t="s">
        <v>11</v>
      </c>
      <c r="H236" s="150"/>
      <c r="I236" s="159">
        <f>SUM(I235:I235)</f>
        <v>12.6</v>
      </c>
      <c r="J236" s="161" t="s">
        <v>75</v>
      </c>
    </row>
    <row r="237" spans="1:10" s="154" customFormat="1">
      <c r="A237" s="152"/>
      <c r="B237" s="148"/>
      <c r="C237" s="149"/>
      <c r="D237" s="149"/>
      <c r="E237" s="149"/>
      <c r="F237" s="150"/>
      <c r="G237" s="150"/>
      <c r="H237" s="158"/>
      <c r="I237" s="160"/>
      <c r="J237" s="161"/>
    </row>
    <row r="238" spans="1:10" s="154" customFormat="1" ht="56.25">
      <c r="A238" s="276">
        <v>25</v>
      </c>
      <c r="B238" s="178" t="s">
        <v>277</v>
      </c>
      <c r="C238" s="149"/>
      <c r="D238" s="149"/>
      <c r="E238" s="149"/>
      <c r="F238" s="150"/>
      <c r="G238" s="150"/>
      <c r="H238" s="150"/>
      <c r="I238" s="151"/>
      <c r="J238" s="161"/>
    </row>
    <row r="239" spans="1:10" s="154" customFormat="1">
      <c r="A239" s="276"/>
      <c r="B239" s="148" t="s">
        <v>278</v>
      </c>
      <c r="C239" s="149">
        <v>1</v>
      </c>
      <c r="D239" s="149" t="s">
        <v>73</v>
      </c>
      <c r="E239" s="149">
        <v>6</v>
      </c>
      <c r="F239" s="150"/>
      <c r="G239" s="150"/>
      <c r="H239" s="150"/>
      <c r="I239" s="151">
        <f>ROUND(PRODUCT(C239:H239),2)</f>
        <v>6</v>
      </c>
      <c r="J239" s="161"/>
    </row>
    <row r="240" spans="1:10" s="154" customFormat="1">
      <c r="A240" s="276"/>
      <c r="B240" s="148" t="s">
        <v>274</v>
      </c>
      <c r="C240" s="149">
        <v>7</v>
      </c>
      <c r="D240" s="149" t="s">
        <v>73</v>
      </c>
      <c r="E240" s="149">
        <v>6</v>
      </c>
      <c r="F240" s="150"/>
      <c r="G240" s="150"/>
      <c r="H240" s="150"/>
      <c r="I240" s="151">
        <f>ROUND(PRODUCT(C240:H240),2)</f>
        <v>42</v>
      </c>
      <c r="J240" s="164"/>
    </row>
    <row r="241" spans="1:10" s="154" customFormat="1">
      <c r="A241" s="276"/>
      <c r="B241" s="148" t="s">
        <v>275</v>
      </c>
      <c r="C241" s="149">
        <v>5</v>
      </c>
      <c r="D241" s="149" t="s">
        <v>73</v>
      </c>
      <c r="E241" s="149">
        <v>6</v>
      </c>
      <c r="F241" s="150"/>
      <c r="G241" s="150"/>
      <c r="H241" s="150"/>
      <c r="I241" s="151">
        <f>ROUND(PRODUCT(C241:H241),2)</f>
        <v>30</v>
      </c>
      <c r="J241" s="161"/>
    </row>
    <row r="242" spans="1:10" s="154" customFormat="1">
      <c r="A242" s="276"/>
      <c r="B242" s="148" t="s">
        <v>124</v>
      </c>
      <c r="C242" s="149">
        <v>4</v>
      </c>
      <c r="D242" s="149" t="s">
        <v>73</v>
      </c>
      <c r="E242" s="149">
        <v>6</v>
      </c>
      <c r="F242" s="150"/>
      <c r="G242" s="150"/>
      <c r="H242" s="150"/>
      <c r="I242" s="151">
        <f>ROUND(PRODUCT(C242:H242),2)</f>
        <v>24</v>
      </c>
      <c r="J242" s="161"/>
    </row>
    <row r="243" spans="1:10" s="154" customFormat="1">
      <c r="A243" s="276"/>
      <c r="B243" s="148"/>
      <c r="C243" s="149"/>
      <c r="D243" s="149"/>
      <c r="E243" s="149"/>
      <c r="F243" s="150"/>
      <c r="G243" s="158" t="s">
        <v>11</v>
      </c>
      <c r="H243" s="150"/>
      <c r="I243" s="159">
        <f>SUM(I239:I242)</f>
        <v>102</v>
      </c>
      <c r="J243" s="180" t="s">
        <v>128</v>
      </c>
    </row>
    <row r="244" spans="1:10" s="154" customFormat="1">
      <c r="A244" s="276"/>
      <c r="B244" s="148"/>
      <c r="C244" s="149"/>
      <c r="D244" s="149"/>
      <c r="E244" s="149"/>
      <c r="F244" s="150"/>
      <c r="G244" s="158"/>
      <c r="H244" s="150"/>
      <c r="I244" s="160"/>
      <c r="J244" s="161"/>
    </row>
    <row r="245" spans="1:10" s="154" customFormat="1" ht="79.5" customHeight="1">
      <c r="A245" s="276">
        <v>28</v>
      </c>
      <c r="B245" s="153" t="s">
        <v>279</v>
      </c>
      <c r="C245" s="149"/>
      <c r="D245" s="149"/>
      <c r="E245" s="149"/>
      <c r="F245" s="150"/>
      <c r="G245" s="150"/>
      <c r="H245" s="150"/>
      <c r="I245" s="151"/>
      <c r="J245" s="164"/>
    </row>
    <row r="246" spans="1:10" s="181" customFormat="1">
      <c r="A246" s="221"/>
      <c r="B246" s="148" t="s">
        <v>280</v>
      </c>
      <c r="C246" s="149">
        <v>1</v>
      </c>
      <c r="D246" s="149" t="s">
        <v>73</v>
      </c>
      <c r="E246" s="149">
        <v>10</v>
      </c>
      <c r="F246" s="150">
        <v>0.6</v>
      </c>
      <c r="G246" s="150">
        <v>0.6</v>
      </c>
      <c r="H246" s="150"/>
      <c r="I246" s="151">
        <f>ROUND(PRODUCT(C246:H246),2)</f>
        <v>3.6</v>
      </c>
      <c r="J246" s="180"/>
    </row>
    <row r="247" spans="1:10" s="181" customFormat="1">
      <c r="A247" s="276"/>
      <c r="B247" s="148" t="s">
        <v>1408</v>
      </c>
      <c r="C247" s="149">
        <v>1</v>
      </c>
      <c r="D247" s="149" t="s">
        <v>73</v>
      </c>
      <c r="E247" s="149">
        <v>2</v>
      </c>
      <c r="F247" s="150">
        <v>0.6</v>
      </c>
      <c r="G247" s="150">
        <v>0.6</v>
      </c>
      <c r="H247" s="150"/>
      <c r="I247" s="151">
        <f>ROUND(PRODUCT(C247:H247),2)</f>
        <v>0.72</v>
      </c>
      <c r="J247" s="180"/>
    </row>
    <row r="248" spans="1:10" s="181" customFormat="1">
      <c r="A248" s="276"/>
      <c r="B248" s="148"/>
      <c r="C248" s="149"/>
      <c r="D248" s="149"/>
      <c r="E248" s="149"/>
      <c r="F248" s="150"/>
      <c r="G248" s="150"/>
      <c r="H248" s="158" t="s">
        <v>245</v>
      </c>
      <c r="I248" s="159">
        <f>SUM(I246:I247)</f>
        <v>4.32</v>
      </c>
      <c r="J248" s="180" t="s">
        <v>75</v>
      </c>
    </row>
    <row r="249" spans="1:10" s="181" customFormat="1">
      <c r="A249" s="276"/>
      <c r="B249" s="148"/>
      <c r="C249" s="149"/>
      <c r="D249" s="149"/>
      <c r="E249" s="149"/>
      <c r="F249" s="150"/>
      <c r="G249" s="150"/>
      <c r="H249" s="150"/>
      <c r="I249" s="160"/>
      <c r="J249" s="180"/>
    </row>
    <row r="250" spans="1:10" s="181" customFormat="1" ht="100.5" customHeight="1">
      <c r="A250" s="276">
        <v>30</v>
      </c>
      <c r="B250" s="178" t="s">
        <v>281</v>
      </c>
      <c r="C250" s="149"/>
      <c r="D250" s="149"/>
      <c r="E250" s="149"/>
      <c r="F250" s="150"/>
      <c r="G250" s="158"/>
      <c r="H250" s="150"/>
      <c r="I250" s="159"/>
      <c r="J250" s="180"/>
    </row>
    <row r="251" spans="1:10" s="181" customFormat="1">
      <c r="A251" s="276"/>
      <c r="B251" s="178" t="s">
        <v>282</v>
      </c>
      <c r="C251" s="149">
        <v>1</v>
      </c>
      <c r="D251" s="149" t="s">
        <v>73</v>
      </c>
      <c r="E251" s="149">
        <v>1</v>
      </c>
      <c r="F251" s="150">
        <v>2.5299999999999998</v>
      </c>
      <c r="G251" s="150">
        <v>1.68</v>
      </c>
      <c r="H251" s="150"/>
      <c r="I251" s="151">
        <f t="shared" ref="I251:I256" si="38">ROUND(PRODUCT(C251:H251),2)</f>
        <v>4.25</v>
      </c>
      <c r="J251" s="221"/>
    </row>
    <row r="252" spans="1:10" s="181" customFormat="1" ht="18.75" customHeight="1">
      <c r="A252" s="221"/>
      <c r="B252" s="178" t="s">
        <v>1203</v>
      </c>
      <c r="C252" s="149">
        <v>1</v>
      </c>
      <c r="D252" s="149" t="s">
        <v>73</v>
      </c>
      <c r="E252" s="149">
        <v>1</v>
      </c>
      <c r="F252" s="150">
        <v>1</v>
      </c>
      <c r="G252" s="150">
        <v>0.23</v>
      </c>
      <c r="H252" s="150"/>
      <c r="I252" s="151">
        <f t="shared" si="38"/>
        <v>0.23</v>
      </c>
      <c r="J252" s="180"/>
    </row>
    <row r="253" spans="1:10" s="181" customFormat="1">
      <c r="A253" s="276"/>
      <c r="B253" s="182" t="s">
        <v>283</v>
      </c>
      <c r="C253" s="149">
        <v>1</v>
      </c>
      <c r="D253" s="149" t="s">
        <v>73</v>
      </c>
      <c r="E253" s="149">
        <v>2</v>
      </c>
      <c r="F253" s="150">
        <v>2.66</v>
      </c>
      <c r="G253" s="150">
        <v>3.33</v>
      </c>
      <c r="H253" s="150"/>
      <c r="I253" s="151">
        <f t="shared" si="38"/>
        <v>17.72</v>
      </c>
      <c r="J253" s="180"/>
    </row>
    <row r="254" spans="1:10" s="181" customFormat="1">
      <c r="A254" s="276"/>
      <c r="B254" s="182" t="s">
        <v>1204</v>
      </c>
      <c r="C254" s="149">
        <v>1</v>
      </c>
      <c r="D254" s="149" t="s">
        <v>73</v>
      </c>
      <c r="E254" s="149">
        <v>2</v>
      </c>
      <c r="F254" s="150">
        <v>1</v>
      </c>
      <c r="G254" s="150">
        <v>0.23</v>
      </c>
      <c r="H254" s="150"/>
      <c r="I254" s="151">
        <f t="shared" si="38"/>
        <v>0.46</v>
      </c>
      <c r="J254" s="180"/>
    </row>
    <row r="255" spans="1:10" s="181" customFormat="1">
      <c r="A255" s="276"/>
      <c r="B255" s="148" t="s">
        <v>284</v>
      </c>
      <c r="C255" s="149">
        <v>-1</v>
      </c>
      <c r="D255" s="149" t="s">
        <v>73</v>
      </c>
      <c r="E255" s="149">
        <v>2</v>
      </c>
      <c r="F255" s="150">
        <v>0.57999999999999996</v>
      </c>
      <c r="G255" s="150">
        <v>0.44</v>
      </c>
      <c r="H255" s="150"/>
      <c r="I255" s="151">
        <f t="shared" si="38"/>
        <v>-0.51</v>
      </c>
      <c r="J255" s="180"/>
    </row>
    <row r="256" spans="1:10" s="181" customFormat="1">
      <c r="A256" s="276"/>
      <c r="B256" s="182" t="s">
        <v>1281</v>
      </c>
      <c r="C256" s="149">
        <v>1</v>
      </c>
      <c r="D256" s="149" t="s">
        <v>73</v>
      </c>
      <c r="E256" s="149">
        <v>1</v>
      </c>
      <c r="F256" s="150">
        <v>2.56</v>
      </c>
      <c r="G256" s="150">
        <v>1.66</v>
      </c>
      <c r="H256" s="150"/>
      <c r="I256" s="151">
        <f t="shared" si="38"/>
        <v>4.25</v>
      </c>
      <c r="J256" s="180"/>
    </row>
    <row r="257" spans="1:10" s="181" customFormat="1" ht="18" customHeight="1">
      <c r="A257" s="221"/>
      <c r="B257" s="148"/>
      <c r="C257" s="149"/>
      <c r="D257" s="149"/>
      <c r="E257" s="149"/>
      <c r="F257" s="150"/>
      <c r="G257" s="158" t="s">
        <v>11</v>
      </c>
      <c r="H257" s="150"/>
      <c r="I257" s="159">
        <f>SUM(I251:I256)</f>
        <v>26.4</v>
      </c>
      <c r="J257" s="180" t="s">
        <v>75</v>
      </c>
    </row>
    <row r="258" spans="1:10" s="181" customFormat="1" ht="23.25" customHeight="1">
      <c r="A258" s="276"/>
      <c r="B258" s="148"/>
      <c r="C258" s="149"/>
      <c r="D258" s="149"/>
      <c r="E258" s="149"/>
      <c r="F258" s="150"/>
      <c r="G258" s="158"/>
      <c r="H258" s="158"/>
      <c r="I258" s="160"/>
      <c r="J258" s="180"/>
    </row>
    <row r="259" spans="1:10" s="181" customFormat="1" ht="100.5" customHeight="1">
      <c r="A259" s="276">
        <v>31</v>
      </c>
      <c r="B259" s="153" t="s">
        <v>285</v>
      </c>
      <c r="C259" s="149"/>
      <c r="D259" s="149"/>
      <c r="E259" s="149"/>
      <c r="F259" s="150"/>
      <c r="G259" s="150"/>
      <c r="H259" s="150"/>
      <c r="I259" s="151"/>
      <c r="J259" s="180"/>
    </row>
    <row r="260" spans="1:10" s="181" customFormat="1">
      <c r="A260" s="276"/>
      <c r="B260" s="148" t="s">
        <v>1205</v>
      </c>
      <c r="C260" s="149">
        <v>1</v>
      </c>
      <c r="D260" s="156" t="s">
        <v>73</v>
      </c>
      <c r="E260" s="149">
        <v>2</v>
      </c>
      <c r="F260" s="150">
        <v>2.0750000000000002</v>
      </c>
      <c r="G260" s="150">
        <v>1.32</v>
      </c>
      <c r="H260" s="165">
        <v>0.32500000000000001</v>
      </c>
      <c r="I260" s="151">
        <f>ROUND(PRODUCT(C260:H260),2)</f>
        <v>1.78</v>
      </c>
      <c r="J260" s="180"/>
    </row>
    <row r="261" spans="1:10" s="181" customFormat="1">
      <c r="A261" s="276"/>
      <c r="B261" s="148" t="s">
        <v>1206</v>
      </c>
      <c r="C261" s="149">
        <v>1</v>
      </c>
      <c r="D261" s="156" t="s">
        <v>73</v>
      </c>
      <c r="E261" s="149">
        <v>2</v>
      </c>
      <c r="F261" s="150">
        <v>1.85</v>
      </c>
      <c r="G261" s="150">
        <v>1.1000000000000001</v>
      </c>
      <c r="H261" s="165">
        <v>0.32500000000000001</v>
      </c>
      <c r="I261" s="151">
        <f>ROUND(PRODUCT(C261:H261),2)</f>
        <v>1.32</v>
      </c>
      <c r="J261" s="180"/>
    </row>
    <row r="262" spans="1:10" s="181" customFormat="1">
      <c r="A262" s="276"/>
      <c r="B262" s="148" t="s">
        <v>1207</v>
      </c>
      <c r="C262" s="149">
        <v>1</v>
      </c>
      <c r="D262" s="156" t="s">
        <v>73</v>
      </c>
      <c r="E262" s="149">
        <v>2</v>
      </c>
      <c r="F262" s="150">
        <v>1.32</v>
      </c>
      <c r="G262" s="165">
        <v>1.4850000000000001</v>
      </c>
      <c r="H262" s="165">
        <v>0.48499999999999999</v>
      </c>
      <c r="I262" s="151">
        <f>ROUND(PRODUCT(C262:H262),2)</f>
        <v>1.9</v>
      </c>
      <c r="J262" s="180"/>
    </row>
    <row r="263" spans="1:10" s="181" customFormat="1">
      <c r="A263" s="276"/>
      <c r="B263" s="148" t="s">
        <v>1207</v>
      </c>
      <c r="C263" s="149">
        <v>1</v>
      </c>
      <c r="D263" s="156" t="s">
        <v>73</v>
      </c>
      <c r="E263" s="149">
        <v>2</v>
      </c>
      <c r="F263" s="150">
        <v>1.21</v>
      </c>
      <c r="G263" s="165">
        <v>1.4850000000000001</v>
      </c>
      <c r="H263" s="165">
        <v>0.32500000000000001</v>
      </c>
      <c r="I263" s="151">
        <f>ROUND(PRODUCT(C263:H263),2)</f>
        <v>1.17</v>
      </c>
      <c r="J263" s="180"/>
    </row>
    <row r="264" spans="1:10" s="181" customFormat="1">
      <c r="A264" s="276"/>
      <c r="B264" s="148" t="s">
        <v>1207</v>
      </c>
      <c r="C264" s="149">
        <v>1</v>
      </c>
      <c r="D264" s="156" t="s">
        <v>73</v>
      </c>
      <c r="E264" s="149">
        <v>2</v>
      </c>
      <c r="F264" s="150">
        <v>1.85</v>
      </c>
      <c r="G264" s="165">
        <v>1.4850000000000001</v>
      </c>
      <c r="H264" s="165">
        <v>0.32500000000000001</v>
      </c>
      <c r="I264" s="151">
        <f>ROUND(PRODUCT(C264:H264),2)</f>
        <v>1.79</v>
      </c>
      <c r="J264" s="180"/>
    </row>
    <row r="265" spans="1:10" s="181" customFormat="1">
      <c r="A265" s="276"/>
      <c r="B265" s="148"/>
      <c r="C265" s="149"/>
      <c r="D265" s="149"/>
      <c r="E265" s="149"/>
      <c r="F265" s="150"/>
      <c r="G265" s="158" t="s">
        <v>11</v>
      </c>
      <c r="H265" s="150"/>
      <c r="I265" s="159">
        <f>SUM(I260:I264)</f>
        <v>7.96</v>
      </c>
      <c r="J265" s="180" t="s">
        <v>12</v>
      </c>
    </row>
    <row r="266" spans="1:10" s="181" customFormat="1" ht="18.75" customHeight="1">
      <c r="A266" s="221"/>
      <c r="B266" s="148"/>
      <c r="C266" s="149"/>
      <c r="D266" s="149"/>
      <c r="E266" s="149"/>
      <c r="F266" s="150"/>
      <c r="G266" s="150"/>
      <c r="H266" s="158"/>
      <c r="I266" s="160"/>
      <c r="J266" s="180"/>
    </row>
    <row r="267" spans="1:10" s="181" customFormat="1" ht="100.5" customHeight="1">
      <c r="A267" s="276">
        <v>33</v>
      </c>
      <c r="B267" s="153" t="s">
        <v>286</v>
      </c>
      <c r="C267" s="149"/>
      <c r="D267" s="149"/>
      <c r="E267" s="149"/>
      <c r="F267" s="150"/>
      <c r="G267" s="150"/>
      <c r="H267" s="150"/>
      <c r="I267" s="151"/>
      <c r="J267" s="180"/>
    </row>
    <row r="268" spans="1:10" s="181" customFormat="1">
      <c r="A268" s="276"/>
      <c r="B268" s="155" t="s">
        <v>287</v>
      </c>
      <c r="C268" s="149"/>
      <c r="D268" s="149"/>
      <c r="E268" s="149"/>
      <c r="F268" s="150"/>
      <c r="G268" s="150"/>
      <c r="H268" s="150"/>
      <c r="I268" s="151"/>
      <c r="J268" s="180"/>
    </row>
    <row r="269" spans="1:10" s="181" customFormat="1">
      <c r="A269" s="276"/>
      <c r="B269" s="148" t="s">
        <v>288</v>
      </c>
      <c r="C269" s="149">
        <v>1</v>
      </c>
      <c r="D269" s="149" t="s">
        <v>73</v>
      </c>
      <c r="E269" s="149">
        <v>2</v>
      </c>
      <c r="F269" s="150">
        <f>2*(1.5+2.7)</f>
        <v>8.4</v>
      </c>
      <c r="G269" s="150"/>
      <c r="H269" s="165">
        <v>3.1749999999999998</v>
      </c>
      <c r="I269" s="151">
        <f t="shared" ref="I269:I349" si="39">ROUND(PRODUCT(C269:H269),2)</f>
        <v>53.34</v>
      </c>
      <c r="J269" s="180"/>
    </row>
    <row r="270" spans="1:10" s="181" customFormat="1">
      <c r="A270" s="276"/>
      <c r="B270" s="148" t="s">
        <v>289</v>
      </c>
      <c r="C270" s="149">
        <v>1</v>
      </c>
      <c r="D270" s="149" t="s">
        <v>73</v>
      </c>
      <c r="E270" s="149">
        <v>1</v>
      </c>
      <c r="F270" s="150">
        <f>(0.785+3.46+2.93)</f>
        <v>7.1750000000000007</v>
      </c>
      <c r="G270" s="150"/>
      <c r="H270" s="165">
        <v>3.1749999999999998</v>
      </c>
      <c r="I270" s="151">
        <f t="shared" si="39"/>
        <v>22.78</v>
      </c>
      <c r="J270" s="180"/>
    </row>
    <row r="271" spans="1:10" s="181" customFormat="1">
      <c r="A271" s="276"/>
      <c r="B271" s="148" t="s">
        <v>1208</v>
      </c>
      <c r="C271" s="149">
        <v>1</v>
      </c>
      <c r="D271" s="149" t="s">
        <v>73</v>
      </c>
      <c r="E271" s="149">
        <v>1</v>
      </c>
      <c r="F271" s="150">
        <v>0.23</v>
      </c>
      <c r="G271" s="150"/>
      <c r="H271" s="165">
        <v>3.1749999999999998</v>
      </c>
      <c r="I271" s="151">
        <f t="shared" si="39"/>
        <v>0.73</v>
      </c>
      <c r="J271" s="180"/>
    </row>
    <row r="272" spans="1:10" s="181" customFormat="1">
      <c r="A272" s="276"/>
      <c r="B272" s="148" t="s">
        <v>1209</v>
      </c>
      <c r="C272" s="149">
        <v>1</v>
      </c>
      <c r="D272" s="149" t="s">
        <v>73</v>
      </c>
      <c r="E272" s="149">
        <v>1</v>
      </c>
      <c r="F272" s="150">
        <v>0.23</v>
      </c>
      <c r="G272" s="150"/>
      <c r="H272" s="165">
        <v>2.92</v>
      </c>
      <c r="I272" s="151">
        <f t="shared" si="39"/>
        <v>0.67</v>
      </c>
      <c r="J272" s="180"/>
    </row>
    <row r="273" spans="1:10" s="181" customFormat="1">
      <c r="A273" s="276"/>
      <c r="B273" s="148" t="s">
        <v>290</v>
      </c>
      <c r="C273" s="149">
        <v>1</v>
      </c>
      <c r="D273" s="149" t="s">
        <v>73</v>
      </c>
      <c r="E273" s="149">
        <v>1</v>
      </c>
      <c r="F273" s="150">
        <f>(2*(4.61+3.07))</f>
        <v>15.36</v>
      </c>
      <c r="G273" s="150"/>
      <c r="H273" s="165">
        <v>3.1749999999999998</v>
      </c>
      <c r="I273" s="151">
        <f t="shared" si="39"/>
        <v>48.77</v>
      </c>
      <c r="J273" s="180"/>
    </row>
    <row r="274" spans="1:10" s="181" customFormat="1" ht="22.5" customHeight="1">
      <c r="A274" s="221"/>
      <c r="B274" s="148" t="s">
        <v>291</v>
      </c>
      <c r="C274" s="149">
        <v>1</v>
      </c>
      <c r="D274" s="149" t="s">
        <v>73</v>
      </c>
      <c r="E274" s="149">
        <v>1</v>
      </c>
      <c r="F274" s="150">
        <f>(4.61+0.38)</f>
        <v>4.99</v>
      </c>
      <c r="G274" s="150"/>
      <c r="H274" s="165">
        <v>3.1749999999999998</v>
      </c>
      <c r="I274" s="151">
        <f t="shared" si="39"/>
        <v>15.84</v>
      </c>
      <c r="J274" s="180"/>
    </row>
    <row r="275" spans="1:10" s="181" customFormat="1">
      <c r="A275" s="276"/>
      <c r="B275" s="148" t="s">
        <v>1208</v>
      </c>
      <c r="C275" s="149">
        <v>1</v>
      </c>
      <c r="D275" s="149" t="s">
        <v>73</v>
      </c>
      <c r="E275" s="149">
        <v>1</v>
      </c>
      <c r="F275" s="150">
        <v>0.23</v>
      </c>
      <c r="G275" s="150"/>
      <c r="H275" s="165">
        <v>3.1749999999999998</v>
      </c>
      <c r="I275" s="151">
        <f t="shared" si="39"/>
        <v>0.73</v>
      </c>
      <c r="J275" s="180"/>
    </row>
    <row r="276" spans="1:10" s="181" customFormat="1">
      <c r="A276" s="276"/>
      <c r="B276" s="148" t="s">
        <v>1209</v>
      </c>
      <c r="C276" s="149">
        <v>1</v>
      </c>
      <c r="D276" s="149" t="s">
        <v>73</v>
      </c>
      <c r="E276" s="149">
        <v>1</v>
      </c>
      <c r="F276" s="150">
        <v>0.23</v>
      </c>
      <c r="G276" s="150"/>
      <c r="H276" s="165">
        <v>2.92</v>
      </c>
      <c r="I276" s="151">
        <f t="shared" si="39"/>
        <v>0.67</v>
      </c>
      <c r="J276" s="180"/>
    </row>
    <row r="277" spans="1:10" s="181" customFormat="1">
      <c r="A277" s="276"/>
      <c r="B277" s="148" t="s">
        <v>1210</v>
      </c>
      <c r="C277" s="149">
        <v>1</v>
      </c>
      <c r="D277" s="149" t="s">
        <v>73</v>
      </c>
      <c r="E277" s="149">
        <v>1</v>
      </c>
      <c r="F277" s="150">
        <f>0.23+1.7+0.23</f>
        <v>2.16</v>
      </c>
      <c r="G277" s="150"/>
      <c r="H277" s="165">
        <v>3.1749999999999998</v>
      </c>
      <c r="I277" s="151">
        <f t="shared" si="39"/>
        <v>6.86</v>
      </c>
      <c r="J277" s="180"/>
    </row>
    <row r="278" spans="1:10" s="181" customFormat="1">
      <c r="A278" s="276"/>
      <c r="B278" s="155" t="s">
        <v>254</v>
      </c>
      <c r="C278" s="149"/>
      <c r="D278" s="149"/>
      <c r="E278" s="149"/>
      <c r="F278" s="150"/>
      <c r="G278" s="150"/>
      <c r="H278" s="150"/>
      <c r="I278" s="151">
        <f t="shared" si="39"/>
        <v>0</v>
      </c>
      <c r="J278" s="180"/>
    </row>
    <row r="279" spans="1:10" s="181" customFormat="1">
      <c r="A279" s="276"/>
      <c r="B279" s="148" t="s">
        <v>1211</v>
      </c>
      <c r="C279" s="149">
        <v>-2</v>
      </c>
      <c r="D279" s="156" t="s">
        <v>73</v>
      </c>
      <c r="E279" s="149">
        <v>2</v>
      </c>
      <c r="F279" s="150">
        <v>1</v>
      </c>
      <c r="G279" s="150"/>
      <c r="H279" s="150">
        <v>2.1</v>
      </c>
      <c r="I279" s="151">
        <f t="shared" si="39"/>
        <v>-8.4</v>
      </c>
      <c r="J279" s="180"/>
    </row>
    <row r="280" spans="1:10" s="181" customFormat="1">
      <c r="A280" s="276"/>
      <c r="B280" s="148" t="s">
        <v>292</v>
      </c>
      <c r="C280" s="149">
        <v>1</v>
      </c>
      <c r="D280" s="156" t="s">
        <v>73</v>
      </c>
      <c r="E280" s="149">
        <v>1</v>
      </c>
      <c r="F280" s="150">
        <f>1+2.1+2.1</f>
        <v>5.2</v>
      </c>
      <c r="G280" s="150">
        <v>0.13</v>
      </c>
      <c r="H280" s="150"/>
      <c r="I280" s="151">
        <f t="shared" si="39"/>
        <v>0.68</v>
      </c>
      <c r="J280" s="180"/>
    </row>
    <row r="281" spans="1:10" s="181" customFormat="1">
      <c r="A281" s="276"/>
      <c r="B281" s="148" t="s">
        <v>1212</v>
      </c>
      <c r="C281" s="149">
        <v>1</v>
      </c>
      <c r="D281" s="156" t="s">
        <v>73</v>
      </c>
      <c r="E281" s="149">
        <v>1</v>
      </c>
      <c r="F281" s="150">
        <f>1+2.1+2.1</f>
        <v>5.2</v>
      </c>
      <c r="G281" s="150">
        <v>0.23</v>
      </c>
      <c r="H281" s="150"/>
      <c r="I281" s="151">
        <f t="shared" si="39"/>
        <v>1.2</v>
      </c>
      <c r="J281" s="180"/>
    </row>
    <row r="282" spans="1:10" s="181" customFormat="1">
      <c r="A282" s="276"/>
      <c r="B282" s="148" t="s">
        <v>266</v>
      </c>
      <c r="C282" s="149">
        <v>-1</v>
      </c>
      <c r="D282" s="156" t="s">
        <v>73</v>
      </c>
      <c r="E282" s="149">
        <v>2</v>
      </c>
      <c r="F282" s="150">
        <v>0.75</v>
      </c>
      <c r="G282" s="150"/>
      <c r="H282" s="150">
        <v>2.1</v>
      </c>
      <c r="I282" s="151">
        <f t="shared" si="39"/>
        <v>-3.15</v>
      </c>
      <c r="J282" s="180"/>
    </row>
    <row r="283" spans="1:10" s="181" customFormat="1">
      <c r="A283" s="276"/>
      <c r="B283" s="148" t="s">
        <v>293</v>
      </c>
      <c r="C283" s="149">
        <v>1</v>
      </c>
      <c r="D283" s="156" t="s">
        <v>73</v>
      </c>
      <c r="E283" s="149">
        <v>1</v>
      </c>
      <c r="F283" s="150">
        <f>0.75+2.1+2.1</f>
        <v>4.95</v>
      </c>
      <c r="G283" s="150">
        <v>0.23</v>
      </c>
      <c r="H283" s="150"/>
      <c r="I283" s="151">
        <f t="shared" si="39"/>
        <v>1.1399999999999999</v>
      </c>
      <c r="J283" s="180"/>
    </row>
    <row r="284" spans="1:10" s="181" customFormat="1">
      <c r="A284" s="276"/>
      <c r="B284" s="148" t="s">
        <v>294</v>
      </c>
      <c r="C284" s="149">
        <v>-1</v>
      </c>
      <c r="D284" s="156" t="s">
        <v>73</v>
      </c>
      <c r="E284" s="149">
        <v>2</v>
      </c>
      <c r="F284" s="150">
        <v>1.35</v>
      </c>
      <c r="G284" s="150"/>
      <c r="H284" s="150">
        <v>1.35</v>
      </c>
      <c r="I284" s="151">
        <f t="shared" si="39"/>
        <v>-3.65</v>
      </c>
      <c r="J284" s="180"/>
    </row>
    <row r="285" spans="1:10" s="181" customFormat="1">
      <c r="A285" s="276"/>
      <c r="B285" s="148" t="s">
        <v>295</v>
      </c>
      <c r="C285" s="149">
        <v>1</v>
      </c>
      <c r="D285" s="156" t="s">
        <v>73</v>
      </c>
      <c r="E285" s="149">
        <v>2</v>
      </c>
      <c r="F285" s="150">
        <f>1.35*4</f>
        <v>5.4</v>
      </c>
      <c r="G285" s="150">
        <v>0.23</v>
      </c>
      <c r="H285" s="150"/>
      <c r="I285" s="151">
        <f t="shared" si="39"/>
        <v>2.48</v>
      </c>
      <c r="J285" s="180"/>
    </row>
    <row r="286" spans="1:10" s="181" customFormat="1">
      <c r="A286" s="276"/>
      <c r="B286" s="148" t="s">
        <v>256</v>
      </c>
      <c r="C286" s="149">
        <v>-1</v>
      </c>
      <c r="D286" s="156" t="s">
        <v>73</v>
      </c>
      <c r="E286" s="149">
        <v>2</v>
      </c>
      <c r="F286" s="150">
        <v>0.75</v>
      </c>
      <c r="G286" s="150"/>
      <c r="H286" s="150">
        <v>0.6</v>
      </c>
      <c r="I286" s="151">
        <f t="shared" si="39"/>
        <v>-0.9</v>
      </c>
      <c r="J286" s="180"/>
    </row>
    <row r="287" spans="1:10" s="181" customFormat="1">
      <c r="A287" s="276"/>
      <c r="B287" s="148" t="s">
        <v>297</v>
      </c>
      <c r="C287" s="149">
        <v>1</v>
      </c>
      <c r="D287" s="156" t="s">
        <v>73</v>
      </c>
      <c r="E287" s="149">
        <v>2</v>
      </c>
      <c r="F287" s="150">
        <v>2.7</v>
      </c>
      <c r="G287" s="150">
        <v>0.23</v>
      </c>
      <c r="H287" s="150"/>
      <c r="I287" s="151">
        <f t="shared" si="39"/>
        <v>1.24</v>
      </c>
      <c r="J287" s="180"/>
    </row>
    <row r="288" spans="1:10" s="181" customFormat="1">
      <c r="A288" s="276"/>
      <c r="B288" s="148" t="s">
        <v>1213</v>
      </c>
      <c r="C288" s="149">
        <v>1</v>
      </c>
      <c r="D288" s="149" t="s">
        <v>73</v>
      </c>
      <c r="E288" s="149">
        <v>1</v>
      </c>
      <c r="F288" s="150">
        <f>(2*(2.075+3.45))</f>
        <v>11.05</v>
      </c>
      <c r="G288" s="150"/>
      <c r="H288" s="165">
        <v>3.1749999999999998</v>
      </c>
      <c r="I288" s="151">
        <f t="shared" si="39"/>
        <v>35.08</v>
      </c>
      <c r="J288" s="180"/>
    </row>
    <row r="289" spans="1:11" s="181" customFormat="1">
      <c r="A289" s="276"/>
      <c r="B289" s="148" t="s">
        <v>1214</v>
      </c>
      <c r="C289" s="149">
        <v>1</v>
      </c>
      <c r="D289" s="149" t="s">
        <v>73</v>
      </c>
      <c r="E289" s="149">
        <v>1</v>
      </c>
      <c r="F289" s="150">
        <f>3.45+0.38+2.075+0.67</f>
        <v>6.5750000000000002</v>
      </c>
      <c r="G289" s="150"/>
      <c r="H289" s="165">
        <v>3.1749999999999998</v>
      </c>
      <c r="I289" s="151">
        <f t="shared" si="39"/>
        <v>20.88</v>
      </c>
      <c r="J289" s="180"/>
    </row>
    <row r="290" spans="1:11" s="181" customFormat="1">
      <c r="A290" s="276"/>
      <c r="B290" s="148" t="s">
        <v>1217</v>
      </c>
      <c r="C290" s="149">
        <v>-1</v>
      </c>
      <c r="D290" s="156" t="s">
        <v>73</v>
      </c>
      <c r="E290" s="149">
        <v>3</v>
      </c>
      <c r="F290" s="150">
        <v>1.35</v>
      </c>
      <c r="G290" s="150"/>
      <c r="H290" s="150">
        <v>1.35</v>
      </c>
      <c r="I290" s="151">
        <f t="shared" si="39"/>
        <v>-5.47</v>
      </c>
      <c r="J290" s="180"/>
    </row>
    <row r="291" spans="1:11" s="181" customFormat="1">
      <c r="A291" s="276"/>
      <c r="B291" s="148" t="s">
        <v>1218</v>
      </c>
      <c r="C291" s="149">
        <v>1</v>
      </c>
      <c r="D291" s="156" t="s">
        <v>73</v>
      </c>
      <c r="E291" s="149">
        <v>2</v>
      </c>
      <c r="F291" s="150">
        <v>5.4</v>
      </c>
      <c r="G291" s="150">
        <v>0.23</v>
      </c>
      <c r="H291" s="150"/>
      <c r="I291" s="151">
        <f t="shared" si="39"/>
        <v>2.48</v>
      </c>
      <c r="J291" s="180"/>
    </row>
    <row r="292" spans="1:11" s="181" customFormat="1" ht="19.5" customHeight="1">
      <c r="A292" s="276"/>
      <c r="B292" s="148" t="s">
        <v>1215</v>
      </c>
      <c r="C292" s="149">
        <v>-1</v>
      </c>
      <c r="D292" s="156" t="s">
        <v>73</v>
      </c>
      <c r="E292" s="149">
        <v>2</v>
      </c>
      <c r="F292" s="150">
        <v>1</v>
      </c>
      <c r="G292" s="150"/>
      <c r="H292" s="150">
        <v>2.1</v>
      </c>
      <c r="I292" s="151">
        <f t="shared" si="39"/>
        <v>-4.2</v>
      </c>
      <c r="J292" s="180"/>
    </row>
    <row r="293" spans="1:11" s="181" customFormat="1">
      <c r="A293" s="276"/>
      <c r="B293" s="148" t="s">
        <v>1216</v>
      </c>
      <c r="C293" s="149">
        <v>1</v>
      </c>
      <c r="D293" s="156" t="s">
        <v>73</v>
      </c>
      <c r="E293" s="149">
        <v>1</v>
      </c>
      <c r="F293" s="150">
        <f>1+2.1+2.1</f>
        <v>5.2</v>
      </c>
      <c r="G293" s="150">
        <v>0.23</v>
      </c>
      <c r="H293" s="150"/>
      <c r="I293" s="151">
        <f t="shared" si="39"/>
        <v>1.2</v>
      </c>
      <c r="J293" s="180"/>
    </row>
    <row r="294" spans="1:11" s="181" customFormat="1">
      <c r="A294" s="276"/>
      <c r="B294" s="148" t="s">
        <v>1219</v>
      </c>
      <c r="C294" s="149">
        <v>-1</v>
      </c>
      <c r="D294" s="156" t="s">
        <v>73</v>
      </c>
      <c r="E294" s="149">
        <v>2</v>
      </c>
      <c r="F294" s="150">
        <v>1.35</v>
      </c>
      <c r="G294" s="150"/>
      <c r="H294" s="150">
        <v>1.35</v>
      </c>
      <c r="I294" s="151">
        <f t="shared" si="39"/>
        <v>-3.65</v>
      </c>
      <c r="J294" s="180"/>
    </row>
    <row r="295" spans="1:11" s="181" customFormat="1">
      <c r="A295" s="276"/>
      <c r="B295" s="148" t="s">
        <v>1218</v>
      </c>
      <c r="C295" s="149">
        <v>1</v>
      </c>
      <c r="D295" s="156" t="s">
        <v>73</v>
      </c>
      <c r="E295" s="149">
        <v>2</v>
      </c>
      <c r="F295" s="150">
        <v>5.4</v>
      </c>
      <c r="G295" s="150">
        <v>0.23</v>
      </c>
      <c r="H295" s="150"/>
      <c r="I295" s="151">
        <f t="shared" si="39"/>
        <v>2.48</v>
      </c>
      <c r="J295" s="180"/>
    </row>
    <row r="296" spans="1:11" s="181" customFormat="1">
      <c r="A296" s="276"/>
      <c r="B296" s="148" t="s">
        <v>1208</v>
      </c>
      <c r="C296" s="149">
        <v>1</v>
      </c>
      <c r="D296" s="149" t="s">
        <v>73</v>
      </c>
      <c r="E296" s="149">
        <v>2</v>
      </c>
      <c r="F296" s="150">
        <v>0.23</v>
      </c>
      <c r="G296" s="150"/>
      <c r="H296" s="165">
        <v>2.92</v>
      </c>
      <c r="I296" s="151">
        <f t="shared" si="39"/>
        <v>1.34</v>
      </c>
      <c r="J296" s="180"/>
    </row>
    <row r="297" spans="1:11" s="181" customFormat="1" ht="17.25" customHeight="1">
      <c r="A297" s="276"/>
      <c r="B297" s="148" t="s">
        <v>1209</v>
      </c>
      <c r="C297" s="149">
        <v>1</v>
      </c>
      <c r="D297" s="149" t="s">
        <v>73</v>
      </c>
      <c r="E297" s="149">
        <v>1</v>
      </c>
      <c r="F297" s="150">
        <v>0.3</v>
      </c>
      <c r="G297" s="150"/>
      <c r="H297" s="165">
        <v>2.92</v>
      </c>
      <c r="I297" s="151">
        <f t="shared" si="39"/>
        <v>0.88</v>
      </c>
      <c r="J297" s="180"/>
    </row>
    <row r="298" spans="1:11" s="181" customFormat="1">
      <c r="A298" s="276"/>
      <c r="B298" s="183" t="s">
        <v>190</v>
      </c>
      <c r="C298" s="149"/>
      <c r="D298" s="149"/>
      <c r="E298" s="149"/>
      <c r="F298" s="150"/>
      <c r="G298" s="150"/>
      <c r="H298" s="150"/>
      <c r="I298" s="151">
        <f t="shared" si="39"/>
        <v>0</v>
      </c>
      <c r="J298" s="180"/>
    </row>
    <row r="299" spans="1:11" s="181" customFormat="1">
      <c r="A299" s="276"/>
      <c r="B299" s="148" t="s">
        <v>298</v>
      </c>
      <c r="C299" s="149">
        <v>1</v>
      </c>
      <c r="D299" s="156" t="s">
        <v>73</v>
      </c>
      <c r="E299" s="149">
        <v>1</v>
      </c>
      <c r="F299" s="150">
        <f>2*(6.67+3.565)</f>
        <v>20.47</v>
      </c>
      <c r="G299" s="150"/>
      <c r="H299" s="150">
        <v>3.15</v>
      </c>
      <c r="I299" s="151">
        <f t="shared" si="39"/>
        <v>64.48</v>
      </c>
      <c r="J299" s="180"/>
    </row>
    <row r="300" spans="1:11" s="181" customFormat="1">
      <c r="A300" s="276"/>
      <c r="B300" s="148" t="s">
        <v>299</v>
      </c>
      <c r="C300" s="149">
        <v>1</v>
      </c>
      <c r="D300" s="156" t="s">
        <v>73</v>
      </c>
      <c r="E300" s="149">
        <v>1</v>
      </c>
      <c r="F300" s="150">
        <f>2*(5.15+4.12)</f>
        <v>18.54</v>
      </c>
      <c r="G300" s="150"/>
      <c r="H300" s="150">
        <v>3.15</v>
      </c>
      <c r="I300" s="151">
        <f t="shared" si="39"/>
        <v>58.4</v>
      </c>
      <c r="J300" s="180"/>
    </row>
    <row r="301" spans="1:11" s="181" customFormat="1" ht="17.25" customHeight="1">
      <c r="A301" s="276"/>
      <c r="B301" s="182" t="s">
        <v>300</v>
      </c>
      <c r="C301" s="149">
        <v>1</v>
      </c>
      <c r="D301" s="156" t="s">
        <v>73</v>
      </c>
      <c r="E301" s="149">
        <v>1</v>
      </c>
      <c r="F301" s="150">
        <f>2*(2.075+2.685)</f>
        <v>9.52</v>
      </c>
      <c r="G301" s="150"/>
      <c r="H301" s="165">
        <v>3.1749999999999998</v>
      </c>
      <c r="I301" s="151">
        <f t="shared" si="39"/>
        <v>30.23</v>
      </c>
      <c r="J301" s="180"/>
    </row>
    <row r="302" spans="1:11" s="181" customFormat="1">
      <c r="A302" s="276"/>
      <c r="B302" s="182" t="s">
        <v>160</v>
      </c>
      <c r="C302" s="149">
        <v>1</v>
      </c>
      <c r="D302" s="156" t="s">
        <v>73</v>
      </c>
      <c r="E302" s="149">
        <v>1</v>
      </c>
      <c r="F302" s="150">
        <f>2*(2.075+1.32)</f>
        <v>6.7900000000000009</v>
      </c>
      <c r="G302" s="150"/>
      <c r="H302" s="165">
        <v>3.1749999999999998</v>
      </c>
      <c r="I302" s="151">
        <f t="shared" si="39"/>
        <v>21.56</v>
      </c>
      <c r="J302" s="180"/>
    </row>
    <row r="303" spans="1:11" s="181" customFormat="1">
      <c r="A303" s="276"/>
      <c r="B303" s="182" t="s">
        <v>301</v>
      </c>
      <c r="C303" s="149">
        <v>1</v>
      </c>
      <c r="D303" s="156" t="s">
        <v>73</v>
      </c>
      <c r="E303" s="149">
        <v>1</v>
      </c>
      <c r="F303" s="150">
        <f>2*(4.86+9.56)</f>
        <v>28.840000000000003</v>
      </c>
      <c r="G303" s="150"/>
      <c r="H303" s="165">
        <v>3.1749999999999998</v>
      </c>
      <c r="I303" s="151">
        <f t="shared" si="39"/>
        <v>91.57</v>
      </c>
      <c r="J303" s="180"/>
    </row>
    <row r="304" spans="1:11" s="181" customFormat="1">
      <c r="A304" s="276"/>
      <c r="B304" s="148" t="s">
        <v>302</v>
      </c>
      <c r="C304" s="149">
        <v>1</v>
      </c>
      <c r="D304" s="156" t="s">
        <v>73</v>
      </c>
      <c r="E304" s="149">
        <v>1</v>
      </c>
      <c r="F304" s="150">
        <f>2*(2.53+1.68)</f>
        <v>8.42</v>
      </c>
      <c r="G304" s="150"/>
      <c r="H304" s="165">
        <v>3.1749999999999998</v>
      </c>
      <c r="I304" s="151">
        <f t="shared" si="39"/>
        <v>26.73</v>
      </c>
      <c r="J304" s="180"/>
      <c r="K304" s="184">
        <f>SUM(I269:I297)</f>
        <v>192.04999999999993</v>
      </c>
    </row>
    <row r="305" spans="1:10" s="181" customFormat="1">
      <c r="A305" s="276"/>
      <c r="B305" s="148" t="s">
        <v>184</v>
      </c>
      <c r="C305" s="149">
        <v>1</v>
      </c>
      <c r="D305" s="156" t="s">
        <v>73</v>
      </c>
      <c r="E305" s="149">
        <v>1</v>
      </c>
      <c r="F305" s="150">
        <f>2*(2.645+1.91)</f>
        <v>9.11</v>
      </c>
      <c r="G305" s="150"/>
      <c r="H305" s="165">
        <v>3.1749999999999998</v>
      </c>
      <c r="I305" s="151">
        <f t="shared" si="39"/>
        <v>28.92</v>
      </c>
      <c r="J305" s="180"/>
    </row>
    <row r="306" spans="1:10" s="181" customFormat="1">
      <c r="A306" s="276"/>
      <c r="B306" s="148" t="s">
        <v>191</v>
      </c>
      <c r="C306" s="149">
        <v>1</v>
      </c>
      <c r="D306" s="156" t="s">
        <v>73</v>
      </c>
      <c r="E306" s="149">
        <v>1</v>
      </c>
      <c r="F306" s="150">
        <f>2*(1.72+3.185)</f>
        <v>9.81</v>
      </c>
      <c r="G306" s="150"/>
      <c r="H306" s="165">
        <v>3.1749999999999998</v>
      </c>
      <c r="I306" s="151">
        <f t="shared" si="39"/>
        <v>31.15</v>
      </c>
      <c r="J306" s="180"/>
    </row>
    <row r="307" spans="1:10" s="181" customFormat="1">
      <c r="A307" s="276"/>
      <c r="B307" s="148" t="s">
        <v>1202</v>
      </c>
      <c r="C307" s="149">
        <v>1</v>
      </c>
      <c r="D307" s="156" t="s">
        <v>73</v>
      </c>
      <c r="E307" s="149">
        <v>1</v>
      </c>
      <c r="F307" s="150">
        <f>2*(2.66+2)</f>
        <v>9.32</v>
      </c>
      <c r="G307" s="150"/>
      <c r="H307" s="165">
        <v>3.1749999999999998</v>
      </c>
      <c r="I307" s="151">
        <f t="shared" si="39"/>
        <v>29.59</v>
      </c>
      <c r="J307" s="180"/>
    </row>
    <row r="308" spans="1:10" s="181" customFormat="1">
      <c r="A308" s="276"/>
      <c r="B308" s="148" t="s">
        <v>1221</v>
      </c>
      <c r="C308" s="149">
        <v>1</v>
      </c>
      <c r="D308" s="156" t="s">
        <v>73</v>
      </c>
      <c r="E308" s="149">
        <v>1</v>
      </c>
      <c r="F308" s="150">
        <f>2*(2.66+3.33)</f>
        <v>11.98</v>
      </c>
      <c r="G308" s="150"/>
      <c r="H308" s="165">
        <v>3.1749999999999998</v>
      </c>
      <c r="I308" s="151">
        <f t="shared" si="39"/>
        <v>38.04</v>
      </c>
      <c r="J308" s="180"/>
    </row>
    <row r="309" spans="1:10" s="181" customFormat="1">
      <c r="A309" s="276"/>
      <c r="B309" s="148" t="s">
        <v>538</v>
      </c>
      <c r="C309" s="149">
        <v>1</v>
      </c>
      <c r="D309" s="156" t="s">
        <v>73</v>
      </c>
      <c r="E309" s="149">
        <v>2</v>
      </c>
      <c r="F309" s="150">
        <v>2.2149999999999999</v>
      </c>
      <c r="G309" s="150"/>
      <c r="H309" s="165">
        <v>1.35</v>
      </c>
      <c r="I309" s="151">
        <f t="shared" si="39"/>
        <v>5.98</v>
      </c>
      <c r="J309" s="180"/>
    </row>
    <row r="310" spans="1:10" s="181" customFormat="1">
      <c r="A310" s="276"/>
      <c r="B310" s="148" t="s">
        <v>126</v>
      </c>
      <c r="C310" s="149">
        <v>1</v>
      </c>
      <c r="D310" s="156" t="s">
        <v>73</v>
      </c>
      <c r="E310" s="149">
        <v>1</v>
      </c>
      <c r="F310" s="150">
        <f>2*(1.85+1.255)</f>
        <v>6.21</v>
      </c>
      <c r="G310" s="150"/>
      <c r="H310" s="165">
        <v>3.1749999999999998</v>
      </c>
      <c r="I310" s="151">
        <f t="shared" si="39"/>
        <v>19.72</v>
      </c>
      <c r="J310" s="180"/>
    </row>
    <row r="311" spans="1:10" s="181" customFormat="1">
      <c r="A311" s="276"/>
      <c r="B311" s="148" t="s">
        <v>122</v>
      </c>
      <c r="C311" s="149">
        <v>1</v>
      </c>
      <c r="D311" s="156" t="s">
        <v>73</v>
      </c>
      <c r="E311" s="149">
        <v>1</v>
      </c>
      <c r="F311" s="150">
        <f>2*(2.645+2.18)</f>
        <v>9.65</v>
      </c>
      <c r="G311" s="150"/>
      <c r="H311" s="165">
        <v>3.1749999999999998</v>
      </c>
      <c r="I311" s="151">
        <f t="shared" si="39"/>
        <v>30.64</v>
      </c>
      <c r="J311" s="180"/>
    </row>
    <row r="312" spans="1:10" s="181" customFormat="1">
      <c r="A312" s="276"/>
      <c r="B312" s="155" t="s">
        <v>254</v>
      </c>
      <c r="C312" s="149"/>
      <c r="D312" s="156"/>
      <c r="E312" s="149"/>
      <c r="F312" s="150"/>
      <c r="G312" s="150"/>
      <c r="H312" s="150"/>
      <c r="I312" s="151">
        <f t="shared" si="39"/>
        <v>0</v>
      </c>
      <c r="J312" s="180"/>
    </row>
    <row r="313" spans="1:10" s="181" customFormat="1">
      <c r="A313" s="276"/>
      <c r="B313" s="148" t="s">
        <v>72</v>
      </c>
      <c r="C313" s="149">
        <v>-2</v>
      </c>
      <c r="D313" s="156" t="s">
        <v>73</v>
      </c>
      <c r="E313" s="149">
        <v>6</v>
      </c>
      <c r="F313" s="150">
        <v>1</v>
      </c>
      <c r="G313" s="150"/>
      <c r="H313" s="150">
        <v>2.1</v>
      </c>
      <c r="I313" s="151">
        <f t="shared" si="39"/>
        <v>-25.2</v>
      </c>
      <c r="J313" s="180"/>
    </row>
    <row r="314" spans="1:10" s="181" customFormat="1">
      <c r="A314" s="276"/>
      <c r="B314" s="148" t="s">
        <v>292</v>
      </c>
      <c r="C314" s="149">
        <v>1</v>
      </c>
      <c r="D314" s="156" t="s">
        <v>73</v>
      </c>
      <c r="E314" s="149">
        <v>3</v>
      </c>
      <c r="F314" s="150">
        <f>1+2.1+2.1</f>
        <v>5.2</v>
      </c>
      <c r="G314" s="150">
        <v>0.13</v>
      </c>
      <c r="H314" s="150"/>
      <c r="I314" s="151">
        <f t="shared" si="39"/>
        <v>2.0299999999999998</v>
      </c>
      <c r="J314" s="180"/>
    </row>
    <row r="315" spans="1:10" s="181" customFormat="1">
      <c r="A315" s="276"/>
      <c r="B315" s="148" t="s">
        <v>292</v>
      </c>
      <c r="C315" s="149">
        <v>1</v>
      </c>
      <c r="D315" s="156" t="s">
        <v>73</v>
      </c>
      <c r="E315" s="149">
        <v>3</v>
      </c>
      <c r="F315" s="150">
        <f>1+2.1+2.1</f>
        <v>5.2</v>
      </c>
      <c r="G315" s="150">
        <v>0.05</v>
      </c>
      <c r="H315" s="150"/>
      <c r="I315" s="151">
        <f t="shared" si="39"/>
        <v>0.78</v>
      </c>
      <c r="J315" s="180"/>
    </row>
    <row r="316" spans="1:10" s="181" customFormat="1">
      <c r="A316" s="276"/>
      <c r="B316" s="148" t="s">
        <v>1222</v>
      </c>
      <c r="C316" s="149">
        <v>-2</v>
      </c>
      <c r="D316" s="156" t="s">
        <v>73</v>
      </c>
      <c r="E316" s="149">
        <v>1</v>
      </c>
      <c r="F316" s="150">
        <v>1</v>
      </c>
      <c r="G316" s="150"/>
      <c r="H316" s="150">
        <v>2.1</v>
      </c>
      <c r="I316" s="151">
        <f t="shared" si="39"/>
        <v>-4.2</v>
      </c>
      <c r="J316" s="180"/>
    </row>
    <row r="317" spans="1:10" s="181" customFormat="1">
      <c r="A317" s="276"/>
      <c r="B317" s="148" t="s">
        <v>292</v>
      </c>
      <c r="C317" s="149">
        <v>1</v>
      </c>
      <c r="D317" s="156" t="s">
        <v>73</v>
      </c>
      <c r="E317" s="149">
        <v>1</v>
      </c>
      <c r="F317" s="150">
        <f>1+2.1+2.1</f>
        <v>5.2</v>
      </c>
      <c r="G317" s="150">
        <v>0.23</v>
      </c>
      <c r="H317" s="150"/>
      <c r="I317" s="151">
        <f t="shared" si="39"/>
        <v>1.2</v>
      </c>
      <c r="J317" s="180"/>
    </row>
    <row r="318" spans="1:10" s="181" customFormat="1">
      <c r="A318" s="276"/>
      <c r="B318" s="148" t="s">
        <v>265</v>
      </c>
      <c r="C318" s="149">
        <v>-2</v>
      </c>
      <c r="D318" s="156" t="s">
        <v>73</v>
      </c>
      <c r="E318" s="149">
        <v>1</v>
      </c>
      <c r="F318" s="150">
        <v>0.9</v>
      </c>
      <c r="G318" s="150"/>
      <c r="H318" s="150">
        <v>2.1</v>
      </c>
      <c r="I318" s="151">
        <f t="shared" si="39"/>
        <v>-3.78</v>
      </c>
      <c r="J318" s="180"/>
    </row>
    <row r="319" spans="1:10" s="181" customFormat="1">
      <c r="A319" s="276"/>
      <c r="B319" s="148" t="s">
        <v>304</v>
      </c>
      <c r="C319" s="149">
        <v>1</v>
      </c>
      <c r="D319" s="156" t="s">
        <v>73</v>
      </c>
      <c r="E319" s="149">
        <v>1</v>
      </c>
      <c r="F319" s="150">
        <f>0.9+2.1+2.1</f>
        <v>5.0999999999999996</v>
      </c>
      <c r="G319" s="150">
        <v>0.05</v>
      </c>
      <c r="H319" s="150"/>
      <c r="I319" s="151">
        <f t="shared" si="39"/>
        <v>0.26</v>
      </c>
      <c r="J319" s="180"/>
    </row>
    <row r="320" spans="1:10" s="181" customFormat="1">
      <c r="A320" s="276"/>
      <c r="B320" s="148" t="s">
        <v>266</v>
      </c>
      <c r="C320" s="149">
        <v>-2</v>
      </c>
      <c r="D320" s="156" t="s">
        <v>73</v>
      </c>
      <c r="E320" s="149">
        <v>2</v>
      </c>
      <c r="F320" s="150">
        <v>0.75</v>
      </c>
      <c r="G320" s="150"/>
      <c r="H320" s="150">
        <v>2.1</v>
      </c>
      <c r="I320" s="151">
        <f t="shared" si="39"/>
        <v>-6.3</v>
      </c>
      <c r="J320" s="180"/>
    </row>
    <row r="321" spans="1:17" s="181" customFormat="1">
      <c r="A321" s="276"/>
      <c r="B321" s="148" t="s">
        <v>293</v>
      </c>
      <c r="C321" s="149">
        <v>1</v>
      </c>
      <c r="D321" s="156" t="s">
        <v>73</v>
      </c>
      <c r="E321" s="149">
        <v>2</v>
      </c>
      <c r="F321" s="150">
        <f>0.75+2.1+2.1</f>
        <v>4.95</v>
      </c>
      <c r="G321" s="165">
        <v>0.115</v>
      </c>
      <c r="H321" s="165"/>
      <c r="I321" s="151">
        <f t="shared" si="39"/>
        <v>1.1399999999999999</v>
      </c>
      <c r="J321" s="180"/>
    </row>
    <row r="322" spans="1:17" s="181" customFormat="1">
      <c r="A322" s="276"/>
      <c r="B322" s="148" t="s">
        <v>1223</v>
      </c>
      <c r="C322" s="149">
        <v>-2</v>
      </c>
      <c r="D322" s="156" t="s">
        <v>73</v>
      </c>
      <c r="E322" s="149">
        <v>1</v>
      </c>
      <c r="F322" s="150">
        <v>0.75</v>
      </c>
      <c r="G322" s="150"/>
      <c r="H322" s="150">
        <v>1.35</v>
      </c>
      <c r="I322" s="151">
        <f t="shared" si="39"/>
        <v>-2.0299999999999998</v>
      </c>
      <c r="J322" s="180"/>
    </row>
    <row r="323" spans="1:17" s="181" customFormat="1">
      <c r="A323" s="276"/>
      <c r="B323" s="148" t="s">
        <v>293</v>
      </c>
      <c r="C323" s="149">
        <v>1</v>
      </c>
      <c r="D323" s="156" t="s">
        <v>73</v>
      </c>
      <c r="E323" s="149">
        <v>2</v>
      </c>
      <c r="F323" s="150">
        <v>1.35</v>
      </c>
      <c r="G323" s="165">
        <v>0.115</v>
      </c>
      <c r="H323" s="165"/>
      <c r="I323" s="151">
        <f t="shared" si="39"/>
        <v>0.31</v>
      </c>
      <c r="J323" s="180"/>
    </row>
    <row r="324" spans="1:17" s="181" customFormat="1">
      <c r="A324" s="276"/>
      <c r="B324" s="148" t="s">
        <v>1224</v>
      </c>
      <c r="C324" s="149">
        <v>1</v>
      </c>
      <c r="D324" s="156" t="s">
        <v>73</v>
      </c>
      <c r="E324" s="149">
        <v>1</v>
      </c>
      <c r="F324" s="150">
        <v>1.4650000000000001</v>
      </c>
      <c r="G324" s="165">
        <v>0.115</v>
      </c>
      <c r="H324" s="165"/>
      <c r="I324" s="151">
        <f t="shared" si="39"/>
        <v>0.17</v>
      </c>
      <c r="J324" s="180"/>
    </row>
    <row r="325" spans="1:17" s="181" customFormat="1">
      <c r="A325" s="276"/>
      <c r="B325" s="148" t="s">
        <v>305</v>
      </c>
      <c r="C325" s="149">
        <v>-1</v>
      </c>
      <c r="D325" s="156" t="s">
        <v>73</v>
      </c>
      <c r="E325" s="149">
        <v>3</v>
      </c>
      <c r="F325" s="150">
        <v>0.75</v>
      </c>
      <c r="G325" s="150"/>
      <c r="H325" s="150">
        <v>0.6</v>
      </c>
      <c r="I325" s="151">
        <f t="shared" si="39"/>
        <v>-1.35</v>
      </c>
      <c r="J325" s="180"/>
    </row>
    <row r="326" spans="1:17" s="181" customFormat="1">
      <c r="A326" s="276"/>
      <c r="B326" s="148" t="s">
        <v>306</v>
      </c>
      <c r="C326" s="149">
        <v>1</v>
      </c>
      <c r="D326" s="156" t="s">
        <v>73</v>
      </c>
      <c r="E326" s="149">
        <v>3</v>
      </c>
      <c r="F326" s="150">
        <v>2.7</v>
      </c>
      <c r="G326" s="150">
        <v>0.23</v>
      </c>
      <c r="H326" s="150"/>
      <c r="I326" s="151">
        <f t="shared" si="39"/>
        <v>1.86</v>
      </c>
      <c r="J326" s="180"/>
    </row>
    <row r="327" spans="1:17" s="181" customFormat="1">
      <c r="A327" s="276"/>
      <c r="B327" s="148" t="s">
        <v>307</v>
      </c>
      <c r="C327" s="149">
        <v>-1</v>
      </c>
      <c r="D327" s="156" t="s">
        <v>73</v>
      </c>
      <c r="E327" s="149">
        <v>1</v>
      </c>
      <c r="F327" s="150">
        <v>0.9</v>
      </c>
      <c r="G327" s="150"/>
      <c r="H327" s="150">
        <v>0.45</v>
      </c>
      <c r="I327" s="151">
        <f t="shared" si="39"/>
        <v>-0.41</v>
      </c>
      <c r="J327" s="180"/>
    </row>
    <row r="328" spans="1:17" s="181" customFormat="1">
      <c r="A328" s="276"/>
      <c r="B328" s="148" t="s">
        <v>308</v>
      </c>
      <c r="C328" s="149">
        <v>1</v>
      </c>
      <c r="D328" s="156" t="s">
        <v>73</v>
      </c>
      <c r="E328" s="149">
        <v>1</v>
      </c>
      <c r="F328" s="150">
        <v>2.7</v>
      </c>
      <c r="G328" s="150">
        <v>0.23</v>
      </c>
      <c r="H328" s="150"/>
      <c r="I328" s="151">
        <f t="shared" si="39"/>
        <v>0.62</v>
      </c>
      <c r="J328" s="180"/>
      <c r="L328" s="185"/>
      <c r="M328" s="185"/>
      <c r="N328" s="185"/>
      <c r="O328" s="186"/>
      <c r="P328" s="186"/>
      <c r="Q328" s="186"/>
    </row>
    <row r="329" spans="1:17" s="181" customFormat="1">
      <c r="A329" s="276"/>
      <c r="B329" s="148" t="s">
        <v>294</v>
      </c>
      <c r="C329" s="149">
        <v>-1</v>
      </c>
      <c r="D329" s="156" t="s">
        <v>73</v>
      </c>
      <c r="E329" s="149">
        <v>11</v>
      </c>
      <c r="F329" s="150">
        <v>1.35</v>
      </c>
      <c r="G329" s="150"/>
      <c r="H329" s="150">
        <v>1.35</v>
      </c>
      <c r="I329" s="151">
        <f t="shared" si="39"/>
        <v>-20.05</v>
      </c>
      <c r="J329" s="180"/>
    </row>
    <row r="330" spans="1:17" s="181" customFormat="1">
      <c r="A330" s="276"/>
      <c r="B330" s="148" t="s">
        <v>295</v>
      </c>
      <c r="C330" s="149">
        <v>1</v>
      </c>
      <c r="D330" s="156" t="s">
        <v>73</v>
      </c>
      <c r="E330" s="149">
        <v>11</v>
      </c>
      <c r="F330" s="150">
        <v>5.4</v>
      </c>
      <c r="G330" s="150">
        <v>0.23</v>
      </c>
      <c r="H330" s="150"/>
      <c r="I330" s="151">
        <f t="shared" si="39"/>
        <v>13.66</v>
      </c>
      <c r="J330" s="180"/>
      <c r="L330" s="185"/>
      <c r="M330" s="185"/>
      <c r="N330" s="185"/>
      <c r="O330" s="186"/>
      <c r="P330" s="186"/>
      <c r="Q330" s="186"/>
    </row>
    <row r="331" spans="1:17" s="181" customFormat="1">
      <c r="A331" s="276"/>
      <c r="B331" s="148" t="s">
        <v>1215</v>
      </c>
      <c r="C331" s="149">
        <v>-2</v>
      </c>
      <c r="D331" s="156" t="s">
        <v>73</v>
      </c>
      <c r="E331" s="149">
        <v>1</v>
      </c>
      <c r="F331" s="150">
        <v>1</v>
      </c>
      <c r="G331" s="150"/>
      <c r="H331" s="150">
        <v>2.1</v>
      </c>
      <c r="I331" s="151">
        <f t="shared" si="39"/>
        <v>-4.2</v>
      </c>
      <c r="J331" s="180"/>
      <c r="L331" s="185"/>
      <c r="M331" s="185"/>
      <c r="N331" s="185"/>
      <c r="O331" s="186"/>
      <c r="P331" s="186"/>
      <c r="Q331" s="186"/>
    </row>
    <row r="332" spans="1:17" s="181" customFormat="1">
      <c r="A332" s="276"/>
      <c r="B332" s="148" t="s">
        <v>1195</v>
      </c>
      <c r="C332" s="149">
        <v>-2</v>
      </c>
      <c r="D332" s="156" t="s">
        <v>73</v>
      </c>
      <c r="E332" s="149">
        <v>1</v>
      </c>
      <c r="F332" s="150">
        <v>0.72</v>
      </c>
      <c r="G332" s="150"/>
      <c r="H332" s="150">
        <v>1.35</v>
      </c>
      <c r="I332" s="151">
        <f t="shared" si="39"/>
        <v>-1.94</v>
      </c>
      <c r="J332" s="180"/>
      <c r="L332" s="185"/>
      <c r="M332" s="185"/>
      <c r="N332" s="185"/>
      <c r="O332" s="186"/>
      <c r="P332" s="186"/>
      <c r="Q332" s="186"/>
    </row>
    <row r="333" spans="1:17" s="181" customFormat="1">
      <c r="A333" s="276"/>
      <c r="B333" s="148" t="s">
        <v>1216</v>
      </c>
      <c r="C333" s="149">
        <v>1</v>
      </c>
      <c r="D333" s="156" t="s">
        <v>73</v>
      </c>
      <c r="E333" s="149">
        <v>1</v>
      </c>
      <c r="F333" s="150">
        <v>5.9119999999999999</v>
      </c>
      <c r="G333" s="150">
        <v>0.23</v>
      </c>
      <c r="H333" s="150"/>
      <c r="I333" s="151">
        <f t="shared" si="39"/>
        <v>1.36</v>
      </c>
      <c r="J333" s="180"/>
      <c r="L333" s="185"/>
      <c r="M333" s="185"/>
      <c r="N333" s="185"/>
      <c r="O333" s="186"/>
      <c r="P333" s="186"/>
      <c r="Q333" s="186"/>
    </row>
    <row r="334" spans="1:17" s="181" customFormat="1">
      <c r="A334" s="276"/>
      <c r="B334" s="148" t="s">
        <v>1229</v>
      </c>
      <c r="C334" s="149">
        <v>-1</v>
      </c>
      <c r="D334" s="156" t="s">
        <v>73</v>
      </c>
      <c r="E334" s="149">
        <v>1</v>
      </c>
      <c r="F334" s="150">
        <v>0.75</v>
      </c>
      <c r="G334" s="150"/>
      <c r="H334" s="150">
        <v>2.1</v>
      </c>
      <c r="I334" s="151">
        <f t="shared" si="39"/>
        <v>-1.58</v>
      </c>
      <c r="J334" s="180"/>
      <c r="L334" s="185"/>
      <c r="M334" s="185"/>
      <c r="N334" s="185"/>
      <c r="O334" s="186"/>
      <c r="P334" s="186"/>
      <c r="Q334" s="186"/>
    </row>
    <row r="335" spans="1:17" s="181" customFormat="1">
      <c r="A335" s="276"/>
      <c r="B335" s="148" t="s">
        <v>1231</v>
      </c>
      <c r="C335" s="149">
        <v>1</v>
      </c>
      <c r="D335" s="156" t="s">
        <v>73</v>
      </c>
      <c r="E335" s="149">
        <v>1</v>
      </c>
      <c r="F335" s="150">
        <v>4.95</v>
      </c>
      <c r="G335" s="150">
        <v>0.23</v>
      </c>
      <c r="H335" s="150"/>
      <c r="I335" s="151">
        <f t="shared" si="39"/>
        <v>1.1399999999999999</v>
      </c>
      <c r="J335" s="180"/>
      <c r="L335" s="185"/>
      <c r="M335" s="185"/>
      <c r="N335" s="185"/>
      <c r="O335" s="186"/>
      <c r="P335" s="186"/>
      <c r="Q335" s="186"/>
    </row>
    <row r="336" spans="1:17" s="181" customFormat="1">
      <c r="A336" s="276"/>
      <c r="B336" s="148" t="s">
        <v>1230</v>
      </c>
      <c r="C336" s="149">
        <v>-2</v>
      </c>
      <c r="D336" s="156" t="s">
        <v>73</v>
      </c>
      <c r="E336" s="149">
        <v>1</v>
      </c>
      <c r="F336" s="150">
        <v>1.2</v>
      </c>
      <c r="G336" s="150"/>
      <c r="H336" s="150">
        <v>2.92</v>
      </c>
      <c r="I336" s="151">
        <f t="shared" si="39"/>
        <v>-7.01</v>
      </c>
      <c r="J336" s="180"/>
    </row>
    <row r="337" spans="1:17" s="181" customFormat="1">
      <c r="A337" s="276"/>
      <c r="B337" s="148" t="s">
        <v>1232</v>
      </c>
      <c r="C337" s="149">
        <v>2</v>
      </c>
      <c r="D337" s="156" t="s">
        <v>73</v>
      </c>
      <c r="E337" s="149">
        <v>2</v>
      </c>
      <c r="F337" s="150">
        <v>0.15</v>
      </c>
      <c r="G337" s="150"/>
      <c r="H337" s="150">
        <v>2.92</v>
      </c>
      <c r="I337" s="151">
        <f t="shared" si="39"/>
        <v>1.75</v>
      </c>
      <c r="J337" s="180"/>
    </row>
    <row r="338" spans="1:17" s="181" customFormat="1">
      <c r="A338" s="276"/>
      <c r="B338" s="148" t="s">
        <v>1232</v>
      </c>
      <c r="C338" s="149">
        <v>1</v>
      </c>
      <c r="D338" s="156" t="s">
        <v>73</v>
      </c>
      <c r="E338" s="149">
        <v>2</v>
      </c>
      <c r="F338" s="165">
        <v>0.26500000000000001</v>
      </c>
      <c r="G338" s="150"/>
      <c r="H338" s="150">
        <v>2.92</v>
      </c>
      <c r="I338" s="151">
        <f t="shared" si="39"/>
        <v>1.55</v>
      </c>
      <c r="J338" s="180"/>
    </row>
    <row r="339" spans="1:17" s="181" customFormat="1">
      <c r="A339" s="276"/>
      <c r="B339" s="148" t="s">
        <v>1227</v>
      </c>
      <c r="C339" s="149">
        <v>1</v>
      </c>
      <c r="D339" s="156" t="s">
        <v>73</v>
      </c>
      <c r="E339" s="149">
        <v>1</v>
      </c>
      <c r="F339" s="150">
        <v>6.67</v>
      </c>
      <c r="G339" s="150">
        <v>0.6</v>
      </c>
      <c r="H339" s="150"/>
      <c r="I339" s="151">
        <f t="shared" si="39"/>
        <v>4</v>
      </c>
      <c r="J339" s="180"/>
    </row>
    <row r="340" spans="1:17" s="181" customFormat="1">
      <c r="A340" s="276"/>
      <c r="B340" s="148" t="s">
        <v>1228</v>
      </c>
      <c r="C340" s="149">
        <v>1</v>
      </c>
      <c r="D340" s="156" t="s">
        <v>73</v>
      </c>
      <c r="E340" s="149">
        <v>1</v>
      </c>
      <c r="F340" s="150">
        <v>4.0599999999999996</v>
      </c>
      <c r="G340" s="150">
        <v>0.6</v>
      </c>
      <c r="H340" s="150"/>
      <c r="I340" s="151">
        <f t="shared" si="39"/>
        <v>2.44</v>
      </c>
      <c r="J340" s="180"/>
    </row>
    <row r="341" spans="1:17" s="181" customFormat="1">
      <c r="A341" s="276"/>
      <c r="B341" s="183" t="s">
        <v>309</v>
      </c>
      <c r="C341" s="149"/>
      <c r="D341" s="156"/>
      <c r="E341" s="149"/>
      <c r="F341" s="150"/>
      <c r="G341" s="150"/>
      <c r="H341" s="150"/>
      <c r="I341" s="151">
        <f t="shared" si="39"/>
        <v>0</v>
      </c>
      <c r="J341" s="180"/>
    </row>
    <row r="342" spans="1:17" s="181" customFormat="1">
      <c r="A342" s="276"/>
      <c r="B342" s="148" t="s">
        <v>1225</v>
      </c>
      <c r="C342" s="149">
        <v>3</v>
      </c>
      <c r="D342" s="149" t="s">
        <v>73</v>
      </c>
      <c r="E342" s="149">
        <v>2</v>
      </c>
      <c r="F342" s="150">
        <v>0.45</v>
      </c>
      <c r="G342" s="150"/>
      <c r="H342" s="150">
        <v>2.1</v>
      </c>
      <c r="I342" s="151">
        <f t="shared" si="39"/>
        <v>5.67</v>
      </c>
      <c r="J342" s="180"/>
      <c r="L342" s="185"/>
      <c r="M342" s="185"/>
      <c r="N342" s="185"/>
      <c r="O342" s="186"/>
      <c r="P342" s="186"/>
      <c r="Q342" s="186"/>
    </row>
    <row r="343" spans="1:17" s="181" customFormat="1">
      <c r="A343" s="276"/>
      <c r="B343" s="148" t="s">
        <v>1201</v>
      </c>
      <c r="C343" s="149">
        <v>4</v>
      </c>
      <c r="D343" s="149" t="s">
        <v>73</v>
      </c>
      <c r="E343" s="149">
        <v>2</v>
      </c>
      <c r="F343" s="150">
        <v>0.45</v>
      </c>
      <c r="G343" s="150"/>
      <c r="H343" s="150">
        <v>2.1</v>
      </c>
      <c r="I343" s="151">
        <f t="shared" si="39"/>
        <v>7.56</v>
      </c>
      <c r="J343" s="180"/>
    </row>
    <row r="344" spans="1:17" s="181" customFormat="1">
      <c r="A344" s="276"/>
      <c r="B344" s="148" t="s">
        <v>1202</v>
      </c>
      <c r="C344" s="149">
        <v>4</v>
      </c>
      <c r="D344" s="149" t="s">
        <v>73</v>
      </c>
      <c r="E344" s="149">
        <v>2</v>
      </c>
      <c r="F344" s="150">
        <v>0.45</v>
      </c>
      <c r="G344" s="150"/>
      <c r="H344" s="150">
        <v>2.1</v>
      </c>
      <c r="I344" s="151">
        <f t="shared" si="39"/>
        <v>7.56</v>
      </c>
      <c r="J344" s="180"/>
    </row>
    <row r="345" spans="1:17" s="181" customFormat="1">
      <c r="A345" s="276"/>
      <c r="B345" s="183" t="s">
        <v>1226</v>
      </c>
      <c r="C345" s="149"/>
      <c r="D345" s="149"/>
      <c r="E345" s="149"/>
      <c r="F345" s="150"/>
      <c r="G345" s="150"/>
      <c r="H345" s="150"/>
      <c r="I345" s="151">
        <f t="shared" si="39"/>
        <v>0</v>
      </c>
      <c r="J345" s="180"/>
    </row>
    <row r="346" spans="1:17" s="181" customFormat="1">
      <c r="A346" s="276"/>
      <c r="B346" s="148" t="s">
        <v>1225</v>
      </c>
      <c r="C346" s="149">
        <v>3</v>
      </c>
      <c r="D346" s="149" t="s">
        <v>73</v>
      </c>
      <c r="E346" s="149">
        <v>1</v>
      </c>
      <c r="F346" s="150">
        <v>1.05</v>
      </c>
      <c r="G346" s="150">
        <v>0.45</v>
      </c>
      <c r="H346" s="150"/>
      <c r="I346" s="151">
        <f t="shared" si="39"/>
        <v>1.42</v>
      </c>
      <c r="J346" s="180"/>
    </row>
    <row r="347" spans="1:17" s="181" customFormat="1">
      <c r="A347" s="276"/>
      <c r="B347" s="148" t="s">
        <v>1201</v>
      </c>
      <c r="C347" s="149">
        <v>1</v>
      </c>
      <c r="D347" s="149" t="s">
        <v>73</v>
      </c>
      <c r="E347" s="149">
        <v>3</v>
      </c>
      <c r="F347" s="150">
        <v>1.2</v>
      </c>
      <c r="G347" s="150">
        <v>0.45</v>
      </c>
      <c r="H347" s="150"/>
      <c r="I347" s="151">
        <f t="shared" si="39"/>
        <v>1.62</v>
      </c>
      <c r="J347" s="180"/>
    </row>
    <row r="348" spans="1:17" s="181" customFormat="1">
      <c r="A348" s="276"/>
      <c r="B348" s="148" t="s">
        <v>1202</v>
      </c>
      <c r="C348" s="149">
        <v>1</v>
      </c>
      <c r="D348" s="149" t="s">
        <v>73</v>
      </c>
      <c r="E348" s="149">
        <v>4</v>
      </c>
      <c r="F348" s="150">
        <v>0.9</v>
      </c>
      <c r="G348" s="150">
        <v>0.45</v>
      </c>
      <c r="H348" s="150"/>
      <c r="I348" s="151">
        <f t="shared" si="39"/>
        <v>1.62</v>
      </c>
      <c r="J348" s="180"/>
      <c r="L348" s="185"/>
      <c r="M348" s="185"/>
      <c r="N348" s="185"/>
      <c r="O348" s="186"/>
      <c r="P348" s="186"/>
      <c r="Q348" s="186"/>
    </row>
    <row r="349" spans="1:17" s="181" customFormat="1">
      <c r="A349" s="276"/>
      <c r="B349" s="183" t="s">
        <v>157</v>
      </c>
      <c r="C349" s="149"/>
      <c r="D349" s="156"/>
      <c r="E349" s="149"/>
      <c r="F349" s="150"/>
      <c r="G349" s="150"/>
      <c r="H349" s="150"/>
      <c r="I349" s="151">
        <f t="shared" si="39"/>
        <v>0</v>
      </c>
      <c r="J349" s="180"/>
    </row>
    <row r="350" spans="1:17" s="181" customFormat="1">
      <c r="A350" s="276"/>
      <c r="B350" s="148" t="s">
        <v>298</v>
      </c>
      <c r="C350" s="149">
        <v>1</v>
      </c>
      <c r="D350" s="156" t="s">
        <v>73</v>
      </c>
      <c r="E350" s="149">
        <v>1</v>
      </c>
      <c r="F350" s="150">
        <f>2*(6.67+3.565)</f>
        <v>20.47</v>
      </c>
      <c r="G350" s="150"/>
      <c r="H350" s="150">
        <v>3.15</v>
      </c>
      <c r="I350" s="151">
        <f t="shared" ref="I350:I394" si="40">ROUND(PRODUCT(C350:H350),2)</f>
        <v>64.48</v>
      </c>
      <c r="J350" s="180"/>
    </row>
    <row r="351" spans="1:17" s="181" customFormat="1">
      <c r="A351" s="276"/>
      <c r="B351" s="148" t="s">
        <v>299</v>
      </c>
      <c r="C351" s="149">
        <v>1</v>
      </c>
      <c r="D351" s="156" t="s">
        <v>73</v>
      </c>
      <c r="E351" s="149">
        <v>1</v>
      </c>
      <c r="F351" s="150">
        <f>2*(5.15+4.12)</f>
        <v>18.54</v>
      </c>
      <c r="G351" s="150"/>
      <c r="H351" s="150">
        <v>3.15</v>
      </c>
      <c r="I351" s="151">
        <f t="shared" si="40"/>
        <v>58.4</v>
      </c>
      <c r="J351" s="180"/>
    </row>
    <row r="352" spans="1:17" s="181" customFormat="1">
      <c r="A352" s="276"/>
      <c r="B352" s="182" t="s">
        <v>300</v>
      </c>
      <c r="C352" s="149">
        <v>1</v>
      </c>
      <c r="D352" s="156" t="s">
        <v>73</v>
      </c>
      <c r="E352" s="149">
        <v>1</v>
      </c>
      <c r="F352" s="150">
        <f>2*(2.075+2.685)</f>
        <v>9.52</v>
      </c>
      <c r="G352" s="150"/>
      <c r="H352" s="165">
        <v>3.1749999999999998</v>
      </c>
      <c r="I352" s="151">
        <f t="shared" si="40"/>
        <v>30.23</v>
      </c>
      <c r="J352" s="180"/>
    </row>
    <row r="353" spans="1:11" s="181" customFormat="1">
      <c r="A353" s="276"/>
      <c r="B353" s="182" t="s">
        <v>160</v>
      </c>
      <c r="C353" s="149">
        <v>1</v>
      </c>
      <c r="D353" s="156" t="s">
        <v>73</v>
      </c>
      <c r="E353" s="149">
        <v>1</v>
      </c>
      <c r="F353" s="150">
        <f>2*(2.075+1.32)</f>
        <v>6.7900000000000009</v>
      </c>
      <c r="G353" s="150"/>
      <c r="H353" s="165">
        <v>3.1749999999999998</v>
      </c>
      <c r="I353" s="151">
        <f t="shared" si="40"/>
        <v>21.56</v>
      </c>
      <c r="J353" s="180"/>
    </row>
    <row r="354" spans="1:11" s="181" customFormat="1">
      <c r="A354" s="276"/>
      <c r="B354" s="182" t="s">
        <v>301</v>
      </c>
      <c r="C354" s="149">
        <v>1</v>
      </c>
      <c r="D354" s="156" t="s">
        <v>73</v>
      </c>
      <c r="E354" s="149">
        <v>1</v>
      </c>
      <c r="F354" s="150">
        <f>2*(2.67+6.63)</f>
        <v>18.600000000000001</v>
      </c>
      <c r="G354" s="150"/>
      <c r="H354" s="165">
        <v>3.1749999999999998</v>
      </c>
      <c r="I354" s="151">
        <f t="shared" si="40"/>
        <v>59.06</v>
      </c>
      <c r="J354" s="180"/>
    </row>
    <row r="355" spans="1:11" s="181" customFormat="1">
      <c r="A355" s="276"/>
      <c r="B355" s="148" t="s">
        <v>191</v>
      </c>
      <c r="C355" s="149">
        <v>1</v>
      </c>
      <c r="D355" s="156" t="s">
        <v>73</v>
      </c>
      <c r="E355" s="149">
        <v>1</v>
      </c>
      <c r="F355" s="150">
        <f>2*(1.835+3.185)</f>
        <v>10.039999999999999</v>
      </c>
      <c r="G355" s="150"/>
      <c r="H355" s="165">
        <v>3.1749999999999998</v>
      </c>
      <c r="I355" s="151">
        <f t="shared" si="40"/>
        <v>31.88</v>
      </c>
      <c r="J355" s="180"/>
      <c r="K355" s="184">
        <f>SUM(I299:I348)</f>
        <v>458.68000000000006</v>
      </c>
    </row>
    <row r="356" spans="1:11" s="181" customFormat="1">
      <c r="A356" s="276"/>
      <c r="B356" s="148" t="s">
        <v>1202</v>
      </c>
      <c r="C356" s="149">
        <v>1</v>
      </c>
      <c r="D356" s="156" t="s">
        <v>73</v>
      </c>
      <c r="E356" s="149">
        <v>1</v>
      </c>
      <c r="F356" s="150">
        <f>2*(2.545+2)</f>
        <v>9.09</v>
      </c>
      <c r="G356" s="150"/>
      <c r="H356" s="165">
        <v>3.1749999999999998</v>
      </c>
      <c r="I356" s="151">
        <f t="shared" si="40"/>
        <v>28.86</v>
      </c>
      <c r="J356" s="180"/>
    </row>
    <row r="357" spans="1:11" s="181" customFormat="1">
      <c r="A357" s="276"/>
      <c r="B357" s="148" t="s">
        <v>1221</v>
      </c>
      <c r="C357" s="149">
        <v>1</v>
      </c>
      <c r="D357" s="156" t="s">
        <v>73</v>
      </c>
      <c r="E357" s="149">
        <v>1</v>
      </c>
      <c r="F357" s="150">
        <f>2*(2.66+3.33)</f>
        <v>11.98</v>
      </c>
      <c r="G357" s="150"/>
      <c r="H357" s="165">
        <v>3.1749999999999998</v>
      </c>
      <c r="I357" s="151">
        <f t="shared" si="40"/>
        <v>38.04</v>
      </c>
      <c r="J357" s="180"/>
    </row>
    <row r="358" spans="1:11" s="181" customFormat="1">
      <c r="A358" s="276"/>
      <c r="B358" s="148" t="s">
        <v>538</v>
      </c>
      <c r="C358" s="149">
        <v>1</v>
      </c>
      <c r="D358" s="156" t="s">
        <v>73</v>
      </c>
      <c r="E358" s="149">
        <v>2</v>
      </c>
      <c r="F358" s="150">
        <v>2.2149999999999999</v>
      </c>
      <c r="G358" s="150"/>
      <c r="H358" s="165">
        <v>1.35</v>
      </c>
      <c r="I358" s="151">
        <f t="shared" si="40"/>
        <v>5.98</v>
      </c>
      <c r="J358" s="180"/>
    </row>
    <row r="359" spans="1:11" s="181" customFormat="1">
      <c r="A359" s="276"/>
      <c r="B359" s="148" t="s">
        <v>156</v>
      </c>
      <c r="C359" s="149">
        <v>1</v>
      </c>
      <c r="D359" s="156" t="s">
        <v>73</v>
      </c>
      <c r="E359" s="149">
        <v>1</v>
      </c>
      <c r="F359" s="150">
        <f>2*(6.23+4.61)</f>
        <v>21.68</v>
      </c>
      <c r="G359" s="150"/>
      <c r="H359" s="165">
        <v>3.1749999999999998</v>
      </c>
      <c r="I359" s="151">
        <f t="shared" si="40"/>
        <v>68.83</v>
      </c>
      <c r="J359" s="180"/>
    </row>
    <row r="360" spans="1:11" s="181" customFormat="1">
      <c r="A360" s="276"/>
      <c r="B360" s="155" t="s">
        <v>254</v>
      </c>
      <c r="C360" s="149"/>
      <c r="D360" s="156"/>
      <c r="E360" s="149"/>
      <c r="F360" s="150"/>
      <c r="G360" s="150"/>
      <c r="H360" s="150"/>
      <c r="I360" s="151">
        <f t="shared" si="40"/>
        <v>0</v>
      </c>
      <c r="J360" s="180"/>
    </row>
    <row r="361" spans="1:11" s="181" customFormat="1">
      <c r="A361" s="276"/>
      <c r="B361" s="148" t="s">
        <v>72</v>
      </c>
      <c r="C361" s="149">
        <v>-2</v>
      </c>
      <c r="D361" s="156" t="s">
        <v>73</v>
      </c>
      <c r="E361" s="149">
        <v>5</v>
      </c>
      <c r="F361" s="150">
        <v>1</v>
      </c>
      <c r="G361" s="150"/>
      <c r="H361" s="150">
        <v>2.1</v>
      </c>
      <c r="I361" s="151">
        <f t="shared" si="40"/>
        <v>-21</v>
      </c>
      <c r="J361" s="180"/>
    </row>
    <row r="362" spans="1:11" s="181" customFormat="1">
      <c r="A362" s="276"/>
      <c r="B362" s="148" t="s">
        <v>292</v>
      </c>
      <c r="C362" s="149">
        <v>1</v>
      </c>
      <c r="D362" s="156" t="s">
        <v>73</v>
      </c>
      <c r="E362" s="149">
        <v>2</v>
      </c>
      <c r="F362" s="150">
        <f>1+2.1+2.1</f>
        <v>5.2</v>
      </c>
      <c r="G362" s="150">
        <v>0.13</v>
      </c>
      <c r="H362" s="150"/>
      <c r="I362" s="151">
        <f t="shared" si="40"/>
        <v>1.35</v>
      </c>
      <c r="J362" s="180"/>
    </row>
    <row r="363" spans="1:11" s="181" customFormat="1">
      <c r="A363" s="276"/>
      <c r="B363" s="148" t="s">
        <v>292</v>
      </c>
      <c r="C363" s="149">
        <v>1</v>
      </c>
      <c r="D363" s="156" t="s">
        <v>73</v>
      </c>
      <c r="E363" s="149">
        <v>3</v>
      </c>
      <c r="F363" s="150">
        <f>1+2.1+2.1</f>
        <v>5.2</v>
      </c>
      <c r="G363" s="150">
        <v>0.05</v>
      </c>
      <c r="H363" s="150"/>
      <c r="I363" s="151">
        <f t="shared" si="40"/>
        <v>0.78</v>
      </c>
      <c r="J363" s="180"/>
    </row>
    <row r="364" spans="1:11" s="181" customFormat="1">
      <c r="A364" s="276"/>
      <c r="B364" s="148" t="s">
        <v>1222</v>
      </c>
      <c r="C364" s="149">
        <v>-2</v>
      </c>
      <c r="D364" s="156" t="s">
        <v>73</v>
      </c>
      <c r="E364" s="149">
        <v>1</v>
      </c>
      <c r="F364" s="150">
        <v>1</v>
      </c>
      <c r="G364" s="150"/>
      <c r="H364" s="150">
        <v>2.1</v>
      </c>
      <c r="I364" s="151">
        <f t="shared" si="40"/>
        <v>-4.2</v>
      </c>
      <c r="J364" s="180"/>
    </row>
    <row r="365" spans="1:11" s="181" customFormat="1">
      <c r="A365" s="276"/>
      <c r="B365" s="148" t="s">
        <v>1233</v>
      </c>
      <c r="C365" s="149">
        <v>1</v>
      </c>
      <c r="D365" s="156" t="s">
        <v>73</v>
      </c>
      <c r="E365" s="149">
        <v>1</v>
      </c>
      <c r="F365" s="150">
        <f>1+2.1+2.1</f>
        <v>5.2</v>
      </c>
      <c r="G365" s="150">
        <v>0.23</v>
      </c>
      <c r="H365" s="150"/>
      <c r="I365" s="151">
        <f t="shared" si="40"/>
        <v>1.2</v>
      </c>
      <c r="J365" s="180"/>
    </row>
    <row r="366" spans="1:11" s="181" customFormat="1">
      <c r="A366" s="276"/>
      <c r="B366" s="148" t="s">
        <v>266</v>
      </c>
      <c r="C366" s="149">
        <v>-1</v>
      </c>
      <c r="D366" s="156" t="s">
        <v>73</v>
      </c>
      <c r="E366" s="149">
        <v>2</v>
      </c>
      <c r="F366" s="150">
        <v>0.75</v>
      </c>
      <c r="G366" s="150"/>
      <c r="H366" s="150">
        <v>2.1</v>
      </c>
      <c r="I366" s="151">
        <f t="shared" si="40"/>
        <v>-3.15</v>
      </c>
      <c r="J366" s="180"/>
    </row>
    <row r="367" spans="1:11" s="181" customFormat="1">
      <c r="A367" s="276"/>
      <c r="B367" s="148" t="s">
        <v>293</v>
      </c>
      <c r="C367" s="149">
        <v>1</v>
      </c>
      <c r="D367" s="156" t="s">
        <v>73</v>
      </c>
      <c r="E367" s="149">
        <v>1</v>
      </c>
      <c r="F367" s="150">
        <f>0.75+2.1+2.1</f>
        <v>4.95</v>
      </c>
      <c r="G367" s="165">
        <v>0.115</v>
      </c>
      <c r="H367" s="165"/>
      <c r="I367" s="151">
        <f t="shared" si="40"/>
        <v>0.56999999999999995</v>
      </c>
      <c r="J367" s="180"/>
    </row>
    <row r="368" spans="1:11" s="181" customFormat="1">
      <c r="A368" s="276"/>
      <c r="B368" s="148" t="s">
        <v>1223</v>
      </c>
      <c r="C368" s="149">
        <v>-1</v>
      </c>
      <c r="D368" s="156" t="s">
        <v>73</v>
      </c>
      <c r="E368" s="149">
        <v>2</v>
      </c>
      <c r="F368" s="150">
        <v>0.75</v>
      </c>
      <c r="G368" s="150"/>
      <c r="H368" s="150">
        <v>1.35</v>
      </c>
      <c r="I368" s="151">
        <f t="shared" si="40"/>
        <v>-2.0299999999999998</v>
      </c>
      <c r="J368" s="180"/>
    </row>
    <row r="369" spans="1:17" s="181" customFormat="1">
      <c r="A369" s="276"/>
      <c r="B369" s="148" t="s">
        <v>293</v>
      </c>
      <c r="C369" s="149">
        <v>1</v>
      </c>
      <c r="D369" s="156" t="s">
        <v>73</v>
      </c>
      <c r="E369" s="149">
        <v>2</v>
      </c>
      <c r="F369" s="150">
        <v>1.35</v>
      </c>
      <c r="G369" s="165">
        <v>0.115</v>
      </c>
      <c r="H369" s="165"/>
      <c r="I369" s="151">
        <f t="shared" si="40"/>
        <v>0.31</v>
      </c>
      <c r="J369" s="180"/>
    </row>
    <row r="370" spans="1:17" s="181" customFormat="1">
      <c r="A370" s="276"/>
      <c r="B370" s="148" t="s">
        <v>1224</v>
      </c>
      <c r="C370" s="149">
        <v>1</v>
      </c>
      <c r="D370" s="156" t="s">
        <v>73</v>
      </c>
      <c r="E370" s="149">
        <v>1</v>
      </c>
      <c r="F370" s="150">
        <v>1.4650000000000001</v>
      </c>
      <c r="G370" s="165">
        <v>0.115</v>
      </c>
      <c r="H370" s="165"/>
      <c r="I370" s="151">
        <f t="shared" si="40"/>
        <v>0.17</v>
      </c>
      <c r="J370" s="180"/>
    </row>
    <row r="371" spans="1:17" s="181" customFormat="1">
      <c r="A371" s="276"/>
      <c r="B371" s="148" t="s">
        <v>305</v>
      </c>
      <c r="C371" s="149">
        <v>-1</v>
      </c>
      <c r="D371" s="156" t="s">
        <v>73</v>
      </c>
      <c r="E371" s="149">
        <v>3</v>
      </c>
      <c r="F371" s="150">
        <v>0.75</v>
      </c>
      <c r="G371" s="150"/>
      <c r="H371" s="150">
        <v>0.6</v>
      </c>
      <c r="I371" s="151">
        <f t="shared" si="40"/>
        <v>-1.35</v>
      </c>
      <c r="J371" s="180"/>
    </row>
    <row r="372" spans="1:17" s="181" customFormat="1">
      <c r="A372" s="276"/>
      <c r="B372" s="148" t="s">
        <v>306</v>
      </c>
      <c r="C372" s="149">
        <v>1</v>
      </c>
      <c r="D372" s="156" t="s">
        <v>73</v>
      </c>
      <c r="E372" s="149">
        <v>3</v>
      </c>
      <c r="F372" s="150">
        <v>2.7</v>
      </c>
      <c r="G372" s="150">
        <v>0.23</v>
      </c>
      <c r="H372" s="150"/>
      <c r="I372" s="151">
        <f t="shared" si="40"/>
        <v>1.86</v>
      </c>
      <c r="J372" s="180"/>
    </row>
    <row r="373" spans="1:17" s="181" customFormat="1">
      <c r="A373" s="276"/>
      <c r="B373" s="148" t="s">
        <v>307</v>
      </c>
      <c r="C373" s="149">
        <v>-1</v>
      </c>
      <c r="D373" s="156" t="s">
        <v>73</v>
      </c>
      <c r="E373" s="149">
        <v>1</v>
      </c>
      <c r="F373" s="150">
        <v>0.9</v>
      </c>
      <c r="G373" s="150"/>
      <c r="H373" s="150">
        <v>0.45</v>
      </c>
      <c r="I373" s="151">
        <f t="shared" si="40"/>
        <v>-0.41</v>
      </c>
      <c r="J373" s="180"/>
    </row>
    <row r="374" spans="1:17" s="181" customFormat="1">
      <c r="A374" s="276"/>
      <c r="B374" s="148" t="s">
        <v>308</v>
      </c>
      <c r="C374" s="149">
        <v>1</v>
      </c>
      <c r="D374" s="156" t="s">
        <v>73</v>
      </c>
      <c r="E374" s="149">
        <v>1</v>
      </c>
      <c r="F374" s="150">
        <v>2.7</v>
      </c>
      <c r="G374" s="150">
        <v>0.23</v>
      </c>
      <c r="H374" s="150"/>
      <c r="I374" s="151">
        <f t="shared" si="40"/>
        <v>0.62</v>
      </c>
      <c r="J374" s="180"/>
      <c r="L374" s="185"/>
      <c r="M374" s="185"/>
      <c r="N374" s="185"/>
      <c r="O374" s="186"/>
      <c r="P374" s="186"/>
      <c r="Q374" s="186"/>
    </row>
    <row r="375" spans="1:17" s="181" customFormat="1">
      <c r="A375" s="276"/>
      <c r="B375" s="148" t="s">
        <v>294</v>
      </c>
      <c r="C375" s="149">
        <v>-1</v>
      </c>
      <c r="D375" s="156" t="s">
        <v>73</v>
      </c>
      <c r="E375" s="149">
        <v>12</v>
      </c>
      <c r="F375" s="150">
        <v>1.35</v>
      </c>
      <c r="G375" s="150"/>
      <c r="H375" s="150">
        <v>1.35</v>
      </c>
      <c r="I375" s="151">
        <f t="shared" si="40"/>
        <v>-21.87</v>
      </c>
      <c r="J375" s="180"/>
    </row>
    <row r="376" spans="1:17" s="181" customFormat="1">
      <c r="A376" s="276"/>
      <c r="B376" s="148" t="s">
        <v>295</v>
      </c>
      <c r="C376" s="149">
        <v>1</v>
      </c>
      <c r="D376" s="156" t="s">
        <v>73</v>
      </c>
      <c r="E376" s="149">
        <v>12</v>
      </c>
      <c r="F376" s="150">
        <v>5.4</v>
      </c>
      <c r="G376" s="150">
        <v>0.23</v>
      </c>
      <c r="H376" s="150"/>
      <c r="I376" s="151">
        <f t="shared" si="40"/>
        <v>14.9</v>
      </c>
      <c r="J376" s="180"/>
      <c r="L376" s="185"/>
      <c r="M376" s="185"/>
      <c r="N376" s="185"/>
      <c r="O376" s="186"/>
      <c r="P376" s="186"/>
      <c r="Q376" s="186"/>
    </row>
    <row r="377" spans="1:17" s="181" customFormat="1">
      <c r="A377" s="276"/>
      <c r="B377" s="148" t="s">
        <v>1215</v>
      </c>
      <c r="C377" s="149">
        <v>-2</v>
      </c>
      <c r="D377" s="156" t="s">
        <v>73</v>
      </c>
      <c r="E377" s="149">
        <v>1</v>
      </c>
      <c r="F377" s="150">
        <v>1</v>
      </c>
      <c r="G377" s="150"/>
      <c r="H377" s="150">
        <v>2.1</v>
      </c>
      <c r="I377" s="151">
        <f t="shared" si="40"/>
        <v>-4.2</v>
      </c>
      <c r="J377" s="180"/>
      <c r="L377" s="185"/>
      <c r="M377" s="185"/>
      <c r="N377" s="185"/>
      <c r="O377" s="186"/>
      <c r="P377" s="186"/>
      <c r="Q377" s="186"/>
    </row>
    <row r="378" spans="1:17" s="181" customFormat="1">
      <c r="A378" s="276"/>
      <c r="B378" s="148" t="s">
        <v>1195</v>
      </c>
      <c r="C378" s="149">
        <v>-2</v>
      </c>
      <c r="D378" s="156" t="s">
        <v>73</v>
      </c>
      <c r="E378" s="149">
        <v>1</v>
      </c>
      <c r="F378" s="150">
        <v>0.72</v>
      </c>
      <c r="G378" s="150"/>
      <c r="H378" s="150">
        <v>1.35</v>
      </c>
      <c r="I378" s="151">
        <f t="shared" si="40"/>
        <v>-1.94</v>
      </c>
      <c r="J378" s="180"/>
      <c r="L378" s="185"/>
      <c r="M378" s="185"/>
      <c r="N378" s="185"/>
      <c r="O378" s="186"/>
      <c r="P378" s="186"/>
      <c r="Q378" s="186"/>
    </row>
    <row r="379" spans="1:17" s="181" customFormat="1">
      <c r="A379" s="276"/>
      <c r="B379" s="148" t="s">
        <v>1216</v>
      </c>
      <c r="C379" s="149">
        <v>1</v>
      </c>
      <c r="D379" s="156" t="s">
        <v>73</v>
      </c>
      <c r="E379" s="149">
        <v>1</v>
      </c>
      <c r="F379" s="150">
        <v>5.9119999999999999</v>
      </c>
      <c r="G379" s="150">
        <v>0.23</v>
      </c>
      <c r="H379" s="150"/>
      <c r="I379" s="151">
        <f t="shared" si="40"/>
        <v>1.36</v>
      </c>
      <c r="J379" s="180"/>
      <c r="L379" s="185"/>
      <c r="M379" s="185"/>
      <c r="N379" s="185"/>
      <c r="O379" s="186"/>
      <c r="P379" s="186"/>
      <c r="Q379" s="186"/>
    </row>
    <row r="380" spans="1:17" s="181" customFormat="1">
      <c r="A380" s="276"/>
      <c r="B380" s="148" t="s">
        <v>1229</v>
      </c>
      <c r="C380" s="149">
        <v>-1</v>
      </c>
      <c r="D380" s="156" t="s">
        <v>73</v>
      </c>
      <c r="E380" s="149">
        <v>1</v>
      </c>
      <c r="F380" s="150">
        <v>0.75</v>
      </c>
      <c r="G380" s="150"/>
      <c r="H380" s="150">
        <v>2.1</v>
      </c>
      <c r="I380" s="151">
        <f t="shared" si="40"/>
        <v>-1.58</v>
      </c>
      <c r="J380" s="180"/>
      <c r="L380" s="185"/>
      <c r="M380" s="185"/>
      <c r="N380" s="185"/>
      <c r="O380" s="186"/>
      <c r="P380" s="186"/>
      <c r="Q380" s="186"/>
    </row>
    <row r="381" spans="1:17" s="181" customFormat="1">
      <c r="A381" s="276"/>
      <c r="B381" s="148" t="s">
        <v>1231</v>
      </c>
      <c r="C381" s="149">
        <v>1</v>
      </c>
      <c r="D381" s="156" t="s">
        <v>73</v>
      </c>
      <c r="E381" s="149">
        <v>1</v>
      </c>
      <c r="F381" s="150">
        <v>4.95</v>
      </c>
      <c r="G381" s="150">
        <v>0.23</v>
      </c>
      <c r="H381" s="150"/>
      <c r="I381" s="151">
        <f t="shared" si="40"/>
        <v>1.1399999999999999</v>
      </c>
      <c r="J381" s="180"/>
      <c r="L381" s="185"/>
      <c r="M381" s="185"/>
      <c r="N381" s="185"/>
      <c r="O381" s="186"/>
      <c r="P381" s="186"/>
      <c r="Q381" s="186"/>
    </row>
    <row r="382" spans="1:17" s="181" customFormat="1">
      <c r="A382" s="276"/>
      <c r="B382" s="148" t="s">
        <v>1230</v>
      </c>
      <c r="C382" s="149">
        <v>-2</v>
      </c>
      <c r="D382" s="156" t="s">
        <v>73</v>
      </c>
      <c r="E382" s="149">
        <v>1</v>
      </c>
      <c r="F382" s="150">
        <v>1.2</v>
      </c>
      <c r="G382" s="150"/>
      <c r="H382" s="150">
        <v>2.92</v>
      </c>
      <c r="I382" s="151">
        <f t="shared" si="40"/>
        <v>-7.01</v>
      </c>
      <c r="J382" s="180"/>
    </row>
    <row r="383" spans="1:17" s="181" customFormat="1">
      <c r="A383" s="276"/>
      <c r="B383" s="148" t="s">
        <v>1232</v>
      </c>
      <c r="C383" s="149">
        <v>2</v>
      </c>
      <c r="D383" s="156" t="s">
        <v>73</v>
      </c>
      <c r="E383" s="149">
        <v>2</v>
      </c>
      <c r="F383" s="150">
        <v>0.15</v>
      </c>
      <c r="G383" s="150"/>
      <c r="H383" s="150">
        <v>2.92</v>
      </c>
      <c r="I383" s="151">
        <f t="shared" si="40"/>
        <v>1.75</v>
      </c>
      <c r="J383" s="180"/>
    </row>
    <row r="384" spans="1:17" s="181" customFormat="1">
      <c r="A384" s="276"/>
      <c r="B384" s="148" t="s">
        <v>1232</v>
      </c>
      <c r="C384" s="149">
        <v>1</v>
      </c>
      <c r="D384" s="156" t="s">
        <v>73</v>
      </c>
      <c r="E384" s="149">
        <v>2</v>
      </c>
      <c r="F384" s="165">
        <v>0.26500000000000001</v>
      </c>
      <c r="G384" s="150"/>
      <c r="H384" s="150">
        <v>2.92</v>
      </c>
      <c r="I384" s="151">
        <f t="shared" si="40"/>
        <v>1.55</v>
      </c>
      <c r="J384" s="180"/>
    </row>
    <row r="385" spans="1:17" s="181" customFormat="1">
      <c r="A385" s="276"/>
      <c r="B385" s="148" t="s">
        <v>1227</v>
      </c>
      <c r="C385" s="149">
        <v>1</v>
      </c>
      <c r="D385" s="156" t="s">
        <v>73</v>
      </c>
      <c r="E385" s="149">
        <v>1</v>
      </c>
      <c r="F385" s="150">
        <v>6.67</v>
      </c>
      <c r="G385" s="150">
        <v>0.6</v>
      </c>
      <c r="H385" s="150"/>
      <c r="I385" s="151">
        <f t="shared" si="40"/>
        <v>4</v>
      </c>
      <c r="J385" s="180"/>
    </row>
    <row r="386" spans="1:17" s="181" customFormat="1">
      <c r="A386" s="276"/>
      <c r="B386" s="148" t="s">
        <v>1228</v>
      </c>
      <c r="C386" s="149">
        <v>1</v>
      </c>
      <c r="D386" s="156" t="s">
        <v>73</v>
      </c>
      <c r="E386" s="149">
        <v>1</v>
      </c>
      <c r="F386" s="150">
        <v>4.0599999999999996</v>
      </c>
      <c r="G386" s="150">
        <v>0.6</v>
      </c>
      <c r="H386" s="150"/>
      <c r="I386" s="151">
        <f t="shared" si="40"/>
        <v>2.44</v>
      </c>
      <c r="J386" s="180"/>
    </row>
    <row r="387" spans="1:17" s="181" customFormat="1">
      <c r="A387" s="276"/>
      <c r="B387" s="183" t="s">
        <v>309</v>
      </c>
      <c r="C387" s="149"/>
      <c r="D387" s="156"/>
      <c r="E387" s="149"/>
      <c r="F387" s="150"/>
      <c r="G387" s="150"/>
      <c r="H387" s="150"/>
      <c r="I387" s="151">
        <f t="shared" si="40"/>
        <v>0</v>
      </c>
      <c r="J387" s="180"/>
    </row>
    <row r="388" spans="1:17" s="181" customFormat="1">
      <c r="A388" s="276"/>
      <c r="B388" s="148" t="s">
        <v>1234</v>
      </c>
      <c r="C388" s="149">
        <v>2</v>
      </c>
      <c r="D388" s="149" t="s">
        <v>73</v>
      </c>
      <c r="E388" s="149">
        <v>2</v>
      </c>
      <c r="F388" s="150">
        <v>0.45</v>
      </c>
      <c r="G388" s="150"/>
      <c r="H388" s="150">
        <v>2.1</v>
      </c>
      <c r="I388" s="151">
        <f t="shared" si="40"/>
        <v>3.78</v>
      </c>
      <c r="J388" s="180"/>
      <c r="L388" s="185"/>
      <c r="M388" s="185"/>
      <c r="N388" s="185"/>
      <c r="O388" s="186"/>
      <c r="P388" s="186"/>
      <c r="Q388" s="186"/>
    </row>
    <row r="389" spans="1:17" s="181" customFormat="1">
      <c r="A389" s="276"/>
      <c r="B389" s="148" t="s">
        <v>1201</v>
      </c>
      <c r="C389" s="149">
        <v>1</v>
      </c>
      <c r="D389" s="149" t="s">
        <v>73</v>
      </c>
      <c r="E389" s="149">
        <v>8</v>
      </c>
      <c r="F389" s="150">
        <v>0.45</v>
      </c>
      <c r="G389" s="150"/>
      <c r="H389" s="150">
        <v>2.1</v>
      </c>
      <c r="I389" s="151">
        <f t="shared" si="40"/>
        <v>7.56</v>
      </c>
      <c r="J389" s="180"/>
    </row>
    <row r="390" spans="1:17" s="181" customFormat="1">
      <c r="A390" s="276"/>
      <c r="B390" s="148" t="s">
        <v>1202</v>
      </c>
      <c r="C390" s="149">
        <v>1</v>
      </c>
      <c r="D390" s="149" t="s">
        <v>73</v>
      </c>
      <c r="E390" s="149">
        <v>8</v>
      </c>
      <c r="F390" s="150">
        <v>0.45</v>
      </c>
      <c r="G390" s="150"/>
      <c r="H390" s="150">
        <v>2.1</v>
      </c>
      <c r="I390" s="151">
        <f t="shared" si="40"/>
        <v>7.56</v>
      </c>
      <c r="J390" s="180"/>
    </row>
    <row r="391" spans="1:17" s="181" customFormat="1">
      <c r="A391" s="276"/>
      <c r="B391" s="183" t="s">
        <v>1226</v>
      </c>
      <c r="C391" s="149"/>
      <c r="D391" s="149"/>
      <c r="E391" s="149"/>
      <c r="F391" s="150"/>
      <c r="G391" s="150"/>
      <c r="H391" s="150"/>
      <c r="I391" s="151">
        <f t="shared" si="40"/>
        <v>0</v>
      </c>
      <c r="J391" s="180"/>
    </row>
    <row r="392" spans="1:17" s="181" customFormat="1">
      <c r="A392" s="276"/>
      <c r="B392" s="148" t="s">
        <v>1234</v>
      </c>
      <c r="C392" s="149">
        <v>2</v>
      </c>
      <c r="D392" s="149" t="s">
        <v>73</v>
      </c>
      <c r="E392" s="149">
        <v>1</v>
      </c>
      <c r="F392" s="150">
        <v>1.05</v>
      </c>
      <c r="G392" s="150">
        <v>0.45</v>
      </c>
      <c r="H392" s="150"/>
      <c r="I392" s="151">
        <f t="shared" si="40"/>
        <v>0.95</v>
      </c>
      <c r="J392" s="180"/>
    </row>
    <row r="393" spans="1:17" s="181" customFormat="1">
      <c r="A393" s="276"/>
      <c r="B393" s="148" t="s">
        <v>1201</v>
      </c>
      <c r="C393" s="149">
        <v>1</v>
      </c>
      <c r="D393" s="149" t="s">
        <v>73</v>
      </c>
      <c r="E393" s="149">
        <v>3</v>
      </c>
      <c r="F393" s="150">
        <v>1.2</v>
      </c>
      <c r="G393" s="150">
        <v>0.45</v>
      </c>
      <c r="H393" s="150"/>
      <c r="I393" s="151">
        <f t="shared" si="40"/>
        <v>1.62</v>
      </c>
      <c r="J393" s="180"/>
    </row>
    <row r="394" spans="1:17" s="181" customFormat="1">
      <c r="A394" s="276"/>
      <c r="B394" s="148" t="s">
        <v>1202</v>
      </c>
      <c r="C394" s="149">
        <v>1</v>
      </c>
      <c r="D394" s="149" t="s">
        <v>73</v>
      </c>
      <c r="E394" s="149">
        <v>4</v>
      </c>
      <c r="F394" s="150">
        <v>0.9</v>
      </c>
      <c r="G394" s="150">
        <v>0.45</v>
      </c>
      <c r="H394" s="150"/>
      <c r="I394" s="151">
        <f t="shared" si="40"/>
        <v>1.62</v>
      </c>
      <c r="J394" s="180"/>
      <c r="L394" s="185"/>
      <c r="M394" s="185"/>
      <c r="N394" s="185"/>
      <c r="O394" s="186"/>
      <c r="P394" s="186"/>
      <c r="Q394" s="186"/>
    </row>
    <row r="395" spans="1:17" s="181" customFormat="1">
      <c r="A395" s="276"/>
      <c r="B395" s="148"/>
      <c r="C395" s="149"/>
      <c r="D395" s="156"/>
      <c r="E395" s="149"/>
      <c r="F395" s="150"/>
      <c r="G395" s="150"/>
      <c r="H395" s="150"/>
      <c r="I395" s="151"/>
      <c r="J395" s="180"/>
    </row>
    <row r="396" spans="1:17" s="181" customFormat="1">
      <c r="A396" s="276"/>
      <c r="B396" s="183" t="s">
        <v>123</v>
      </c>
      <c r="C396" s="149"/>
      <c r="D396" s="156"/>
      <c r="E396" s="149"/>
      <c r="F396" s="150"/>
      <c r="G396" s="150"/>
      <c r="H396" s="150"/>
      <c r="I396" s="151">
        <f t="shared" ref="I396:I433" si="41">ROUND(PRODUCT(C396:H396),2)</f>
        <v>0</v>
      </c>
      <c r="J396" s="180"/>
    </row>
    <row r="397" spans="1:17" s="181" customFormat="1">
      <c r="A397" s="276"/>
      <c r="B397" s="148" t="s">
        <v>1235</v>
      </c>
      <c r="C397" s="149">
        <v>1</v>
      </c>
      <c r="D397" s="156" t="s">
        <v>73</v>
      </c>
      <c r="E397" s="149">
        <v>1</v>
      </c>
      <c r="F397" s="150">
        <f>2*(4.61+3.045)</f>
        <v>15.31</v>
      </c>
      <c r="G397" s="150"/>
      <c r="H397" s="165">
        <v>3.1749999999999998</v>
      </c>
      <c r="I397" s="151">
        <f t="shared" si="41"/>
        <v>48.61</v>
      </c>
      <c r="J397" s="180"/>
    </row>
    <row r="398" spans="1:17" s="181" customFormat="1">
      <c r="A398" s="276"/>
      <c r="B398" s="148" t="s">
        <v>1236</v>
      </c>
      <c r="C398" s="149">
        <v>1</v>
      </c>
      <c r="D398" s="156" t="s">
        <v>73</v>
      </c>
      <c r="E398" s="149">
        <v>1</v>
      </c>
      <c r="F398" s="150">
        <f>2*(4.61+3.045)</f>
        <v>15.31</v>
      </c>
      <c r="G398" s="150"/>
      <c r="H398" s="165">
        <v>3.1749999999999998</v>
      </c>
      <c r="I398" s="151">
        <f t="shared" si="41"/>
        <v>48.61</v>
      </c>
      <c r="J398" s="180"/>
    </row>
    <row r="399" spans="1:17" s="181" customFormat="1">
      <c r="A399" s="276"/>
      <c r="B399" s="182" t="s">
        <v>1237</v>
      </c>
      <c r="C399" s="149">
        <v>1</v>
      </c>
      <c r="D399" s="156" t="s">
        <v>73</v>
      </c>
      <c r="E399" s="149">
        <v>2</v>
      </c>
      <c r="F399" s="150">
        <f>2*(4.61+1.47)</f>
        <v>12.16</v>
      </c>
      <c r="G399" s="150"/>
      <c r="H399" s="165">
        <v>3.1749999999999998</v>
      </c>
      <c r="I399" s="151">
        <f t="shared" si="41"/>
        <v>77.22</v>
      </c>
      <c r="J399" s="180"/>
    </row>
    <row r="400" spans="1:17" s="181" customFormat="1">
      <c r="A400" s="276"/>
      <c r="B400" s="182" t="s">
        <v>1238</v>
      </c>
      <c r="C400" s="149">
        <v>1</v>
      </c>
      <c r="D400" s="156" t="s">
        <v>73</v>
      </c>
      <c r="E400" s="149">
        <v>2</v>
      </c>
      <c r="F400" s="150">
        <f>2*(1.32+1.485)</f>
        <v>5.61</v>
      </c>
      <c r="G400" s="150"/>
      <c r="H400" s="165">
        <v>3.1749999999999998</v>
      </c>
      <c r="I400" s="151">
        <f t="shared" si="41"/>
        <v>35.619999999999997</v>
      </c>
      <c r="J400" s="180"/>
    </row>
    <row r="401" spans="1:11" s="181" customFormat="1">
      <c r="A401" s="276"/>
      <c r="B401" s="182" t="s">
        <v>1239</v>
      </c>
      <c r="C401" s="149">
        <v>1</v>
      </c>
      <c r="D401" s="156" t="s">
        <v>73</v>
      </c>
      <c r="E401" s="149">
        <v>2</v>
      </c>
      <c r="F401" s="150">
        <f>2*(1.485+1.21)</f>
        <v>5.3900000000000006</v>
      </c>
      <c r="G401" s="150"/>
      <c r="H401" s="165">
        <v>3.1749999999999998</v>
      </c>
      <c r="I401" s="151">
        <f t="shared" si="41"/>
        <v>34.229999999999997</v>
      </c>
      <c r="J401" s="180"/>
      <c r="K401" s="184">
        <f>SUM(I350:I394)</f>
        <v>395.67000000000007</v>
      </c>
    </row>
    <row r="402" spans="1:11" s="181" customFormat="1">
      <c r="A402" s="276"/>
      <c r="B402" s="182" t="s">
        <v>1240</v>
      </c>
      <c r="C402" s="149">
        <v>1</v>
      </c>
      <c r="D402" s="156" t="s">
        <v>73</v>
      </c>
      <c r="E402" s="149">
        <v>2</v>
      </c>
      <c r="F402" s="150">
        <f>2*(1.485+1.85)</f>
        <v>6.67</v>
      </c>
      <c r="G402" s="150"/>
      <c r="H402" s="165">
        <v>3.1749999999999998</v>
      </c>
      <c r="I402" s="151">
        <f t="shared" si="41"/>
        <v>42.35</v>
      </c>
      <c r="J402" s="180"/>
    </row>
    <row r="403" spans="1:11" s="181" customFormat="1">
      <c r="A403" s="276"/>
      <c r="B403" s="148" t="s">
        <v>1241</v>
      </c>
      <c r="C403" s="149">
        <v>1</v>
      </c>
      <c r="D403" s="156" t="s">
        <v>73</v>
      </c>
      <c r="E403" s="149">
        <v>1</v>
      </c>
      <c r="F403" s="150">
        <f>2*(4.56+2.67)</f>
        <v>14.459999999999999</v>
      </c>
      <c r="G403" s="150"/>
      <c r="H403" s="165">
        <v>3.1749999999999998</v>
      </c>
      <c r="I403" s="151">
        <f t="shared" si="41"/>
        <v>45.91</v>
      </c>
      <c r="J403" s="180"/>
    </row>
    <row r="404" spans="1:11" s="181" customFormat="1">
      <c r="A404" s="276"/>
      <c r="B404" s="155" t="s">
        <v>254</v>
      </c>
      <c r="C404" s="149"/>
      <c r="D404" s="156"/>
      <c r="E404" s="149"/>
      <c r="F404" s="150"/>
      <c r="G404" s="150"/>
      <c r="H404" s="150"/>
      <c r="I404" s="151">
        <f t="shared" si="41"/>
        <v>0</v>
      </c>
      <c r="J404" s="180"/>
    </row>
    <row r="405" spans="1:11" s="181" customFormat="1">
      <c r="A405" s="276"/>
      <c r="B405" s="148" t="s">
        <v>72</v>
      </c>
      <c r="C405" s="149">
        <v>-2</v>
      </c>
      <c r="D405" s="156" t="s">
        <v>73</v>
      </c>
      <c r="E405" s="149">
        <v>2</v>
      </c>
      <c r="F405" s="150">
        <v>1</v>
      </c>
      <c r="G405" s="150"/>
      <c r="H405" s="150">
        <v>2.1</v>
      </c>
      <c r="I405" s="151">
        <f t="shared" si="41"/>
        <v>-8.4</v>
      </c>
      <c r="J405" s="180"/>
    </row>
    <row r="406" spans="1:11" s="181" customFormat="1">
      <c r="A406" s="276"/>
      <c r="B406" s="148" t="s">
        <v>292</v>
      </c>
      <c r="C406" s="149">
        <v>1</v>
      </c>
      <c r="D406" s="156" t="s">
        <v>73</v>
      </c>
      <c r="E406" s="149">
        <v>2</v>
      </c>
      <c r="F406" s="150">
        <f>1+2.1+2.1</f>
        <v>5.2</v>
      </c>
      <c r="G406" s="150">
        <v>0.13</v>
      </c>
      <c r="H406" s="150"/>
      <c r="I406" s="151">
        <f t="shared" si="41"/>
        <v>1.35</v>
      </c>
      <c r="J406" s="180"/>
    </row>
    <row r="407" spans="1:11" s="181" customFormat="1">
      <c r="A407" s="276"/>
      <c r="B407" s="148" t="s">
        <v>1242</v>
      </c>
      <c r="C407" s="149">
        <v>-1</v>
      </c>
      <c r="D407" s="156" t="s">
        <v>73</v>
      </c>
      <c r="E407" s="149">
        <v>1</v>
      </c>
      <c r="F407" s="150">
        <v>1</v>
      </c>
      <c r="G407" s="150"/>
      <c r="H407" s="150">
        <v>2.1</v>
      </c>
      <c r="I407" s="151">
        <f t="shared" si="41"/>
        <v>-2.1</v>
      </c>
      <c r="J407" s="180"/>
    </row>
    <row r="408" spans="1:11" s="181" customFormat="1">
      <c r="A408" s="276"/>
      <c r="B408" s="148" t="s">
        <v>1216</v>
      </c>
      <c r="C408" s="149">
        <v>1</v>
      </c>
      <c r="D408" s="156" t="s">
        <v>73</v>
      </c>
      <c r="E408" s="149">
        <v>1</v>
      </c>
      <c r="F408" s="150">
        <f>1+2.1+2.1</f>
        <v>5.2</v>
      </c>
      <c r="G408" s="150">
        <v>0.23</v>
      </c>
      <c r="H408" s="150"/>
      <c r="I408" s="151">
        <f t="shared" si="41"/>
        <v>1.2</v>
      </c>
      <c r="J408" s="180"/>
    </row>
    <row r="409" spans="1:11" s="181" customFormat="1">
      <c r="A409" s="276"/>
      <c r="B409" s="148" t="s">
        <v>266</v>
      </c>
      <c r="C409" s="149">
        <v>-6</v>
      </c>
      <c r="D409" s="156" t="s">
        <v>73</v>
      </c>
      <c r="E409" s="149">
        <v>2</v>
      </c>
      <c r="F409" s="150">
        <v>0.75</v>
      </c>
      <c r="G409" s="150"/>
      <c r="H409" s="150">
        <v>2.1</v>
      </c>
      <c r="I409" s="151">
        <f t="shared" si="41"/>
        <v>-18.899999999999999</v>
      </c>
      <c r="J409" s="180"/>
    </row>
    <row r="410" spans="1:11" s="181" customFormat="1">
      <c r="A410" s="276"/>
      <c r="B410" s="148" t="s">
        <v>293</v>
      </c>
      <c r="C410" s="149">
        <v>6</v>
      </c>
      <c r="D410" s="156" t="s">
        <v>73</v>
      </c>
      <c r="E410" s="149">
        <v>1</v>
      </c>
      <c r="F410" s="150">
        <f>0.75+2.1+2.1</f>
        <v>4.95</v>
      </c>
      <c r="G410" s="165">
        <v>0.115</v>
      </c>
      <c r="H410" s="165"/>
      <c r="I410" s="151">
        <f t="shared" si="41"/>
        <v>3.42</v>
      </c>
      <c r="J410" s="180"/>
    </row>
    <row r="411" spans="1:11" s="181" customFormat="1">
      <c r="A411" s="276"/>
      <c r="B411" s="148" t="s">
        <v>265</v>
      </c>
      <c r="C411" s="149">
        <v>-2</v>
      </c>
      <c r="D411" s="156" t="s">
        <v>73</v>
      </c>
      <c r="E411" s="149">
        <v>2</v>
      </c>
      <c r="F411" s="150">
        <v>0.9</v>
      </c>
      <c r="G411" s="150"/>
      <c r="H411" s="150">
        <v>2.1</v>
      </c>
      <c r="I411" s="151">
        <f t="shared" si="41"/>
        <v>-7.56</v>
      </c>
      <c r="J411" s="180"/>
    </row>
    <row r="412" spans="1:11" s="181" customFormat="1">
      <c r="A412" s="276"/>
      <c r="B412" s="148" t="s">
        <v>304</v>
      </c>
      <c r="C412" s="149">
        <v>2</v>
      </c>
      <c r="D412" s="156" t="s">
        <v>73</v>
      </c>
      <c r="E412" s="149">
        <v>2</v>
      </c>
      <c r="F412" s="150">
        <v>5.0999999999999996</v>
      </c>
      <c r="G412" s="165">
        <v>0.05</v>
      </c>
      <c r="H412" s="165"/>
      <c r="I412" s="151">
        <f t="shared" si="41"/>
        <v>1.02</v>
      </c>
      <c r="J412" s="180"/>
    </row>
    <row r="413" spans="1:11" s="181" customFormat="1">
      <c r="A413" s="276"/>
      <c r="B413" s="148" t="s">
        <v>305</v>
      </c>
      <c r="C413" s="149">
        <v>-8</v>
      </c>
      <c r="D413" s="156" t="s">
        <v>73</v>
      </c>
      <c r="E413" s="149">
        <v>1</v>
      </c>
      <c r="F413" s="150">
        <v>0.75</v>
      </c>
      <c r="G413" s="150"/>
      <c r="H413" s="150">
        <v>0.6</v>
      </c>
      <c r="I413" s="151">
        <f t="shared" si="41"/>
        <v>-3.6</v>
      </c>
      <c r="J413" s="180"/>
    </row>
    <row r="414" spans="1:11" s="181" customFormat="1">
      <c r="A414" s="276"/>
      <c r="B414" s="148" t="s">
        <v>306</v>
      </c>
      <c r="C414" s="149">
        <v>8</v>
      </c>
      <c r="D414" s="156" t="s">
        <v>73</v>
      </c>
      <c r="E414" s="149">
        <v>1</v>
      </c>
      <c r="F414" s="150">
        <v>2.7</v>
      </c>
      <c r="G414" s="150">
        <v>0.23</v>
      </c>
      <c r="H414" s="150"/>
      <c r="I414" s="151">
        <f t="shared" si="41"/>
        <v>4.97</v>
      </c>
      <c r="J414" s="180"/>
    </row>
    <row r="415" spans="1:11" s="181" customFormat="1">
      <c r="A415" s="276"/>
      <c r="B415" s="148" t="s">
        <v>294</v>
      </c>
      <c r="C415" s="149">
        <v>-1</v>
      </c>
      <c r="D415" s="156" t="s">
        <v>73</v>
      </c>
      <c r="E415" s="149">
        <v>4</v>
      </c>
      <c r="F415" s="150">
        <v>1.35</v>
      </c>
      <c r="G415" s="150"/>
      <c r="H415" s="150">
        <v>1.35</v>
      </c>
      <c r="I415" s="151">
        <f t="shared" si="41"/>
        <v>-7.29</v>
      </c>
      <c r="J415" s="180"/>
    </row>
    <row r="416" spans="1:11" s="181" customFormat="1">
      <c r="A416" s="276"/>
      <c r="B416" s="148" t="s">
        <v>295</v>
      </c>
      <c r="C416" s="149">
        <v>1</v>
      </c>
      <c r="D416" s="156" t="s">
        <v>73</v>
      </c>
      <c r="E416" s="149">
        <v>4</v>
      </c>
      <c r="F416" s="150">
        <v>5.4</v>
      </c>
      <c r="G416" s="150">
        <v>0.23</v>
      </c>
      <c r="H416" s="150"/>
      <c r="I416" s="151">
        <f t="shared" si="41"/>
        <v>4.97</v>
      </c>
      <c r="J416" s="180"/>
    </row>
    <row r="417" spans="1:17" s="181" customFormat="1">
      <c r="A417" s="276"/>
      <c r="B417" s="148" t="s">
        <v>1229</v>
      </c>
      <c r="C417" s="149">
        <v>-1</v>
      </c>
      <c r="D417" s="156" t="s">
        <v>73</v>
      </c>
      <c r="E417" s="149">
        <v>1</v>
      </c>
      <c r="F417" s="150">
        <v>0.75</v>
      </c>
      <c r="G417" s="150"/>
      <c r="H417" s="150">
        <v>2.1</v>
      </c>
      <c r="I417" s="151">
        <f t="shared" si="41"/>
        <v>-1.58</v>
      </c>
      <c r="J417" s="180"/>
      <c r="L417" s="185"/>
      <c r="M417" s="185"/>
      <c r="N417" s="185"/>
      <c r="O417" s="186"/>
      <c r="P417" s="186"/>
      <c r="Q417" s="186"/>
    </row>
    <row r="418" spans="1:17" s="181" customFormat="1">
      <c r="A418" s="276"/>
      <c r="B418" s="148" t="s">
        <v>1231</v>
      </c>
      <c r="C418" s="149">
        <v>1</v>
      </c>
      <c r="D418" s="156" t="s">
        <v>73</v>
      </c>
      <c r="E418" s="149">
        <v>1</v>
      </c>
      <c r="F418" s="150">
        <v>4.95</v>
      </c>
      <c r="G418" s="150">
        <v>0.23</v>
      </c>
      <c r="H418" s="150"/>
      <c r="I418" s="151">
        <f t="shared" si="41"/>
        <v>1.1399999999999999</v>
      </c>
      <c r="J418" s="180"/>
    </row>
    <row r="419" spans="1:17" s="181" customFormat="1">
      <c r="A419" s="276"/>
      <c r="B419" s="148" t="s">
        <v>1230</v>
      </c>
      <c r="C419" s="149">
        <v>-1</v>
      </c>
      <c r="D419" s="156" t="s">
        <v>73</v>
      </c>
      <c r="E419" s="149">
        <v>1</v>
      </c>
      <c r="F419" s="150">
        <v>1.2</v>
      </c>
      <c r="G419" s="150"/>
      <c r="H419" s="150">
        <v>2.92</v>
      </c>
      <c r="I419" s="151">
        <f t="shared" si="41"/>
        <v>-3.5</v>
      </c>
      <c r="J419" s="180"/>
      <c r="L419" s="185"/>
      <c r="M419" s="185"/>
      <c r="N419" s="185"/>
      <c r="O419" s="186"/>
      <c r="P419" s="186"/>
      <c r="Q419" s="186"/>
    </row>
    <row r="420" spans="1:17" s="181" customFormat="1">
      <c r="A420" s="276"/>
      <c r="B420" s="148" t="s">
        <v>1230</v>
      </c>
      <c r="C420" s="149">
        <v>-1</v>
      </c>
      <c r="D420" s="156" t="s">
        <v>73</v>
      </c>
      <c r="E420" s="149">
        <v>1</v>
      </c>
      <c r="F420" s="150">
        <v>1.2</v>
      </c>
      <c r="G420" s="150"/>
      <c r="H420" s="150">
        <v>1.92</v>
      </c>
      <c r="I420" s="151">
        <f t="shared" si="41"/>
        <v>-2.2999999999999998</v>
      </c>
      <c r="J420" s="180"/>
      <c r="L420" s="185"/>
      <c r="M420" s="185"/>
      <c r="N420" s="185"/>
      <c r="O420" s="186"/>
      <c r="P420" s="186"/>
      <c r="Q420" s="186"/>
    </row>
    <row r="421" spans="1:17" s="181" customFormat="1">
      <c r="A421" s="276"/>
      <c r="B421" s="148" t="s">
        <v>1232</v>
      </c>
      <c r="C421" s="149">
        <v>1</v>
      </c>
      <c r="D421" s="156" t="s">
        <v>73</v>
      </c>
      <c r="E421" s="149">
        <v>2</v>
      </c>
      <c r="F421" s="150">
        <v>0.15</v>
      </c>
      <c r="G421" s="150"/>
      <c r="H421" s="150">
        <v>2.92</v>
      </c>
      <c r="I421" s="151">
        <f t="shared" si="41"/>
        <v>0.88</v>
      </c>
      <c r="J421" s="180"/>
      <c r="L421" s="185"/>
      <c r="M421" s="185"/>
      <c r="N421" s="185"/>
      <c r="O421" s="186"/>
      <c r="P421" s="186"/>
      <c r="Q421" s="186"/>
    </row>
    <row r="422" spans="1:17" s="181" customFormat="1">
      <c r="A422" s="276"/>
      <c r="B422" s="148" t="s">
        <v>1243</v>
      </c>
      <c r="C422" s="149">
        <v>1</v>
      </c>
      <c r="D422" s="156" t="s">
        <v>73</v>
      </c>
      <c r="E422" s="149">
        <v>2</v>
      </c>
      <c r="F422" s="150">
        <v>4.6100000000000003</v>
      </c>
      <c r="G422" s="150">
        <v>0.6</v>
      </c>
      <c r="H422" s="150"/>
      <c r="I422" s="151">
        <f t="shared" si="41"/>
        <v>5.53</v>
      </c>
      <c r="J422" s="180"/>
    </row>
    <row r="423" spans="1:17" s="181" customFormat="1">
      <c r="A423" s="276"/>
      <c r="B423" s="183" t="s">
        <v>309</v>
      </c>
      <c r="C423" s="149"/>
      <c r="D423" s="156"/>
      <c r="E423" s="149"/>
      <c r="F423" s="150"/>
      <c r="G423" s="150"/>
      <c r="H423" s="150"/>
      <c r="I423" s="151">
        <f t="shared" si="41"/>
        <v>0</v>
      </c>
      <c r="J423" s="180"/>
    </row>
    <row r="424" spans="1:17" s="181" customFormat="1">
      <c r="A424" s="276"/>
      <c r="B424" s="148" t="s">
        <v>1244</v>
      </c>
      <c r="C424" s="149">
        <v>2</v>
      </c>
      <c r="D424" s="149" t="s">
        <v>73</v>
      </c>
      <c r="E424" s="149">
        <v>8</v>
      </c>
      <c r="F424" s="150">
        <v>0.6</v>
      </c>
      <c r="G424" s="150"/>
      <c r="H424" s="150">
        <v>2.1</v>
      </c>
      <c r="I424" s="151">
        <f t="shared" si="41"/>
        <v>20.16</v>
      </c>
      <c r="J424" s="180"/>
    </row>
    <row r="425" spans="1:17" s="181" customFormat="1">
      <c r="A425" s="276"/>
      <c r="B425" s="183" t="s">
        <v>1226</v>
      </c>
      <c r="C425" s="149"/>
      <c r="D425" s="149"/>
      <c r="E425" s="149"/>
      <c r="F425" s="150"/>
      <c r="G425" s="150"/>
      <c r="H425" s="150"/>
      <c r="I425" s="151">
        <f t="shared" si="41"/>
        <v>0</v>
      </c>
      <c r="J425" s="180"/>
      <c r="L425" s="185"/>
      <c r="M425" s="185"/>
      <c r="N425" s="185"/>
      <c r="O425" s="186"/>
      <c r="P425" s="186"/>
      <c r="Q425" s="186"/>
    </row>
    <row r="426" spans="1:17" s="181" customFormat="1">
      <c r="A426" s="276"/>
      <c r="B426" s="148" t="s">
        <v>1244</v>
      </c>
      <c r="C426" s="149">
        <v>2</v>
      </c>
      <c r="D426" s="149" t="s">
        <v>73</v>
      </c>
      <c r="E426" s="149">
        <v>4</v>
      </c>
      <c r="F426" s="150">
        <v>0.75</v>
      </c>
      <c r="G426" s="150">
        <v>0.6</v>
      </c>
      <c r="H426" s="150"/>
      <c r="I426" s="151">
        <f t="shared" si="41"/>
        <v>3.6</v>
      </c>
      <c r="J426" s="180"/>
    </row>
    <row r="427" spans="1:17" s="181" customFormat="1">
      <c r="A427" s="276"/>
      <c r="B427" s="183" t="s">
        <v>1245</v>
      </c>
      <c r="C427" s="149"/>
      <c r="D427" s="156"/>
      <c r="E427" s="149"/>
      <c r="F427" s="150"/>
      <c r="G427" s="150"/>
      <c r="H427" s="150"/>
      <c r="I427" s="151">
        <f t="shared" si="41"/>
        <v>0</v>
      </c>
      <c r="J427" s="180"/>
    </row>
    <row r="428" spans="1:17" s="181" customFormat="1">
      <c r="A428" s="276"/>
      <c r="B428" s="148" t="s">
        <v>1246</v>
      </c>
      <c r="C428" s="149">
        <v>1</v>
      </c>
      <c r="D428" s="149" t="s">
        <v>73</v>
      </c>
      <c r="E428" s="149">
        <v>1</v>
      </c>
      <c r="F428" s="150">
        <f>3.56+4.56+3.56</f>
        <v>11.68</v>
      </c>
      <c r="G428" s="150"/>
      <c r="H428" s="150">
        <v>13.074999999999999</v>
      </c>
      <c r="I428" s="151">
        <f t="shared" si="41"/>
        <v>152.72</v>
      </c>
      <c r="J428" s="180"/>
    </row>
    <row r="429" spans="1:17" s="181" customFormat="1">
      <c r="A429" s="276"/>
      <c r="B429" s="148" t="s">
        <v>1247</v>
      </c>
      <c r="C429" s="149">
        <v>1</v>
      </c>
      <c r="D429" s="149" t="s">
        <v>73</v>
      </c>
      <c r="E429" s="149">
        <v>1</v>
      </c>
      <c r="F429" s="150">
        <f>2.36+2.16+2.36</f>
        <v>6.879999999999999</v>
      </c>
      <c r="G429" s="150"/>
      <c r="H429" s="150">
        <v>13.074999999999999</v>
      </c>
      <c r="I429" s="151">
        <f t="shared" si="41"/>
        <v>89.96</v>
      </c>
      <c r="J429" s="180"/>
    </row>
    <row r="430" spans="1:17" s="181" customFormat="1">
      <c r="A430" s="276"/>
      <c r="B430" s="148" t="s">
        <v>1248</v>
      </c>
      <c r="C430" s="149">
        <v>-1</v>
      </c>
      <c r="D430" s="156" t="s">
        <v>73</v>
      </c>
      <c r="E430" s="149">
        <v>7</v>
      </c>
      <c r="F430" s="150">
        <v>0.9</v>
      </c>
      <c r="G430" s="150"/>
      <c r="H430" s="150">
        <v>0.9</v>
      </c>
      <c r="I430" s="151">
        <f t="shared" si="41"/>
        <v>-5.67</v>
      </c>
      <c r="J430" s="180"/>
      <c r="L430" s="185"/>
      <c r="M430" s="185"/>
      <c r="N430" s="185"/>
      <c r="O430" s="186"/>
      <c r="P430" s="186"/>
      <c r="Q430" s="186"/>
    </row>
    <row r="431" spans="1:17" s="181" customFormat="1">
      <c r="A431" s="276"/>
      <c r="B431" s="148" t="s">
        <v>296</v>
      </c>
      <c r="C431" s="149">
        <v>1</v>
      </c>
      <c r="D431" s="156" t="s">
        <v>73</v>
      </c>
      <c r="E431" s="149">
        <v>7</v>
      </c>
      <c r="F431" s="150">
        <v>3.6</v>
      </c>
      <c r="G431" s="150">
        <v>0.23</v>
      </c>
      <c r="H431" s="150"/>
      <c r="I431" s="151">
        <f t="shared" si="41"/>
        <v>5.8</v>
      </c>
      <c r="J431" s="180"/>
    </row>
    <row r="432" spans="1:17" s="181" customFormat="1">
      <c r="A432" s="276"/>
      <c r="B432" s="148" t="s">
        <v>1249</v>
      </c>
      <c r="C432" s="149">
        <v>-1</v>
      </c>
      <c r="D432" s="156" t="s">
        <v>73</v>
      </c>
      <c r="E432" s="149">
        <v>3</v>
      </c>
      <c r="F432" s="150">
        <f>2.35+1.2+2+1.2+1.2+2+0.55</f>
        <v>10.5</v>
      </c>
      <c r="G432" s="150"/>
      <c r="H432" s="150">
        <v>0.15</v>
      </c>
      <c r="I432" s="151">
        <f t="shared" si="41"/>
        <v>-4.7300000000000004</v>
      </c>
      <c r="J432" s="180"/>
    </row>
    <row r="433" spans="1:17" s="181" customFormat="1">
      <c r="A433" s="276"/>
      <c r="B433" s="148" t="s">
        <v>1249</v>
      </c>
      <c r="C433" s="149">
        <v>-1</v>
      </c>
      <c r="D433" s="156" t="s">
        <v>73</v>
      </c>
      <c r="E433" s="149">
        <v>3</v>
      </c>
      <c r="F433" s="150">
        <f>2.35+2+2+0.55</f>
        <v>6.8999999999999995</v>
      </c>
      <c r="G433" s="150"/>
      <c r="H433" s="150">
        <v>0.15</v>
      </c>
      <c r="I433" s="151">
        <f t="shared" si="41"/>
        <v>-3.11</v>
      </c>
      <c r="J433" s="180"/>
      <c r="K433" s="184">
        <f>SUM(I397:I426)</f>
        <v>325.56</v>
      </c>
    </row>
    <row r="434" spans="1:17" s="181" customFormat="1">
      <c r="A434" s="276"/>
      <c r="B434" s="148" t="s">
        <v>1250</v>
      </c>
      <c r="C434" s="149">
        <v>-3</v>
      </c>
      <c r="D434" s="156" t="s">
        <v>73</v>
      </c>
      <c r="E434" s="149">
        <v>19</v>
      </c>
      <c r="F434" s="150">
        <v>0.3</v>
      </c>
      <c r="G434" s="150">
        <v>0.5</v>
      </c>
      <c r="H434" s="150">
        <v>0.15</v>
      </c>
      <c r="I434" s="151">
        <f>ROUND(PRODUCT(C434:H434),2)</f>
        <v>-1.28</v>
      </c>
      <c r="J434" s="180"/>
      <c r="L434" s="185"/>
      <c r="M434" s="185"/>
      <c r="N434" s="185"/>
      <c r="O434" s="186"/>
      <c r="P434" s="186"/>
      <c r="Q434" s="186"/>
    </row>
    <row r="435" spans="1:17" s="181" customFormat="1">
      <c r="A435" s="276"/>
      <c r="B435" s="183" t="s">
        <v>1251</v>
      </c>
      <c r="C435" s="149"/>
      <c r="D435" s="156"/>
      <c r="E435" s="149"/>
      <c r="F435" s="150"/>
      <c r="G435" s="150"/>
      <c r="H435" s="150"/>
      <c r="I435" s="151">
        <f t="shared" ref="I435:I438" si="42">ROUND(PRODUCT(C435:H435),2)</f>
        <v>0</v>
      </c>
      <c r="J435" s="180"/>
    </row>
    <row r="436" spans="1:17" s="181" customFormat="1">
      <c r="A436" s="276"/>
      <c r="B436" s="148" t="s">
        <v>1252</v>
      </c>
      <c r="C436" s="149">
        <v>1</v>
      </c>
      <c r="D436" s="149" t="s">
        <v>73</v>
      </c>
      <c r="E436" s="149">
        <v>1</v>
      </c>
      <c r="F436" s="150">
        <f>2*(1.9+1.7)</f>
        <v>7.1999999999999993</v>
      </c>
      <c r="G436" s="150"/>
      <c r="H436" s="150">
        <f>1.8+3.3+3.3+3.3+3.3+1.05</f>
        <v>16.05</v>
      </c>
      <c r="I436" s="151">
        <f t="shared" si="42"/>
        <v>115.56</v>
      </c>
      <c r="J436" s="180"/>
    </row>
    <row r="437" spans="1:17" s="181" customFormat="1">
      <c r="A437" s="276"/>
      <c r="B437" s="148" t="s">
        <v>1253</v>
      </c>
      <c r="C437" s="149">
        <v>-1</v>
      </c>
      <c r="D437" s="156" t="s">
        <v>73</v>
      </c>
      <c r="E437" s="149">
        <v>4</v>
      </c>
      <c r="F437" s="150">
        <v>0.75</v>
      </c>
      <c r="G437" s="150"/>
      <c r="H437" s="150">
        <v>2.1</v>
      </c>
      <c r="I437" s="151">
        <f t="shared" si="42"/>
        <v>-6.3</v>
      </c>
      <c r="J437" s="180"/>
    </row>
    <row r="438" spans="1:17" s="181" customFormat="1">
      <c r="A438" s="276"/>
      <c r="B438" s="148" t="s">
        <v>1254</v>
      </c>
      <c r="C438" s="149">
        <v>1</v>
      </c>
      <c r="D438" s="156" t="s">
        <v>73</v>
      </c>
      <c r="E438" s="149">
        <v>4</v>
      </c>
      <c r="F438" s="150">
        <v>4.95</v>
      </c>
      <c r="G438" s="150">
        <v>0.23</v>
      </c>
      <c r="H438" s="150"/>
      <c r="I438" s="151">
        <f t="shared" si="42"/>
        <v>4.55</v>
      </c>
      <c r="J438" s="180"/>
    </row>
    <row r="439" spans="1:17" s="181" customFormat="1">
      <c r="A439" s="276"/>
      <c r="B439" s="157" t="s">
        <v>313</v>
      </c>
      <c r="C439" s="149"/>
      <c r="D439" s="149"/>
      <c r="E439" s="149"/>
      <c r="F439" s="150"/>
      <c r="G439" s="158" t="s">
        <v>314</v>
      </c>
      <c r="H439" s="150"/>
      <c r="I439" s="159">
        <f>SUM(I269:I438)</f>
        <v>1719.4599999999989</v>
      </c>
      <c r="J439" s="180" t="s">
        <v>75</v>
      </c>
    </row>
    <row r="440" spans="1:17" s="181" customFormat="1">
      <c r="A440" s="276"/>
      <c r="B440" s="183" t="s">
        <v>315</v>
      </c>
      <c r="C440" s="149"/>
      <c r="D440" s="149"/>
      <c r="E440" s="149"/>
      <c r="F440" s="150"/>
      <c r="G440" s="150"/>
      <c r="H440" s="150"/>
      <c r="I440" s="151"/>
      <c r="J440" s="180"/>
    </row>
    <row r="441" spans="1:17" s="181" customFormat="1">
      <c r="A441" s="276"/>
      <c r="B441" s="148" t="s">
        <v>1255</v>
      </c>
      <c r="C441" s="149">
        <v>1</v>
      </c>
      <c r="D441" s="149" t="s">
        <v>73</v>
      </c>
      <c r="E441" s="149">
        <v>1</v>
      </c>
      <c r="F441" s="150">
        <v>14.7</v>
      </c>
      <c r="G441" s="150"/>
      <c r="H441" s="150">
        <v>8.18</v>
      </c>
      <c r="I441" s="151">
        <f t="shared" ref="I441:I489" si="43">ROUND(PRODUCT(C441:H441),2)</f>
        <v>120.25</v>
      </c>
      <c r="J441" s="180"/>
    </row>
    <row r="442" spans="1:17" s="181" customFormat="1">
      <c r="A442" s="276"/>
      <c r="B442" s="148" t="s">
        <v>1258</v>
      </c>
      <c r="C442" s="149">
        <v>-1</v>
      </c>
      <c r="D442" s="156" t="s">
        <v>73</v>
      </c>
      <c r="E442" s="149">
        <v>12</v>
      </c>
      <c r="F442" s="150">
        <v>1.35</v>
      </c>
      <c r="G442" s="150"/>
      <c r="H442" s="150">
        <v>1.35</v>
      </c>
      <c r="I442" s="151">
        <f t="shared" si="43"/>
        <v>-21.87</v>
      </c>
      <c r="J442" s="180"/>
      <c r="L442" s="185"/>
      <c r="M442" s="185"/>
      <c r="N442" s="185"/>
      <c r="O442" s="186"/>
      <c r="P442" s="186"/>
      <c r="Q442" s="186"/>
    </row>
    <row r="443" spans="1:17" s="181" customFormat="1">
      <c r="A443" s="276"/>
      <c r="B443" s="148" t="s">
        <v>1256</v>
      </c>
      <c r="C443" s="149">
        <v>1</v>
      </c>
      <c r="D443" s="156" t="s">
        <v>73</v>
      </c>
      <c r="E443" s="149">
        <v>12</v>
      </c>
      <c r="F443" s="150">
        <v>1.81</v>
      </c>
      <c r="G443" s="150">
        <v>0.6</v>
      </c>
      <c r="H443" s="150"/>
      <c r="I443" s="151">
        <f t="shared" si="43"/>
        <v>13.03</v>
      </c>
      <c r="J443" s="180"/>
    </row>
    <row r="444" spans="1:17" s="181" customFormat="1">
      <c r="A444" s="276"/>
      <c r="B444" s="148" t="s">
        <v>1257</v>
      </c>
      <c r="C444" s="149">
        <v>1</v>
      </c>
      <c r="D444" s="149" t="s">
        <v>73</v>
      </c>
      <c r="E444" s="149">
        <v>1</v>
      </c>
      <c r="F444" s="150">
        <v>14.7</v>
      </c>
      <c r="G444" s="150"/>
      <c r="H444" s="150">
        <v>13.65</v>
      </c>
      <c r="I444" s="151">
        <f t="shared" si="43"/>
        <v>200.66</v>
      </c>
      <c r="J444" s="180"/>
    </row>
    <row r="445" spans="1:17" s="181" customFormat="1">
      <c r="A445" s="276"/>
      <c r="B445" s="148" t="s">
        <v>1258</v>
      </c>
      <c r="C445" s="149">
        <v>-1</v>
      </c>
      <c r="D445" s="156" t="s">
        <v>73</v>
      </c>
      <c r="E445" s="149">
        <v>5</v>
      </c>
      <c r="F445" s="150">
        <v>1.35</v>
      </c>
      <c r="G445" s="150"/>
      <c r="H445" s="150">
        <v>1.35</v>
      </c>
      <c r="I445" s="151">
        <f t="shared" si="43"/>
        <v>-9.11</v>
      </c>
      <c r="J445" s="180"/>
      <c r="K445" s="184">
        <f>SUM(I428:I438)</f>
        <v>347.5</v>
      </c>
    </row>
    <row r="446" spans="1:17" s="181" customFormat="1">
      <c r="A446" s="276"/>
      <c r="B446" s="148" t="s">
        <v>1256</v>
      </c>
      <c r="C446" s="149">
        <v>1</v>
      </c>
      <c r="D446" s="156" t="s">
        <v>73</v>
      </c>
      <c r="E446" s="149">
        <v>5</v>
      </c>
      <c r="F446" s="150">
        <v>1.81</v>
      </c>
      <c r="G446" s="150">
        <v>0.6</v>
      </c>
      <c r="H446" s="150"/>
      <c r="I446" s="151">
        <f t="shared" si="43"/>
        <v>5.43</v>
      </c>
      <c r="J446" s="180"/>
      <c r="K446" s="159">
        <f>SUM(K276:K445)</f>
        <v>1719.46</v>
      </c>
    </row>
    <row r="447" spans="1:17" s="181" customFormat="1">
      <c r="A447" s="276"/>
      <c r="B447" s="148" t="s">
        <v>1248</v>
      </c>
      <c r="C447" s="149">
        <v>-1</v>
      </c>
      <c r="D447" s="156" t="s">
        <v>73</v>
      </c>
      <c r="E447" s="149">
        <v>7</v>
      </c>
      <c r="F447" s="150">
        <v>0.9</v>
      </c>
      <c r="G447" s="150"/>
      <c r="H447" s="150">
        <v>0.9</v>
      </c>
      <c r="I447" s="151">
        <f t="shared" si="43"/>
        <v>-5.67</v>
      </c>
      <c r="J447" s="180"/>
    </row>
    <row r="448" spans="1:17" s="181" customFormat="1">
      <c r="A448" s="276"/>
      <c r="B448" s="148" t="s">
        <v>1256</v>
      </c>
      <c r="C448" s="149">
        <v>1</v>
      </c>
      <c r="D448" s="156" t="s">
        <v>73</v>
      </c>
      <c r="E448" s="149">
        <v>7</v>
      </c>
      <c r="F448" s="150">
        <v>1.36</v>
      </c>
      <c r="G448" s="150">
        <v>0.6</v>
      </c>
      <c r="H448" s="150"/>
      <c r="I448" s="151">
        <f t="shared" si="43"/>
        <v>5.71</v>
      </c>
      <c r="J448" s="180"/>
    </row>
    <row r="449" spans="1:10" s="181" customFormat="1">
      <c r="A449" s="276"/>
      <c r="B449" s="148" t="s">
        <v>1260</v>
      </c>
      <c r="C449" s="149">
        <v>1</v>
      </c>
      <c r="D449" s="149" t="s">
        <v>73</v>
      </c>
      <c r="E449" s="149">
        <v>1</v>
      </c>
      <c r="F449" s="150">
        <v>10.37</v>
      </c>
      <c r="G449" s="150"/>
      <c r="H449" s="150">
        <v>8.18</v>
      </c>
      <c r="I449" s="151">
        <f t="shared" si="43"/>
        <v>84.83</v>
      </c>
      <c r="J449" s="180"/>
    </row>
    <row r="450" spans="1:10" s="181" customFormat="1">
      <c r="A450" s="276"/>
      <c r="B450" s="148" t="s">
        <v>1261</v>
      </c>
      <c r="C450" s="149">
        <v>1</v>
      </c>
      <c r="D450" s="149" t="s">
        <v>73</v>
      </c>
      <c r="E450" s="149">
        <v>1</v>
      </c>
      <c r="F450" s="150">
        <v>7.29</v>
      </c>
      <c r="G450" s="150"/>
      <c r="H450" s="150">
        <v>2.5499999999999998</v>
      </c>
      <c r="I450" s="151">
        <f t="shared" si="43"/>
        <v>18.59</v>
      </c>
      <c r="J450" s="180"/>
    </row>
    <row r="451" spans="1:10" s="181" customFormat="1">
      <c r="A451" s="276"/>
      <c r="B451" s="148" t="s">
        <v>1258</v>
      </c>
      <c r="C451" s="149">
        <v>-1</v>
      </c>
      <c r="D451" s="156" t="s">
        <v>73</v>
      </c>
      <c r="E451" s="149">
        <v>6</v>
      </c>
      <c r="F451" s="150">
        <v>1.35</v>
      </c>
      <c r="G451" s="150"/>
      <c r="H451" s="150">
        <v>1.35</v>
      </c>
      <c r="I451" s="151">
        <f t="shared" si="43"/>
        <v>-10.94</v>
      </c>
      <c r="J451" s="180"/>
    </row>
    <row r="452" spans="1:10" s="181" customFormat="1">
      <c r="A452" s="276"/>
      <c r="B452" s="148" t="s">
        <v>1256</v>
      </c>
      <c r="C452" s="149">
        <v>1</v>
      </c>
      <c r="D452" s="156" t="s">
        <v>73</v>
      </c>
      <c r="E452" s="149">
        <v>6</v>
      </c>
      <c r="F452" s="150">
        <v>1.81</v>
      </c>
      <c r="G452" s="150">
        <v>0.6</v>
      </c>
      <c r="H452" s="150"/>
      <c r="I452" s="151">
        <f t="shared" si="43"/>
        <v>6.52</v>
      </c>
      <c r="J452" s="180"/>
    </row>
    <row r="453" spans="1:10" s="181" customFormat="1">
      <c r="A453" s="276"/>
      <c r="B453" s="148" t="s">
        <v>1259</v>
      </c>
      <c r="C453" s="149">
        <v>-1</v>
      </c>
      <c r="D453" s="156" t="s">
        <v>73</v>
      </c>
      <c r="E453" s="149">
        <v>2</v>
      </c>
      <c r="F453" s="150">
        <v>0.75</v>
      </c>
      <c r="G453" s="150"/>
      <c r="H453" s="150">
        <v>0.6</v>
      </c>
      <c r="I453" s="151">
        <f>ROUND(PRODUCT(C453:H453),2)</f>
        <v>-0.9</v>
      </c>
      <c r="J453" s="180"/>
    </row>
    <row r="454" spans="1:10" s="181" customFormat="1">
      <c r="A454" s="276"/>
      <c r="B454" s="148" t="s">
        <v>1262</v>
      </c>
      <c r="C454" s="149">
        <v>1</v>
      </c>
      <c r="D454" s="149" t="s">
        <v>73</v>
      </c>
      <c r="E454" s="149">
        <v>1</v>
      </c>
      <c r="F454" s="150">
        <v>3.53</v>
      </c>
      <c r="G454" s="150"/>
      <c r="H454" s="150">
        <v>3.02</v>
      </c>
      <c r="I454" s="151">
        <f t="shared" ref="I454:I458" si="44">ROUND(PRODUCT(C454:H454),2)</f>
        <v>10.66</v>
      </c>
      <c r="J454" s="180"/>
    </row>
    <row r="455" spans="1:10" s="181" customFormat="1">
      <c r="A455" s="276"/>
      <c r="B455" s="148" t="s">
        <v>1263</v>
      </c>
      <c r="C455" s="149">
        <v>1</v>
      </c>
      <c r="D455" s="149" t="s">
        <v>73</v>
      </c>
      <c r="E455" s="149">
        <v>1</v>
      </c>
      <c r="F455" s="150">
        <v>10.37</v>
      </c>
      <c r="G455" s="150"/>
      <c r="H455" s="150">
        <v>8.18</v>
      </c>
      <c r="I455" s="151">
        <f t="shared" si="44"/>
        <v>84.83</v>
      </c>
      <c r="J455" s="180"/>
    </row>
    <row r="456" spans="1:10" s="181" customFormat="1">
      <c r="A456" s="276"/>
      <c r="B456" s="148" t="s">
        <v>1264</v>
      </c>
      <c r="C456" s="149">
        <v>1</v>
      </c>
      <c r="D456" s="149" t="s">
        <v>73</v>
      </c>
      <c r="E456" s="149">
        <v>1</v>
      </c>
      <c r="F456" s="150">
        <v>7.29</v>
      </c>
      <c r="G456" s="150"/>
      <c r="H456" s="150">
        <v>3.3</v>
      </c>
      <c r="I456" s="151">
        <f t="shared" si="44"/>
        <v>24.06</v>
      </c>
      <c r="J456" s="180"/>
    </row>
    <row r="457" spans="1:10" s="181" customFormat="1">
      <c r="A457" s="276"/>
      <c r="B457" s="148" t="s">
        <v>1258</v>
      </c>
      <c r="C457" s="149">
        <v>-1</v>
      </c>
      <c r="D457" s="156" t="s">
        <v>73</v>
      </c>
      <c r="E457" s="149">
        <v>2</v>
      </c>
      <c r="F457" s="150">
        <v>1.35</v>
      </c>
      <c r="G457" s="150"/>
      <c r="H457" s="150">
        <v>1.35</v>
      </c>
      <c r="I457" s="151">
        <f t="shared" si="44"/>
        <v>-3.65</v>
      </c>
      <c r="J457" s="180"/>
    </row>
    <row r="458" spans="1:10" s="181" customFormat="1">
      <c r="A458" s="276"/>
      <c r="B458" s="148" t="s">
        <v>1256</v>
      </c>
      <c r="C458" s="149">
        <v>1</v>
      </c>
      <c r="D458" s="156" t="s">
        <v>73</v>
      </c>
      <c r="E458" s="149">
        <v>2</v>
      </c>
      <c r="F458" s="150">
        <v>1.81</v>
      </c>
      <c r="G458" s="150">
        <v>0.6</v>
      </c>
      <c r="H458" s="150"/>
      <c r="I458" s="151">
        <f t="shared" si="44"/>
        <v>2.17</v>
      </c>
      <c r="J458" s="180"/>
    </row>
    <row r="459" spans="1:10" s="181" customFormat="1">
      <c r="A459" s="276"/>
      <c r="B459" s="148" t="s">
        <v>1259</v>
      </c>
      <c r="C459" s="149">
        <v>-1</v>
      </c>
      <c r="D459" s="156" t="s">
        <v>73</v>
      </c>
      <c r="E459" s="149">
        <v>6</v>
      </c>
      <c r="F459" s="150">
        <v>0.75</v>
      </c>
      <c r="G459" s="150"/>
      <c r="H459" s="150">
        <v>0.6</v>
      </c>
      <c r="I459" s="151">
        <f>ROUND(PRODUCT(C459:H459),2)</f>
        <v>-2.7</v>
      </c>
      <c r="J459" s="180"/>
    </row>
    <row r="460" spans="1:10" s="181" customFormat="1">
      <c r="A460" s="276"/>
      <c r="B460" s="148" t="s">
        <v>1265</v>
      </c>
      <c r="C460" s="149">
        <v>-1</v>
      </c>
      <c r="D460" s="156" t="s">
        <v>73</v>
      </c>
      <c r="E460" s="149">
        <v>2</v>
      </c>
      <c r="F460" s="150">
        <v>0.9</v>
      </c>
      <c r="G460" s="150"/>
      <c r="H460" s="150">
        <v>0.45</v>
      </c>
      <c r="I460" s="151">
        <f>ROUND(PRODUCT(C460:H460),2)</f>
        <v>-0.81</v>
      </c>
      <c r="J460" s="180"/>
    </row>
    <row r="461" spans="1:10" s="181" customFormat="1">
      <c r="A461" s="276"/>
      <c r="B461" s="148" t="s">
        <v>1266</v>
      </c>
      <c r="C461" s="149">
        <v>1</v>
      </c>
      <c r="D461" s="149" t="s">
        <v>73</v>
      </c>
      <c r="E461" s="149">
        <v>1</v>
      </c>
      <c r="F461" s="150">
        <v>4.58</v>
      </c>
      <c r="G461" s="150"/>
      <c r="H461" s="150">
        <v>3.02</v>
      </c>
      <c r="I461" s="151">
        <f t="shared" ref="I461:I467" si="45">ROUND(PRODUCT(C461:H461),2)</f>
        <v>13.83</v>
      </c>
      <c r="J461" s="180"/>
    </row>
    <row r="462" spans="1:10" s="181" customFormat="1">
      <c r="A462" s="276"/>
      <c r="B462" s="148" t="s">
        <v>1267</v>
      </c>
      <c r="C462" s="149">
        <v>-1</v>
      </c>
      <c r="D462" s="156" t="s">
        <v>73</v>
      </c>
      <c r="E462" s="149">
        <v>2</v>
      </c>
      <c r="F462" s="150">
        <v>1.35</v>
      </c>
      <c r="G462" s="150"/>
      <c r="H462" s="150">
        <v>1.35</v>
      </c>
      <c r="I462" s="151">
        <f t="shared" si="45"/>
        <v>-3.65</v>
      </c>
      <c r="J462" s="180"/>
    </row>
    <row r="463" spans="1:10" s="181" customFormat="1">
      <c r="A463" s="276"/>
      <c r="B463" s="148" t="s">
        <v>1256</v>
      </c>
      <c r="C463" s="149">
        <v>1</v>
      </c>
      <c r="D463" s="156" t="s">
        <v>73</v>
      </c>
      <c r="E463" s="149">
        <v>2</v>
      </c>
      <c r="F463" s="150">
        <v>1.81</v>
      </c>
      <c r="G463" s="150">
        <v>0.6</v>
      </c>
      <c r="H463" s="150"/>
      <c r="I463" s="151">
        <f t="shared" si="45"/>
        <v>2.17</v>
      </c>
      <c r="J463" s="180"/>
    </row>
    <row r="464" spans="1:10" s="181" customFormat="1">
      <c r="A464" s="276"/>
      <c r="B464" s="148" t="s">
        <v>1268</v>
      </c>
      <c r="C464" s="149">
        <v>1</v>
      </c>
      <c r="D464" s="149" t="s">
        <v>73</v>
      </c>
      <c r="E464" s="149">
        <v>1</v>
      </c>
      <c r="F464" s="150">
        <v>2.5350000000000001</v>
      </c>
      <c r="G464" s="150"/>
      <c r="H464" s="150">
        <v>3.02</v>
      </c>
      <c r="I464" s="151">
        <f t="shared" si="45"/>
        <v>7.66</v>
      </c>
      <c r="J464" s="180"/>
    </row>
    <row r="465" spans="1:10" s="181" customFormat="1">
      <c r="A465" s="276"/>
      <c r="B465" s="148" t="s">
        <v>1267</v>
      </c>
      <c r="C465" s="149">
        <v>-1</v>
      </c>
      <c r="D465" s="156" t="s">
        <v>73</v>
      </c>
      <c r="E465" s="149">
        <v>1</v>
      </c>
      <c r="F465" s="150">
        <v>1.35</v>
      </c>
      <c r="G465" s="150"/>
      <c r="H465" s="150">
        <v>1.35</v>
      </c>
      <c r="I465" s="151">
        <f t="shared" si="45"/>
        <v>-1.82</v>
      </c>
      <c r="J465" s="180"/>
    </row>
    <row r="466" spans="1:10" s="181" customFormat="1">
      <c r="A466" s="276"/>
      <c r="B466" s="148" t="s">
        <v>1256</v>
      </c>
      <c r="C466" s="149">
        <v>1</v>
      </c>
      <c r="D466" s="156" t="s">
        <v>73</v>
      </c>
      <c r="E466" s="149">
        <v>1</v>
      </c>
      <c r="F466" s="150">
        <v>1.81</v>
      </c>
      <c r="G466" s="150">
        <v>0.6</v>
      </c>
      <c r="H466" s="150"/>
      <c r="I466" s="151">
        <f t="shared" si="45"/>
        <v>1.0900000000000001</v>
      </c>
      <c r="J466" s="180"/>
    </row>
    <row r="467" spans="1:10" s="181" customFormat="1">
      <c r="A467" s="276"/>
      <c r="B467" s="148" t="s">
        <v>1269</v>
      </c>
      <c r="C467" s="149">
        <v>1</v>
      </c>
      <c r="D467" s="156" t="s">
        <v>73</v>
      </c>
      <c r="E467" s="149">
        <v>3</v>
      </c>
      <c r="F467" s="150">
        <v>1.66</v>
      </c>
      <c r="G467" s="150"/>
      <c r="H467" s="150">
        <v>3.02</v>
      </c>
      <c r="I467" s="151">
        <f t="shared" si="45"/>
        <v>15.04</v>
      </c>
      <c r="J467" s="180"/>
    </row>
    <row r="468" spans="1:10" s="181" customFormat="1">
      <c r="A468" s="276"/>
      <c r="B468" s="148" t="s">
        <v>1270</v>
      </c>
      <c r="C468" s="149">
        <v>1</v>
      </c>
      <c r="D468" s="149" t="s">
        <v>73</v>
      </c>
      <c r="E468" s="149">
        <v>1</v>
      </c>
      <c r="F468" s="150">
        <v>14.7</v>
      </c>
      <c r="G468" s="150"/>
      <c r="H468" s="150">
        <v>3.75</v>
      </c>
      <c r="I468" s="151">
        <f t="shared" si="43"/>
        <v>55.13</v>
      </c>
      <c r="J468" s="180"/>
    </row>
    <row r="469" spans="1:10" s="181" customFormat="1">
      <c r="A469" s="276"/>
      <c r="B469" s="148" t="s">
        <v>1271</v>
      </c>
      <c r="C469" s="149">
        <v>1</v>
      </c>
      <c r="D469" s="149" t="s">
        <v>73</v>
      </c>
      <c r="E469" s="149">
        <v>1</v>
      </c>
      <c r="F469" s="150">
        <v>14.7</v>
      </c>
      <c r="G469" s="150"/>
      <c r="H469" s="150">
        <v>0.3</v>
      </c>
      <c r="I469" s="151">
        <f t="shared" si="43"/>
        <v>4.41</v>
      </c>
      <c r="J469" s="180"/>
    </row>
    <row r="470" spans="1:10" s="181" customFormat="1">
      <c r="A470" s="276"/>
      <c r="B470" s="148" t="s">
        <v>1272</v>
      </c>
      <c r="C470" s="149">
        <v>1</v>
      </c>
      <c r="D470" s="149" t="s">
        <v>73</v>
      </c>
      <c r="E470" s="149">
        <v>1</v>
      </c>
      <c r="F470" s="150">
        <f>2*(14.24+6.83)</f>
        <v>42.14</v>
      </c>
      <c r="G470" s="150"/>
      <c r="H470" s="150">
        <v>0.45</v>
      </c>
      <c r="I470" s="151">
        <f t="shared" si="43"/>
        <v>18.96</v>
      </c>
      <c r="J470" s="180"/>
    </row>
    <row r="471" spans="1:10" s="181" customFormat="1">
      <c r="A471" s="276"/>
      <c r="B471" s="148" t="s">
        <v>1273</v>
      </c>
      <c r="C471" s="149">
        <v>1</v>
      </c>
      <c r="D471" s="149" t="s">
        <v>73</v>
      </c>
      <c r="E471" s="149">
        <v>1</v>
      </c>
      <c r="F471" s="150">
        <f>2*(14.47+7.06)</f>
        <v>43.06</v>
      </c>
      <c r="G471" s="150">
        <v>0.23</v>
      </c>
      <c r="H471" s="150"/>
      <c r="I471" s="151">
        <f t="shared" si="43"/>
        <v>9.9</v>
      </c>
      <c r="J471" s="180"/>
    </row>
    <row r="472" spans="1:10" s="181" customFormat="1">
      <c r="A472" s="276"/>
      <c r="B472" s="148" t="s">
        <v>1274</v>
      </c>
      <c r="C472" s="149">
        <v>1</v>
      </c>
      <c r="D472" s="149" t="s">
        <v>73</v>
      </c>
      <c r="E472" s="149">
        <v>1</v>
      </c>
      <c r="F472" s="150">
        <f>3.45+14.24+3.45</f>
        <v>21.14</v>
      </c>
      <c r="G472" s="150"/>
      <c r="H472" s="150">
        <v>1.2</v>
      </c>
      <c r="I472" s="151">
        <f t="shared" si="43"/>
        <v>25.37</v>
      </c>
      <c r="J472" s="180"/>
    </row>
    <row r="473" spans="1:10" s="181" customFormat="1">
      <c r="A473" s="276"/>
      <c r="B473" s="148" t="s">
        <v>1275</v>
      </c>
      <c r="C473" s="149">
        <v>1</v>
      </c>
      <c r="D473" s="149" t="s">
        <v>73</v>
      </c>
      <c r="E473" s="149">
        <v>1</v>
      </c>
      <c r="F473" s="150">
        <v>21.6</v>
      </c>
      <c r="G473" s="150">
        <v>0.23</v>
      </c>
      <c r="H473" s="150"/>
      <c r="I473" s="151">
        <f t="shared" si="43"/>
        <v>4.97</v>
      </c>
      <c r="J473" s="180"/>
    </row>
    <row r="474" spans="1:10" s="181" customFormat="1">
      <c r="A474" s="276"/>
      <c r="B474" s="148" t="s">
        <v>1276</v>
      </c>
      <c r="C474" s="149">
        <v>1</v>
      </c>
      <c r="D474" s="149" t="s">
        <v>73</v>
      </c>
      <c r="E474" s="149">
        <v>2</v>
      </c>
      <c r="F474" s="150">
        <v>0.6</v>
      </c>
      <c r="G474" s="150"/>
      <c r="H474" s="150">
        <v>2.1</v>
      </c>
      <c r="I474" s="151">
        <f t="shared" si="43"/>
        <v>2.52</v>
      </c>
      <c r="J474" s="180"/>
    </row>
    <row r="475" spans="1:10" s="181" customFormat="1">
      <c r="A475" s="276"/>
      <c r="B475" s="148" t="s">
        <v>1277</v>
      </c>
      <c r="C475" s="149">
        <v>1</v>
      </c>
      <c r="D475" s="149" t="s">
        <v>73</v>
      </c>
      <c r="E475" s="149">
        <v>1</v>
      </c>
      <c r="F475" s="150">
        <f>2*(2.36+2.16)</f>
        <v>9.0399999999999991</v>
      </c>
      <c r="G475" s="150"/>
      <c r="H475" s="150">
        <v>1.2</v>
      </c>
      <c r="I475" s="151">
        <f t="shared" si="43"/>
        <v>10.85</v>
      </c>
      <c r="J475" s="180"/>
    </row>
    <row r="476" spans="1:10" s="181" customFormat="1">
      <c r="A476" s="276"/>
      <c r="B476" s="148" t="s">
        <v>1282</v>
      </c>
      <c r="C476" s="149">
        <v>1</v>
      </c>
      <c r="D476" s="149" t="s">
        <v>73</v>
      </c>
      <c r="E476" s="149">
        <v>1</v>
      </c>
      <c r="F476" s="150">
        <v>2.36</v>
      </c>
      <c r="G476" s="150">
        <v>2.16</v>
      </c>
      <c r="H476" s="150"/>
      <c r="I476" s="151">
        <f t="shared" si="43"/>
        <v>5.0999999999999996</v>
      </c>
      <c r="J476" s="180"/>
    </row>
    <row r="477" spans="1:10" s="181" customFormat="1">
      <c r="A477" s="276"/>
      <c r="B477" s="148" t="s">
        <v>1278</v>
      </c>
      <c r="C477" s="149">
        <v>1</v>
      </c>
      <c r="D477" s="149" t="s">
        <v>73</v>
      </c>
      <c r="E477" s="149">
        <v>1</v>
      </c>
      <c r="F477" s="150">
        <f>2*(3.01+1.63)</f>
        <v>9.2799999999999994</v>
      </c>
      <c r="G477" s="150"/>
      <c r="H477" s="150">
        <v>1.2</v>
      </c>
      <c r="I477" s="151">
        <f t="shared" si="43"/>
        <v>11.14</v>
      </c>
      <c r="J477" s="180"/>
    </row>
    <row r="478" spans="1:10" s="181" customFormat="1">
      <c r="A478" s="276"/>
      <c r="B478" s="148" t="s">
        <v>1279</v>
      </c>
      <c r="C478" s="149">
        <v>1</v>
      </c>
      <c r="D478" s="149" t="s">
        <v>73</v>
      </c>
      <c r="E478" s="149">
        <v>1</v>
      </c>
      <c r="F478" s="150">
        <v>11</v>
      </c>
      <c r="G478" s="150"/>
      <c r="H478" s="150">
        <v>0.75</v>
      </c>
      <c r="I478" s="151">
        <f t="shared" si="43"/>
        <v>8.25</v>
      </c>
      <c r="J478" s="180"/>
    </row>
    <row r="479" spans="1:10" s="181" customFormat="1">
      <c r="A479" s="276"/>
      <c r="B479" s="148" t="s">
        <v>1280</v>
      </c>
      <c r="C479" s="149">
        <v>1</v>
      </c>
      <c r="D479" s="149" t="s">
        <v>73</v>
      </c>
      <c r="E479" s="149">
        <v>2</v>
      </c>
      <c r="F479" s="150">
        <v>3.71</v>
      </c>
      <c r="G479" s="150"/>
      <c r="H479" s="150">
        <v>1.22</v>
      </c>
      <c r="I479" s="151">
        <f t="shared" si="43"/>
        <v>9.0500000000000007</v>
      </c>
      <c r="J479" s="180"/>
    </row>
    <row r="480" spans="1:10" s="181" customFormat="1">
      <c r="A480" s="276"/>
      <c r="B480" s="148" t="s">
        <v>1280</v>
      </c>
      <c r="C480" s="149">
        <v>2</v>
      </c>
      <c r="D480" s="149" t="s">
        <v>73</v>
      </c>
      <c r="E480" s="149">
        <v>2</v>
      </c>
      <c r="F480" s="150">
        <v>1.1499999999999999</v>
      </c>
      <c r="G480" s="150"/>
      <c r="H480" s="150">
        <v>1.22</v>
      </c>
      <c r="I480" s="151">
        <f t="shared" si="43"/>
        <v>5.61</v>
      </c>
      <c r="J480" s="180"/>
    </row>
    <row r="481" spans="1:11" s="181" customFormat="1">
      <c r="A481" s="276"/>
      <c r="B481" s="148" t="s">
        <v>1281</v>
      </c>
      <c r="C481" s="149">
        <v>1</v>
      </c>
      <c r="D481" s="149" t="s">
        <v>73</v>
      </c>
      <c r="E481" s="149">
        <v>1</v>
      </c>
      <c r="F481" s="150">
        <v>3.1</v>
      </c>
      <c r="G481" s="150">
        <v>1.63</v>
      </c>
      <c r="H481" s="150"/>
      <c r="I481" s="151">
        <f t="shared" si="43"/>
        <v>5.05</v>
      </c>
      <c r="J481" s="180"/>
    </row>
    <row r="482" spans="1:11" s="181" customFormat="1">
      <c r="A482" s="276"/>
      <c r="B482" s="148" t="s">
        <v>1283</v>
      </c>
      <c r="C482" s="149">
        <v>-1</v>
      </c>
      <c r="D482" s="149" t="s">
        <v>73</v>
      </c>
      <c r="E482" s="149">
        <v>1</v>
      </c>
      <c r="F482" s="150">
        <v>0.6</v>
      </c>
      <c r="G482" s="150">
        <v>0.6</v>
      </c>
      <c r="H482" s="150"/>
      <c r="I482" s="151">
        <f t="shared" si="43"/>
        <v>-0.36</v>
      </c>
      <c r="J482" s="180"/>
    </row>
    <row r="483" spans="1:11" s="181" customFormat="1">
      <c r="A483" s="276"/>
      <c r="B483" s="182" t="s">
        <v>316</v>
      </c>
      <c r="C483" s="149">
        <v>1</v>
      </c>
      <c r="D483" s="156" t="s">
        <v>73</v>
      </c>
      <c r="E483" s="149">
        <v>1</v>
      </c>
      <c r="F483" s="150">
        <f>2*(14.7+10.37)</f>
        <v>50.14</v>
      </c>
      <c r="G483" s="150"/>
      <c r="H483" s="150">
        <v>1.2</v>
      </c>
      <c r="I483" s="151">
        <f t="shared" si="43"/>
        <v>60.17</v>
      </c>
      <c r="J483" s="180"/>
    </row>
    <row r="484" spans="1:11" s="181" customFormat="1">
      <c r="A484" s="276"/>
      <c r="B484" s="182" t="s">
        <v>317</v>
      </c>
      <c r="C484" s="149">
        <v>1</v>
      </c>
      <c r="D484" s="156" t="s">
        <v>73</v>
      </c>
      <c r="E484" s="149">
        <v>10</v>
      </c>
      <c r="F484" s="150">
        <v>3.32</v>
      </c>
      <c r="G484" s="150">
        <v>0.23</v>
      </c>
      <c r="H484" s="150"/>
      <c r="I484" s="151">
        <f t="shared" si="43"/>
        <v>7.64</v>
      </c>
      <c r="J484" s="180"/>
    </row>
    <row r="485" spans="1:11" s="181" customFormat="1">
      <c r="A485" s="276"/>
      <c r="B485" s="182" t="s">
        <v>318</v>
      </c>
      <c r="C485" s="149">
        <v>1</v>
      </c>
      <c r="D485" s="156" t="s">
        <v>73</v>
      </c>
      <c r="E485" s="149">
        <v>10</v>
      </c>
      <c r="F485" s="150">
        <v>4.24</v>
      </c>
      <c r="G485" s="150"/>
      <c r="H485" s="150">
        <v>0.9</v>
      </c>
      <c r="I485" s="151">
        <f t="shared" si="43"/>
        <v>38.159999999999997</v>
      </c>
      <c r="J485" s="180"/>
    </row>
    <row r="486" spans="1:11" s="181" customFormat="1">
      <c r="A486" s="276"/>
      <c r="B486" s="182" t="s">
        <v>1309</v>
      </c>
      <c r="C486" s="149">
        <v>1</v>
      </c>
      <c r="D486" s="156" t="s">
        <v>73</v>
      </c>
      <c r="E486" s="149">
        <v>32</v>
      </c>
      <c r="F486" s="150">
        <v>1.81</v>
      </c>
      <c r="G486" s="150">
        <v>0.6</v>
      </c>
      <c r="H486" s="150"/>
      <c r="I486" s="151">
        <f t="shared" si="43"/>
        <v>34.75</v>
      </c>
      <c r="J486" s="180"/>
    </row>
    <row r="487" spans="1:11" s="181" customFormat="1">
      <c r="A487" s="276"/>
      <c r="B487" s="182" t="s">
        <v>1310</v>
      </c>
      <c r="C487" s="149">
        <v>1</v>
      </c>
      <c r="D487" s="156" t="s">
        <v>73</v>
      </c>
      <c r="E487" s="149">
        <v>7</v>
      </c>
      <c r="F487" s="150">
        <v>1.36</v>
      </c>
      <c r="G487" s="150">
        <v>0.6</v>
      </c>
      <c r="H487" s="150"/>
      <c r="I487" s="151">
        <f t="shared" si="43"/>
        <v>5.71</v>
      </c>
      <c r="J487" s="180"/>
    </row>
    <row r="488" spans="1:11" s="181" customFormat="1">
      <c r="A488" s="276"/>
      <c r="B488" s="182" t="s">
        <v>1312</v>
      </c>
      <c r="C488" s="149">
        <v>1</v>
      </c>
      <c r="D488" s="156" t="s">
        <v>73</v>
      </c>
      <c r="E488" s="149">
        <v>1</v>
      </c>
      <c r="F488" s="150">
        <v>1.46</v>
      </c>
      <c r="G488" s="150">
        <v>0.6</v>
      </c>
      <c r="H488" s="150"/>
      <c r="I488" s="151">
        <f t="shared" si="43"/>
        <v>0.88</v>
      </c>
      <c r="J488" s="180"/>
    </row>
    <row r="489" spans="1:11" s="181" customFormat="1">
      <c r="A489" s="276"/>
      <c r="B489" s="182" t="s">
        <v>1311</v>
      </c>
      <c r="C489" s="149">
        <v>2</v>
      </c>
      <c r="D489" s="156" t="s">
        <v>73</v>
      </c>
      <c r="E489" s="149">
        <v>40</v>
      </c>
      <c r="F489" s="150">
        <v>0.6</v>
      </c>
      <c r="G489" s="150"/>
      <c r="H489" s="150">
        <v>0.08</v>
      </c>
      <c r="I489" s="151">
        <f t="shared" si="43"/>
        <v>3.84</v>
      </c>
      <c r="J489" s="180"/>
    </row>
    <row r="490" spans="1:11" s="181" customFormat="1">
      <c r="A490" s="276"/>
      <c r="B490" s="157" t="s">
        <v>322</v>
      </c>
      <c r="C490" s="149"/>
      <c r="D490" s="149"/>
      <c r="E490" s="149"/>
      <c r="F490" s="150"/>
      <c r="G490" s="158" t="s">
        <v>323</v>
      </c>
      <c r="H490" s="150"/>
      <c r="I490" s="159">
        <f>SUM(I441:I489)</f>
        <v>882.50999999999976</v>
      </c>
      <c r="J490" s="180" t="s">
        <v>75</v>
      </c>
    </row>
    <row r="491" spans="1:11" s="181" customFormat="1">
      <c r="A491" s="276"/>
      <c r="B491" s="148"/>
      <c r="C491" s="149"/>
      <c r="D491" s="149"/>
      <c r="E491" s="149"/>
      <c r="F491" s="150"/>
      <c r="G491" s="150"/>
      <c r="H491" s="150"/>
      <c r="I491" s="151"/>
      <c r="J491" s="180"/>
    </row>
    <row r="492" spans="1:11" s="181" customFormat="1">
      <c r="A492" s="276"/>
      <c r="B492" s="170" t="s">
        <v>1738</v>
      </c>
      <c r="C492" s="149">
        <v>1</v>
      </c>
      <c r="D492" s="149" t="s">
        <v>73</v>
      </c>
      <c r="E492" s="149">
        <v>1</v>
      </c>
      <c r="F492" s="150">
        <v>66</v>
      </c>
      <c r="G492" s="150"/>
      <c r="H492" s="150">
        <v>2.4</v>
      </c>
      <c r="I492" s="151">
        <f t="shared" ref="I492" si="46">ROUND(PRODUCT(C492:H492),2)</f>
        <v>158.4</v>
      </c>
      <c r="J492" s="180"/>
      <c r="K492" s="184">
        <f>SUM(I438:I484)</f>
        <v>2523.1799999999985</v>
      </c>
    </row>
    <row r="493" spans="1:11" s="181" customFormat="1">
      <c r="A493" s="276"/>
      <c r="B493" s="170" t="s">
        <v>1739</v>
      </c>
      <c r="C493" s="149">
        <v>1</v>
      </c>
      <c r="D493" s="149" t="s">
        <v>73</v>
      </c>
      <c r="E493" s="149">
        <v>1</v>
      </c>
      <c r="F493" s="150">
        <v>66</v>
      </c>
      <c r="G493" s="150"/>
      <c r="H493" s="150">
        <v>1.5</v>
      </c>
      <c r="I493" s="151">
        <f t="shared" ref="I493:I503" si="47">ROUND(PRODUCT(C493:H493),2)</f>
        <v>99</v>
      </c>
      <c r="J493" s="180"/>
      <c r="K493" s="184">
        <f>SUM(I439:I485)</f>
        <v>2556.7899999999986</v>
      </c>
    </row>
    <row r="494" spans="1:11" s="181" customFormat="1">
      <c r="A494" s="276"/>
      <c r="B494" s="170" t="s">
        <v>1426</v>
      </c>
      <c r="C494" s="149">
        <v>1</v>
      </c>
      <c r="D494" s="149" t="s">
        <v>73</v>
      </c>
      <c r="E494" s="149">
        <v>1</v>
      </c>
      <c r="F494" s="150">
        <v>66</v>
      </c>
      <c r="G494" s="150">
        <v>0.23</v>
      </c>
      <c r="H494" s="150"/>
      <c r="I494" s="151">
        <f t="shared" si="47"/>
        <v>15.18</v>
      </c>
      <c r="J494" s="180"/>
      <c r="K494" s="184">
        <f>SUM(I439:I485)</f>
        <v>2556.7899999999986</v>
      </c>
    </row>
    <row r="495" spans="1:11" s="181" customFormat="1">
      <c r="A495" s="276"/>
      <c r="B495" s="170" t="s">
        <v>1492</v>
      </c>
      <c r="C495" s="149">
        <v>2</v>
      </c>
      <c r="D495" s="149" t="s">
        <v>73</v>
      </c>
      <c r="E495" s="149">
        <v>20</v>
      </c>
      <c r="F495" s="150">
        <v>1.25</v>
      </c>
      <c r="G495" s="150">
        <v>0.12</v>
      </c>
      <c r="H495" s="150"/>
      <c r="I495" s="151">
        <f t="shared" si="47"/>
        <v>6</v>
      </c>
      <c r="J495" s="180"/>
      <c r="K495" s="184">
        <f>SUM(I439:I485)</f>
        <v>2556.7899999999986</v>
      </c>
    </row>
    <row r="496" spans="1:11" s="181" customFormat="1">
      <c r="A496" s="276"/>
      <c r="B496" s="170" t="s">
        <v>1493</v>
      </c>
      <c r="C496" s="149">
        <v>1</v>
      </c>
      <c r="D496" s="149" t="s">
        <v>73</v>
      </c>
      <c r="E496" s="149">
        <v>20</v>
      </c>
      <c r="F496" s="150">
        <v>2.54</v>
      </c>
      <c r="G496" s="150">
        <v>0.12</v>
      </c>
      <c r="H496" s="150"/>
      <c r="I496" s="151">
        <f t="shared" si="47"/>
        <v>6.1</v>
      </c>
      <c r="J496" s="180"/>
      <c r="K496" s="184">
        <f>SUM(I440:I486)</f>
        <v>872.0799999999997</v>
      </c>
    </row>
    <row r="497" spans="1:11" s="181" customFormat="1">
      <c r="A497" s="276"/>
      <c r="B497" s="148" t="s">
        <v>1427</v>
      </c>
      <c r="C497" s="149">
        <v>-2</v>
      </c>
      <c r="D497" s="149" t="s">
        <v>73</v>
      </c>
      <c r="E497" s="149">
        <v>2</v>
      </c>
      <c r="F497" s="150">
        <v>4.5</v>
      </c>
      <c r="G497" s="150"/>
      <c r="H497" s="150">
        <v>1.5</v>
      </c>
      <c r="I497" s="151">
        <f t="shared" si="47"/>
        <v>-27</v>
      </c>
      <c r="J497" s="180"/>
      <c r="K497" s="184">
        <f>SUM(I439:I487)</f>
        <v>2597.2499999999986</v>
      </c>
    </row>
    <row r="498" spans="1:11" s="181" customFormat="1">
      <c r="A498" s="276"/>
      <c r="B498" s="170" t="s">
        <v>1736</v>
      </c>
      <c r="C498" s="149">
        <v>1</v>
      </c>
      <c r="D498" s="149" t="s">
        <v>73</v>
      </c>
      <c r="E498" s="149">
        <v>2</v>
      </c>
      <c r="F498" s="150">
        <v>53</v>
      </c>
      <c r="G498" s="150"/>
      <c r="H498" s="150">
        <v>1.5</v>
      </c>
      <c r="I498" s="151">
        <f t="shared" ref="I498:I500" si="48">ROUND(PRODUCT(C498:H498),2)</f>
        <v>159</v>
      </c>
      <c r="J498" s="180"/>
      <c r="K498" s="184">
        <f>SUM(I441:I487)</f>
        <v>877.78999999999974</v>
      </c>
    </row>
    <row r="499" spans="1:11" s="181" customFormat="1">
      <c r="A499" s="276"/>
      <c r="B499" s="170" t="s">
        <v>1426</v>
      </c>
      <c r="C499" s="149">
        <v>1</v>
      </c>
      <c r="D499" s="149" t="s">
        <v>73</v>
      </c>
      <c r="E499" s="149">
        <v>1</v>
      </c>
      <c r="F499" s="150">
        <v>53</v>
      </c>
      <c r="G499" s="150">
        <v>0.23</v>
      </c>
      <c r="H499" s="150"/>
      <c r="I499" s="151">
        <f t="shared" si="48"/>
        <v>12.19</v>
      </c>
      <c r="J499" s="180"/>
      <c r="K499" s="184">
        <f>SUM(I441:I487)</f>
        <v>877.78999999999974</v>
      </c>
    </row>
    <row r="500" spans="1:11" s="181" customFormat="1">
      <c r="A500" s="276"/>
      <c r="B500" s="170" t="s">
        <v>1492</v>
      </c>
      <c r="C500" s="149">
        <v>2</v>
      </c>
      <c r="D500" s="149" t="s">
        <v>73</v>
      </c>
      <c r="E500" s="149">
        <v>21</v>
      </c>
      <c r="F500" s="150">
        <v>1.5</v>
      </c>
      <c r="G500" s="150">
        <v>0.12</v>
      </c>
      <c r="H500" s="150"/>
      <c r="I500" s="151">
        <f t="shared" si="48"/>
        <v>7.56</v>
      </c>
      <c r="J500" s="180"/>
      <c r="K500" s="184">
        <f>SUM(I441:I487)</f>
        <v>877.78999999999974</v>
      </c>
    </row>
    <row r="501" spans="1:11" s="181" customFormat="1">
      <c r="A501" s="276"/>
      <c r="B501" s="170" t="s">
        <v>1737</v>
      </c>
      <c r="C501" s="149">
        <v>1</v>
      </c>
      <c r="D501" s="149" t="s">
        <v>73</v>
      </c>
      <c r="E501" s="149">
        <v>2</v>
      </c>
      <c r="F501" s="150">
        <v>38.4</v>
      </c>
      <c r="G501" s="150"/>
      <c r="H501" s="150">
        <v>1.5</v>
      </c>
      <c r="I501" s="151">
        <f t="shared" si="47"/>
        <v>115.2</v>
      </c>
      <c r="J501" s="180"/>
      <c r="K501" s="184">
        <f>SUM(I444:I490)</f>
        <v>1653.6099999999997</v>
      </c>
    </row>
    <row r="502" spans="1:11" s="181" customFormat="1">
      <c r="A502" s="276"/>
      <c r="B502" s="170" t="s">
        <v>1426</v>
      </c>
      <c r="C502" s="149">
        <v>1</v>
      </c>
      <c r="D502" s="149" t="s">
        <v>73</v>
      </c>
      <c r="E502" s="149">
        <v>1</v>
      </c>
      <c r="F502" s="150">
        <v>38.4</v>
      </c>
      <c r="G502" s="150">
        <v>0.23</v>
      </c>
      <c r="H502" s="150"/>
      <c r="I502" s="151">
        <f t="shared" si="47"/>
        <v>8.83</v>
      </c>
      <c r="J502" s="180"/>
      <c r="K502" s="184">
        <f>SUM(I444:I490)</f>
        <v>1653.6099999999997</v>
      </c>
    </row>
    <row r="503" spans="1:11" s="181" customFormat="1">
      <c r="A503" s="276"/>
      <c r="B503" s="170" t="s">
        <v>1492</v>
      </c>
      <c r="C503" s="149">
        <v>2</v>
      </c>
      <c r="D503" s="149" t="s">
        <v>73</v>
      </c>
      <c r="E503" s="149">
        <v>14</v>
      </c>
      <c r="F503" s="150">
        <v>1.5</v>
      </c>
      <c r="G503" s="150">
        <v>0.12</v>
      </c>
      <c r="H503" s="150"/>
      <c r="I503" s="151">
        <f t="shared" si="47"/>
        <v>5.04</v>
      </c>
      <c r="J503" s="180"/>
      <c r="K503" s="184">
        <f>SUM(I444:I490)</f>
        <v>1653.6099999999997</v>
      </c>
    </row>
    <row r="504" spans="1:11" s="181" customFormat="1">
      <c r="A504" s="276"/>
      <c r="B504" s="182" t="s">
        <v>1284</v>
      </c>
      <c r="C504" s="149"/>
      <c r="D504" s="149"/>
      <c r="E504" s="149"/>
      <c r="F504" s="150"/>
      <c r="G504" s="150"/>
      <c r="H504" s="150"/>
      <c r="I504" s="151"/>
      <c r="J504" s="180"/>
      <c r="K504" s="184">
        <f>SUM(I440:I488)</f>
        <v>878.66999999999973</v>
      </c>
    </row>
    <row r="505" spans="1:11" s="181" customFormat="1">
      <c r="A505" s="276"/>
      <c r="B505" s="148" t="s">
        <v>1285</v>
      </c>
      <c r="C505" s="149">
        <v>1</v>
      </c>
      <c r="D505" s="149" t="s">
        <v>73</v>
      </c>
      <c r="E505" s="149">
        <v>1</v>
      </c>
      <c r="F505" s="150">
        <f>14.7+1.06+1.06+1.06+1.06</f>
        <v>18.939999999999998</v>
      </c>
      <c r="G505" s="150"/>
      <c r="H505" s="150">
        <v>0.6</v>
      </c>
      <c r="I505" s="151">
        <f t="shared" ref="I505:I506" si="49">ROUND(PRODUCT(C505:H505),2)</f>
        <v>11.36</v>
      </c>
      <c r="J505" s="180"/>
      <c r="K505" s="184">
        <f>SUM(I441:I489)</f>
        <v>882.50999999999976</v>
      </c>
    </row>
    <row r="506" spans="1:11" s="181" customFormat="1">
      <c r="A506" s="276"/>
      <c r="B506" s="148" t="s">
        <v>1286</v>
      </c>
      <c r="C506" s="149">
        <v>1</v>
      </c>
      <c r="D506" s="149" t="s">
        <v>73</v>
      </c>
      <c r="E506" s="149">
        <v>1</v>
      </c>
      <c r="F506" s="150">
        <v>18.71</v>
      </c>
      <c r="G506" s="150">
        <v>0.115</v>
      </c>
      <c r="H506" s="150"/>
      <c r="I506" s="151">
        <f t="shared" si="49"/>
        <v>2.15</v>
      </c>
      <c r="J506" s="180"/>
    </row>
    <row r="507" spans="1:11" s="181" customFormat="1">
      <c r="A507" s="276"/>
      <c r="B507" s="157"/>
      <c r="C507" s="149"/>
      <c r="D507" s="149"/>
      <c r="E507" s="149"/>
      <c r="F507" s="150"/>
      <c r="G507" s="158" t="s">
        <v>1429</v>
      </c>
      <c r="H507" s="150"/>
      <c r="I507" s="159">
        <f>SUM(I492:I506)</f>
        <v>579.01</v>
      </c>
      <c r="J507" s="180"/>
    </row>
    <row r="508" spans="1:11" s="181" customFormat="1" ht="37.5">
      <c r="A508" s="169"/>
      <c r="B508" s="157" t="s">
        <v>11</v>
      </c>
      <c r="C508" s="149"/>
      <c r="D508" s="149"/>
      <c r="E508" s="149"/>
      <c r="F508" s="150"/>
      <c r="G508" s="158" t="s">
        <v>1430</v>
      </c>
      <c r="H508" s="150"/>
      <c r="I508" s="159">
        <f>I490+I439+I507</f>
        <v>3180.9799999999987</v>
      </c>
      <c r="J508" s="180" t="s">
        <v>75</v>
      </c>
    </row>
    <row r="509" spans="1:11" s="181" customFormat="1">
      <c r="A509" s="276"/>
      <c r="B509" s="157" t="s">
        <v>1409</v>
      </c>
      <c r="C509" s="149"/>
      <c r="D509" s="149"/>
      <c r="E509" s="149"/>
      <c r="F509" s="150"/>
      <c r="G509" s="158"/>
      <c r="H509" s="150"/>
      <c r="I509" s="159">
        <f>-excess!G40</f>
        <v>-529.63</v>
      </c>
      <c r="J509" s="180"/>
    </row>
    <row r="510" spans="1:11" s="181" customFormat="1">
      <c r="A510" s="276"/>
      <c r="B510" s="157"/>
      <c r="C510" s="149"/>
      <c r="D510" s="149"/>
      <c r="E510" s="149"/>
      <c r="F510" s="150"/>
      <c r="G510" s="158"/>
      <c r="H510" s="158" t="s">
        <v>245</v>
      </c>
      <c r="I510" s="379">
        <f>SUM(I508:I509)</f>
        <v>2651.3499999999985</v>
      </c>
      <c r="J510" s="180" t="s">
        <v>75</v>
      </c>
    </row>
    <row r="511" spans="1:11" s="181" customFormat="1">
      <c r="A511" s="276"/>
      <c r="B511" s="182"/>
      <c r="C511" s="149"/>
      <c r="D511" s="149"/>
      <c r="E511" s="149"/>
      <c r="F511" s="150"/>
      <c r="G511" s="158"/>
      <c r="H511" s="158"/>
      <c r="I511" s="160"/>
      <c r="J511" s="180"/>
    </row>
    <row r="512" spans="1:11" s="181" customFormat="1" ht="98.25" customHeight="1">
      <c r="A512" s="276">
        <v>34</v>
      </c>
      <c r="B512" s="153" t="s">
        <v>324</v>
      </c>
      <c r="C512" s="149"/>
      <c r="D512" s="149"/>
      <c r="E512" s="149"/>
      <c r="F512" s="150"/>
      <c r="G512" s="150"/>
      <c r="H512" s="150"/>
      <c r="I512" s="151"/>
      <c r="J512" s="180"/>
    </row>
    <row r="513" spans="1:10" s="181" customFormat="1">
      <c r="A513" s="276"/>
      <c r="B513" s="148" t="s">
        <v>325</v>
      </c>
      <c r="C513" s="149">
        <v>1</v>
      </c>
      <c r="D513" s="149" t="s">
        <v>73</v>
      </c>
      <c r="E513" s="149">
        <v>10</v>
      </c>
      <c r="F513" s="150">
        <v>2.4</v>
      </c>
      <c r="G513" s="150"/>
      <c r="H513" s="150">
        <v>0.9</v>
      </c>
      <c r="I513" s="151">
        <f t="shared" ref="I513:I526" si="50">ROUND(PRODUCT(C513:H513),2)</f>
        <v>21.6</v>
      </c>
      <c r="J513" s="180"/>
    </row>
    <row r="514" spans="1:10" s="181" customFormat="1">
      <c r="A514" s="276"/>
      <c r="B514" s="148" t="s">
        <v>1287</v>
      </c>
      <c r="C514" s="149">
        <v>1</v>
      </c>
      <c r="D514" s="149" t="s">
        <v>73</v>
      </c>
      <c r="E514" s="149">
        <v>2</v>
      </c>
      <c r="F514" s="150">
        <v>2.4</v>
      </c>
      <c r="G514" s="150"/>
      <c r="H514" s="150">
        <v>0.9</v>
      </c>
      <c r="I514" s="151">
        <f t="shared" si="50"/>
        <v>4.32</v>
      </c>
      <c r="J514" s="180"/>
    </row>
    <row r="515" spans="1:10" s="181" customFormat="1">
      <c r="A515" s="276"/>
      <c r="B515" s="148" t="s">
        <v>1288</v>
      </c>
      <c r="C515" s="149">
        <v>1</v>
      </c>
      <c r="D515" s="156" t="s">
        <v>73</v>
      </c>
      <c r="E515" s="149">
        <v>1</v>
      </c>
      <c r="F515" s="165">
        <v>2.0750000000000002</v>
      </c>
      <c r="G515" s="150">
        <v>1.32</v>
      </c>
      <c r="H515" s="165"/>
      <c r="I515" s="151">
        <f t="shared" si="50"/>
        <v>2.74</v>
      </c>
      <c r="J515" s="180"/>
    </row>
    <row r="516" spans="1:10" s="181" customFormat="1">
      <c r="A516" s="276"/>
      <c r="B516" s="148" t="s">
        <v>1294</v>
      </c>
      <c r="C516" s="149">
        <v>1</v>
      </c>
      <c r="D516" s="156" t="s">
        <v>73</v>
      </c>
      <c r="E516" s="149">
        <v>1</v>
      </c>
      <c r="F516" s="150">
        <f>2*(2.075+1.32)</f>
        <v>6.7900000000000009</v>
      </c>
      <c r="G516" s="150"/>
      <c r="H516" s="165">
        <v>0.32500000000000001</v>
      </c>
      <c r="I516" s="151">
        <f t="shared" si="50"/>
        <v>2.21</v>
      </c>
      <c r="J516" s="180"/>
    </row>
    <row r="517" spans="1:10" s="181" customFormat="1">
      <c r="A517" s="276"/>
      <c r="B517" s="148" t="s">
        <v>1289</v>
      </c>
      <c r="C517" s="149">
        <v>1</v>
      </c>
      <c r="D517" s="156" t="s">
        <v>73</v>
      </c>
      <c r="E517" s="149">
        <v>1</v>
      </c>
      <c r="F517" s="150">
        <v>1.85</v>
      </c>
      <c r="G517" s="150">
        <v>1.2549999999999999</v>
      </c>
      <c r="H517" s="165"/>
      <c r="I517" s="151">
        <f t="shared" si="50"/>
        <v>2.3199999999999998</v>
      </c>
      <c r="J517" s="180"/>
    </row>
    <row r="518" spans="1:10" s="154" customFormat="1">
      <c r="A518" s="276"/>
      <c r="B518" s="148" t="s">
        <v>1295</v>
      </c>
      <c r="C518" s="149">
        <v>1</v>
      </c>
      <c r="D518" s="156" t="s">
        <v>73</v>
      </c>
      <c r="E518" s="149">
        <v>1</v>
      </c>
      <c r="F518" s="150">
        <f>2*(1.85+1.255)</f>
        <v>6.21</v>
      </c>
      <c r="G518" s="150"/>
      <c r="H518" s="165">
        <v>0.32500000000000001</v>
      </c>
      <c r="I518" s="151">
        <f t="shared" si="50"/>
        <v>2.02</v>
      </c>
      <c r="J518" s="349"/>
    </row>
    <row r="519" spans="1:10" s="181" customFormat="1" ht="19.5" customHeight="1">
      <c r="A519" s="221"/>
      <c r="B519" s="148" t="s">
        <v>1291</v>
      </c>
      <c r="C519" s="149">
        <v>1</v>
      </c>
      <c r="D519" s="156" t="s">
        <v>73</v>
      </c>
      <c r="E519" s="149">
        <v>1</v>
      </c>
      <c r="F519" s="150">
        <v>1.2</v>
      </c>
      <c r="G519" s="150">
        <v>0.9</v>
      </c>
      <c r="H519" s="165"/>
      <c r="I519" s="151">
        <f t="shared" si="50"/>
        <v>1.08</v>
      </c>
      <c r="J519" s="180"/>
    </row>
    <row r="520" spans="1:10" s="181" customFormat="1">
      <c r="A520" s="276"/>
      <c r="B520" s="148" t="s">
        <v>1296</v>
      </c>
      <c r="C520" s="149">
        <v>1</v>
      </c>
      <c r="D520" s="156" t="s">
        <v>73</v>
      </c>
      <c r="E520" s="149">
        <v>1</v>
      </c>
      <c r="F520" s="150">
        <f>2*(1.2+0.9)</f>
        <v>4.2</v>
      </c>
      <c r="G520" s="150"/>
      <c r="H520" s="165">
        <v>0.47499999999999998</v>
      </c>
      <c r="I520" s="151">
        <f t="shared" si="50"/>
        <v>2</v>
      </c>
      <c r="J520" s="180"/>
    </row>
    <row r="521" spans="1:10" s="181" customFormat="1">
      <c r="A521" s="276"/>
      <c r="B521" s="148" t="s">
        <v>1290</v>
      </c>
      <c r="C521" s="149">
        <v>1</v>
      </c>
      <c r="D521" s="156" t="s">
        <v>73</v>
      </c>
      <c r="E521" s="149">
        <v>1</v>
      </c>
      <c r="F521" s="165">
        <v>2.0750000000000002</v>
      </c>
      <c r="G521" s="150">
        <v>1.32</v>
      </c>
      <c r="H521" s="165"/>
      <c r="I521" s="151">
        <f t="shared" si="50"/>
        <v>2.74</v>
      </c>
      <c r="J521" s="180"/>
    </row>
    <row r="522" spans="1:10" s="181" customFormat="1">
      <c r="A522" s="276"/>
      <c r="B522" s="148" t="s">
        <v>1297</v>
      </c>
      <c r="C522" s="149">
        <v>1</v>
      </c>
      <c r="D522" s="156" t="s">
        <v>73</v>
      </c>
      <c r="E522" s="149">
        <v>1</v>
      </c>
      <c r="F522" s="150">
        <f>2*(2.075+1.32)</f>
        <v>6.7900000000000009</v>
      </c>
      <c r="G522" s="150"/>
      <c r="H522" s="165">
        <v>0.32500000000000001</v>
      </c>
      <c r="I522" s="151">
        <f t="shared" si="50"/>
        <v>2.21</v>
      </c>
      <c r="J522" s="180"/>
    </row>
    <row r="523" spans="1:10" s="181" customFormat="1">
      <c r="A523" s="276"/>
      <c r="B523" s="148" t="s">
        <v>1292</v>
      </c>
      <c r="C523" s="149">
        <v>1</v>
      </c>
      <c r="D523" s="156" t="s">
        <v>73</v>
      </c>
      <c r="E523" s="149">
        <v>1</v>
      </c>
      <c r="F523" s="150">
        <v>1.2</v>
      </c>
      <c r="G523" s="150">
        <v>0.9</v>
      </c>
      <c r="H523" s="165"/>
      <c r="I523" s="151">
        <f t="shared" si="50"/>
        <v>1.08</v>
      </c>
      <c r="J523" s="180"/>
    </row>
    <row r="524" spans="1:10" s="181" customFormat="1">
      <c r="A524" s="276"/>
      <c r="B524" s="148" t="s">
        <v>1298</v>
      </c>
      <c r="C524" s="149">
        <v>1</v>
      </c>
      <c r="D524" s="156" t="s">
        <v>73</v>
      </c>
      <c r="E524" s="149">
        <v>1</v>
      </c>
      <c r="F524" s="150">
        <f>2*(1.2+0.9)</f>
        <v>4.2</v>
      </c>
      <c r="G524" s="150"/>
      <c r="H524" s="165">
        <v>0.47499999999999998</v>
      </c>
      <c r="I524" s="151">
        <f t="shared" si="50"/>
        <v>2</v>
      </c>
      <c r="J524" s="180"/>
    </row>
    <row r="525" spans="1:10" s="181" customFormat="1">
      <c r="A525" s="276"/>
      <c r="B525" s="148" t="s">
        <v>1293</v>
      </c>
      <c r="C525" s="149">
        <v>1</v>
      </c>
      <c r="D525" s="156" t="s">
        <v>73</v>
      </c>
      <c r="E525" s="149">
        <v>2</v>
      </c>
      <c r="F525" s="150">
        <v>4.6100000000000003</v>
      </c>
      <c r="G525" s="165">
        <v>1.4850000000000001</v>
      </c>
      <c r="H525" s="165"/>
      <c r="I525" s="151">
        <f t="shared" si="50"/>
        <v>13.69</v>
      </c>
      <c r="J525" s="180"/>
    </row>
    <row r="526" spans="1:10" s="181" customFormat="1" ht="19.5" customHeight="1">
      <c r="A526" s="276"/>
      <c r="B526" s="148" t="s">
        <v>1299</v>
      </c>
      <c r="C526" s="149">
        <v>1</v>
      </c>
      <c r="D526" s="156" t="s">
        <v>73</v>
      </c>
      <c r="E526" s="149">
        <v>2</v>
      </c>
      <c r="F526" s="150">
        <f>2*(4.61+1.485)</f>
        <v>12.190000000000001</v>
      </c>
      <c r="G526" s="150"/>
      <c r="H526" s="165">
        <v>0.27500000000000002</v>
      </c>
      <c r="I526" s="151">
        <f t="shared" si="50"/>
        <v>6.7</v>
      </c>
      <c r="J526" s="180"/>
    </row>
    <row r="527" spans="1:10" s="181" customFormat="1">
      <c r="A527" s="276"/>
      <c r="B527" s="170"/>
      <c r="C527" s="149"/>
      <c r="D527" s="149"/>
      <c r="E527" s="149"/>
      <c r="F527" s="150"/>
      <c r="G527" s="150"/>
      <c r="H527" s="158" t="s">
        <v>245</v>
      </c>
      <c r="I527" s="379">
        <f>SUM(I513:I526)</f>
        <v>66.710000000000008</v>
      </c>
      <c r="J527" s="180" t="s">
        <v>75</v>
      </c>
    </row>
    <row r="528" spans="1:10" s="181" customFormat="1">
      <c r="A528" s="276"/>
      <c r="B528" s="148"/>
      <c r="C528" s="149"/>
      <c r="D528" s="149"/>
      <c r="E528" s="149"/>
      <c r="F528" s="150"/>
      <c r="G528" s="150"/>
      <c r="H528" s="158"/>
      <c r="I528" s="160"/>
      <c r="J528" s="180"/>
    </row>
    <row r="529" spans="1:10" s="181" customFormat="1" ht="104.25" customHeight="1">
      <c r="A529" s="276">
        <v>35</v>
      </c>
      <c r="B529" s="153" t="s">
        <v>326</v>
      </c>
      <c r="C529" s="149"/>
      <c r="D529" s="149"/>
      <c r="E529" s="149"/>
      <c r="F529" s="150"/>
      <c r="G529" s="150"/>
      <c r="H529" s="150"/>
      <c r="I529" s="151"/>
      <c r="J529" s="180"/>
    </row>
    <row r="530" spans="1:10" s="181" customFormat="1">
      <c r="A530" s="276"/>
      <c r="B530" s="155" t="s">
        <v>327</v>
      </c>
      <c r="C530" s="149"/>
      <c r="D530" s="149"/>
      <c r="E530" s="149"/>
      <c r="F530" s="150"/>
      <c r="G530" s="150"/>
      <c r="H530" s="150"/>
      <c r="I530" s="151"/>
      <c r="J530" s="180"/>
    </row>
    <row r="531" spans="1:10" s="181" customFormat="1">
      <c r="A531" s="276"/>
      <c r="B531" s="148" t="s">
        <v>251</v>
      </c>
      <c r="C531" s="149">
        <v>1</v>
      </c>
      <c r="D531" s="156" t="s">
        <v>73</v>
      </c>
      <c r="E531" s="149">
        <v>1</v>
      </c>
      <c r="F531" s="150">
        <v>14.7</v>
      </c>
      <c r="G531" s="150">
        <v>10.37</v>
      </c>
      <c r="H531" s="150"/>
      <c r="I531" s="151">
        <f t="shared" ref="I531:I618" si="51">ROUND(PRODUCT(C531:H531),2)</f>
        <v>152.44</v>
      </c>
      <c r="J531" s="180"/>
    </row>
    <row r="532" spans="1:10" s="181" customFormat="1">
      <c r="A532" s="276"/>
      <c r="B532" s="148" t="s">
        <v>328</v>
      </c>
      <c r="C532" s="149">
        <v>-1</v>
      </c>
      <c r="D532" s="156" t="s">
        <v>73</v>
      </c>
      <c r="E532" s="149">
        <v>1</v>
      </c>
      <c r="F532" s="150">
        <v>5.0199999999999996</v>
      </c>
      <c r="G532" s="150">
        <v>3.56</v>
      </c>
      <c r="H532" s="150"/>
      <c r="I532" s="151">
        <f t="shared" si="51"/>
        <v>-17.87</v>
      </c>
      <c r="J532" s="180"/>
    </row>
    <row r="533" spans="1:10" s="181" customFormat="1" ht="18" customHeight="1">
      <c r="A533" s="276"/>
      <c r="B533" s="148" t="s">
        <v>1131</v>
      </c>
      <c r="C533" s="149">
        <v>-1</v>
      </c>
      <c r="D533" s="156" t="s">
        <v>73</v>
      </c>
      <c r="E533" s="149">
        <v>1</v>
      </c>
      <c r="F533" s="150">
        <v>14.7</v>
      </c>
      <c r="G533" s="150">
        <v>0.23</v>
      </c>
      <c r="H533" s="150"/>
      <c r="I533" s="151">
        <f t="shared" si="51"/>
        <v>-3.38</v>
      </c>
      <c r="J533" s="180"/>
    </row>
    <row r="534" spans="1:10" s="181" customFormat="1">
      <c r="A534" s="276"/>
      <c r="B534" s="148" t="s">
        <v>1131</v>
      </c>
      <c r="C534" s="149">
        <v>-1</v>
      </c>
      <c r="D534" s="156" t="s">
        <v>73</v>
      </c>
      <c r="E534" s="149">
        <v>1</v>
      </c>
      <c r="F534" s="150">
        <v>4.84</v>
      </c>
      <c r="G534" s="150">
        <v>0.23</v>
      </c>
      <c r="H534" s="150"/>
      <c r="I534" s="151">
        <f t="shared" si="51"/>
        <v>-1.1100000000000001</v>
      </c>
      <c r="J534" s="161"/>
    </row>
    <row r="535" spans="1:10" s="181" customFormat="1">
      <c r="A535" s="276"/>
      <c r="B535" s="148" t="s">
        <v>1131</v>
      </c>
      <c r="C535" s="149">
        <v>-1</v>
      </c>
      <c r="D535" s="156" t="s">
        <v>73</v>
      </c>
      <c r="E535" s="149">
        <v>1</v>
      </c>
      <c r="F535" s="150">
        <v>3.07</v>
      </c>
      <c r="G535" s="150">
        <v>0.23</v>
      </c>
      <c r="H535" s="150"/>
      <c r="I535" s="151">
        <f t="shared" si="51"/>
        <v>-0.71</v>
      </c>
      <c r="J535" s="221"/>
    </row>
    <row r="536" spans="1:10" s="181" customFormat="1" ht="20.25" customHeight="1">
      <c r="A536" s="221"/>
      <c r="B536" s="148" t="s">
        <v>1131</v>
      </c>
      <c r="C536" s="149">
        <v>-1</v>
      </c>
      <c r="D536" s="156" t="s">
        <v>73</v>
      </c>
      <c r="E536" s="149">
        <v>1</v>
      </c>
      <c r="F536" s="150">
        <v>2.0699999999999998</v>
      </c>
      <c r="G536" s="150">
        <v>0.23</v>
      </c>
      <c r="H536" s="150"/>
      <c r="I536" s="151">
        <f t="shared" si="51"/>
        <v>-0.48</v>
      </c>
      <c r="J536" s="180"/>
    </row>
    <row r="537" spans="1:10" s="181" customFormat="1">
      <c r="A537" s="276"/>
      <c r="B537" s="148" t="s">
        <v>1131</v>
      </c>
      <c r="C537" s="149">
        <v>-1</v>
      </c>
      <c r="D537" s="156" t="s">
        <v>73</v>
      </c>
      <c r="E537" s="149">
        <v>1</v>
      </c>
      <c r="F537" s="150">
        <v>3.46</v>
      </c>
      <c r="G537" s="150">
        <v>0.23</v>
      </c>
      <c r="H537" s="150"/>
      <c r="I537" s="151">
        <f t="shared" si="51"/>
        <v>-0.8</v>
      </c>
      <c r="J537" s="180"/>
    </row>
    <row r="538" spans="1:10" s="181" customFormat="1">
      <c r="A538" s="276"/>
      <c r="B538" s="148" t="s">
        <v>1139</v>
      </c>
      <c r="C538" s="149">
        <v>-1</v>
      </c>
      <c r="D538" s="156" t="s">
        <v>73</v>
      </c>
      <c r="E538" s="149">
        <v>7</v>
      </c>
      <c r="F538" s="150">
        <v>0.38</v>
      </c>
      <c r="G538" s="150">
        <v>0.23</v>
      </c>
      <c r="H538" s="150"/>
      <c r="I538" s="151">
        <f t="shared" si="51"/>
        <v>-0.61</v>
      </c>
      <c r="J538" s="180"/>
    </row>
    <row r="539" spans="1:10" s="181" customFormat="1">
      <c r="A539" s="276"/>
      <c r="B539" s="148" t="s">
        <v>1139</v>
      </c>
      <c r="C539" s="149">
        <v>-1</v>
      </c>
      <c r="D539" s="156" t="s">
        <v>73</v>
      </c>
      <c r="E539" s="149">
        <v>2</v>
      </c>
      <c r="F539" s="150">
        <v>0.3</v>
      </c>
      <c r="G539" s="150">
        <v>0.23</v>
      </c>
      <c r="H539" s="150"/>
      <c r="I539" s="151">
        <f t="shared" si="51"/>
        <v>-0.14000000000000001</v>
      </c>
      <c r="J539" s="180"/>
    </row>
    <row r="540" spans="1:10" s="181" customFormat="1">
      <c r="A540" s="276"/>
      <c r="B540" s="148" t="s">
        <v>1300</v>
      </c>
      <c r="C540" s="149">
        <v>1</v>
      </c>
      <c r="D540" s="156" t="s">
        <v>73</v>
      </c>
      <c r="E540" s="149">
        <v>2</v>
      </c>
      <c r="F540" s="150">
        <v>14.24</v>
      </c>
      <c r="G540" s="150"/>
      <c r="H540" s="150">
        <v>0.3</v>
      </c>
      <c r="I540" s="151">
        <f t="shared" si="51"/>
        <v>8.5399999999999991</v>
      </c>
      <c r="J540" s="180"/>
    </row>
    <row r="541" spans="1:10" s="181" customFormat="1">
      <c r="A541" s="276"/>
      <c r="B541" s="148" t="s">
        <v>1300</v>
      </c>
      <c r="C541" s="149">
        <v>1</v>
      </c>
      <c r="D541" s="156" t="s">
        <v>73</v>
      </c>
      <c r="E541" s="149">
        <v>2</v>
      </c>
      <c r="F541" s="150">
        <v>6.81</v>
      </c>
      <c r="G541" s="150"/>
      <c r="H541" s="150">
        <v>0.3</v>
      </c>
      <c r="I541" s="151">
        <f t="shared" si="51"/>
        <v>4.09</v>
      </c>
      <c r="J541" s="180"/>
    </row>
    <row r="542" spans="1:10" s="181" customFormat="1">
      <c r="A542" s="276"/>
      <c r="B542" s="148" t="s">
        <v>1300</v>
      </c>
      <c r="C542" s="149">
        <v>1</v>
      </c>
      <c r="D542" s="156" t="s">
        <v>73</v>
      </c>
      <c r="E542" s="149">
        <v>2</v>
      </c>
      <c r="F542" s="150">
        <v>4.12</v>
      </c>
      <c r="G542" s="150"/>
      <c r="H542" s="150">
        <v>0.3</v>
      </c>
      <c r="I542" s="151">
        <f t="shared" si="51"/>
        <v>2.4700000000000002</v>
      </c>
      <c r="J542" s="180"/>
    </row>
    <row r="543" spans="1:10" s="181" customFormat="1">
      <c r="A543" s="276"/>
      <c r="B543" s="148" t="s">
        <v>1300</v>
      </c>
      <c r="C543" s="149">
        <v>1</v>
      </c>
      <c r="D543" s="156" t="s">
        <v>73</v>
      </c>
      <c r="E543" s="149">
        <v>2</v>
      </c>
      <c r="F543" s="150">
        <v>3.62</v>
      </c>
      <c r="G543" s="150"/>
      <c r="H543" s="150">
        <v>0.3</v>
      </c>
      <c r="I543" s="151">
        <f t="shared" si="51"/>
        <v>2.17</v>
      </c>
      <c r="J543" s="180"/>
    </row>
    <row r="544" spans="1:10" s="181" customFormat="1">
      <c r="A544" s="276"/>
      <c r="B544" s="148" t="s">
        <v>1300</v>
      </c>
      <c r="C544" s="149">
        <v>1</v>
      </c>
      <c r="D544" s="156" t="s">
        <v>73</v>
      </c>
      <c r="E544" s="149">
        <v>2</v>
      </c>
      <c r="F544" s="150">
        <v>3.3</v>
      </c>
      <c r="G544" s="150"/>
      <c r="H544" s="165">
        <v>0.255</v>
      </c>
      <c r="I544" s="151">
        <f t="shared" si="51"/>
        <v>1.68</v>
      </c>
      <c r="J544" s="180"/>
    </row>
    <row r="545" spans="1:10" s="181" customFormat="1">
      <c r="A545" s="276"/>
      <c r="B545" s="148" t="s">
        <v>1300</v>
      </c>
      <c r="C545" s="149">
        <v>2</v>
      </c>
      <c r="D545" s="156" t="s">
        <v>73</v>
      </c>
      <c r="E545" s="149">
        <v>2</v>
      </c>
      <c r="F545" s="150">
        <v>1.85</v>
      </c>
      <c r="G545" s="150"/>
      <c r="H545" s="165">
        <v>0.255</v>
      </c>
      <c r="I545" s="151">
        <f t="shared" si="51"/>
        <v>1.89</v>
      </c>
      <c r="J545" s="180"/>
    </row>
    <row r="546" spans="1:10" s="181" customFormat="1">
      <c r="A546" s="276"/>
      <c r="B546" s="148" t="s">
        <v>1300</v>
      </c>
      <c r="C546" s="149">
        <v>1</v>
      </c>
      <c r="D546" s="156" t="s">
        <v>73</v>
      </c>
      <c r="E546" s="149">
        <v>2</v>
      </c>
      <c r="F546" s="150">
        <v>2.5299999999999998</v>
      </c>
      <c r="G546" s="150"/>
      <c r="H546" s="165">
        <v>0.255</v>
      </c>
      <c r="I546" s="151">
        <f t="shared" si="51"/>
        <v>1.29</v>
      </c>
      <c r="J546" s="180"/>
    </row>
    <row r="547" spans="1:10" s="181" customFormat="1">
      <c r="A547" s="276"/>
      <c r="B547" s="148" t="s">
        <v>1300</v>
      </c>
      <c r="C547" s="149">
        <v>1</v>
      </c>
      <c r="D547" s="156" t="s">
        <v>73</v>
      </c>
      <c r="E547" s="149">
        <v>2</v>
      </c>
      <c r="F547" s="150">
        <v>2.33</v>
      </c>
      <c r="G547" s="150"/>
      <c r="H547" s="165">
        <v>0.47499999999999998</v>
      </c>
      <c r="I547" s="151">
        <f t="shared" si="51"/>
        <v>2.21</v>
      </c>
      <c r="J547" s="180"/>
    </row>
    <row r="548" spans="1:10" s="181" customFormat="1">
      <c r="A548" s="276"/>
      <c r="B548" s="148" t="s">
        <v>1301</v>
      </c>
      <c r="C548" s="149">
        <v>1</v>
      </c>
      <c r="D548" s="156" t="s">
        <v>73</v>
      </c>
      <c r="E548" s="149">
        <v>1</v>
      </c>
      <c r="F548" s="150">
        <v>2.65</v>
      </c>
      <c r="G548" s="150">
        <v>1.2</v>
      </c>
      <c r="H548" s="150"/>
      <c r="I548" s="151">
        <f t="shared" si="51"/>
        <v>3.18</v>
      </c>
      <c r="J548" s="180"/>
    </row>
    <row r="549" spans="1:10" s="181" customFormat="1">
      <c r="A549" s="276"/>
      <c r="B549" s="148" t="s">
        <v>1302</v>
      </c>
      <c r="C549" s="149">
        <v>1</v>
      </c>
      <c r="D549" s="156" t="s">
        <v>73</v>
      </c>
      <c r="E549" s="149">
        <v>1</v>
      </c>
      <c r="F549" s="150">
        <v>2.35</v>
      </c>
      <c r="G549" s="150">
        <v>1.2</v>
      </c>
      <c r="H549" s="150"/>
      <c r="I549" s="151">
        <f t="shared" si="51"/>
        <v>2.82</v>
      </c>
      <c r="J549" s="180"/>
    </row>
    <row r="550" spans="1:10" s="181" customFormat="1">
      <c r="A550" s="276"/>
      <c r="B550" s="148" t="s">
        <v>1303</v>
      </c>
      <c r="C550" s="149">
        <v>1</v>
      </c>
      <c r="D550" s="156" t="s">
        <v>73</v>
      </c>
      <c r="E550" s="149">
        <v>1</v>
      </c>
      <c r="F550" s="150">
        <v>2.5</v>
      </c>
      <c r="G550" s="150">
        <v>1.2</v>
      </c>
      <c r="H550" s="150"/>
      <c r="I550" s="151">
        <f t="shared" si="51"/>
        <v>3</v>
      </c>
      <c r="J550" s="180"/>
    </row>
    <row r="551" spans="1:10" s="181" customFormat="1">
      <c r="A551" s="276"/>
      <c r="B551" s="148" t="s">
        <v>1304</v>
      </c>
      <c r="C551" s="149">
        <v>1</v>
      </c>
      <c r="D551" s="156" t="s">
        <v>73</v>
      </c>
      <c r="E551" s="149">
        <v>1</v>
      </c>
      <c r="F551" s="150">
        <v>1.2</v>
      </c>
      <c r="G551" s="150">
        <v>1.2</v>
      </c>
      <c r="H551" s="150"/>
      <c r="I551" s="151">
        <f t="shared" si="51"/>
        <v>1.44</v>
      </c>
      <c r="J551" s="180"/>
    </row>
    <row r="552" spans="1:10" s="181" customFormat="1">
      <c r="A552" s="276"/>
      <c r="B552" s="148" t="s">
        <v>1305</v>
      </c>
      <c r="C552" s="149">
        <v>1</v>
      </c>
      <c r="D552" s="156" t="s">
        <v>73</v>
      </c>
      <c r="E552" s="149">
        <v>1</v>
      </c>
      <c r="F552" s="150">
        <v>1.43</v>
      </c>
      <c r="G552" s="150">
        <v>1.2</v>
      </c>
      <c r="H552" s="150"/>
      <c r="I552" s="151">
        <f t="shared" si="51"/>
        <v>1.72</v>
      </c>
      <c r="J552" s="180"/>
    </row>
    <row r="553" spans="1:10" s="181" customFormat="1">
      <c r="A553" s="276"/>
      <c r="B553" s="148" t="s">
        <v>1300</v>
      </c>
      <c r="C553" s="149">
        <v>2</v>
      </c>
      <c r="D553" s="156" t="s">
        <v>73</v>
      </c>
      <c r="E553" s="149">
        <v>2</v>
      </c>
      <c r="F553" s="150">
        <v>1.2</v>
      </c>
      <c r="G553" s="150"/>
      <c r="H553" s="165">
        <v>0.255</v>
      </c>
      <c r="I553" s="151">
        <f t="shared" si="51"/>
        <v>1.22</v>
      </c>
      <c r="J553" s="180"/>
    </row>
    <row r="554" spans="1:10" s="181" customFormat="1">
      <c r="A554" s="276"/>
      <c r="B554" s="148" t="s">
        <v>1306</v>
      </c>
      <c r="C554" s="149">
        <v>1</v>
      </c>
      <c r="D554" s="156" t="s">
        <v>73</v>
      </c>
      <c r="E554" s="149">
        <v>7</v>
      </c>
      <c r="F554" s="150">
        <v>1.22</v>
      </c>
      <c r="G554" s="150"/>
      <c r="H554" s="150">
        <v>2.92</v>
      </c>
      <c r="I554" s="151">
        <f t="shared" si="51"/>
        <v>24.94</v>
      </c>
      <c r="J554" s="180"/>
    </row>
    <row r="555" spans="1:10" s="181" customFormat="1">
      <c r="A555" s="276"/>
      <c r="B555" s="148" t="s">
        <v>1306</v>
      </c>
      <c r="C555" s="149">
        <v>1</v>
      </c>
      <c r="D555" s="156" t="s">
        <v>73</v>
      </c>
      <c r="E555" s="149">
        <v>2</v>
      </c>
      <c r="F555" s="150">
        <v>1.06</v>
      </c>
      <c r="G555" s="150"/>
      <c r="H555" s="150">
        <v>2.92</v>
      </c>
      <c r="I555" s="151">
        <f t="shared" si="51"/>
        <v>6.19</v>
      </c>
      <c r="J555" s="180"/>
    </row>
    <row r="556" spans="1:10" s="181" customFormat="1">
      <c r="A556" s="276"/>
      <c r="B556" s="148" t="s">
        <v>1307</v>
      </c>
      <c r="C556" s="149">
        <v>1</v>
      </c>
      <c r="D556" s="156" t="s">
        <v>73</v>
      </c>
      <c r="E556" s="149">
        <v>5</v>
      </c>
      <c r="F556" s="150">
        <v>1.81</v>
      </c>
      <c r="G556" s="150">
        <v>0.6</v>
      </c>
      <c r="H556" s="150"/>
      <c r="I556" s="151">
        <f t="shared" si="51"/>
        <v>5.43</v>
      </c>
      <c r="J556" s="180"/>
    </row>
    <row r="557" spans="1:10" s="181" customFormat="1">
      <c r="A557" s="276"/>
      <c r="B557" s="148" t="s">
        <v>1308</v>
      </c>
      <c r="C557" s="149">
        <v>1</v>
      </c>
      <c r="D557" s="156" t="s">
        <v>73</v>
      </c>
      <c r="E557" s="149">
        <v>1</v>
      </c>
      <c r="F557" s="150">
        <v>1.36</v>
      </c>
      <c r="G557" s="150">
        <v>0.6</v>
      </c>
      <c r="H557" s="150"/>
      <c r="I557" s="151">
        <f t="shared" si="51"/>
        <v>0.82</v>
      </c>
      <c r="J557" s="180"/>
    </row>
    <row r="558" spans="1:10" s="181" customFormat="1">
      <c r="A558" s="276"/>
      <c r="B558" s="155" t="s">
        <v>329</v>
      </c>
      <c r="C558" s="149"/>
      <c r="D558" s="156"/>
      <c r="E558" s="149"/>
      <c r="F558" s="150"/>
      <c r="G558" s="150"/>
      <c r="H558" s="150"/>
      <c r="I558" s="151">
        <f t="shared" si="51"/>
        <v>0</v>
      </c>
      <c r="J558" s="180"/>
    </row>
    <row r="559" spans="1:10" s="181" customFormat="1">
      <c r="A559" s="276"/>
      <c r="B559" s="148" t="s">
        <v>298</v>
      </c>
      <c r="C559" s="149">
        <v>1</v>
      </c>
      <c r="D559" s="156" t="s">
        <v>73</v>
      </c>
      <c r="E559" s="149">
        <v>1</v>
      </c>
      <c r="F559" s="150">
        <v>6.67</v>
      </c>
      <c r="G559" s="150">
        <v>3.5649999999999999</v>
      </c>
      <c r="H559" s="150"/>
      <c r="I559" s="151">
        <f t="shared" si="51"/>
        <v>23.78</v>
      </c>
      <c r="J559" s="180"/>
    </row>
    <row r="560" spans="1:10" s="181" customFormat="1">
      <c r="A560" s="276"/>
      <c r="B560" s="148" t="s">
        <v>1313</v>
      </c>
      <c r="C560" s="149">
        <v>1</v>
      </c>
      <c r="D560" s="156" t="s">
        <v>73</v>
      </c>
      <c r="E560" s="149">
        <v>1</v>
      </c>
      <c r="F560" s="150">
        <v>6.67</v>
      </c>
      <c r="G560" s="150">
        <v>0.6</v>
      </c>
      <c r="H560" s="150"/>
      <c r="I560" s="151">
        <f t="shared" si="51"/>
        <v>4</v>
      </c>
      <c r="J560" s="180"/>
    </row>
    <row r="561" spans="1:10" s="181" customFormat="1">
      <c r="A561" s="276"/>
      <c r="B561" s="182" t="s">
        <v>1314</v>
      </c>
      <c r="C561" s="149">
        <v>1</v>
      </c>
      <c r="D561" s="156" t="s">
        <v>73</v>
      </c>
      <c r="E561" s="149">
        <v>1</v>
      </c>
      <c r="F561" s="150">
        <v>5.15</v>
      </c>
      <c r="G561" s="150">
        <v>4.12</v>
      </c>
      <c r="H561" s="150"/>
      <c r="I561" s="151">
        <f t="shared" si="51"/>
        <v>21.22</v>
      </c>
      <c r="J561" s="180"/>
    </row>
    <row r="562" spans="1:10" s="181" customFormat="1">
      <c r="A562" s="276"/>
      <c r="B562" s="182" t="s">
        <v>1315</v>
      </c>
      <c r="C562" s="149">
        <v>1</v>
      </c>
      <c r="D562" s="156" t="s">
        <v>73</v>
      </c>
      <c r="E562" s="149">
        <v>1</v>
      </c>
      <c r="F562" s="150">
        <v>2.0750000000000002</v>
      </c>
      <c r="G562" s="165">
        <v>2.6850000000000001</v>
      </c>
      <c r="H562" s="150"/>
      <c r="I562" s="151">
        <f t="shared" si="51"/>
        <v>5.57</v>
      </c>
      <c r="J562" s="180"/>
    </row>
    <row r="563" spans="1:10" s="181" customFormat="1">
      <c r="A563" s="276"/>
      <c r="B563" s="182" t="s">
        <v>1316</v>
      </c>
      <c r="C563" s="149">
        <v>1</v>
      </c>
      <c r="D563" s="156" t="s">
        <v>73</v>
      </c>
      <c r="E563" s="149">
        <v>1</v>
      </c>
      <c r="F563" s="150">
        <v>2.0750000000000002</v>
      </c>
      <c r="G563" s="150">
        <v>1.32</v>
      </c>
      <c r="H563" s="150"/>
      <c r="I563" s="151">
        <f t="shared" si="51"/>
        <v>2.74</v>
      </c>
      <c r="J563" s="180"/>
    </row>
    <row r="564" spans="1:10" s="181" customFormat="1">
      <c r="A564" s="276"/>
      <c r="B564" s="148" t="s">
        <v>302</v>
      </c>
      <c r="C564" s="149">
        <v>1</v>
      </c>
      <c r="D564" s="156" t="s">
        <v>73</v>
      </c>
      <c r="E564" s="149">
        <v>1</v>
      </c>
      <c r="F564" s="150">
        <v>2.5299999999999998</v>
      </c>
      <c r="G564" s="150">
        <v>1.68</v>
      </c>
      <c r="H564" s="150"/>
      <c r="I564" s="151">
        <f t="shared" si="51"/>
        <v>4.25</v>
      </c>
      <c r="J564" s="180"/>
    </row>
    <row r="565" spans="1:10" s="181" customFormat="1">
      <c r="A565" s="276"/>
      <c r="B565" s="148" t="s">
        <v>184</v>
      </c>
      <c r="C565" s="149">
        <v>1</v>
      </c>
      <c r="D565" s="156" t="s">
        <v>73</v>
      </c>
      <c r="E565" s="149">
        <v>1</v>
      </c>
      <c r="F565" s="150">
        <v>2.645</v>
      </c>
      <c r="G565" s="150">
        <v>1.91</v>
      </c>
      <c r="H565" s="150"/>
      <c r="I565" s="151">
        <f t="shared" si="51"/>
        <v>5.05</v>
      </c>
      <c r="J565" s="180"/>
    </row>
    <row r="566" spans="1:10" s="181" customFormat="1">
      <c r="A566" s="276"/>
      <c r="B566" s="148" t="s">
        <v>332</v>
      </c>
      <c r="C566" s="149">
        <v>1</v>
      </c>
      <c r="D566" s="156" t="s">
        <v>73</v>
      </c>
      <c r="E566" s="149">
        <v>1</v>
      </c>
      <c r="F566" s="150">
        <v>2.645</v>
      </c>
      <c r="G566" s="150">
        <v>2.1800000000000002</v>
      </c>
      <c r="H566" s="150"/>
      <c r="I566" s="151">
        <f t="shared" si="51"/>
        <v>5.77</v>
      </c>
      <c r="J566" s="180"/>
    </row>
    <row r="567" spans="1:10" s="181" customFormat="1">
      <c r="A567" s="276"/>
      <c r="B567" s="148" t="s">
        <v>191</v>
      </c>
      <c r="C567" s="149">
        <v>1</v>
      </c>
      <c r="D567" s="156" t="s">
        <v>73</v>
      </c>
      <c r="E567" s="149">
        <v>1</v>
      </c>
      <c r="F567" s="150">
        <v>1.72</v>
      </c>
      <c r="G567" s="150">
        <v>3.1850000000000001</v>
      </c>
      <c r="H567" s="150"/>
      <c r="I567" s="151">
        <f t="shared" si="51"/>
        <v>5.48</v>
      </c>
      <c r="J567" s="180"/>
    </row>
    <row r="568" spans="1:10" s="181" customFormat="1">
      <c r="A568" s="276"/>
      <c r="B568" s="148" t="s">
        <v>1221</v>
      </c>
      <c r="C568" s="149">
        <v>1</v>
      </c>
      <c r="D568" s="156" t="s">
        <v>73</v>
      </c>
      <c r="E568" s="149">
        <v>1</v>
      </c>
      <c r="F568" s="150">
        <v>2.66</v>
      </c>
      <c r="G568" s="150">
        <v>3.33</v>
      </c>
      <c r="H568" s="150"/>
      <c r="I568" s="151">
        <f t="shared" si="51"/>
        <v>8.86</v>
      </c>
      <c r="J568" s="180"/>
    </row>
    <row r="569" spans="1:10" s="181" customFormat="1">
      <c r="A569" s="276"/>
      <c r="B569" s="148" t="s">
        <v>310</v>
      </c>
      <c r="C569" s="149">
        <v>1</v>
      </c>
      <c r="D569" s="156" t="s">
        <v>73</v>
      </c>
      <c r="E569" s="149">
        <v>1</v>
      </c>
      <c r="F569" s="150">
        <v>2.5449999999999999</v>
      </c>
      <c r="G569" s="150">
        <v>2</v>
      </c>
      <c r="H569" s="150"/>
      <c r="I569" s="151">
        <f t="shared" si="51"/>
        <v>5.09</v>
      </c>
      <c r="J569" s="180"/>
    </row>
    <row r="570" spans="1:10" s="181" customFormat="1">
      <c r="A570" s="276"/>
      <c r="B570" s="148" t="s">
        <v>1317</v>
      </c>
      <c r="C570" s="149">
        <v>1</v>
      </c>
      <c r="D570" s="156" t="s">
        <v>73</v>
      </c>
      <c r="E570" s="149">
        <v>1</v>
      </c>
      <c r="F570" s="150">
        <v>3.9449999999999998</v>
      </c>
      <c r="G570" s="150">
        <v>0.6</v>
      </c>
      <c r="H570" s="150"/>
      <c r="I570" s="151">
        <f t="shared" si="51"/>
        <v>2.37</v>
      </c>
      <c r="J570" s="180"/>
    </row>
    <row r="571" spans="1:10" s="181" customFormat="1">
      <c r="A571" s="276"/>
      <c r="B571" s="148" t="s">
        <v>303</v>
      </c>
      <c r="C571" s="149">
        <v>1</v>
      </c>
      <c r="D571" s="156" t="s">
        <v>73</v>
      </c>
      <c r="E571" s="149">
        <v>1</v>
      </c>
      <c r="F571" s="150">
        <v>1.85</v>
      </c>
      <c r="G571" s="150">
        <v>4.8600000000000003</v>
      </c>
      <c r="H571" s="150"/>
      <c r="I571" s="151">
        <f t="shared" si="51"/>
        <v>8.99</v>
      </c>
      <c r="J571" s="180"/>
    </row>
    <row r="572" spans="1:10" s="181" customFormat="1">
      <c r="A572" s="276"/>
      <c r="B572" s="148" t="s">
        <v>126</v>
      </c>
      <c r="C572" s="149">
        <v>1</v>
      </c>
      <c r="D572" s="156" t="s">
        <v>73</v>
      </c>
      <c r="E572" s="149">
        <v>1</v>
      </c>
      <c r="F572" s="150">
        <v>1.85</v>
      </c>
      <c r="G572" s="150">
        <v>1.2549999999999999</v>
      </c>
      <c r="H572" s="150"/>
      <c r="I572" s="151">
        <f t="shared" si="51"/>
        <v>2.3199999999999998</v>
      </c>
      <c r="J572" s="180"/>
    </row>
    <row r="573" spans="1:10" s="181" customFormat="1">
      <c r="A573" s="276"/>
      <c r="B573" s="148" t="s">
        <v>1241</v>
      </c>
      <c r="C573" s="149">
        <v>1</v>
      </c>
      <c r="D573" s="156" t="s">
        <v>73</v>
      </c>
      <c r="E573" s="149">
        <v>1</v>
      </c>
      <c r="F573" s="150">
        <v>6.87</v>
      </c>
      <c r="G573" s="150">
        <v>2</v>
      </c>
      <c r="H573" s="150"/>
      <c r="I573" s="151">
        <f t="shared" si="51"/>
        <v>13.74</v>
      </c>
      <c r="J573" s="180"/>
    </row>
    <row r="574" spans="1:10" s="181" customFormat="1">
      <c r="A574" s="276"/>
      <c r="B574" s="148" t="s">
        <v>1241</v>
      </c>
      <c r="C574" s="149">
        <v>1</v>
      </c>
      <c r="D574" s="149" t="s">
        <v>73</v>
      </c>
      <c r="E574" s="149">
        <v>1</v>
      </c>
      <c r="F574" s="150">
        <v>2.06</v>
      </c>
      <c r="G574" s="150">
        <v>0.67</v>
      </c>
      <c r="H574" s="150"/>
      <c r="I574" s="151">
        <f t="shared" si="51"/>
        <v>1.38</v>
      </c>
      <c r="J574" s="180"/>
    </row>
    <row r="575" spans="1:10" s="181" customFormat="1">
      <c r="A575" s="276"/>
      <c r="B575" s="148" t="s">
        <v>1300</v>
      </c>
      <c r="C575" s="149">
        <v>1</v>
      </c>
      <c r="D575" s="156" t="s">
        <v>73</v>
      </c>
      <c r="E575" s="149">
        <v>2</v>
      </c>
      <c r="F575" s="150">
        <v>2</v>
      </c>
      <c r="G575" s="150"/>
      <c r="H575" s="150">
        <v>0.3</v>
      </c>
      <c r="I575" s="151">
        <f t="shared" si="51"/>
        <v>1.2</v>
      </c>
      <c r="J575" s="180"/>
    </row>
    <row r="576" spans="1:10" s="181" customFormat="1">
      <c r="A576" s="276"/>
      <c r="B576" s="148" t="s">
        <v>1300</v>
      </c>
      <c r="C576" s="149">
        <v>1</v>
      </c>
      <c r="D576" s="156" t="s">
        <v>73</v>
      </c>
      <c r="E576" s="149">
        <v>2</v>
      </c>
      <c r="F576" s="150">
        <v>1.85</v>
      </c>
      <c r="G576" s="150"/>
      <c r="H576" s="165">
        <v>0.255</v>
      </c>
      <c r="I576" s="151">
        <f t="shared" si="51"/>
        <v>0.94</v>
      </c>
      <c r="J576" s="180"/>
    </row>
    <row r="577" spans="1:10" s="181" customFormat="1">
      <c r="A577" s="276"/>
      <c r="B577" s="148" t="s">
        <v>1301</v>
      </c>
      <c r="C577" s="149">
        <v>1</v>
      </c>
      <c r="D577" s="156" t="s">
        <v>73</v>
      </c>
      <c r="E577" s="149">
        <v>1</v>
      </c>
      <c r="F577" s="150">
        <v>2.65</v>
      </c>
      <c r="G577" s="150">
        <v>1.2</v>
      </c>
      <c r="H577" s="150"/>
      <c r="I577" s="151">
        <f t="shared" si="51"/>
        <v>3.18</v>
      </c>
      <c r="J577" s="180"/>
    </row>
    <row r="578" spans="1:10" s="181" customFormat="1">
      <c r="A578" s="276"/>
      <c r="B578" s="148" t="s">
        <v>1302</v>
      </c>
      <c r="C578" s="149">
        <v>1</v>
      </c>
      <c r="D578" s="156" t="s">
        <v>73</v>
      </c>
      <c r="E578" s="149">
        <v>1</v>
      </c>
      <c r="F578" s="150">
        <v>2.35</v>
      </c>
      <c r="G578" s="150">
        <v>1.2</v>
      </c>
      <c r="H578" s="150"/>
      <c r="I578" s="151">
        <f t="shared" si="51"/>
        <v>2.82</v>
      </c>
      <c r="J578" s="180"/>
    </row>
    <row r="579" spans="1:10" s="181" customFormat="1">
      <c r="A579" s="276"/>
      <c r="B579" s="148" t="s">
        <v>1303</v>
      </c>
      <c r="C579" s="149">
        <v>1</v>
      </c>
      <c r="D579" s="156" t="s">
        <v>73</v>
      </c>
      <c r="E579" s="149">
        <v>1</v>
      </c>
      <c r="F579" s="150">
        <v>2.5</v>
      </c>
      <c r="G579" s="150">
        <v>1.2</v>
      </c>
      <c r="H579" s="150"/>
      <c r="I579" s="151">
        <f t="shared" si="51"/>
        <v>3</v>
      </c>
      <c r="J579" s="180"/>
    </row>
    <row r="580" spans="1:10" s="181" customFormat="1">
      <c r="A580" s="276"/>
      <c r="B580" s="148" t="s">
        <v>1304</v>
      </c>
      <c r="C580" s="149">
        <v>1</v>
      </c>
      <c r="D580" s="156" t="s">
        <v>73</v>
      </c>
      <c r="E580" s="149">
        <v>1</v>
      </c>
      <c r="F580" s="150">
        <v>1.2</v>
      </c>
      <c r="G580" s="150">
        <v>1.2</v>
      </c>
      <c r="H580" s="150"/>
      <c r="I580" s="151">
        <f t="shared" si="51"/>
        <v>1.44</v>
      </c>
      <c r="J580" s="180"/>
    </row>
    <row r="581" spans="1:10" s="181" customFormat="1">
      <c r="A581" s="276"/>
      <c r="B581" s="148" t="s">
        <v>1305</v>
      </c>
      <c r="C581" s="149">
        <v>1</v>
      </c>
      <c r="D581" s="156" t="s">
        <v>73</v>
      </c>
      <c r="E581" s="149">
        <v>1</v>
      </c>
      <c r="F581" s="150">
        <v>1.43</v>
      </c>
      <c r="G581" s="150">
        <v>1.2</v>
      </c>
      <c r="H581" s="150"/>
      <c r="I581" s="151">
        <f t="shared" si="51"/>
        <v>1.72</v>
      </c>
      <c r="J581" s="180"/>
    </row>
    <row r="582" spans="1:10" s="181" customFormat="1">
      <c r="A582" s="276"/>
      <c r="B582" s="148" t="s">
        <v>320</v>
      </c>
      <c r="C582" s="149">
        <v>1</v>
      </c>
      <c r="D582" s="149" t="s">
        <v>73</v>
      </c>
      <c r="E582" s="149">
        <v>11</v>
      </c>
      <c r="F582" s="150">
        <v>1.81</v>
      </c>
      <c r="G582" s="150">
        <v>0.6</v>
      </c>
      <c r="H582" s="150"/>
      <c r="I582" s="151">
        <f t="shared" si="51"/>
        <v>11.95</v>
      </c>
      <c r="J582" s="180"/>
    </row>
    <row r="583" spans="1:10" s="181" customFormat="1">
      <c r="A583" s="276"/>
      <c r="B583" s="148" t="s">
        <v>319</v>
      </c>
      <c r="C583" s="149">
        <v>1</v>
      </c>
      <c r="D583" s="149" t="s">
        <v>73</v>
      </c>
      <c r="E583" s="149">
        <v>2</v>
      </c>
      <c r="F583" s="150">
        <v>1.36</v>
      </c>
      <c r="G583" s="150">
        <v>0.6</v>
      </c>
      <c r="H583" s="150"/>
      <c r="I583" s="151">
        <f t="shared" si="51"/>
        <v>1.63</v>
      </c>
      <c r="J583" s="180"/>
    </row>
    <row r="584" spans="1:10" s="181" customFormat="1">
      <c r="A584" s="276"/>
      <c r="B584" s="155" t="s">
        <v>330</v>
      </c>
      <c r="C584" s="149"/>
      <c r="D584" s="149"/>
      <c r="E584" s="149"/>
      <c r="F584" s="150"/>
      <c r="G584" s="150"/>
      <c r="H584" s="150"/>
      <c r="I584" s="151">
        <f t="shared" si="51"/>
        <v>0</v>
      </c>
      <c r="J584" s="180"/>
    </row>
    <row r="585" spans="1:10" s="181" customFormat="1">
      <c r="A585" s="276"/>
      <c r="B585" s="148" t="s">
        <v>298</v>
      </c>
      <c r="C585" s="149">
        <v>1</v>
      </c>
      <c r="D585" s="156" t="s">
        <v>73</v>
      </c>
      <c r="E585" s="149">
        <v>1</v>
      </c>
      <c r="F585" s="150">
        <v>6.67</v>
      </c>
      <c r="G585" s="150">
        <v>3.5649999999999999</v>
      </c>
      <c r="H585" s="150"/>
      <c r="I585" s="151">
        <f t="shared" si="51"/>
        <v>23.78</v>
      </c>
      <c r="J585" s="180"/>
    </row>
    <row r="586" spans="1:10" s="181" customFormat="1">
      <c r="A586" s="276"/>
      <c r="B586" s="148" t="s">
        <v>1313</v>
      </c>
      <c r="C586" s="149">
        <v>1</v>
      </c>
      <c r="D586" s="156" t="s">
        <v>73</v>
      </c>
      <c r="E586" s="149">
        <v>1</v>
      </c>
      <c r="F586" s="150">
        <v>6.67</v>
      </c>
      <c r="G586" s="150">
        <v>0.6</v>
      </c>
      <c r="H586" s="150"/>
      <c r="I586" s="151">
        <f t="shared" si="51"/>
        <v>4</v>
      </c>
      <c r="J586" s="180"/>
    </row>
    <row r="587" spans="1:10" s="181" customFormat="1">
      <c r="A587" s="276"/>
      <c r="B587" s="182" t="s">
        <v>1314</v>
      </c>
      <c r="C587" s="149">
        <v>1</v>
      </c>
      <c r="D587" s="156" t="s">
        <v>73</v>
      </c>
      <c r="E587" s="149">
        <v>1</v>
      </c>
      <c r="F587" s="150">
        <v>5.15</v>
      </c>
      <c r="G587" s="150">
        <v>4.12</v>
      </c>
      <c r="H587" s="150"/>
      <c r="I587" s="151">
        <f t="shared" si="51"/>
        <v>21.22</v>
      </c>
      <c r="J587" s="180"/>
    </row>
    <row r="588" spans="1:10" s="181" customFormat="1">
      <c r="A588" s="276"/>
      <c r="B588" s="182" t="s">
        <v>1318</v>
      </c>
      <c r="C588" s="149">
        <v>1</v>
      </c>
      <c r="D588" s="156" t="s">
        <v>73</v>
      </c>
      <c r="E588" s="149">
        <v>2</v>
      </c>
      <c r="F588" s="150">
        <v>5.15</v>
      </c>
      <c r="G588" s="150"/>
      <c r="H588" s="150">
        <v>0.3</v>
      </c>
      <c r="I588" s="151">
        <f t="shared" si="51"/>
        <v>3.09</v>
      </c>
      <c r="J588" s="180"/>
    </row>
    <row r="589" spans="1:10" s="181" customFormat="1">
      <c r="A589" s="276"/>
      <c r="B589" s="182" t="s">
        <v>1315</v>
      </c>
      <c r="C589" s="149">
        <v>1</v>
      </c>
      <c r="D589" s="156" t="s">
        <v>73</v>
      </c>
      <c r="E589" s="149">
        <v>1</v>
      </c>
      <c r="F589" s="150">
        <v>2.0750000000000002</v>
      </c>
      <c r="G589" s="165">
        <v>2.6850000000000001</v>
      </c>
      <c r="H589" s="150"/>
      <c r="I589" s="151">
        <f t="shared" si="51"/>
        <v>5.57</v>
      </c>
      <c r="J589" s="180"/>
    </row>
    <row r="590" spans="1:10" s="181" customFormat="1">
      <c r="A590" s="276"/>
      <c r="B590" s="182" t="s">
        <v>1316</v>
      </c>
      <c r="C590" s="149">
        <v>1</v>
      </c>
      <c r="D590" s="156" t="s">
        <v>73</v>
      </c>
      <c r="E590" s="149">
        <v>1</v>
      </c>
      <c r="F590" s="150">
        <v>2.0750000000000002</v>
      </c>
      <c r="G590" s="150">
        <v>1.32</v>
      </c>
      <c r="H590" s="150"/>
      <c r="I590" s="151">
        <f t="shared" si="51"/>
        <v>2.74</v>
      </c>
      <c r="J590" s="180"/>
    </row>
    <row r="591" spans="1:10" s="181" customFormat="1">
      <c r="A591" s="276"/>
      <c r="B591" s="182" t="s">
        <v>1319</v>
      </c>
      <c r="C591" s="149">
        <v>1</v>
      </c>
      <c r="D591" s="156" t="s">
        <v>73</v>
      </c>
      <c r="E591" s="149">
        <v>2</v>
      </c>
      <c r="F591" s="150">
        <v>2.0750000000000002</v>
      </c>
      <c r="G591" s="150"/>
      <c r="H591" s="150">
        <v>0.3</v>
      </c>
      <c r="I591" s="151">
        <f t="shared" si="51"/>
        <v>1.25</v>
      </c>
      <c r="J591" s="180"/>
    </row>
    <row r="592" spans="1:10" s="181" customFormat="1">
      <c r="A592" s="276"/>
      <c r="B592" s="148" t="s">
        <v>156</v>
      </c>
      <c r="C592" s="149">
        <v>1</v>
      </c>
      <c r="D592" s="156" t="s">
        <v>73</v>
      </c>
      <c r="E592" s="149">
        <v>1</v>
      </c>
      <c r="F592" s="150">
        <v>4.6100000000000003</v>
      </c>
      <c r="G592" s="150">
        <v>6.23</v>
      </c>
      <c r="H592" s="150"/>
      <c r="I592" s="151">
        <f t="shared" si="51"/>
        <v>28.72</v>
      </c>
      <c r="J592" s="180"/>
    </row>
    <row r="593" spans="1:10" s="181" customFormat="1">
      <c r="A593" s="276"/>
      <c r="B593" s="148" t="s">
        <v>1300</v>
      </c>
      <c r="C593" s="149">
        <v>1</v>
      </c>
      <c r="D593" s="156" t="s">
        <v>73</v>
      </c>
      <c r="E593" s="149">
        <v>2</v>
      </c>
      <c r="F593" s="150">
        <v>2.5350000000000001</v>
      </c>
      <c r="G593" s="150"/>
      <c r="H593" s="165">
        <v>0.255</v>
      </c>
      <c r="I593" s="151">
        <f t="shared" si="51"/>
        <v>1.29</v>
      </c>
      <c r="J593" s="180"/>
    </row>
    <row r="594" spans="1:10" s="181" customFormat="1">
      <c r="A594" s="276"/>
      <c r="B594" s="148" t="s">
        <v>1300</v>
      </c>
      <c r="C594" s="149">
        <v>1</v>
      </c>
      <c r="D594" s="156" t="s">
        <v>73</v>
      </c>
      <c r="E594" s="149">
        <v>2</v>
      </c>
      <c r="F594" s="150">
        <v>6.23</v>
      </c>
      <c r="G594" s="150"/>
      <c r="H594" s="165">
        <v>0.255</v>
      </c>
      <c r="I594" s="151">
        <f t="shared" si="51"/>
        <v>3.18</v>
      </c>
      <c r="J594" s="180"/>
    </row>
    <row r="595" spans="1:10" s="181" customFormat="1">
      <c r="A595" s="276"/>
      <c r="B595" s="148" t="s">
        <v>191</v>
      </c>
      <c r="C595" s="149">
        <v>1</v>
      </c>
      <c r="D595" s="156" t="s">
        <v>73</v>
      </c>
      <c r="E595" s="149">
        <v>1</v>
      </c>
      <c r="F595" s="150">
        <v>1.835</v>
      </c>
      <c r="G595" s="150">
        <v>3.1850000000000001</v>
      </c>
      <c r="H595" s="150"/>
      <c r="I595" s="151">
        <f t="shared" si="51"/>
        <v>5.84</v>
      </c>
      <c r="J595" s="180"/>
    </row>
    <row r="596" spans="1:10" s="181" customFormat="1">
      <c r="A596" s="276"/>
      <c r="B596" s="148" t="s">
        <v>1221</v>
      </c>
      <c r="C596" s="149">
        <v>1</v>
      </c>
      <c r="D596" s="156" t="s">
        <v>73</v>
      </c>
      <c r="E596" s="149">
        <v>1</v>
      </c>
      <c r="F596" s="150">
        <v>2.66</v>
      </c>
      <c r="G596" s="150">
        <v>3.33</v>
      </c>
      <c r="H596" s="150"/>
      <c r="I596" s="151">
        <f t="shared" si="51"/>
        <v>8.86</v>
      </c>
      <c r="J596" s="180"/>
    </row>
    <row r="597" spans="1:10" s="181" customFormat="1">
      <c r="A597" s="276"/>
      <c r="B597" s="148" t="s">
        <v>310</v>
      </c>
      <c r="C597" s="149">
        <v>1</v>
      </c>
      <c r="D597" s="156" t="s">
        <v>73</v>
      </c>
      <c r="E597" s="149">
        <v>1</v>
      </c>
      <c r="F597" s="150">
        <v>2.5449999999999999</v>
      </c>
      <c r="G597" s="150">
        <v>2</v>
      </c>
      <c r="H597" s="150"/>
      <c r="I597" s="151">
        <f t="shared" si="51"/>
        <v>5.09</v>
      </c>
      <c r="J597" s="180"/>
    </row>
    <row r="598" spans="1:10" s="181" customFormat="1">
      <c r="A598" s="276"/>
      <c r="B598" s="148" t="s">
        <v>1317</v>
      </c>
      <c r="C598" s="149">
        <v>1</v>
      </c>
      <c r="D598" s="156" t="s">
        <v>73</v>
      </c>
      <c r="E598" s="149">
        <v>1</v>
      </c>
      <c r="F598" s="150">
        <v>3.9449999999999998</v>
      </c>
      <c r="G598" s="150">
        <v>0.6</v>
      </c>
      <c r="H598" s="150"/>
      <c r="I598" s="151">
        <f t="shared" si="51"/>
        <v>2.37</v>
      </c>
      <c r="J598" s="180"/>
    </row>
    <row r="599" spans="1:10" s="181" customFormat="1">
      <c r="A599" s="276"/>
      <c r="B599" s="148" t="s">
        <v>1241</v>
      </c>
      <c r="C599" s="149">
        <v>1</v>
      </c>
      <c r="D599" s="156" t="s">
        <v>73</v>
      </c>
      <c r="E599" s="149">
        <v>1</v>
      </c>
      <c r="F599" s="150">
        <v>6.87</v>
      </c>
      <c r="G599" s="150">
        <v>2</v>
      </c>
      <c r="H599" s="150"/>
      <c r="I599" s="151">
        <f t="shared" si="51"/>
        <v>13.74</v>
      </c>
      <c r="J599" s="180"/>
    </row>
    <row r="600" spans="1:10" s="181" customFormat="1">
      <c r="A600" s="276"/>
      <c r="B600" s="148" t="s">
        <v>1241</v>
      </c>
      <c r="C600" s="149">
        <v>1</v>
      </c>
      <c r="D600" s="149" t="s">
        <v>73</v>
      </c>
      <c r="E600" s="149">
        <v>1</v>
      </c>
      <c r="F600" s="150">
        <v>2.06</v>
      </c>
      <c r="G600" s="150">
        <v>0.67</v>
      </c>
      <c r="H600" s="150"/>
      <c r="I600" s="151">
        <f t="shared" si="51"/>
        <v>1.38</v>
      </c>
      <c r="J600" s="180"/>
    </row>
    <row r="601" spans="1:10" s="181" customFormat="1">
      <c r="A601" s="276"/>
      <c r="B601" s="148" t="s">
        <v>1300</v>
      </c>
      <c r="C601" s="149">
        <v>1</v>
      </c>
      <c r="D601" s="156" t="s">
        <v>73</v>
      </c>
      <c r="E601" s="149">
        <v>2</v>
      </c>
      <c r="F601" s="150">
        <v>2</v>
      </c>
      <c r="G601" s="150"/>
      <c r="H601" s="150">
        <v>0.3</v>
      </c>
      <c r="I601" s="151">
        <f t="shared" si="51"/>
        <v>1.2</v>
      </c>
      <c r="J601" s="180"/>
    </row>
    <row r="602" spans="1:10" s="181" customFormat="1">
      <c r="A602" s="276"/>
      <c r="B602" s="148" t="s">
        <v>1300</v>
      </c>
      <c r="C602" s="149">
        <v>1</v>
      </c>
      <c r="D602" s="156" t="s">
        <v>73</v>
      </c>
      <c r="E602" s="149">
        <v>2</v>
      </c>
      <c r="F602" s="150">
        <v>1.85</v>
      </c>
      <c r="G602" s="150"/>
      <c r="H602" s="165">
        <v>0.255</v>
      </c>
      <c r="I602" s="151">
        <f t="shared" si="51"/>
        <v>0.94</v>
      </c>
      <c r="J602" s="180"/>
    </row>
    <row r="603" spans="1:10" s="181" customFormat="1">
      <c r="A603" s="276"/>
      <c r="B603" s="148" t="s">
        <v>1301</v>
      </c>
      <c r="C603" s="149">
        <v>1</v>
      </c>
      <c r="D603" s="156" t="s">
        <v>73</v>
      </c>
      <c r="E603" s="149">
        <v>1</v>
      </c>
      <c r="F603" s="150">
        <v>2.65</v>
      </c>
      <c r="G603" s="150">
        <v>1.2</v>
      </c>
      <c r="H603" s="150"/>
      <c r="I603" s="151">
        <f t="shared" si="51"/>
        <v>3.18</v>
      </c>
      <c r="J603" s="180"/>
    </row>
    <row r="604" spans="1:10" s="181" customFormat="1">
      <c r="A604" s="276"/>
      <c r="B604" s="148" t="s">
        <v>1302</v>
      </c>
      <c r="C604" s="149">
        <v>1</v>
      </c>
      <c r="D604" s="156" t="s">
        <v>73</v>
      </c>
      <c r="E604" s="149">
        <v>1</v>
      </c>
      <c r="F604" s="150">
        <v>2.35</v>
      </c>
      <c r="G604" s="150">
        <v>1.2</v>
      </c>
      <c r="H604" s="150"/>
      <c r="I604" s="151">
        <f t="shared" si="51"/>
        <v>2.82</v>
      </c>
      <c r="J604" s="180"/>
    </row>
    <row r="605" spans="1:10" s="181" customFormat="1">
      <c r="A605" s="276"/>
      <c r="B605" s="148" t="s">
        <v>1303</v>
      </c>
      <c r="C605" s="149">
        <v>1</v>
      </c>
      <c r="D605" s="156" t="s">
        <v>73</v>
      </c>
      <c r="E605" s="149">
        <v>1</v>
      </c>
      <c r="F605" s="150">
        <v>2.5</v>
      </c>
      <c r="G605" s="150">
        <v>1.2</v>
      </c>
      <c r="H605" s="150"/>
      <c r="I605" s="151">
        <f t="shared" si="51"/>
        <v>3</v>
      </c>
      <c r="J605" s="180"/>
    </row>
    <row r="606" spans="1:10" s="181" customFormat="1">
      <c r="A606" s="276"/>
      <c r="B606" s="148" t="s">
        <v>1304</v>
      </c>
      <c r="C606" s="149">
        <v>1</v>
      </c>
      <c r="D606" s="156" t="s">
        <v>73</v>
      </c>
      <c r="E606" s="149">
        <v>1</v>
      </c>
      <c r="F606" s="150">
        <v>1.2</v>
      </c>
      <c r="G606" s="150">
        <v>1.2</v>
      </c>
      <c r="H606" s="150"/>
      <c r="I606" s="151">
        <f t="shared" si="51"/>
        <v>1.44</v>
      </c>
      <c r="J606" s="180"/>
    </row>
    <row r="607" spans="1:10" s="181" customFormat="1">
      <c r="A607" s="276"/>
      <c r="B607" s="148" t="s">
        <v>1305</v>
      </c>
      <c r="C607" s="149">
        <v>1</v>
      </c>
      <c r="D607" s="156" t="s">
        <v>73</v>
      </c>
      <c r="E607" s="149">
        <v>1</v>
      </c>
      <c r="F607" s="150">
        <v>1.43</v>
      </c>
      <c r="G607" s="150">
        <v>1.2</v>
      </c>
      <c r="H607" s="150"/>
      <c r="I607" s="151">
        <f t="shared" si="51"/>
        <v>1.72</v>
      </c>
      <c r="J607" s="180"/>
    </row>
    <row r="608" spans="1:10" s="181" customFormat="1">
      <c r="A608" s="276"/>
      <c r="B608" s="148" t="s">
        <v>320</v>
      </c>
      <c r="C608" s="149">
        <v>1</v>
      </c>
      <c r="D608" s="149" t="s">
        <v>73</v>
      </c>
      <c r="E608" s="149">
        <v>12</v>
      </c>
      <c r="F608" s="150">
        <v>1.81</v>
      </c>
      <c r="G608" s="150">
        <v>0.6</v>
      </c>
      <c r="H608" s="150"/>
      <c r="I608" s="151">
        <f t="shared" si="51"/>
        <v>13.03</v>
      </c>
      <c r="J608" s="180"/>
    </row>
    <row r="609" spans="1:10" s="181" customFormat="1">
      <c r="A609" s="276"/>
      <c r="B609" s="148" t="s">
        <v>319</v>
      </c>
      <c r="C609" s="149">
        <v>1</v>
      </c>
      <c r="D609" s="149" t="s">
        <v>73</v>
      </c>
      <c r="E609" s="149">
        <v>2</v>
      </c>
      <c r="F609" s="150">
        <v>1.36</v>
      </c>
      <c r="G609" s="150">
        <v>0.6</v>
      </c>
      <c r="H609" s="150"/>
      <c r="I609" s="151">
        <f t="shared" si="51"/>
        <v>1.63</v>
      </c>
      <c r="J609" s="180"/>
    </row>
    <row r="610" spans="1:10" s="181" customFormat="1">
      <c r="A610" s="276"/>
      <c r="B610" s="155" t="s">
        <v>333</v>
      </c>
      <c r="C610" s="149"/>
      <c r="D610" s="156"/>
      <c r="E610" s="149"/>
      <c r="F610" s="150"/>
      <c r="G610" s="150"/>
      <c r="H610" s="150"/>
      <c r="I610" s="151">
        <f t="shared" si="51"/>
        <v>0</v>
      </c>
      <c r="J610" s="180"/>
    </row>
    <row r="611" spans="1:10" s="181" customFormat="1">
      <c r="A611" s="276"/>
      <c r="B611" s="148" t="s">
        <v>312</v>
      </c>
      <c r="C611" s="149">
        <v>1</v>
      </c>
      <c r="D611" s="156" t="s">
        <v>73</v>
      </c>
      <c r="E611" s="149">
        <v>2</v>
      </c>
      <c r="F611" s="150">
        <v>4.6100000000000003</v>
      </c>
      <c r="G611" s="150">
        <v>3.0449999999999999</v>
      </c>
      <c r="H611" s="150"/>
      <c r="I611" s="151">
        <f t="shared" si="51"/>
        <v>28.07</v>
      </c>
      <c r="J611" s="180"/>
    </row>
    <row r="612" spans="1:10" s="181" customFormat="1">
      <c r="A612" s="276"/>
      <c r="B612" s="148" t="s">
        <v>497</v>
      </c>
      <c r="C612" s="149">
        <v>1</v>
      </c>
      <c r="D612" s="156" t="s">
        <v>73</v>
      </c>
      <c r="E612" s="149">
        <v>2</v>
      </c>
      <c r="F612" s="150">
        <v>1.32</v>
      </c>
      <c r="G612" s="165">
        <v>1.4850000000000001</v>
      </c>
      <c r="H612" s="150"/>
      <c r="I612" s="151">
        <f t="shared" si="51"/>
        <v>3.92</v>
      </c>
      <c r="J612" s="180"/>
    </row>
    <row r="613" spans="1:10" s="181" customFormat="1">
      <c r="A613" s="276"/>
      <c r="B613" s="148" t="s">
        <v>160</v>
      </c>
      <c r="C613" s="149">
        <v>1</v>
      </c>
      <c r="D613" s="156" t="s">
        <v>73</v>
      </c>
      <c r="E613" s="149">
        <v>2</v>
      </c>
      <c r="F613" s="150">
        <v>1.21</v>
      </c>
      <c r="G613" s="165">
        <v>1.4850000000000001</v>
      </c>
      <c r="H613" s="150"/>
      <c r="I613" s="151">
        <f t="shared" si="51"/>
        <v>3.59</v>
      </c>
      <c r="J613" s="180"/>
    </row>
    <row r="614" spans="1:10" s="181" customFormat="1">
      <c r="A614" s="276"/>
      <c r="B614" s="148" t="s">
        <v>160</v>
      </c>
      <c r="C614" s="149">
        <v>1</v>
      </c>
      <c r="D614" s="156" t="s">
        <v>73</v>
      </c>
      <c r="E614" s="149">
        <v>2</v>
      </c>
      <c r="F614" s="150">
        <v>1.85</v>
      </c>
      <c r="G614" s="165">
        <v>1.4850000000000001</v>
      </c>
      <c r="H614" s="150"/>
      <c r="I614" s="151">
        <f t="shared" si="51"/>
        <v>5.49</v>
      </c>
      <c r="J614" s="180"/>
    </row>
    <row r="615" spans="1:10" s="181" customFormat="1">
      <c r="A615" s="276"/>
      <c r="B615" s="148" t="s">
        <v>1320</v>
      </c>
      <c r="C615" s="149">
        <v>1</v>
      </c>
      <c r="D615" s="156" t="s">
        <v>73</v>
      </c>
      <c r="E615" s="149">
        <v>2</v>
      </c>
      <c r="F615" s="150">
        <v>4.6100000000000003</v>
      </c>
      <c r="G615" s="150">
        <v>1.47</v>
      </c>
      <c r="H615" s="150"/>
      <c r="I615" s="151">
        <f t="shared" si="51"/>
        <v>13.55</v>
      </c>
      <c r="J615" s="180"/>
    </row>
    <row r="616" spans="1:10" s="181" customFormat="1">
      <c r="A616" s="276"/>
      <c r="B616" s="148" t="s">
        <v>1241</v>
      </c>
      <c r="C616" s="149">
        <v>1</v>
      </c>
      <c r="D616" s="156" t="s">
        <v>73</v>
      </c>
      <c r="E616" s="149">
        <v>1</v>
      </c>
      <c r="F616" s="150">
        <v>4.5599999999999996</v>
      </c>
      <c r="G616" s="150">
        <v>2.67</v>
      </c>
      <c r="H616" s="150"/>
      <c r="I616" s="151">
        <f t="shared" si="51"/>
        <v>12.18</v>
      </c>
      <c r="J616" s="180"/>
    </row>
    <row r="617" spans="1:10" s="181" customFormat="1">
      <c r="A617" s="276"/>
      <c r="B617" s="148" t="s">
        <v>201</v>
      </c>
      <c r="C617" s="149">
        <v>1</v>
      </c>
      <c r="D617" s="156" t="s">
        <v>73</v>
      </c>
      <c r="E617" s="149">
        <v>1</v>
      </c>
      <c r="F617" s="150">
        <v>4.5599999999999996</v>
      </c>
      <c r="G617" s="150">
        <v>3.56</v>
      </c>
      <c r="H617" s="150"/>
      <c r="I617" s="151">
        <f t="shared" si="51"/>
        <v>16.23</v>
      </c>
      <c r="J617" s="180"/>
    </row>
    <row r="618" spans="1:10" s="181" customFormat="1">
      <c r="A618" s="276"/>
      <c r="B618" s="148" t="s">
        <v>1321</v>
      </c>
      <c r="C618" s="149">
        <v>-1</v>
      </c>
      <c r="D618" s="156" t="s">
        <v>73</v>
      </c>
      <c r="E618" s="149">
        <v>1</v>
      </c>
      <c r="F618" s="150">
        <v>2.36</v>
      </c>
      <c r="G618" s="150">
        <v>2.16</v>
      </c>
      <c r="H618" s="150"/>
      <c r="I618" s="151">
        <f t="shared" si="51"/>
        <v>-5.0999999999999996</v>
      </c>
      <c r="J618" s="180"/>
    </row>
    <row r="619" spans="1:10" s="154" customFormat="1">
      <c r="A619" s="276"/>
      <c r="B619" s="148" t="s">
        <v>319</v>
      </c>
      <c r="C619" s="149">
        <v>1</v>
      </c>
      <c r="D619" s="149" t="s">
        <v>73</v>
      </c>
      <c r="E619" s="149">
        <v>4</v>
      </c>
      <c r="F619" s="150">
        <v>1.81</v>
      </c>
      <c r="G619" s="150">
        <v>0.6</v>
      </c>
      <c r="H619" s="150"/>
      <c r="I619" s="151">
        <f>ROUND(PRODUCT(C619:H619),2)</f>
        <v>4.34</v>
      </c>
      <c r="J619" s="180"/>
    </row>
    <row r="620" spans="1:10" s="181" customFormat="1">
      <c r="A620" s="276"/>
      <c r="B620" s="148" t="s">
        <v>321</v>
      </c>
      <c r="C620" s="149">
        <v>1</v>
      </c>
      <c r="D620" s="149" t="s">
        <v>73</v>
      </c>
      <c r="E620" s="149">
        <v>1</v>
      </c>
      <c r="F620" s="150">
        <v>1.46</v>
      </c>
      <c r="G620" s="150">
        <v>0.6</v>
      </c>
      <c r="H620" s="150"/>
      <c r="I620" s="151">
        <f>ROUND(PRODUCT(C620:H620),2)</f>
        <v>0.88</v>
      </c>
      <c r="J620" s="180"/>
    </row>
    <row r="621" spans="1:10" s="181" customFormat="1">
      <c r="A621" s="276"/>
      <c r="B621" s="148" t="s">
        <v>320</v>
      </c>
      <c r="C621" s="149">
        <v>1</v>
      </c>
      <c r="D621" s="156" t="s">
        <v>73</v>
      </c>
      <c r="E621" s="149">
        <v>2</v>
      </c>
      <c r="F621" s="187">
        <v>1.36</v>
      </c>
      <c r="G621" s="150">
        <v>0.6</v>
      </c>
      <c r="H621" s="150"/>
      <c r="I621" s="151">
        <f>ROUND(PRODUCT(C621:H621),2)</f>
        <v>1.63</v>
      </c>
      <c r="J621" s="180"/>
    </row>
    <row r="622" spans="1:10" s="181" customFormat="1">
      <c r="A622" s="276"/>
      <c r="B622" s="148" t="s">
        <v>1300</v>
      </c>
      <c r="C622" s="149">
        <v>4</v>
      </c>
      <c r="D622" s="156" t="s">
        <v>73</v>
      </c>
      <c r="E622" s="149">
        <v>2</v>
      </c>
      <c r="F622" s="150">
        <v>1.2</v>
      </c>
      <c r="G622" s="150"/>
      <c r="H622" s="165">
        <v>0.255</v>
      </c>
      <c r="I622" s="151">
        <f t="shared" ref="I622:I629" si="52">ROUND(PRODUCT(C622:H622),2)</f>
        <v>2.4500000000000002</v>
      </c>
      <c r="J622" s="180"/>
    </row>
    <row r="623" spans="1:10" s="181" customFormat="1">
      <c r="A623" s="276"/>
      <c r="B623" s="148" t="s">
        <v>1300</v>
      </c>
      <c r="C623" s="149">
        <v>2</v>
      </c>
      <c r="D623" s="156" t="s">
        <v>73</v>
      </c>
      <c r="E623" s="149">
        <v>2</v>
      </c>
      <c r="F623" s="150">
        <v>4.6100000000000003</v>
      </c>
      <c r="G623" s="150"/>
      <c r="H623" s="165">
        <v>0.255</v>
      </c>
      <c r="I623" s="151">
        <f t="shared" si="52"/>
        <v>4.7</v>
      </c>
      <c r="J623" s="180"/>
    </row>
    <row r="624" spans="1:10" s="181" customFormat="1">
      <c r="A624" s="276"/>
      <c r="B624" s="148" t="s">
        <v>1322</v>
      </c>
      <c r="C624" s="149">
        <v>1</v>
      </c>
      <c r="D624" s="156" t="s">
        <v>73</v>
      </c>
      <c r="E624" s="149">
        <v>1</v>
      </c>
      <c r="F624" s="150">
        <v>3.1</v>
      </c>
      <c r="G624" s="150">
        <v>1.63</v>
      </c>
      <c r="H624" s="165"/>
      <c r="I624" s="151">
        <f t="shared" si="52"/>
        <v>5.05</v>
      </c>
      <c r="J624" s="180"/>
    </row>
    <row r="625" spans="1:10" s="181" customFormat="1">
      <c r="A625" s="276"/>
      <c r="B625" s="148" t="s">
        <v>1328</v>
      </c>
      <c r="C625" s="149">
        <v>1</v>
      </c>
      <c r="D625" s="156" t="s">
        <v>73</v>
      </c>
      <c r="E625" s="149">
        <v>1</v>
      </c>
      <c r="F625" s="150">
        <v>2.64</v>
      </c>
      <c r="G625" s="150">
        <v>1.1499999999999999</v>
      </c>
      <c r="H625" s="165"/>
      <c r="I625" s="151">
        <f t="shared" si="52"/>
        <v>3.04</v>
      </c>
      <c r="J625" s="180"/>
    </row>
    <row r="626" spans="1:10" s="181" customFormat="1">
      <c r="A626" s="276"/>
      <c r="B626" s="148" t="s">
        <v>1323</v>
      </c>
      <c r="C626" s="149">
        <v>1</v>
      </c>
      <c r="D626" s="156" t="s">
        <v>73</v>
      </c>
      <c r="E626" s="149">
        <v>1</v>
      </c>
      <c r="F626" s="150">
        <v>3.1850000000000001</v>
      </c>
      <c r="G626" s="150">
        <v>0.23</v>
      </c>
      <c r="H626" s="165"/>
      <c r="I626" s="151">
        <f t="shared" si="52"/>
        <v>0.73</v>
      </c>
      <c r="J626" s="180"/>
    </row>
    <row r="627" spans="1:10" s="181" customFormat="1" ht="16.5" customHeight="1">
      <c r="A627" s="276"/>
      <c r="B627" s="148" t="s">
        <v>1323</v>
      </c>
      <c r="C627" s="149">
        <v>1</v>
      </c>
      <c r="D627" s="156" t="s">
        <v>73</v>
      </c>
      <c r="E627" s="149">
        <v>2</v>
      </c>
      <c r="F627" s="150">
        <v>2</v>
      </c>
      <c r="G627" s="150">
        <v>0.23</v>
      </c>
      <c r="H627" s="165"/>
      <c r="I627" s="151">
        <f t="shared" si="52"/>
        <v>0.92</v>
      </c>
      <c r="J627" s="161"/>
    </row>
    <row r="628" spans="1:10" s="181" customFormat="1" ht="16.5" customHeight="1">
      <c r="A628" s="276"/>
      <c r="B628" s="148" t="s">
        <v>1323</v>
      </c>
      <c r="C628" s="149">
        <v>2</v>
      </c>
      <c r="D628" s="156" t="s">
        <v>73</v>
      </c>
      <c r="E628" s="149">
        <v>2</v>
      </c>
      <c r="F628" s="150">
        <v>1.1499999999999999</v>
      </c>
      <c r="G628" s="150">
        <v>0.23</v>
      </c>
      <c r="H628" s="165"/>
      <c r="I628" s="151">
        <f t="shared" si="52"/>
        <v>1.06</v>
      </c>
      <c r="J628" s="180"/>
    </row>
    <row r="629" spans="1:10" s="181" customFormat="1">
      <c r="A629" s="276"/>
      <c r="B629" s="148" t="s">
        <v>1324</v>
      </c>
      <c r="C629" s="149">
        <v>1</v>
      </c>
      <c r="D629" s="156" t="s">
        <v>73</v>
      </c>
      <c r="E629" s="149">
        <v>1</v>
      </c>
      <c r="F629" s="150">
        <v>1.9</v>
      </c>
      <c r="G629" s="150">
        <v>1.7</v>
      </c>
      <c r="H629" s="165"/>
      <c r="I629" s="151">
        <f t="shared" si="52"/>
        <v>3.23</v>
      </c>
      <c r="J629" s="180"/>
    </row>
    <row r="630" spans="1:10" s="181" customFormat="1">
      <c r="A630" s="276"/>
      <c r="B630" s="148"/>
      <c r="C630" s="149"/>
      <c r="D630" s="156"/>
      <c r="E630" s="149"/>
      <c r="F630" s="150"/>
      <c r="G630" s="150"/>
      <c r="H630" s="150"/>
      <c r="I630" s="159">
        <f>SUM(I531:I629)</f>
        <v>617.96999999999991</v>
      </c>
      <c r="J630" s="180"/>
    </row>
    <row r="631" spans="1:10" s="181" customFormat="1">
      <c r="A631" s="276"/>
      <c r="B631" s="277" t="s">
        <v>1406</v>
      </c>
      <c r="C631" s="149"/>
      <c r="D631" s="156"/>
      <c r="E631" s="149"/>
      <c r="F631" s="150"/>
      <c r="G631" s="150"/>
      <c r="H631" s="150"/>
      <c r="I631" s="159">
        <f>-excess!G42</f>
        <v>-390.03</v>
      </c>
      <c r="J631" s="180"/>
    </row>
    <row r="632" spans="1:10" s="181" customFormat="1">
      <c r="A632" s="276"/>
      <c r="B632" s="148"/>
      <c r="C632" s="149"/>
      <c r="D632" s="156"/>
      <c r="E632" s="149"/>
      <c r="F632" s="150"/>
      <c r="G632" s="150"/>
      <c r="H632" s="158" t="s">
        <v>245</v>
      </c>
      <c r="I632" s="159">
        <f>SUM(I630:I631)</f>
        <v>227.93999999999994</v>
      </c>
      <c r="J632" s="180" t="s">
        <v>75</v>
      </c>
    </row>
    <row r="633" spans="1:10" s="181" customFormat="1">
      <c r="A633" s="276"/>
      <c r="B633" s="148"/>
      <c r="C633" s="149"/>
      <c r="D633" s="149"/>
      <c r="E633" s="149"/>
      <c r="F633" s="150"/>
      <c r="G633" s="150"/>
      <c r="H633" s="158"/>
      <c r="I633" s="160"/>
      <c r="J633" s="180"/>
    </row>
    <row r="634" spans="1:10" s="181" customFormat="1" ht="75">
      <c r="A634" s="276">
        <v>36</v>
      </c>
      <c r="B634" s="178" t="s">
        <v>337</v>
      </c>
      <c r="C634" s="149"/>
      <c r="D634" s="149"/>
      <c r="E634" s="149"/>
      <c r="F634" s="150"/>
      <c r="G634" s="150"/>
      <c r="H634" s="150"/>
      <c r="I634" s="151"/>
      <c r="J634" s="221"/>
    </row>
    <row r="635" spans="1:10" s="181" customFormat="1">
      <c r="A635" s="276"/>
      <c r="B635" s="155" t="s">
        <v>338</v>
      </c>
      <c r="C635" s="149"/>
      <c r="D635" s="149"/>
      <c r="E635" s="149"/>
      <c r="F635" s="150"/>
      <c r="G635" s="150"/>
      <c r="H635" s="150"/>
      <c r="I635" s="151"/>
      <c r="J635" s="180"/>
    </row>
    <row r="636" spans="1:10" s="181" customFormat="1" ht="22.5" customHeight="1">
      <c r="A636" s="276"/>
      <c r="B636" s="148" t="s">
        <v>1713</v>
      </c>
      <c r="C636" s="149">
        <v>1</v>
      </c>
      <c r="D636" s="149" t="s">
        <v>73</v>
      </c>
      <c r="E636" s="149">
        <v>1</v>
      </c>
      <c r="F636" s="150">
        <f>14.7+3.68+3.68</f>
        <v>22.06</v>
      </c>
      <c r="G636" s="150"/>
      <c r="H636" s="150"/>
      <c r="I636" s="151">
        <f>ROUND(PRODUCT(C636:H636),2)</f>
        <v>22.06</v>
      </c>
      <c r="J636" s="180"/>
    </row>
    <row r="637" spans="1:10" s="181" customFormat="1" ht="22.5" customHeight="1">
      <c r="A637" s="276"/>
      <c r="B637" s="148" t="s">
        <v>1712</v>
      </c>
      <c r="C637" s="149">
        <v>1</v>
      </c>
      <c r="D637" s="149" t="s">
        <v>73</v>
      </c>
      <c r="E637" s="149">
        <v>2</v>
      </c>
      <c r="F637" s="150">
        <v>14.7</v>
      </c>
      <c r="G637" s="150"/>
      <c r="H637" s="150"/>
      <c r="I637" s="151">
        <f>ROUND(PRODUCT(C637:H637),2)</f>
        <v>29.4</v>
      </c>
      <c r="J637" s="180"/>
    </row>
    <row r="638" spans="1:10" s="181" customFormat="1">
      <c r="A638" s="276"/>
      <c r="B638" s="148" t="s">
        <v>1325</v>
      </c>
      <c r="C638" s="149">
        <v>1</v>
      </c>
      <c r="D638" s="149" t="s">
        <v>73</v>
      </c>
      <c r="E638" s="149">
        <v>1</v>
      </c>
      <c r="F638" s="150">
        <f>2*(7.29+14.7)</f>
        <v>43.98</v>
      </c>
      <c r="G638" s="150"/>
      <c r="H638" s="150"/>
      <c r="I638" s="151">
        <f>ROUND(PRODUCT(C638:H638),2)</f>
        <v>43.98</v>
      </c>
      <c r="J638" s="180"/>
    </row>
    <row r="639" spans="1:10" s="181" customFormat="1">
      <c r="A639" s="276"/>
      <c r="B639" s="148" t="s">
        <v>1743</v>
      </c>
      <c r="C639" s="149">
        <v>1</v>
      </c>
      <c r="D639" s="149" t="s">
        <v>73</v>
      </c>
      <c r="E639" s="149">
        <v>20</v>
      </c>
      <c r="F639" s="150">
        <v>1.26</v>
      </c>
      <c r="G639" s="150"/>
      <c r="H639" s="150"/>
      <c r="I639" s="151">
        <f>ROUND(PRODUCT(C639:H639),2)</f>
        <v>25.2</v>
      </c>
      <c r="J639" s="180"/>
    </row>
    <row r="640" spans="1:10" s="181" customFormat="1" ht="15" customHeight="1">
      <c r="A640" s="276"/>
      <c r="B640" s="148"/>
      <c r="C640" s="149"/>
      <c r="D640" s="149"/>
      <c r="E640" s="149"/>
      <c r="F640" s="150"/>
      <c r="G640" s="150"/>
      <c r="H640" s="158" t="s">
        <v>245</v>
      </c>
      <c r="I640" s="159">
        <f>SUM(I637:I639)</f>
        <v>98.58</v>
      </c>
      <c r="J640" s="180" t="s">
        <v>76</v>
      </c>
    </row>
    <row r="641" spans="1:10" s="181" customFormat="1">
      <c r="A641" s="276"/>
      <c r="B641" s="148"/>
      <c r="C641" s="149"/>
      <c r="D641" s="149"/>
      <c r="E641" s="149"/>
      <c r="F641" s="150"/>
      <c r="G641" s="150"/>
      <c r="H641" s="158"/>
      <c r="I641" s="160"/>
      <c r="J641" s="180"/>
    </row>
    <row r="642" spans="1:10" s="181" customFormat="1">
      <c r="A642" s="276"/>
      <c r="B642" s="155" t="s">
        <v>339</v>
      </c>
      <c r="C642" s="149"/>
      <c r="D642" s="149"/>
      <c r="E642" s="149"/>
      <c r="F642" s="150"/>
      <c r="G642" s="150"/>
      <c r="H642" s="150"/>
      <c r="I642" s="151"/>
      <c r="J642" s="180"/>
    </row>
    <row r="643" spans="1:10" s="181" customFormat="1" ht="19.5" customHeight="1">
      <c r="A643" s="221"/>
      <c r="B643" s="148" t="s">
        <v>1325</v>
      </c>
      <c r="C643" s="149">
        <v>1</v>
      </c>
      <c r="D643" s="149" t="s">
        <v>73</v>
      </c>
      <c r="E643" s="149">
        <v>1</v>
      </c>
      <c r="F643" s="150">
        <f>2*(7.29+14.7)</f>
        <v>43.98</v>
      </c>
      <c r="G643" s="150"/>
      <c r="H643" s="150"/>
      <c r="I643" s="151">
        <f t="shared" ref="I643:I652" si="53">ROUND(PRODUCT(C643:H643),2)</f>
        <v>43.98</v>
      </c>
      <c r="J643" s="180"/>
    </row>
    <row r="644" spans="1:10" s="181" customFormat="1" ht="22.5" customHeight="1">
      <c r="A644" s="276"/>
      <c r="B644" s="148" t="s">
        <v>1716</v>
      </c>
      <c r="C644" s="149">
        <v>1</v>
      </c>
      <c r="D644" s="149" t="s">
        <v>73</v>
      </c>
      <c r="E644" s="149">
        <v>1</v>
      </c>
      <c r="F644" s="150">
        <f>14.7+3.68+3.68</f>
        <v>22.06</v>
      </c>
      <c r="G644" s="150"/>
      <c r="H644" s="150"/>
      <c r="I644" s="151">
        <f t="shared" si="53"/>
        <v>22.06</v>
      </c>
      <c r="J644" s="180"/>
    </row>
    <row r="645" spans="1:10" s="181" customFormat="1" ht="22.5" customHeight="1">
      <c r="A645" s="276"/>
      <c r="B645" s="148" t="s">
        <v>1712</v>
      </c>
      <c r="C645" s="149">
        <v>1</v>
      </c>
      <c r="D645" s="149" t="s">
        <v>73</v>
      </c>
      <c r="E645" s="149">
        <v>2</v>
      </c>
      <c r="F645" s="150">
        <v>14.7</v>
      </c>
      <c r="G645" s="150"/>
      <c r="H645" s="150"/>
      <c r="I645" s="151">
        <f t="shared" si="53"/>
        <v>29.4</v>
      </c>
      <c r="J645" s="180"/>
    </row>
    <row r="646" spans="1:10" s="181" customFormat="1" ht="22.5" customHeight="1">
      <c r="A646" s="276"/>
      <c r="B646" s="148" t="s">
        <v>1717</v>
      </c>
      <c r="C646" s="149">
        <v>1</v>
      </c>
      <c r="D646" s="149" t="s">
        <v>73</v>
      </c>
      <c r="E646" s="149">
        <v>3</v>
      </c>
      <c r="F646" s="150">
        <v>14.7</v>
      </c>
      <c r="G646" s="150"/>
      <c r="H646" s="150"/>
      <c r="I646" s="151">
        <f t="shared" si="53"/>
        <v>44.1</v>
      </c>
      <c r="J646" s="180"/>
    </row>
    <row r="647" spans="1:10" s="181" customFormat="1">
      <c r="A647" s="276"/>
      <c r="B647" s="148" t="s">
        <v>1714</v>
      </c>
      <c r="C647" s="149">
        <v>1</v>
      </c>
      <c r="D647" s="149" t="s">
        <v>73</v>
      </c>
      <c r="E647" s="149">
        <v>1</v>
      </c>
      <c r="F647" s="150">
        <f>2*(14.7+10.37)</f>
        <v>50.14</v>
      </c>
      <c r="G647" s="150"/>
      <c r="H647" s="150"/>
      <c r="I647" s="151">
        <f t="shared" si="53"/>
        <v>50.14</v>
      </c>
      <c r="J647" s="180"/>
    </row>
    <row r="648" spans="1:10" s="181" customFormat="1">
      <c r="A648" s="276"/>
      <c r="B648" s="148" t="s">
        <v>1715</v>
      </c>
      <c r="C648" s="149">
        <v>1</v>
      </c>
      <c r="D648" s="149" t="s">
        <v>73</v>
      </c>
      <c r="E648" s="149">
        <v>2</v>
      </c>
      <c r="F648" s="150">
        <v>35.44</v>
      </c>
      <c r="G648" s="150"/>
      <c r="H648" s="150"/>
      <c r="I648" s="151">
        <f t="shared" ref="I648:I651" si="54">ROUND(PRODUCT(C648:H648),2)</f>
        <v>70.88</v>
      </c>
      <c r="J648" s="180"/>
    </row>
    <row r="649" spans="1:10" s="181" customFormat="1">
      <c r="A649" s="276"/>
      <c r="B649" s="148" t="s">
        <v>1744</v>
      </c>
      <c r="C649" s="149">
        <v>1</v>
      </c>
      <c r="D649" s="149" t="s">
        <v>73</v>
      </c>
      <c r="E649" s="149">
        <v>1</v>
      </c>
      <c r="F649" s="150">
        <v>66</v>
      </c>
      <c r="G649" s="150"/>
      <c r="H649" s="150"/>
      <c r="I649" s="151">
        <f t="shared" si="54"/>
        <v>66</v>
      </c>
      <c r="J649" s="180"/>
    </row>
    <row r="650" spans="1:10" s="181" customFormat="1">
      <c r="A650" s="276"/>
      <c r="B650" s="148" t="s">
        <v>1745</v>
      </c>
      <c r="C650" s="149">
        <v>1</v>
      </c>
      <c r="D650" s="149" t="s">
        <v>73</v>
      </c>
      <c r="E650" s="149">
        <v>1</v>
      </c>
      <c r="F650" s="150">
        <v>38.4</v>
      </c>
      <c r="G650" s="150"/>
      <c r="H650" s="150"/>
      <c r="I650" s="151">
        <f t="shared" si="54"/>
        <v>38.4</v>
      </c>
      <c r="J650" s="180"/>
    </row>
    <row r="651" spans="1:10" s="181" customFormat="1">
      <c r="A651" s="276"/>
      <c r="B651" s="148" t="s">
        <v>1746</v>
      </c>
      <c r="C651" s="149">
        <v>1</v>
      </c>
      <c r="D651" s="149" t="s">
        <v>73</v>
      </c>
      <c r="E651" s="149">
        <v>1</v>
      </c>
      <c r="F651" s="150">
        <v>53</v>
      </c>
      <c r="G651" s="150"/>
      <c r="H651" s="150"/>
      <c r="I651" s="151">
        <f t="shared" si="54"/>
        <v>53</v>
      </c>
      <c r="J651" s="180"/>
    </row>
    <row r="652" spans="1:10" s="181" customFormat="1">
      <c r="A652" s="276"/>
      <c r="B652" s="148" t="s">
        <v>1747</v>
      </c>
      <c r="C652" s="149">
        <v>-1</v>
      </c>
      <c r="D652" s="149" t="s">
        <v>73</v>
      </c>
      <c r="E652" s="149">
        <v>2</v>
      </c>
      <c r="F652" s="150">
        <v>4.5</v>
      </c>
      <c r="G652" s="150"/>
      <c r="H652" s="150"/>
      <c r="I652" s="151">
        <f t="shared" si="53"/>
        <v>-9</v>
      </c>
      <c r="J652" s="180"/>
    </row>
    <row r="653" spans="1:10" s="181" customFormat="1" ht="21" customHeight="1">
      <c r="A653" s="276"/>
      <c r="B653" s="148"/>
      <c r="C653" s="149"/>
      <c r="D653" s="149"/>
      <c r="E653" s="149"/>
      <c r="F653" s="150"/>
      <c r="G653" s="150"/>
      <c r="H653" s="158" t="s">
        <v>245</v>
      </c>
      <c r="I653" s="159">
        <f>SUM(I643:I652)</f>
        <v>408.96</v>
      </c>
      <c r="J653" s="180" t="s">
        <v>76</v>
      </c>
    </row>
    <row r="654" spans="1:10" s="181" customFormat="1">
      <c r="A654" s="276"/>
      <c r="B654" s="148"/>
      <c r="C654" s="149"/>
      <c r="D654" s="149"/>
      <c r="E654" s="149"/>
      <c r="F654" s="150"/>
      <c r="G654" s="150"/>
      <c r="H654" s="158"/>
      <c r="I654" s="160"/>
      <c r="J654" s="180"/>
    </row>
    <row r="655" spans="1:10" s="181" customFormat="1">
      <c r="A655" s="276"/>
      <c r="B655" s="155" t="s">
        <v>340</v>
      </c>
      <c r="C655" s="149"/>
      <c r="D655" s="149"/>
      <c r="E655" s="149"/>
      <c r="F655" s="150"/>
      <c r="G655" s="150"/>
      <c r="H655" s="150"/>
      <c r="I655" s="151"/>
      <c r="J655" s="180"/>
    </row>
    <row r="656" spans="1:10" s="181" customFormat="1">
      <c r="A656" s="276"/>
      <c r="B656" s="148" t="s">
        <v>1495</v>
      </c>
      <c r="C656" s="149">
        <v>1</v>
      </c>
      <c r="D656" s="149" t="s">
        <v>73</v>
      </c>
      <c r="E656" s="149">
        <v>10</v>
      </c>
      <c r="F656" s="150">
        <f>(2*(1.2+0.15+0.6))</f>
        <v>3.8999999999999995</v>
      </c>
      <c r="G656" s="150"/>
      <c r="H656" s="150"/>
      <c r="I656" s="151">
        <f>ROUND(PRODUCT(C656:H656),2)</f>
        <v>39</v>
      </c>
      <c r="J656" s="180"/>
    </row>
    <row r="657" spans="1:10" s="181" customFormat="1">
      <c r="A657" s="276"/>
      <c r="B657" s="148" t="s">
        <v>341</v>
      </c>
      <c r="C657" s="149">
        <v>1</v>
      </c>
      <c r="D657" s="149" t="s">
        <v>73</v>
      </c>
      <c r="E657" s="149">
        <v>2</v>
      </c>
      <c r="F657" s="150">
        <v>2.9</v>
      </c>
      <c r="G657" s="150"/>
      <c r="H657" s="150"/>
      <c r="I657" s="151">
        <f>ROUND(PRODUCT(C657:H657),2)</f>
        <v>5.8</v>
      </c>
      <c r="J657" s="180"/>
    </row>
    <row r="658" spans="1:10" s="181" customFormat="1">
      <c r="A658" s="276"/>
      <c r="B658" s="148" t="s">
        <v>342</v>
      </c>
      <c r="C658" s="149">
        <v>1</v>
      </c>
      <c r="D658" s="149" t="s">
        <v>73</v>
      </c>
      <c r="E658" s="149">
        <v>16</v>
      </c>
      <c r="F658" s="150">
        <v>2.9</v>
      </c>
      <c r="G658" s="150"/>
      <c r="H658" s="150"/>
      <c r="I658" s="151">
        <f>ROUND(PRODUCT(C658:H658),2)</f>
        <v>46.4</v>
      </c>
      <c r="J658" s="180"/>
    </row>
    <row r="659" spans="1:10" s="181" customFormat="1">
      <c r="A659" s="276"/>
      <c r="B659" s="148" t="s">
        <v>1744</v>
      </c>
      <c r="C659" s="149">
        <v>1</v>
      </c>
      <c r="D659" s="149" t="s">
        <v>73</v>
      </c>
      <c r="E659" s="149">
        <v>1</v>
      </c>
      <c r="F659" s="150">
        <v>66</v>
      </c>
      <c r="G659" s="150"/>
      <c r="H659" s="150"/>
      <c r="I659" s="151">
        <f t="shared" ref="I659:I662" si="55">ROUND(PRODUCT(C659:H659),2)</f>
        <v>66</v>
      </c>
      <c r="J659" s="180"/>
    </row>
    <row r="660" spans="1:10" s="181" customFormat="1">
      <c r="A660" s="276"/>
      <c r="B660" s="148" t="s">
        <v>1745</v>
      </c>
      <c r="C660" s="149">
        <v>1</v>
      </c>
      <c r="D660" s="149" t="s">
        <v>73</v>
      </c>
      <c r="E660" s="149">
        <v>1</v>
      </c>
      <c r="F660" s="150">
        <v>38.4</v>
      </c>
      <c r="G660" s="150"/>
      <c r="H660" s="150"/>
      <c r="I660" s="151">
        <f t="shared" si="55"/>
        <v>38.4</v>
      </c>
      <c r="J660" s="180"/>
    </row>
    <row r="661" spans="1:10" s="181" customFormat="1">
      <c r="A661" s="276"/>
      <c r="B661" s="148" t="s">
        <v>1746</v>
      </c>
      <c r="C661" s="149">
        <v>1</v>
      </c>
      <c r="D661" s="149" t="s">
        <v>73</v>
      </c>
      <c r="E661" s="149">
        <v>1</v>
      </c>
      <c r="F661" s="150">
        <v>53</v>
      </c>
      <c r="G661" s="150"/>
      <c r="H661" s="150"/>
      <c r="I661" s="151">
        <f t="shared" si="55"/>
        <v>53</v>
      </c>
      <c r="J661" s="180"/>
    </row>
    <row r="662" spans="1:10" s="181" customFormat="1">
      <c r="A662" s="276"/>
      <c r="B662" s="148" t="s">
        <v>1747</v>
      </c>
      <c r="C662" s="149">
        <v>-1</v>
      </c>
      <c r="D662" s="149" t="s">
        <v>73</v>
      </c>
      <c r="E662" s="149">
        <v>2</v>
      </c>
      <c r="F662" s="150">
        <v>4.5</v>
      </c>
      <c r="G662" s="150"/>
      <c r="H662" s="150"/>
      <c r="I662" s="151">
        <f t="shared" si="55"/>
        <v>-9</v>
      </c>
      <c r="J662" s="180"/>
    </row>
    <row r="663" spans="1:10" s="181" customFormat="1">
      <c r="A663" s="276"/>
      <c r="B663" s="148"/>
      <c r="C663" s="149"/>
      <c r="D663" s="149"/>
      <c r="E663" s="149"/>
      <c r="F663" s="150"/>
      <c r="G663" s="150"/>
      <c r="H663" s="158" t="s">
        <v>245</v>
      </c>
      <c r="I663" s="159">
        <f>SUM(I656:I662)</f>
        <v>239.6</v>
      </c>
      <c r="J663" s="180" t="s">
        <v>76</v>
      </c>
    </row>
    <row r="664" spans="1:10" s="181" customFormat="1" ht="16.5" customHeight="1">
      <c r="A664" s="276"/>
      <c r="B664" s="148"/>
      <c r="C664" s="149"/>
      <c r="D664" s="149"/>
      <c r="E664" s="149"/>
      <c r="F664" s="150"/>
      <c r="G664" s="150"/>
      <c r="H664" s="158"/>
      <c r="I664" s="160"/>
      <c r="J664" s="180"/>
    </row>
    <row r="665" spans="1:10" s="181" customFormat="1" ht="75">
      <c r="A665" s="276">
        <v>37.1</v>
      </c>
      <c r="B665" s="198" t="s">
        <v>348</v>
      </c>
      <c r="C665" s="149"/>
      <c r="D665" s="149"/>
      <c r="E665" s="149"/>
      <c r="F665" s="150"/>
      <c r="G665" s="150"/>
      <c r="H665" s="150"/>
      <c r="I665" s="151"/>
      <c r="J665" s="221"/>
    </row>
    <row r="666" spans="1:10" s="181" customFormat="1" ht="20.25" customHeight="1">
      <c r="A666" s="350"/>
      <c r="B666" s="148" t="s">
        <v>349</v>
      </c>
      <c r="C666" s="149"/>
      <c r="D666" s="149"/>
      <c r="E666" s="149"/>
      <c r="F666" s="150"/>
      <c r="G666" s="150"/>
      <c r="H666" s="150"/>
      <c r="I666" s="151">
        <f>I630</f>
        <v>617.96999999999991</v>
      </c>
      <c r="J666" s="452" t="s">
        <v>75</v>
      </c>
    </row>
    <row r="667" spans="1:10" s="181" customFormat="1">
      <c r="A667" s="350"/>
      <c r="B667" s="155" t="s">
        <v>254</v>
      </c>
      <c r="C667" s="149"/>
      <c r="D667" s="156"/>
      <c r="E667" s="149"/>
      <c r="F667" s="150"/>
      <c r="G667" s="150"/>
      <c r="H667" s="150"/>
      <c r="I667" s="151">
        <f t="shared" ref="I667:I696" si="56">ROUND(PRODUCT(C667:H667),2)</f>
        <v>0</v>
      </c>
      <c r="J667" s="357"/>
    </row>
    <row r="668" spans="1:10" s="181" customFormat="1">
      <c r="A668" s="350"/>
      <c r="B668" s="155" t="s">
        <v>327</v>
      </c>
      <c r="C668" s="149"/>
      <c r="D668" s="149"/>
      <c r="E668" s="149"/>
      <c r="F668" s="150"/>
      <c r="G668" s="150"/>
      <c r="H668" s="150"/>
      <c r="I668" s="151"/>
      <c r="J668" s="197"/>
    </row>
    <row r="669" spans="1:10" s="181" customFormat="1" ht="17.25" customHeight="1">
      <c r="A669" s="350"/>
      <c r="B669" s="148" t="s">
        <v>1300</v>
      </c>
      <c r="C669" s="149">
        <v>-1</v>
      </c>
      <c r="D669" s="156" t="s">
        <v>73</v>
      </c>
      <c r="E669" s="149">
        <v>2</v>
      </c>
      <c r="F669" s="150">
        <v>14.24</v>
      </c>
      <c r="G669" s="150"/>
      <c r="H669" s="150">
        <v>0.3</v>
      </c>
      <c r="I669" s="151">
        <f t="shared" si="56"/>
        <v>-8.5399999999999991</v>
      </c>
      <c r="J669" s="197"/>
    </row>
    <row r="670" spans="1:10" s="181" customFormat="1">
      <c r="A670" s="350"/>
      <c r="B670" s="148" t="s">
        <v>1300</v>
      </c>
      <c r="C670" s="149">
        <v>-1</v>
      </c>
      <c r="D670" s="156" t="s">
        <v>73</v>
      </c>
      <c r="E670" s="149">
        <v>2</v>
      </c>
      <c r="F670" s="150">
        <v>6.81</v>
      </c>
      <c r="G670" s="150"/>
      <c r="H670" s="150">
        <v>0.3</v>
      </c>
      <c r="I670" s="151">
        <f t="shared" si="56"/>
        <v>-4.09</v>
      </c>
      <c r="J670" s="197"/>
    </row>
    <row r="671" spans="1:10" s="181" customFormat="1">
      <c r="A671" s="276"/>
      <c r="B671" s="148" t="s">
        <v>1300</v>
      </c>
      <c r="C671" s="149">
        <v>-1</v>
      </c>
      <c r="D671" s="156" t="s">
        <v>73</v>
      </c>
      <c r="E671" s="149">
        <v>2</v>
      </c>
      <c r="F671" s="150">
        <v>4.12</v>
      </c>
      <c r="G671" s="150"/>
      <c r="H671" s="150">
        <v>0.3</v>
      </c>
      <c r="I671" s="151">
        <f t="shared" si="56"/>
        <v>-2.4700000000000002</v>
      </c>
      <c r="J671" s="197"/>
    </row>
    <row r="672" spans="1:10" s="181" customFormat="1" ht="17.25" customHeight="1">
      <c r="A672" s="221"/>
      <c r="B672" s="148" t="s">
        <v>1300</v>
      </c>
      <c r="C672" s="149">
        <v>-1</v>
      </c>
      <c r="D672" s="156" t="s">
        <v>73</v>
      </c>
      <c r="E672" s="149">
        <v>2</v>
      </c>
      <c r="F672" s="150">
        <v>3.62</v>
      </c>
      <c r="G672" s="150"/>
      <c r="H672" s="150">
        <v>0.3</v>
      </c>
      <c r="I672" s="151">
        <f t="shared" si="56"/>
        <v>-2.17</v>
      </c>
      <c r="J672" s="180"/>
    </row>
    <row r="673" spans="1:10" s="181" customFormat="1">
      <c r="A673" s="276"/>
      <c r="B673" s="148" t="s">
        <v>1300</v>
      </c>
      <c r="C673" s="149">
        <v>-1</v>
      </c>
      <c r="D673" s="156" t="s">
        <v>73</v>
      </c>
      <c r="E673" s="149">
        <v>2</v>
      </c>
      <c r="F673" s="150">
        <v>3.3</v>
      </c>
      <c r="G673" s="150"/>
      <c r="H673" s="165">
        <v>0.255</v>
      </c>
      <c r="I673" s="151">
        <f t="shared" si="56"/>
        <v>-1.68</v>
      </c>
      <c r="J673" s="180"/>
    </row>
    <row r="674" spans="1:10" s="181" customFormat="1">
      <c r="A674" s="276"/>
      <c r="B674" s="148" t="s">
        <v>1300</v>
      </c>
      <c r="C674" s="149">
        <v>-2</v>
      </c>
      <c r="D674" s="156" t="s">
        <v>73</v>
      </c>
      <c r="E674" s="149">
        <v>2</v>
      </c>
      <c r="F674" s="150">
        <v>1.85</v>
      </c>
      <c r="G674" s="150"/>
      <c r="H674" s="165">
        <v>0.255</v>
      </c>
      <c r="I674" s="151">
        <f t="shared" si="56"/>
        <v>-1.89</v>
      </c>
      <c r="J674" s="180"/>
    </row>
    <row r="675" spans="1:10" s="181" customFormat="1">
      <c r="A675" s="276"/>
      <c r="B675" s="148" t="s">
        <v>1300</v>
      </c>
      <c r="C675" s="149">
        <v>-1</v>
      </c>
      <c r="D675" s="156" t="s">
        <v>73</v>
      </c>
      <c r="E675" s="149">
        <v>2</v>
      </c>
      <c r="F675" s="150">
        <v>2.5299999999999998</v>
      </c>
      <c r="G675" s="150"/>
      <c r="H675" s="165">
        <v>0.255</v>
      </c>
      <c r="I675" s="151">
        <f t="shared" si="56"/>
        <v>-1.29</v>
      </c>
      <c r="J675" s="180"/>
    </row>
    <row r="676" spans="1:10" s="181" customFormat="1">
      <c r="A676" s="276"/>
      <c r="B676" s="148" t="s">
        <v>1300</v>
      </c>
      <c r="C676" s="149">
        <v>-1</v>
      </c>
      <c r="D676" s="156" t="s">
        <v>73</v>
      </c>
      <c r="E676" s="149">
        <v>2</v>
      </c>
      <c r="F676" s="150">
        <v>2.33</v>
      </c>
      <c r="G676" s="150"/>
      <c r="H676" s="165">
        <v>0.47499999999999998</v>
      </c>
      <c r="I676" s="151">
        <f t="shared" si="56"/>
        <v>-2.21</v>
      </c>
      <c r="J676" s="180"/>
    </row>
    <row r="677" spans="1:10" s="181" customFormat="1">
      <c r="A677" s="276"/>
      <c r="B677" s="148" t="s">
        <v>1300</v>
      </c>
      <c r="C677" s="149">
        <v>-2</v>
      </c>
      <c r="D677" s="156" t="s">
        <v>73</v>
      </c>
      <c r="E677" s="149">
        <v>2</v>
      </c>
      <c r="F677" s="150">
        <v>1.2</v>
      </c>
      <c r="G677" s="150"/>
      <c r="H677" s="165">
        <v>0.255</v>
      </c>
      <c r="I677" s="151">
        <f t="shared" si="56"/>
        <v>-1.22</v>
      </c>
      <c r="J677" s="180"/>
    </row>
    <row r="678" spans="1:10" s="181" customFormat="1">
      <c r="A678" s="276"/>
      <c r="B678" s="148" t="s">
        <v>1306</v>
      </c>
      <c r="C678" s="149">
        <v>-1</v>
      </c>
      <c r="D678" s="156" t="s">
        <v>73</v>
      </c>
      <c r="E678" s="149">
        <v>7</v>
      </c>
      <c r="F678" s="150">
        <v>1.22</v>
      </c>
      <c r="G678" s="150"/>
      <c r="H678" s="150">
        <v>2.92</v>
      </c>
      <c r="I678" s="151">
        <f t="shared" si="56"/>
        <v>-24.94</v>
      </c>
      <c r="J678" s="180"/>
    </row>
    <row r="679" spans="1:10" s="181" customFormat="1">
      <c r="A679" s="276"/>
      <c r="B679" s="148" t="s">
        <v>1306</v>
      </c>
      <c r="C679" s="149">
        <v>-1</v>
      </c>
      <c r="D679" s="156" t="s">
        <v>73</v>
      </c>
      <c r="E679" s="149">
        <v>2</v>
      </c>
      <c r="F679" s="150">
        <v>1.06</v>
      </c>
      <c r="G679" s="150"/>
      <c r="H679" s="150">
        <v>2.92</v>
      </c>
      <c r="I679" s="151">
        <f t="shared" si="56"/>
        <v>-6.19</v>
      </c>
      <c r="J679" s="180"/>
    </row>
    <row r="680" spans="1:10" s="181" customFormat="1">
      <c r="A680" s="276"/>
      <c r="B680" s="155" t="s">
        <v>329</v>
      </c>
      <c r="C680" s="149"/>
      <c r="D680" s="156"/>
      <c r="E680" s="149"/>
      <c r="F680" s="150"/>
      <c r="G680" s="150"/>
      <c r="H680" s="150"/>
      <c r="I680" s="151">
        <f t="shared" si="56"/>
        <v>0</v>
      </c>
      <c r="J680" s="180"/>
    </row>
    <row r="681" spans="1:10" s="181" customFormat="1">
      <c r="A681" s="276"/>
      <c r="B681" s="148" t="s">
        <v>1300</v>
      </c>
      <c r="C681" s="149">
        <v>-1</v>
      </c>
      <c r="D681" s="156" t="s">
        <v>73</v>
      </c>
      <c r="E681" s="149">
        <v>2</v>
      </c>
      <c r="F681" s="150">
        <v>2</v>
      </c>
      <c r="G681" s="150"/>
      <c r="H681" s="150">
        <v>0.3</v>
      </c>
      <c r="I681" s="151">
        <f t="shared" si="56"/>
        <v>-1.2</v>
      </c>
      <c r="J681" s="180"/>
    </row>
    <row r="682" spans="1:10" s="181" customFormat="1">
      <c r="A682" s="276"/>
      <c r="B682" s="148" t="s">
        <v>1300</v>
      </c>
      <c r="C682" s="149">
        <v>-1</v>
      </c>
      <c r="D682" s="156" t="s">
        <v>73</v>
      </c>
      <c r="E682" s="149">
        <v>2</v>
      </c>
      <c r="F682" s="150">
        <v>1.85</v>
      </c>
      <c r="G682" s="150"/>
      <c r="H682" s="165">
        <v>0.255</v>
      </c>
      <c r="I682" s="151">
        <f t="shared" si="56"/>
        <v>-0.94</v>
      </c>
      <c r="J682" s="180"/>
    </row>
    <row r="683" spans="1:10" s="181" customFormat="1">
      <c r="A683" s="276"/>
      <c r="B683" s="155" t="s">
        <v>330</v>
      </c>
      <c r="C683" s="149"/>
      <c r="D683" s="149"/>
      <c r="E683" s="149"/>
      <c r="F683" s="150"/>
      <c r="G683" s="150"/>
      <c r="H683" s="150"/>
      <c r="I683" s="151"/>
      <c r="J683" s="180"/>
    </row>
    <row r="684" spans="1:10" s="181" customFormat="1">
      <c r="A684" s="276"/>
      <c r="B684" s="182" t="s">
        <v>1319</v>
      </c>
      <c r="C684" s="149">
        <v>-1</v>
      </c>
      <c r="D684" s="156" t="s">
        <v>73</v>
      </c>
      <c r="E684" s="149">
        <v>2</v>
      </c>
      <c r="F684" s="150">
        <v>2.0750000000000002</v>
      </c>
      <c r="G684" s="150"/>
      <c r="H684" s="150">
        <v>0.3</v>
      </c>
      <c r="I684" s="151">
        <f t="shared" si="56"/>
        <v>-1.25</v>
      </c>
      <c r="J684" s="180"/>
    </row>
    <row r="685" spans="1:10" s="181" customFormat="1">
      <c r="A685" s="276"/>
      <c r="B685" s="148" t="s">
        <v>1300</v>
      </c>
      <c r="C685" s="149">
        <v>-1</v>
      </c>
      <c r="D685" s="156" t="s">
        <v>73</v>
      </c>
      <c r="E685" s="149">
        <v>2</v>
      </c>
      <c r="F685" s="150">
        <v>2.5350000000000001</v>
      </c>
      <c r="G685" s="150"/>
      <c r="H685" s="165">
        <v>0.255</v>
      </c>
      <c r="I685" s="151">
        <f t="shared" si="56"/>
        <v>-1.29</v>
      </c>
      <c r="J685" s="180"/>
    </row>
    <row r="686" spans="1:10" s="181" customFormat="1">
      <c r="A686" s="276"/>
      <c r="B686" s="148" t="s">
        <v>1300</v>
      </c>
      <c r="C686" s="149">
        <v>-1</v>
      </c>
      <c r="D686" s="156" t="s">
        <v>73</v>
      </c>
      <c r="E686" s="149">
        <v>2</v>
      </c>
      <c r="F686" s="150">
        <v>6.23</v>
      </c>
      <c r="G686" s="150"/>
      <c r="H686" s="165">
        <v>0.255</v>
      </c>
      <c r="I686" s="151">
        <f t="shared" si="56"/>
        <v>-3.18</v>
      </c>
      <c r="J686" s="180"/>
    </row>
    <row r="687" spans="1:10" s="181" customFormat="1">
      <c r="A687" s="276"/>
      <c r="B687" s="148" t="s">
        <v>1300</v>
      </c>
      <c r="C687" s="149">
        <v>-1</v>
      </c>
      <c r="D687" s="156" t="s">
        <v>73</v>
      </c>
      <c r="E687" s="149">
        <v>2</v>
      </c>
      <c r="F687" s="150">
        <v>2</v>
      </c>
      <c r="G687" s="150"/>
      <c r="H687" s="150">
        <v>0.3</v>
      </c>
      <c r="I687" s="151">
        <f t="shared" si="56"/>
        <v>-1.2</v>
      </c>
      <c r="J687" s="180"/>
    </row>
    <row r="688" spans="1:10" s="181" customFormat="1">
      <c r="A688" s="276"/>
      <c r="B688" s="148" t="s">
        <v>1300</v>
      </c>
      <c r="C688" s="149">
        <v>-1</v>
      </c>
      <c r="D688" s="156" t="s">
        <v>73</v>
      </c>
      <c r="E688" s="149">
        <v>2</v>
      </c>
      <c r="F688" s="150">
        <v>1.85</v>
      </c>
      <c r="G688" s="150"/>
      <c r="H688" s="165">
        <v>0.255</v>
      </c>
      <c r="I688" s="151">
        <f t="shared" si="56"/>
        <v>-0.94</v>
      </c>
      <c r="J688" s="180"/>
    </row>
    <row r="689" spans="1:10" s="181" customFormat="1">
      <c r="A689" s="276"/>
      <c r="B689" s="148" t="s">
        <v>1323</v>
      </c>
      <c r="C689" s="149">
        <v>-1</v>
      </c>
      <c r="D689" s="156" t="s">
        <v>73</v>
      </c>
      <c r="E689" s="149">
        <v>1</v>
      </c>
      <c r="F689" s="150">
        <v>3.1850000000000001</v>
      </c>
      <c r="G689" s="150">
        <v>0.23</v>
      </c>
      <c r="H689" s="165"/>
      <c r="I689" s="151">
        <f t="shared" si="56"/>
        <v>-0.73</v>
      </c>
      <c r="J689" s="180"/>
    </row>
    <row r="690" spans="1:10" s="181" customFormat="1">
      <c r="A690" s="276"/>
      <c r="B690" s="148" t="s">
        <v>1323</v>
      </c>
      <c r="C690" s="149">
        <v>-1</v>
      </c>
      <c r="D690" s="156" t="s">
        <v>73</v>
      </c>
      <c r="E690" s="149">
        <v>2</v>
      </c>
      <c r="F690" s="150">
        <v>2</v>
      </c>
      <c r="G690" s="150">
        <v>0.23</v>
      </c>
      <c r="H690" s="165"/>
      <c r="I690" s="151">
        <f t="shared" si="56"/>
        <v>-0.92</v>
      </c>
      <c r="J690" s="180"/>
    </row>
    <row r="691" spans="1:10" s="181" customFormat="1">
      <c r="A691" s="276"/>
      <c r="B691" s="148" t="s">
        <v>1323</v>
      </c>
      <c r="C691" s="149">
        <v>-2</v>
      </c>
      <c r="D691" s="156" t="s">
        <v>73</v>
      </c>
      <c r="E691" s="149">
        <v>2</v>
      </c>
      <c r="F691" s="150">
        <v>1.1499999999999999</v>
      </c>
      <c r="G691" s="150">
        <v>0.23</v>
      </c>
      <c r="H691" s="165"/>
      <c r="I691" s="151">
        <f t="shared" si="56"/>
        <v>-1.06</v>
      </c>
      <c r="J691" s="180"/>
    </row>
    <row r="692" spans="1:10" s="181" customFormat="1">
      <c r="A692" s="276"/>
      <c r="B692" s="148" t="s">
        <v>1410</v>
      </c>
      <c r="C692" s="149">
        <v>1</v>
      </c>
      <c r="D692" s="156" t="s">
        <v>73</v>
      </c>
      <c r="E692" s="149">
        <v>1</v>
      </c>
      <c r="F692" s="150">
        <f>3.14*3.5</f>
        <v>10.99</v>
      </c>
      <c r="G692" s="150"/>
      <c r="H692" s="165">
        <v>2.1</v>
      </c>
      <c r="I692" s="151">
        <f t="shared" si="56"/>
        <v>23.08</v>
      </c>
      <c r="J692" s="180"/>
    </row>
    <row r="693" spans="1:10" s="181" customFormat="1">
      <c r="A693" s="276"/>
      <c r="B693" s="148" t="s">
        <v>1411</v>
      </c>
      <c r="C693" s="149">
        <v>1</v>
      </c>
      <c r="D693" s="156" t="s">
        <v>73</v>
      </c>
      <c r="E693" s="149">
        <v>1</v>
      </c>
      <c r="F693" s="150">
        <v>3.14</v>
      </c>
      <c r="G693" s="150">
        <v>1.75</v>
      </c>
      <c r="H693" s="165">
        <v>1.75</v>
      </c>
      <c r="I693" s="151">
        <f t="shared" si="56"/>
        <v>9.6199999999999992</v>
      </c>
      <c r="J693" s="180"/>
    </row>
    <row r="694" spans="1:10" s="181" customFormat="1">
      <c r="A694" s="276"/>
      <c r="B694" s="148" t="s">
        <v>1412</v>
      </c>
      <c r="C694" s="149">
        <v>1</v>
      </c>
      <c r="D694" s="156" t="s">
        <v>73</v>
      </c>
      <c r="E694" s="149">
        <v>2</v>
      </c>
      <c r="F694" s="150">
        <f>2*(1.15+1.26)</f>
        <v>4.82</v>
      </c>
      <c r="G694" s="150"/>
      <c r="H694" s="165">
        <v>1.2</v>
      </c>
      <c r="I694" s="151">
        <f t="shared" si="56"/>
        <v>11.57</v>
      </c>
      <c r="J694" s="180"/>
    </row>
    <row r="695" spans="1:10" s="181" customFormat="1">
      <c r="A695" s="276"/>
      <c r="B695" s="148" t="s">
        <v>1413</v>
      </c>
      <c r="C695" s="149">
        <v>1</v>
      </c>
      <c r="D695" s="156" t="s">
        <v>73</v>
      </c>
      <c r="E695" s="149">
        <v>1</v>
      </c>
      <c r="F695" s="150">
        <v>2.64</v>
      </c>
      <c r="G695" s="150">
        <v>1.1499999999999999</v>
      </c>
      <c r="H695" s="165"/>
      <c r="I695" s="151">
        <f t="shared" si="56"/>
        <v>3.04</v>
      </c>
      <c r="J695" s="180"/>
    </row>
    <row r="696" spans="1:10" s="181" customFormat="1">
      <c r="A696" s="276"/>
      <c r="B696" s="148" t="s">
        <v>1414</v>
      </c>
      <c r="C696" s="149">
        <v>-1</v>
      </c>
      <c r="D696" s="156" t="s">
        <v>73</v>
      </c>
      <c r="E696" s="149">
        <v>2</v>
      </c>
      <c r="F696" s="150">
        <v>0.6</v>
      </c>
      <c r="G696" s="150">
        <v>0.6</v>
      </c>
      <c r="H696" s="165"/>
      <c r="I696" s="151">
        <f t="shared" si="56"/>
        <v>-0.72</v>
      </c>
      <c r="J696" s="180"/>
    </row>
    <row r="697" spans="1:10" s="181" customFormat="1">
      <c r="A697" s="276"/>
      <c r="B697" s="148"/>
      <c r="C697" s="149"/>
      <c r="D697" s="156"/>
      <c r="E697" s="149"/>
      <c r="F697" s="150"/>
      <c r="G697" s="150"/>
      <c r="H697" s="165"/>
      <c r="I697" s="159">
        <f>SUM(I666:I696)</f>
        <v>595.15999999999985</v>
      </c>
      <c r="J697" s="180" t="s">
        <v>75</v>
      </c>
    </row>
    <row r="698" spans="1:10" s="181" customFormat="1">
      <c r="A698" s="276"/>
      <c r="B698" s="148"/>
      <c r="C698" s="149"/>
      <c r="D698" s="149"/>
      <c r="E698" s="149"/>
      <c r="F698" s="150"/>
      <c r="G698" s="150"/>
      <c r="H698" s="150"/>
      <c r="I698" s="160"/>
      <c r="J698" s="180"/>
    </row>
    <row r="699" spans="1:10" s="181" customFormat="1" ht="75">
      <c r="A699" s="276">
        <v>39</v>
      </c>
      <c r="B699" s="178" t="s">
        <v>350</v>
      </c>
      <c r="C699" s="166"/>
      <c r="D699" s="167"/>
      <c r="E699" s="166"/>
      <c r="F699" s="168"/>
      <c r="G699" s="168"/>
      <c r="H699" s="168"/>
      <c r="I699" s="199"/>
      <c r="J699" s="180"/>
    </row>
    <row r="700" spans="1:10" s="181" customFormat="1">
      <c r="A700" s="276"/>
      <c r="B700" s="148" t="s">
        <v>294</v>
      </c>
      <c r="C700" s="149">
        <v>1</v>
      </c>
      <c r="D700" s="149" t="s">
        <v>73</v>
      </c>
      <c r="E700" s="149">
        <v>32</v>
      </c>
      <c r="F700" s="150">
        <v>1.35</v>
      </c>
      <c r="G700" s="150">
        <v>20</v>
      </c>
      <c r="H700" s="150">
        <v>1.35</v>
      </c>
      <c r="I700" s="151">
        <f t="shared" ref="I700:I711" si="57">ROUND(PRODUCT(C700:H700),2)</f>
        <v>1166.4000000000001</v>
      </c>
      <c r="J700" s="180"/>
    </row>
    <row r="701" spans="1:10" s="181" customFormat="1">
      <c r="A701" s="276"/>
      <c r="B701" s="148" t="s">
        <v>255</v>
      </c>
      <c r="C701" s="149">
        <v>1</v>
      </c>
      <c r="D701" s="149" t="s">
        <v>73</v>
      </c>
      <c r="E701" s="149">
        <v>7</v>
      </c>
      <c r="F701" s="150">
        <v>0.9</v>
      </c>
      <c r="G701" s="150">
        <v>20</v>
      </c>
      <c r="H701" s="150">
        <v>0.9</v>
      </c>
      <c r="I701" s="151">
        <f t="shared" si="57"/>
        <v>113.4</v>
      </c>
      <c r="J701" s="180"/>
    </row>
    <row r="702" spans="1:10" s="181" customFormat="1">
      <c r="A702" s="276"/>
      <c r="B702" s="148" t="s">
        <v>307</v>
      </c>
      <c r="C702" s="149">
        <v>1</v>
      </c>
      <c r="D702" s="149" t="s">
        <v>73</v>
      </c>
      <c r="E702" s="149">
        <v>16</v>
      </c>
      <c r="F702" s="150">
        <v>0.75</v>
      </c>
      <c r="G702" s="150">
        <v>20</v>
      </c>
      <c r="H702" s="150">
        <v>0.6</v>
      </c>
      <c r="I702" s="151">
        <f t="shared" si="57"/>
        <v>144</v>
      </c>
      <c r="J702" s="180"/>
    </row>
    <row r="703" spans="1:10" s="181" customFormat="1">
      <c r="A703" s="276"/>
      <c r="B703" s="148" t="s">
        <v>1329</v>
      </c>
      <c r="C703" s="149">
        <v>1</v>
      </c>
      <c r="D703" s="156" t="s">
        <v>73</v>
      </c>
      <c r="E703" s="149">
        <v>1</v>
      </c>
      <c r="F703" s="150">
        <v>1</v>
      </c>
      <c r="G703" s="150">
        <v>20</v>
      </c>
      <c r="H703" s="150">
        <v>2.1</v>
      </c>
      <c r="I703" s="151">
        <f t="shared" si="57"/>
        <v>42</v>
      </c>
      <c r="J703" s="180"/>
    </row>
    <row r="704" spans="1:10" s="181" customFormat="1">
      <c r="A704" s="276"/>
      <c r="B704" s="148" t="s">
        <v>1330</v>
      </c>
      <c r="C704" s="149">
        <v>1</v>
      </c>
      <c r="D704" s="156" t="s">
        <v>73</v>
      </c>
      <c r="E704" s="149">
        <v>2</v>
      </c>
      <c r="F704" s="150">
        <v>1</v>
      </c>
      <c r="G704" s="150">
        <v>20</v>
      </c>
      <c r="H704" s="150">
        <v>2.1</v>
      </c>
      <c r="I704" s="151">
        <f t="shared" si="57"/>
        <v>84</v>
      </c>
      <c r="J704" s="197"/>
    </row>
    <row r="705" spans="1:10" s="181" customFormat="1">
      <c r="A705" s="276"/>
      <c r="B705" s="148" t="s">
        <v>1331</v>
      </c>
      <c r="C705" s="149">
        <v>1</v>
      </c>
      <c r="D705" s="156" t="s">
        <v>73</v>
      </c>
      <c r="E705" s="149">
        <v>2</v>
      </c>
      <c r="F705" s="150">
        <v>0.83499999999999996</v>
      </c>
      <c r="G705" s="150">
        <v>20</v>
      </c>
      <c r="H705" s="150">
        <v>1.35</v>
      </c>
      <c r="I705" s="151">
        <f t="shared" si="57"/>
        <v>45.09</v>
      </c>
      <c r="J705" s="197"/>
    </row>
    <row r="706" spans="1:10" s="181" customFormat="1" ht="18.75" customHeight="1">
      <c r="A706" s="221"/>
      <c r="B706" s="148" t="s">
        <v>1332</v>
      </c>
      <c r="C706" s="149">
        <v>1</v>
      </c>
      <c r="D706" s="156" t="s">
        <v>73</v>
      </c>
      <c r="E706" s="149">
        <v>1</v>
      </c>
      <c r="F706" s="150">
        <v>0.9</v>
      </c>
      <c r="G706" s="150">
        <v>20</v>
      </c>
      <c r="H706" s="150">
        <v>0.15</v>
      </c>
      <c r="I706" s="151">
        <f t="shared" si="57"/>
        <v>2.7</v>
      </c>
      <c r="J706" s="180"/>
    </row>
    <row r="707" spans="1:10" s="181" customFormat="1" ht="15.75" customHeight="1">
      <c r="A707" s="200"/>
      <c r="B707" s="148" t="s">
        <v>1333</v>
      </c>
      <c r="C707" s="149">
        <v>1</v>
      </c>
      <c r="D707" s="156" t="s">
        <v>73</v>
      </c>
      <c r="E707" s="149">
        <v>1</v>
      </c>
      <c r="F707" s="150">
        <v>0.6</v>
      </c>
      <c r="G707" s="150">
        <v>40</v>
      </c>
      <c r="H707" s="150">
        <v>4.2</v>
      </c>
      <c r="I707" s="151">
        <f t="shared" si="57"/>
        <v>100.8</v>
      </c>
      <c r="J707" s="180"/>
    </row>
    <row r="708" spans="1:10" s="181" customFormat="1" ht="15.75" customHeight="1">
      <c r="A708" s="200"/>
      <c r="B708" s="148" t="s">
        <v>1334</v>
      </c>
      <c r="C708" s="149">
        <v>1</v>
      </c>
      <c r="D708" s="156" t="s">
        <v>73</v>
      </c>
      <c r="E708" s="149">
        <v>1</v>
      </c>
      <c r="F708" s="150">
        <v>1</v>
      </c>
      <c r="G708" s="150">
        <v>35</v>
      </c>
      <c r="H708" s="150">
        <v>2.1</v>
      </c>
      <c r="I708" s="151">
        <f t="shared" si="57"/>
        <v>73.5</v>
      </c>
      <c r="J708" s="180"/>
    </row>
    <row r="709" spans="1:10" s="181" customFormat="1" ht="15.75" customHeight="1">
      <c r="A709" s="169"/>
      <c r="B709" s="148" t="s">
        <v>1335</v>
      </c>
      <c r="C709" s="149">
        <v>1</v>
      </c>
      <c r="D709" s="156" t="s">
        <v>73</v>
      </c>
      <c r="E709" s="149">
        <v>1</v>
      </c>
      <c r="F709" s="150">
        <v>1.35</v>
      </c>
      <c r="G709" s="150">
        <v>30</v>
      </c>
      <c r="H709" s="150">
        <v>1.35</v>
      </c>
      <c r="I709" s="151">
        <f t="shared" si="57"/>
        <v>54.68</v>
      </c>
      <c r="J709" s="180"/>
    </row>
    <row r="710" spans="1:10" s="181" customFormat="1">
      <c r="A710" s="169"/>
      <c r="B710" s="148" t="s">
        <v>1336</v>
      </c>
      <c r="C710" s="149">
        <v>1</v>
      </c>
      <c r="D710" s="156" t="s">
        <v>73</v>
      </c>
      <c r="E710" s="149">
        <v>2</v>
      </c>
      <c r="F710" s="150">
        <v>4.5</v>
      </c>
      <c r="G710" s="150">
        <v>45</v>
      </c>
      <c r="H710" s="150">
        <v>1.8</v>
      </c>
      <c r="I710" s="151">
        <f t="shared" si="57"/>
        <v>729</v>
      </c>
      <c r="J710" s="180"/>
    </row>
    <row r="711" spans="1:10" s="181" customFormat="1">
      <c r="A711" s="169"/>
      <c r="B711" s="148" t="s">
        <v>1337</v>
      </c>
      <c r="C711" s="149">
        <v>1</v>
      </c>
      <c r="D711" s="156" t="s">
        <v>73</v>
      </c>
      <c r="E711" s="149">
        <v>2</v>
      </c>
      <c r="F711" s="150">
        <v>1.5</v>
      </c>
      <c r="G711" s="150">
        <v>40</v>
      </c>
      <c r="H711" s="150">
        <v>1.8</v>
      </c>
      <c r="I711" s="151">
        <f t="shared" si="57"/>
        <v>216</v>
      </c>
      <c r="J711" s="180"/>
    </row>
    <row r="712" spans="1:10" s="181" customFormat="1">
      <c r="A712" s="169"/>
      <c r="B712" s="148"/>
      <c r="C712" s="149"/>
      <c r="D712" s="149"/>
      <c r="E712" s="149"/>
      <c r="F712" s="150"/>
      <c r="G712" s="150"/>
      <c r="H712" s="158" t="s">
        <v>245</v>
      </c>
      <c r="I712" s="379">
        <f>SUM(I700:I711)</f>
        <v>2771.57</v>
      </c>
      <c r="J712" s="180" t="s">
        <v>174</v>
      </c>
    </row>
    <row r="713" spans="1:10" s="181" customFormat="1">
      <c r="A713" s="169"/>
      <c r="B713" s="170"/>
      <c r="C713" s="166"/>
      <c r="D713" s="167"/>
      <c r="E713" s="166"/>
      <c r="F713" s="168"/>
      <c r="G713" s="150"/>
      <c r="I713" s="160"/>
      <c r="J713" s="180"/>
    </row>
    <row r="714" spans="1:10" s="181" customFormat="1" ht="99.75" customHeight="1">
      <c r="A714" s="200">
        <v>40</v>
      </c>
      <c r="B714" s="153" t="s">
        <v>351</v>
      </c>
      <c r="C714" s="149"/>
      <c r="D714" s="149"/>
      <c r="E714" s="149"/>
      <c r="F714" s="150"/>
      <c r="G714" s="150"/>
      <c r="H714" s="150"/>
      <c r="I714" s="151"/>
      <c r="J714" s="180"/>
    </row>
    <row r="715" spans="1:10" s="181" customFormat="1">
      <c r="A715" s="169"/>
      <c r="B715" s="148" t="s">
        <v>352</v>
      </c>
      <c r="C715" s="149">
        <v>1</v>
      </c>
      <c r="D715" s="149" t="s">
        <v>73</v>
      </c>
      <c r="E715" s="149">
        <v>14</v>
      </c>
      <c r="F715" s="150">
        <v>1</v>
      </c>
      <c r="G715" s="150">
        <v>2.6</v>
      </c>
      <c r="H715" s="150">
        <v>2.1</v>
      </c>
      <c r="I715" s="151">
        <f>ROUND(PRODUCT(C715:H715),2)</f>
        <v>76.44</v>
      </c>
      <c r="J715" s="180"/>
    </row>
    <row r="716" spans="1:10" s="181" customFormat="1">
      <c r="A716" s="169"/>
      <c r="B716" s="148" t="s">
        <v>353</v>
      </c>
      <c r="C716" s="149">
        <v>1</v>
      </c>
      <c r="D716" s="149" t="s">
        <v>73</v>
      </c>
      <c r="E716" s="149">
        <v>3</v>
      </c>
      <c r="F716" s="150">
        <v>0.9</v>
      </c>
      <c r="G716" s="150">
        <v>2.6</v>
      </c>
      <c r="H716" s="150">
        <v>2.1</v>
      </c>
      <c r="I716" s="151">
        <f>ROUND(PRODUCT(C716:H716),2)</f>
        <v>14.74</v>
      </c>
      <c r="J716" s="180"/>
    </row>
    <row r="717" spans="1:10" s="181" customFormat="1">
      <c r="A717" s="169"/>
      <c r="B717" s="148"/>
      <c r="C717" s="149"/>
      <c r="D717" s="149"/>
      <c r="E717" s="149"/>
      <c r="F717" s="150"/>
      <c r="G717" s="158" t="s">
        <v>11</v>
      </c>
      <c r="H717" s="150"/>
      <c r="I717" s="151">
        <f>SUM(I715:I716)</f>
        <v>91.179999999999993</v>
      </c>
      <c r="J717" s="180" t="s">
        <v>75</v>
      </c>
    </row>
    <row r="718" spans="1:10" s="181" customFormat="1" ht="16.5" customHeight="1">
      <c r="A718" s="169"/>
      <c r="B718" s="148"/>
      <c r="C718" s="149"/>
      <c r="D718" s="149"/>
      <c r="E718" s="149"/>
      <c r="F718" s="150"/>
      <c r="G718" s="150"/>
      <c r="H718" s="158"/>
      <c r="I718" s="160"/>
      <c r="J718" s="180"/>
    </row>
    <row r="719" spans="1:10" s="181" customFormat="1" ht="16.5" customHeight="1">
      <c r="A719" s="276">
        <v>41</v>
      </c>
      <c r="B719" s="153" t="s">
        <v>354</v>
      </c>
      <c r="C719" s="149"/>
      <c r="D719" s="149"/>
      <c r="E719" s="149"/>
      <c r="F719" s="150"/>
      <c r="G719" s="150"/>
      <c r="H719" s="150"/>
      <c r="I719" s="151"/>
      <c r="J719" s="180"/>
    </row>
    <row r="720" spans="1:10" s="181" customFormat="1" ht="16.5" customHeight="1">
      <c r="A720" s="169"/>
      <c r="B720" s="148" t="s">
        <v>294</v>
      </c>
      <c r="C720" s="149">
        <v>1</v>
      </c>
      <c r="D720" s="149" t="s">
        <v>73</v>
      </c>
      <c r="E720" s="149">
        <v>32</v>
      </c>
      <c r="F720" s="150">
        <v>1.35</v>
      </c>
      <c r="G720" s="150"/>
      <c r="H720" s="150">
        <v>1.35</v>
      </c>
      <c r="I720" s="151">
        <f t="shared" ref="I720:I737" si="58">ROUND(PRODUCT(C720:H720),2)</f>
        <v>58.32</v>
      </c>
      <c r="J720" s="221"/>
    </row>
    <row r="721" spans="1:10" s="181" customFormat="1" ht="20.25" customHeight="1">
      <c r="A721" s="221"/>
      <c r="B721" s="148" t="s">
        <v>255</v>
      </c>
      <c r="C721" s="149">
        <v>1</v>
      </c>
      <c r="D721" s="149" t="s">
        <v>73</v>
      </c>
      <c r="E721" s="149">
        <v>7</v>
      </c>
      <c r="F721" s="150">
        <v>0.9</v>
      </c>
      <c r="G721" s="150"/>
      <c r="H721" s="150">
        <v>0.9</v>
      </c>
      <c r="I721" s="151">
        <f t="shared" si="58"/>
        <v>5.67</v>
      </c>
      <c r="J721" s="180"/>
    </row>
    <row r="722" spans="1:10" s="181" customFormat="1">
      <c r="A722" s="276"/>
      <c r="B722" s="148" t="s">
        <v>307</v>
      </c>
      <c r="C722" s="149">
        <v>1</v>
      </c>
      <c r="D722" s="149" t="s">
        <v>73</v>
      </c>
      <c r="E722" s="149">
        <v>16</v>
      </c>
      <c r="F722" s="150">
        <v>0.75</v>
      </c>
      <c r="G722" s="150"/>
      <c r="H722" s="150">
        <v>0.6</v>
      </c>
      <c r="I722" s="151">
        <f t="shared" si="58"/>
        <v>7.2</v>
      </c>
      <c r="J722" s="180"/>
    </row>
    <row r="723" spans="1:10" s="181" customFormat="1">
      <c r="A723" s="276"/>
      <c r="B723" s="148" t="s">
        <v>1329</v>
      </c>
      <c r="C723" s="149">
        <v>1</v>
      </c>
      <c r="D723" s="156" t="s">
        <v>73</v>
      </c>
      <c r="E723" s="149">
        <v>1</v>
      </c>
      <c r="F723" s="150">
        <v>1</v>
      </c>
      <c r="G723" s="150"/>
      <c r="H723" s="150">
        <v>2.1</v>
      </c>
      <c r="I723" s="151">
        <f t="shared" si="58"/>
        <v>2.1</v>
      </c>
      <c r="J723" s="180"/>
    </row>
    <row r="724" spans="1:10" s="181" customFormat="1">
      <c r="A724" s="276"/>
      <c r="B724" s="148" t="s">
        <v>1330</v>
      </c>
      <c r="C724" s="149">
        <v>1</v>
      </c>
      <c r="D724" s="156" t="s">
        <v>73</v>
      </c>
      <c r="E724" s="149">
        <v>2</v>
      </c>
      <c r="F724" s="150">
        <v>1</v>
      </c>
      <c r="G724" s="150"/>
      <c r="H724" s="150">
        <v>2.1</v>
      </c>
      <c r="I724" s="151">
        <f t="shared" si="58"/>
        <v>4.2</v>
      </c>
      <c r="J724" s="180"/>
    </row>
    <row r="725" spans="1:10" s="181" customFormat="1">
      <c r="A725" s="276"/>
      <c r="B725" s="148" t="s">
        <v>1331</v>
      </c>
      <c r="C725" s="149">
        <v>1</v>
      </c>
      <c r="D725" s="156" t="s">
        <v>73</v>
      </c>
      <c r="E725" s="149">
        <v>2</v>
      </c>
      <c r="F725" s="150">
        <v>0.83499999999999996</v>
      </c>
      <c r="G725" s="150"/>
      <c r="H725" s="150">
        <v>1.35</v>
      </c>
      <c r="I725" s="151">
        <f t="shared" si="58"/>
        <v>2.25</v>
      </c>
      <c r="J725" s="221"/>
    </row>
    <row r="726" spans="1:10" s="181" customFormat="1" ht="17.25" customHeight="1">
      <c r="A726" s="221"/>
      <c r="B726" s="148" t="s">
        <v>1332</v>
      </c>
      <c r="C726" s="149">
        <v>1</v>
      </c>
      <c r="D726" s="156" t="s">
        <v>73</v>
      </c>
      <c r="E726" s="149">
        <v>1</v>
      </c>
      <c r="F726" s="150">
        <v>0.9</v>
      </c>
      <c r="G726" s="150"/>
      <c r="H726" s="150">
        <v>0.15</v>
      </c>
      <c r="I726" s="151">
        <f t="shared" si="58"/>
        <v>0.14000000000000001</v>
      </c>
      <c r="J726" s="180"/>
    </row>
    <row r="727" spans="1:10" s="181" customFormat="1" ht="15.75" customHeight="1">
      <c r="A727" s="200"/>
      <c r="B727" s="148" t="s">
        <v>1333</v>
      </c>
      <c r="C727" s="149">
        <v>1</v>
      </c>
      <c r="D727" s="156" t="s">
        <v>73</v>
      </c>
      <c r="E727" s="149">
        <v>1</v>
      </c>
      <c r="F727" s="150">
        <v>0.6</v>
      </c>
      <c r="G727" s="150"/>
      <c r="H727" s="150">
        <v>4.2</v>
      </c>
      <c r="I727" s="151">
        <f t="shared" si="58"/>
        <v>2.52</v>
      </c>
      <c r="J727" s="180"/>
    </row>
    <row r="728" spans="1:10" s="181" customFormat="1" ht="15.75" customHeight="1">
      <c r="A728" s="200"/>
      <c r="B728" s="148" t="s">
        <v>1334</v>
      </c>
      <c r="C728" s="149">
        <v>1</v>
      </c>
      <c r="D728" s="156" t="s">
        <v>73</v>
      </c>
      <c r="E728" s="149">
        <v>1</v>
      </c>
      <c r="F728" s="150">
        <v>1</v>
      </c>
      <c r="G728" s="150"/>
      <c r="H728" s="150">
        <v>2.1</v>
      </c>
      <c r="I728" s="151">
        <f t="shared" si="58"/>
        <v>2.1</v>
      </c>
      <c r="J728" s="180"/>
    </row>
    <row r="729" spans="1:10" s="181" customFormat="1" ht="15.75" customHeight="1">
      <c r="A729" s="169"/>
      <c r="B729" s="148" t="s">
        <v>1335</v>
      </c>
      <c r="C729" s="149">
        <v>1</v>
      </c>
      <c r="D729" s="156" t="s">
        <v>73</v>
      </c>
      <c r="E729" s="149">
        <v>1</v>
      </c>
      <c r="F729" s="150">
        <v>1.35</v>
      </c>
      <c r="G729" s="150"/>
      <c r="H729" s="150">
        <v>1.35</v>
      </c>
      <c r="I729" s="151">
        <f t="shared" si="58"/>
        <v>1.82</v>
      </c>
      <c r="J729" s="180"/>
    </row>
    <row r="730" spans="1:10" s="181" customFormat="1">
      <c r="A730" s="169"/>
      <c r="B730" s="148" t="s">
        <v>1336</v>
      </c>
      <c r="C730" s="149">
        <v>2</v>
      </c>
      <c r="D730" s="156" t="s">
        <v>73</v>
      </c>
      <c r="E730" s="149">
        <v>2</v>
      </c>
      <c r="F730" s="150">
        <v>4.5</v>
      </c>
      <c r="G730" s="150"/>
      <c r="H730" s="150">
        <v>1.8</v>
      </c>
      <c r="I730" s="151">
        <f t="shared" si="58"/>
        <v>32.4</v>
      </c>
      <c r="J730" s="180"/>
    </row>
    <row r="731" spans="1:10" s="181" customFormat="1">
      <c r="A731" s="169"/>
      <c r="B731" s="148" t="s">
        <v>1337</v>
      </c>
      <c r="C731" s="149">
        <v>1</v>
      </c>
      <c r="D731" s="156" t="s">
        <v>73</v>
      </c>
      <c r="E731" s="149">
        <v>2</v>
      </c>
      <c r="F731" s="150">
        <v>1.5</v>
      </c>
      <c r="G731" s="150"/>
      <c r="H731" s="150">
        <v>1.8</v>
      </c>
      <c r="I731" s="151">
        <f t="shared" si="58"/>
        <v>5.4</v>
      </c>
      <c r="J731" s="180"/>
    </row>
    <row r="732" spans="1:10" s="181" customFormat="1">
      <c r="A732" s="169"/>
      <c r="B732" s="201" t="s">
        <v>1415</v>
      </c>
      <c r="C732" s="202">
        <v>1</v>
      </c>
      <c r="D732" s="203" t="s">
        <v>73</v>
      </c>
      <c r="E732" s="202">
        <v>1</v>
      </c>
      <c r="F732" s="187">
        <v>71.3</v>
      </c>
      <c r="G732" s="187">
        <v>0.3</v>
      </c>
      <c r="H732" s="150"/>
      <c r="I732" s="151">
        <f t="shared" si="58"/>
        <v>21.39</v>
      </c>
      <c r="J732" s="180"/>
    </row>
    <row r="733" spans="1:10" s="181" customFormat="1">
      <c r="A733" s="169"/>
      <c r="B733" s="201" t="s">
        <v>355</v>
      </c>
      <c r="C733" s="202">
        <v>1</v>
      </c>
      <c r="D733" s="203" t="s">
        <v>73</v>
      </c>
      <c r="E733" s="202">
        <v>5</v>
      </c>
      <c r="F733" s="187">
        <v>0.35</v>
      </c>
      <c r="G733" s="187">
        <v>15</v>
      </c>
      <c r="H733" s="150"/>
      <c r="I733" s="151">
        <f t="shared" si="58"/>
        <v>26.25</v>
      </c>
      <c r="J733" s="180"/>
    </row>
    <row r="734" spans="1:10" s="181" customFormat="1">
      <c r="A734" s="169"/>
      <c r="B734" s="204" t="s">
        <v>356</v>
      </c>
      <c r="C734" s="202">
        <v>1</v>
      </c>
      <c r="D734" s="203" t="s">
        <v>73</v>
      </c>
      <c r="E734" s="202">
        <v>6</v>
      </c>
      <c r="F734" s="187">
        <f>3.14*0.11</f>
        <v>0.34540000000000004</v>
      </c>
      <c r="G734" s="187">
        <v>15</v>
      </c>
      <c r="H734" s="150"/>
      <c r="I734" s="151">
        <f t="shared" si="58"/>
        <v>31.09</v>
      </c>
      <c r="J734" s="180"/>
    </row>
    <row r="735" spans="1:10" s="181" customFormat="1">
      <c r="A735" s="169"/>
      <c r="B735" s="201" t="s">
        <v>357</v>
      </c>
      <c r="C735" s="202">
        <v>1</v>
      </c>
      <c r="D735" s="203" t="s">
        <v>73</v>
      </c>
      <c r="E735" s="202">
        <v>7</v>
      </c>
      <c r="F735" s="187">
        <f>3.14*0.075</f>
        <v>0.23549999999999999</v>
      </c>
      <c r="G735" s="187">
        <v>15</v>
      </c>
      <c r="H735" s="150"/>
      <c r="I735" s="151">
        <f t="shared" si="58"/>
        <v>24.73</v>
      </c>
      <c r="J735" s="180"/>
    </row>
    <row r="736" spans="1:10" s="181" customFormat="1">
      <c r="A736" s="169"/>
      <c r="B736" s="148" t="s">
        <v>358</v>
      </c>
      <c r="C736" s="149">
        <v>1</v>
      </c>
      <c r="D736" s="156" t="s">
        <v>73</v>
      </c>
      <c r="E736" s="149">
        <v>1</v>
      </c>
      <c r="F736" s="150">
        <f>3.14*0.032</f>
        <v>0.10048</v>
      </c>
      <c r="G736" s="150">
        <v>95</v>
      </c>
      <c r="H736" s="150"/>
      <c r="I736" s="151">
        <f t="shared" si="58"/>
        <v>9.5500000000000007</v>
      </c>
      <c r="J736" s="180"/>
    </row>
    <row r="737" spans="1:10" s="181" customFormat="1">
      <c r="A737" s="169"/>
      <c r="B737" s="148" t="s">
        <v>359</v>
      </c>
      <c r="C737" s="149">
        <v>1</v>
      </c>
      <c r="D737" s="156" t="s">
        <v>73</v>
      </c>
      <c r="E737" s="149">
        <v>1</v>
      </c>
      <c r="F737" s="150">
        <f>3.14*0.025</f>
        <v>7.8500000000000014E-2</v>
      </c>
      <c r="G737" s="150">
        <v>150</v>
      </c>
      <c r="H737" s="150"/>
      <c r="I737" s="151">
        <f t="shared" si="58"/>
        <v>11.78</v>
      </c>
      <c r="J737" s="180"/>
    </row>
    <row r="738" spans="1:10" s="181" customFormat="1">
      <c r="A738" s="169"/>
      <c r="B738" s="148"/>
      <c r="C738" s="149"/>
      <c r="D738" s="149"/>
      <c r="E738" s="149"/>
      <c r="F738" s="150"/>
      <c r="G738" s="150"/>
      <c r="H738" s="158" t="s">
        <v>245</v>
      </c>
      <c r="I738" s="159">
        <f>SUM(I720:I737)</f>
        <v>248.91</v>
      </c>
      <c r="J738" s="180" t="s">
        <v>75</v>
      </c>
    </row>
    <row r="739" spans="1:10" s="181" customFormat="1" ht="16.5" customHeight="1">
      <c r="A739" s="276"/>
      <c r="B739" s="148"/>
      <c r="C739" s="149"/>
      <c r="D739" s="149"/>
      <c r="E739" s="149"/>
      <c r="F739" s="150"/>
      <c r="G739" s="150"/>
      <c r="H739" s="158"/>
      <c r="I739" s="160"/>
      <c r="J739" s="180"/>
    </row>
    <row r="740" spans="1:10" s="181" customFormat="1" ht="93.75">
      <c r="A740" s="276">
        <v>47</v>
      </c>
      <c r="B740" s="178" t="s">
        <v>364</v>
      </c>
      <c r="C740" s="149"/>
      <c r="D740" s="149"/>
      <c r="E740" s="149"/>
      <c r="F740" s="150"/>
      <c r="G740" s="150"/>
      <c r="H740" s="150"/>
      <c r="I740" s="151"/>
      <c r="J740" s="180"/>
    </row>
    <row r="741" spans="1:10" s="181" customFormat="1">
      <c r="A741" s="276"/>
      <c r="B741" s="148" t="s">
        <v>365</v>
      </c>
      <c r="C741" s="149">
        <v>1</v>
      </c>
      <c r="D741" s="149" t="s">
        <v>73</v>
      </c>
      <c r="E741" s="149">
        <v>2</v>
      </c>
      <c r="F741" s="150"/>
      <c r="G741" s="150"/>
      <c r="H741" s="150"/>
      <c r="I741" s="151">
        <f>ROUND(PRODUCT(C741:H741),2)</f>
        <v>2</v>
      </c>
      <c r="J741" s="180"/>
    </row>
    <row r="742" spans="1:10" s="181" customFormat="1">
      <c r="A742" s="276"/>
      <c r="B742" s="148" t="s">
        <v>366</v>
      </c>
      <c r="C742" s="149">
        <v>1</v>
      </c>
      <c r="D742" s="149" t="s">
        <v>73</v>
      </c>
      <c r="E742" s="149">
        <v>2</v>
      </c>
      <c r="F742" s="150"/>
      <c r="G742" s="150"/>
      <c r="H742" s="150"/>
      <c r="I742" s="151">
        <f>ROUND(PRODUCT(C742:H742),2)</f>
        <v>2</v>
      </c>
      <c r="J742" s="180"/>
    </row>
    <row r="743" spans="1:10" s="181" customFormat="1">
      <c r="A743" s="276"/>
      <c r="B743" s="148" t="s">
        <v>367</v>
      </c>
      <c r="C743" s="149">
        <v>1</v>
      </c>
      <c r="D743" s="149" t="s">
        <v>73</v>
      </c>
      <c r="E743" s="149">
        <v>2</v>
      </c>
      <c r="F743" s="150"/>
      <c r="G743" s="150"/>
      <c r="H743" s="150"/>
      <c r="I743" s="151">
        <f>ROUND(PRODUCT(C743:H743),2)</f>
        <v>2</v>
      </c>
      <c r="J743" s="180"/>
    </row>
    <row r="744" spans="1:10" s="181" customFormat="1" ht="22.5" customHeight="1">
      <c r="A744" s="221"/>
      <c r="B744" s="148" t="s">
        <v>368</v>
      </c>
      <c r="C744" s="149">
        <v>1</v>
      </c>
      <c r="D744" s="149" t="s">
        <v>73</v>
      </c>
      <c r="E744" s="149">
        <v>10</v>
      </c>
      <c r="F744" s="150"/>
      <c r="G744" s="150"/>
      <c r="H744" s="150"/>
      <c r="I744" s="151">
        <f>ROUND(PRODUCT(C744:H744),2)</f>
        <v>10</v>
      </c>
      <c r="J744" s="180"/>
    </row>
    <row r="745" spans="1:10" s="181" customFormat="1">
      <c r="A745" s="276"/>
      <c r="B745" s="148"/>
      <c r="C745" s="149"/>
      <c r="D745" s="149"/>
      <c r="E745" s="149"/>
      <c r="F745" s="150"/>
      <c r="G745" s="158" t="s">
        <v>11</v>
      </c>
      <c r="H745" s="150"/>
      <c r="I745" s="159">
        <f>SUM(I741:I744)</f>
        <v>16</v>
      </c>
      <c r="J745" s="180" t="s">
        <v>128</v>
      </c>
    </row>
    <row r="746" spans="1:10" s="181" customFormat="1">
      <c r="A746" s="276"/>
      <c r="B746" s="148"/>
      <c r="C746" s="149"/>
      <c r="D746" s="149"/>
      <c r="E746" s="149"/>
      <c r="F746" s="150"/>
      <c r="G746" s="158"/>
      <c r="H746" s="150"/>
      <c r="I746" s="160"/>
      <c r="J746" s="180"/>
    </row>
    <row r="747" spans="1:10" s="181" customFormat="1" ht="93.75">
      <c r="A747" s="276">
        <v>48</v>
      </c>
      <c r="B747" s="178" t="s">
        <v>369</v>
      </c>
      <c r="C747" s="149"/>
      <c r="D747" s="149"/>
      <c r="E747" s="149"/>
      <c r="F747" s="150"/>
      <c r="G747" s="150"/>
      <c r="H747" s="150"/>
      <c r="I747" s="151"/>
      <c r="J747" s="180"/>
    </row>
    <row r="748" spans="1:10" s="181" customFormat="1" ht="19.5" customHeight="1">
      <c r="A748" s="221"/>
      <c r="B748" s="153" t="s">
        <v>190</v>
      </c>
      <c r="C748" s="149"/>
      <c r="D748" s="149"/>
      <c r="E748" s="149"/>
      <c r="F748" s="150"/>
      <c r="G748" s="150"/>
      <c r="H748" s="150"/>
      <c r="I748" s="151"/>
      <c r="J748" s="180"/>
    </row>
    <row r="749" spans="1:10" s="181" customFormat="1">
      <c r="A749" s="276"/>
      <c r="B749" s="148" t="s">
        <v>370</v>
      </c>
      <c r="C749" s="149">
        <v>3</v>
      </c>
      <c r="D749" s="149" t="s">
        <v>73</v>
      </c>
      <c r="E749" s="149">
        <v>3</v>
      </c>
      <c r="F749" s="150"/>
      <c r="G749" s="150"/>
      <c r="H749" s="150"/>
      <c r="I749" s="151">
        <f t="shared" ref="I749:I757" si="59">ROUND(PRODUCT(C749:H749),2)</f>
        <v>9</v>
      </c>
      <c r="J749" s="180"/>
    </row>
    <row r="750" spans="1:10" s="181" customFormat="1">
      <c r="A750" s="276"/>
      <c r="B750" s="148" t="s">
        <v>271</v>
      </c>
      <c r="C750" s="149">
        <v>1</v>
      </c>
      <c r="D750" s="149" t="s">
        <v>73</v>
      </c>
      <c r="E750" s="149">
        <v>2</v>
      </c>
      <c r="F750" s="150"/>
      <c r="G750" s="150"/>
      <c r="H750" s="150"/>
      <c r="I750" s="151">
        <f t="shared" si="59"/>
        <v>2</v>
      </c>
      <c r="J750" s="180"/>
    </row>
    <row r="751" spans="1:10" s="181" customFormat="1">
      <c r="A751" s="276"/>
      <c r="B751" s="148" t="s">
        <v>331</v>
      </c>
      <c r="C751" s="149">
        <v>1</v>
      </c>
      <c r="D751" s="149" t="s">
        <v>73</v>
      </c>
      <c r="E751" s="149">
        <v>1</v>
      </c>
      <c r="F751" s="150"/>
      <c r="G751" s="150"/>
      <c r="H751" s="150"/>
      <c r="I751" s="151">
        <f t="shared" si="59"/>
        <v>1</v>
      </c>
      <c r="J751" s="180"/>
    </row>
    <row r="752" spans="1:10" s="181" customFormat="1">
      <c r="A752" s="276"/>
      <c r="B752" s="155" t="s">
        <v>189</v>
      </c>
      <c r="C752" s="149"/>
      <c r="D752" s="149"/>
      <c r="E752" s="149"/>
      <c r="F752" s="150"/>
      <c r="G752" s="150"/>
      <c r="H752" s="150"/>
      <c r="I752" s="151">
        <f t="shared" si="59"/>
        <v>0</v>
      </c>
      <c r="J752" s="180"/>
    </row>
    <row r="753" spans="1:10" s="181" customFormat="1">
      <c r="A753" s="276"/>
      <c r="B753" s="148" t="s">
        <v>370</v>
      </c>
      <c r="C753" s="149">
        <v>3</v>
      </c>
      <c r="D753" s="149" t="s">
        <v>73</v>
      </c>
      <c r="E753" s="149">
        <v>3</v>
      </c>
      <c r="F753" s="150"/>
      <c r="G753" s="150"/>
      <c r="H753" s="150"/>
      <c r="I753" s="151">
        <f t="shared" si="59"/>
        <v>9</v>
      </c>
      <c r="J753" s="180"/>
    </row>
    <row r="754" spans="1:10" s="181" customFormat="1" ht="16.5" customHeight="1">
      <c r="A754" s="221"/>
      <c r="B754" s="148" t="s">
        <v>331</v>
      </c>
      <c r="C754" s="149">
        <v>1</v>
      </c>
      <c r="D754" s="149" t="s">
        <v>73</v>
      </c>
      <c r="E754" s="149">
        <v>1</v>
      </c>
      <c r="F754" s="150"/>
      <c r="G754" s="150"/>
      <c r="H754" s="150"/>
      <c r="I754" s="151">
        <f t="shared" si="59"/>
        <v>1</v>
      </c>
      <c r="J754" s="180"/>
    </row>
    <row r="755" spans="1:10" s="181" customFormat="1">
      <c r="A755" s="276"/>
      <c r="B755" s="148" t="s">
        <v>271</v>
      </c>
      <c r="C755" s="149">
        <v>1</v>
      </c>
      <c r="D755" s="149" t="s">
        <v>73</v>
      </c>
      <c r="E755" s="149">
        <v>2</v>
      </c>
      <c r="F755" s="150"/>
      <c r="G755" s="150"/>
      <c r="H755" s="150"/>
      <c r="I755" s="151">
        <f t="shared" si="59"/>
        <v>2</v>
      </c>
      <c r="J755" s="180"/>
    </row>
    <row r="756" spans="1:10" s="181" customFormat="1">
      <c r="A756" s="276"/>
      <c r="B756" s="155" t="s">
        <v>188</v>
      </c>
      <c r="C756" s="149"/>
      <c r="D756" s="149"/>
      <c r="E756" s="149"/>
      <c r="F756" s="150"/>
      <c r="G756" s="150"/>
      <c r="H756" s="150"/>
      <c r="I756" s="151">
        <f t="shared" si="59"/>
        <v>0</v>
      </c>
      <c r="J756" s="180"/>
    </row>
    <row r="757" spans="1:10" s="181" customFormat="1">
      <c r="A757" s="276"/>
      <c r="B757" s="148" t="s">
        <v>371</v>
      </c>
      <c r="C757" s="149">
        <v>2</v>
      </c>
      <c r="D757" s="149" t="s">
        <v>73</v>
      </c>
      <c r="E757" s="149">
        <v>4</v>
      </c>
      <c r="F757" s="150"/>
      <c r="G757" s="150"/>
      <c r="H757" s="150"/>
      <c r="I757" s="151">
        <f t="shared" si="59"/>
        <v>8</v>
      </c>
      <c r="J757" s="180"/>
    </row>
    <row r="758" spans="1:10" s="181" customFormat="1">
      <c r="A758" s="276"/>
      <c r="B758" s="148"/>
      <c r="C758" s="149"/>
      <c r="D758" s="149"/>
      <c r="E758" s="149"/>
      <c r="F758" s="150"/>
      <c r="G758" s="158" t="s">
        <v>11</v>
      </c>
      <c r="H758" s="150"/>
      <c r="I758" s="159">
        <f>SUM(I749:I757)</f>
        <v>32</v>
      </c>
      <c r="J758" s="180" t="s">
        <v>128</v>
      </c>
    </row>
    <row r="759" spans="1:10" s="181" customFormat="1">
      <c r="A759" s="276"/>
      <c r="B759" s="148"/>
      <c r="C759" s="149"/>
      <c r="D759" s="149"/>
      <c r="E759" s="149"/>
      <c r="F759" s="150"/>
      <c r="G759" s="158"/>
      <c r="H759" s="150"/>
      <c r="I759" s="160"/>
      <c r="J759" s="180"/>
    </row>
    <row r="760" spans="1:10" s="181" customFormat="1" ht="75">
      <c r="A760" s="276">
        <v>49</v>
      </c>
      <c r="B760" s="206" t="s">
        <v>372</v>
      </c>
      <c r="C760" s="149"/>
      <c r="D760" s="149"/>
      <c r="E760" s="149"/>
      <c r="F760" s="150"/>
      <c r="G760" s="150"/>
      <c r="H760" s="150"/>
      <c r="I760" s="151"/>
      <c r="J760" s="180"/>
    </row>
    <row r="761" spans="1:10" s="181" customFormat="1">
      <c r="A761" s="276"/>
      <c r="B761" s="148" t="s">
        <v>373</v>
      </c>
      <c r="C761" s="149">
        <v>1</v>
      </c>
      <c r="D761" s="149" t="s">
        <v>73</v>
      </c>
      <c r="E761" s="149">
        <v>17</v>
      </c>
      <c r="F761" s="150">
        <v>2</v>
      </c>
      <c r="G761" s="150"/>
      <c r="H761" s="150"/>
      <c r="I761" s="151">
        <f>ROUND(PRODUCT(C761:H761),2)</f>
        <v>34</v>
      </c>
      <c r="J761" s="180"/>
    </row>
    <row r="762" spans="1:10" s="181" customFormat="1">
      <c r="A762" s="276"/>
      <c r="B762" s="148" t="s">
        <v>375</v>
      </c>
      <c r="C762" s="149">
        <v>1</v>
      </c>
      <c r="D762" s="149" t="s">
        <v>73</v>
      </c>
      <c r="E762" s="149">
        <v>32</v>
      </c>
      <c r="F762" s="150">
        <v>2</v>
      </c>
      <c r="G762" s="150"/>
      <c r="H762" s="150"/>
      <c r="I762" s="151">
        <f>ROUND(PRODUCT(C762:H762),2)</f>
        <v>64</v>
      </c>
      <c r="J762" s="180"/>
    </row>
    <row r="763" spans="1:10" s="181" customFormat="1">
      <c r="A763" s="276"/>
      <c r="B763" s="148" t="s">
        <v>376</v>
      </c>
      <c r="C763" s="149">
        <v>1</v>
      </c>
      <c r="D763" s="149" t="s">
        <v>73</v>
      </c>
      <c r="E763" s="149">
        <v>2</v>
      </c>
      <c r="F763" s="150">
        <v>2</v>
      </c>
      <c r="G763" s="150"/>
      <c r="H763" s="150"/>
      <c r="I763" s="151">
        <f>ROUND(PRODUCT(C763:H763),2)</f>
        <v>4</v>
      </c>
      <c r="J763" s="180"/>
    </row>
    <row r="764" spans="1:10" s="181" customFormat="1">
      <c r="A764" s="276"/>
      <c r="B764" s="148"/>
      <c r="C764" s="149"/>
      <c r="D764" s="149"/>
      <c r="E764" s="149"/>
      <c r="F764" s="150"/>
      <c r="G764" s="150"/>
      <c r="H764" s="150"/>
      <c r="I764" s="159">
        <f>SUM(I761:I763)</f>
        <v>102</v>
      </c>
      <c r="J764" s="180" t="s">
        <v>128</v>
      </c>
    </row>
    <row r="765" spans="1:10" s="181" customFormat="1">
      <c r="A765" s="276"/>
      <c r="B765" s="148"/>
      <c r="C765" s="149"/>
      <c r="D765" s="149"/>
      <c r="E765" s="149"/>
      <c r="F765" s="150"/>
      <c r="G765" s="150"/>
      <c r="H765" s="150"/>
      <c r="I765" s="160"/>
      <c r="J765" s="180"/>
    </row>
    <row r="766" spans="1:10" s="181" customFormat="1" ht="37.5">
      <c r="A766" s="276">
        <v>50.2</v>
      </c>
      <c r="B766" s="387" t="s">
        <v>1599</v>
      </c>
      <c r="C766" s="149"/>
      <c r="D766" s="149"/>
      <c r="E766" s="149"/>
      <c r="F766" s="150"/>
      <c r="G766" s="150"/>
      <c r="H766" s="150"/>
      <c r="I766" s="160"/>
      <c r="J766" s="180"/>
    </row>
    <row r="767" spans="1:10" s="181" customFormat="1">
      <c r="A767" s="276"/>
      <c r="B767" s="148" t="s">
        <v>1600</v>
      </c>
      <c r="C767" s="149">
        <v>1</v>
      </c>
      <c r="D767" s="149" t="s">
        <v>73</v>
      </c>
      <c r="E767" s="149">
        <v>2</v>
      </c>
      <c r="F767" s="150">
        <v>17</v>
      </c>
      <c r="G767" s="150"/>
      <c r="H767" s="150"/>
      <c r="I767" s="151">
        <f t="shared" ref="I767:I769" si="60">ROUND(PRODUCT(C767:H767),2)</f>
        <v>34</v>
      </c>
      <c r="J767" s="180"/>
    </row>
    <row r="768" spans="1:10" s="181" customFormat="1">
      <c r="A768" s="276"/>
      <c r="B768" s="148" t="s">
        <v>1601</v>
      </c>
      <c r="C768" s="149">
        <v>1</v>
      </c>
      <c r="D768" s="149" t="s">
        <v>73</v>
      </c>
      <c r="E768" s="149">
        <v>1</v>
      </c>
      <c r="F768" s="150">
        <v>27.3</v>
      </c>
      <c r="G768" s="150"/>
      <c r="H768" s="150"/>
      <c r="I768" s="151">
        <f t="shared" si="60"/>
        <v>27.3</v>
      </c>
      <c r="J768" s="180"/>
    </row>
    <row r="769" spans="1:11" s="181" customFormat="1">
      <c r="A769" s="276"/>
      <c r="B769" s="148" t="s">
        <v>1602</v>
      </c>
      <c r="C769" s="149">
        <v>2</v>
      </c>
      <c r="D769" s="149" t="s">
        <v>73</v>
      </c>
      <c r="E769" s="149">
        <v>2</v>
      </c>
      <c r="F769" s="150">
        <v>2.5</v>
      </c>
      <c r="G769" s="150"/>
      <c r="H769" s="150"/>
      <c r="I769" s="151">
        <f t="shared" si="60"/>
        <v>10</v>
      </c>
      <c r="J769" s="180"/>
    </row>
    <row r="770" spans="1:11" s="181" customFormat="1">
      <c r="A770" s="276"/>
      <c r="B770" s="148"/>
      <c r="C770" s="149"/>
      <c r="D770" s="149"/>
      <c r="E770" s="149"/>
      <c r="F770" s="150"/>
      <c r="G770" s="150"/>
      <c r="H770" s="150"/>
      <c r="I770" s="159">
        <f>SUM(I767:I769)</f>
        <v>71.3</v>
      </c>
      <c r="J770" s="180" t="s">
        <v>76</v>
      </c>
    </row>
    <row r="771" spans="1:11" s="181" customFormat="1">
      <c r="A771" s="276"/>
      <c r="B771" s="148"/>
      <c r="C771" s="149"/>
      <c r="D771" s="149"/>
      <c r="E771" s="149"/>
      <c r="F771" s="150"/>
      <c r="G771" s="150"/>
      <c r="H771" s="150"/>
      <c r="I771" s="160"/>
      <c r="J771" s="180"/>
    </row>
    <row r="772" spans="1:11" s="181" customFormat="1" ht="98.25" customHeight="1">
      <c r="A772" s="276">
        <v>50.3</v>
      </c>
      <c r="B772" s="206" t="s">
        <v>378</v>
      </c>
      <c r="C772" s="149"/>
      <c r="D772" s="149"/>
      <c r="E772" s="149"/>
      <c r="F772" s="150"/>
      <c r="G772" s="150"/>
      <c r="H772" s="150"/>
      <c r="I772" s="151"/>
      <c r="J772" s="180"/>
    </row>
    <row r="773" spans="1:11" s="181" customFormat="1">
      <c r="A773" s="276"/>
      <c r="B773" s="148" t="s">
        <v>379</v>
      </c>
      <c r="C773" s="149">
        <v>1</v>
      </c>
      <c r="D773" s="149" t="s">
        <v>73</v>
      </c>
      <c r="E773" s="149">
        <v>5</v>
      </c>
      <c r="F773" s="150"/>
      <c r="G773" s="150"/>
      <c r="H773" s="150"/>
      <c r="I773" s="151">
        <f>ROUND(PRODUCT(C773:H773),2)</f>
        <v>5</v>
      </c>
      <c r="J773" s="180" t="s">
        <v>128</v>
      </c>
    </row>
    <row r="774" spans="1:11" s="181" customFormat="1">
      <c r="A774" s="276"/>
      <c r="B774" s="148"/>
      <c r="C774" s="149"/>
      <c r="D774" s="149"/>
      <c r="E774" s="149"/>
      <c r="F774" s="150"/>
      <c r="G774" s="150"/>
      <c r="H774" s="150"/>
      <c r="I774" s="207"/>
      <c r="J774" s="180"/>
    </row>
    <row r="775" spans="1:11" s="181" customFormat="1" ht="96.75" customHeight="1">
      <c r="A775" s="276">
        <v>50.4</v>
      </c>
      <c r="B775" s="206" t="s">
        <v>380</v>
      </c>
      <c r="C775" s="149"/>
      <c r="D775" s="149"/>
      <c r="E775" s="149"/>
      <c r="F775" s="150"/>
      <c r="G775" s="150"/>
      <c r="H775" s="150"/>
      <c r="I775" s="151"/>
      <c r="J775" s="180"/>
    </row>
    <row r="776" spans="1:11" s="181" customFormat="1">
      <c r="A776" s="276"/>
      <c r="B776" s="148" t="s">
        <v>381</v>
      </c>
      <c r="C776" s="149">
        <v>1</v>
      </c>
      <c r="D776" s="149" t="s">
        <v>73</v>
      </c>
      <c r="E776" s="149">
        <v>5</v>
      </c>
      <c r="F776" s="150"/>
      <c r="G776" s="150"/>
      <c r="H776" s="150"/>
      <c r="I776" s="151">
        <f>ROUND(PRODUCT(C776:H776),2)</f>
        <v>5</v>
      </c>
      <c r="J776" s="180"/>
      <c r="K776" s="181" t="s">
        <v>374</v>
      </c>
    </row>
    <row r="777" spans="1:11" s="181" customFormat="1">
      <c r="A777" s="276"/>
      <c r="B777" s="148"/>
      <c r="C777" s="149"/>
      <c r="D777" s="149"/>
      <c r="E777" s="149"/>
      <c r="F777" s="150"/>
      <c r="G777" s="158" t="s">
        <v>11</v>
      </c>
      <c r="H777" s="150"/>
      <c r="I777" s="159">
        <f>I776</f>
        <v>5</v>
      </c>
      <c r="J777" s="180" t="s">
        <v>77</v>
      </c>
    </row>
    <row r="778" spans="1:11" s="181" customFormat="1">
      <c r="A778" s="276"/>
      <c r="B778" s="148"/>
      <c r="C778" s="149"/>
      <c r="D778" s="149"/>
      <c r="E778" s="149"/>
      <c r="F778" s="150"/>
      <c r="G778" s="158"/>
      <c r="H778" s="150"/>
      <c r="I778" s="160"/>
      <c r="J778" s="180"/>
    </row>
    <row r="779" spans="1:11" s="181" customFormat="1" ht="116.25" customHeight="1">
      <c r="A779" s="276">
        <v>52</v>
      </c>
      <c r="B779" s="206" t="s">
        <v>383</v>
      </c>
      <c r="C779" s="149"/>
      <c r="D779" s="149"/>
      <c r="E779" s="149"/>
      <c r="F779" s="150"/>
      <c r="G779" s="150"/>
      <c r="H779" s="150"/>
      <c r="I779" s="151"/>
      <c r="J779" s="180"/>
    </row>
    <row r="780" spans="1:11" s="181" customFormat="1" ht="29.25" customHeight="1">
      <c r="A780" s="221"/>
      <c r="B780" s="155" t="s">
        <v>384</v>
      </c>
      <c r="C780" s="149"/>
      <c r="D780" s="149"/>
      <c r="E780" s="149"/>
      <c r="F780" s="150"/>
      <c r="G780" s="150"/>
      <c r="H780" s="150"/>
      <c r="I780" s="151"/>
      <c r="J780" s="180"/>
    </row>
    <row r="781" spans="1:11" s="181" customFormat="1">
      <c r="A781" s="276"/>
      <c r="B781" s="148" t="s">
        <v>385</v>
      </c>
      <c r="C781" s="149">
        <v>1</v>
      </c>
      <c r="D781" s="149" t="s">
        <v>73</v>
      </c>
      <c r="E781" s="149">
        <v>1</v>
      </c>
      <c r="F781" s="150">
        <v>39</v>
      </c>
      <c r="G781" s="150"/>
      <c r="H781" s="150"/>
      <c r="I781" s="151">
        <f>ROUND(PRODUCT(C781:H781),2)</f>
        <v>39</v>
      </c>
      <c r="J781" s="180"/>
    </row>
    <row r="782" spans="1:11" s="181" customFormat="1">
      <c r="A782" s="276"/>
      <c r="B782" s="148" t="s">
        <v>386</v>
      </c>
      <c r="C782" s="149">
        <v>1</v>
      </c>
      <c r="D782" s="149" t="s">
        <v>73</v>
      </c>
      <c r="E782" s="149">
        <v>4</v>
      </c>
      <c r="F782" s="150">
        <v>5</v>
      </c>
      <c r="G782" s="150"/>
      <c r="H782" s="150"/>
      <c r="I782" s="151">
        <f>ROUND(PRODUCT(C782:H782),2)</f>
        <v>20</v>
      </c>
      <c r="J782" s="180"/>
    </row>
    <row r="783" spans="1:11" s="181" customFormat="1" ht="19.5" customHeight="1">
      <c r="A783" s="221"/>
      <c r="B783" s="148" t="s">
        <v>387</v>
      </c>
      <c r="C783" s="149">
        <v>1</v>
      </c>
      <c r="D783" s="149" t="s">
        <v>73</v>
      </c>
      <c r="E783" s="149">
        <v>3</v>
      </c>
      <c r="F783" s="150">
        <v>5</v>
      </c>
      <c r="G783" s="150"/>
      <c r="H783" s="150"/>
      <c r="I783" s="151">
        <f>ROUND(PRODUCT(C783:H783),2)</f>
        <v>15</v>
      </c>
      <c r="J783" s="180"/>
    </row>
    <row r="784" spans="1:11" s="181" customFormat="1">
      <c r="A784" s="276"/>
      <c r="B784" s="148"/>
      <c r="C784" s="149"/>
      <c r="D784" s="149"/>
      <c r="E784" s="149"/>
      <c r="F784" s="150"/>
      <c r="G784" s="158" t="s">
        <v>11</v>
      </c>
      <c r="H784" s="150"/>
      <c r="I784" s="379">
        <f>SUM(I781:I783)</f>
        <v>74</v>
      </c>
      <c r="J784" s="180" t="s">
        <v>76</v>
      </c>
    </row>
    <row r="785" spans="1:10" s="181" customFormat="1">
      <c r="A785" s="360"/>
      <c r="B785" s="148"/>
      <c r="C785" s="149"/>
      <c r="D785" s="149"/>
      <c r="E785" s="149"/>
      <c r="F785" s="150"/>
      <c r="G785" s="150"/>
      <c r="H785" s="158"/>
      <c r="I785" s="160"/>
      <c r="J785" s="180"/>
    </row>
    <row r="786" spans="1:10" s="181" customFormat="1" ht="20.25" customHeight="1">
      <c r="A786" s="221"/>
      <c r="B786" s="155" t="s">
        <v>388</v>
      </c>
      <c r="C786" s="149"/>
      <c r="D786" s="149"/>
      <c r="E786" s="149"/>
      <c r="F786" s="150"/>
      <c r="G786" s="150"/>
      <c r="H786" s="150"/>
      <c r="I786" s="151"/>
      <c r="J786" s="180"/>
    </row>
    <row r="787" spans="1:10" s="181" customFormat="1">
      <c r="A787" s="249"/>
      <c r="B787" s="148" t="s">
        <v>389</v>
      </c>
      <c r="C787" s="149">
        <v>1</v>
      </c>
      <c r="D787" s="149" t="s">
        <v>73</v>
      </c>
      <c r="E787" s="149">
        <v>2</v>
      </c>
      <c r="F787" s="150">
        <v>15</v>
      </c>
      <c r="G787" s="150"/>
      <c r="H787" s="150"/>
      <c r="I787" s="151">
        <f t="shared" ref="I787:I794" si="61">ROUND(PRODUCT(C787:H787),2)</f>
        <v>30</v>
      </c>
      <c r="J787" s="180"/>
    </row>
    <row r="788" spans="1:10" s="181" customFormat="1">
      <c r="A788" s="276"/>
      <c r="B788" s="148" t="s">
        <v>390</v>
      </c>
      <c r="C788" s="149">
        <v>1</v>
      </c>
      <c r="D788" s="149" t="s">
        <v>73</v>
      </c>
      <c r="E788" s="149">
        <v>3</v>
      </c>
      <c r="F788" s="150">
        <v>8</v>
      </c>
      <c r="G788" s="150"/>
      <c r="H788" s="150"/>
      <c r="I788" s="151">
        <f t="shared" si="61"/>
        <v>24</v>
      </c>
      <c r="J788" s="180"/>
    </row>
    <row r="789" spans="1:10" s="181" customFormat="1">
      <c r="A789" s="276"/>
      <c r="B789" s="148" t="s">
        <v>391</v>
      </c>
      <c r="C789" s="149">
        <v>1</v>
      </c>
      <c r="D789" s="156" t="s">
        <v>73</v>
      </c>
      <c r="E789" s="149">
        <v>1</v>
      </c>
      <c r="F789" s="150">
        <v>14</v>
      </c>
      <c r="G789" s="150"/>
      <c r="H789" s="150"/>
      <c r="I789" s="151">
        <f t="shared" si="61"/>
        <v>14</v>
      </c>
      <c r="J789" s="180"/>
    </row>
    <row r="790" spans="1:10" s="181" customFormat="1">
      <c r="A790" s="276"/>
      <c r="B790" s="182" t="s">
        <v>392</v>
      </c>
      <c r="C790" s="149">
        <v>1</v>
      </c>
      <c r="D790" s="156" t="s">
        <v>73</v>
      </c>
      <c r="E790" s="149">
        <v>1</v>
      </c>
      <c r="F790" s="150">
        <v>14</v>
      </c>
      <c r="G790" s="150"/>
      <c r="H790" s="150"/>
      <c r="I790" s="151">
        <f t="shared" si="61"/>
        <v>14</v>
      </c>
      <c r="J790" s="180"/>
    </row>
    <row r="791" spans="1:10" s="181" customFormat="1">
      <c r="A791" s="276"/>
      <c r="B791" s="182" t="s">
        <v>393</v>
      </c>
      <c r="C791" s="149">
        <v>1</v>
      </c>
      <c r="D791" s="156" t="s">
        <v>73</v>
      </c>
      <c r="E791" s="149">
        <v>1</v>
      </c>
      <c r="F791" s="150">
        <v>14</v>
      </c>
      <c r="G791" s="150"/>
      <c r="H791" s="150"/>
      <c r="I791" s="151">
        <f t="shared" si="61"/>
        <v>14</v>
      </c>
      <c r="J791" s="180"/>
    </row>
    <row r="792" spans="1:10" s="181" customFormat="1">
      <c r="A792" s="276"/>
      <c r="B792" s="148" t="s">
        <v>391</v>
      </c>
      <c r="C792" s="149">
        <v>1</v>
      </c>
      <c r="D792" s="156" t="s">
        <v>73</v>
      </c>
      <c r="E792" s="149">
        <v>1</v>
      </c>
      <c r="F792" s="150">
        <v>17</v>
      </c>
      <c r="G792" s="150"/>
      <c r="H792" s="150"/>
      <c r="I792" s="151">
        <f t="shared" si="61"/>
        <v>17</v>
      </c>
      <c r="J792" s="221"/>
    </row>
    <row r="793" spans="1:10" s="181" customFormat="1">
      <c r="A793" s="276"/>
      <c r="B793" s="182" t="s">
        <v>394</v>
      </c>
      <c r="C793" s="149">
        <v>1</v>
      </c>
      <c r="D793" s="156" t="s">
        <v>73</v>
      </c>
      <c r="E793" s="149">
        <v>1</v>
      </c>
      <c r="F793" s="150">
        <v>17</v>
      </c>
      <c r="G793" s="150"/>
      <c r="H793" s="150"/>
      <c r="I793" s="151">
        <f t="shared" si="61"/>
        <v>17</v>
      </c>
      <c r="J793" s="180"/>
    </row>
    <row r="794" spans="1:10" s="181" customFormat="1">
      <c r="A794" s="276"/>
      <c r="B794" s="182" t="s">
        <v>395</v>
      </c>
      <c r="C794" s="149">
        <v>1</v>
      </c>
      <c r="D794" s="156" t="s">
        <v>73</v>
      </c>
      <c r="E794" s="149">
        <v>1</v>
      </c>
      <c r="F794" s="150">
        <v>20</v>
      </c>
      <c r="G794" s="150"/>
      <c r="H794" s="150"/>
      <c r="I794" s="151">
        <f t="shared" si="61"/>
        <v>20</v>
      </c>
      <c r="J794" s="180"/>
    </row>
    <row r="795" spans="1:10" s="181" customFormat="1">
      <c r="A795" s="276"/>
      <c r="B795" s="148"/>
      <c r="C795" s="149"/>
      <c r="D795" s="149"/>
      <c r="E795" s="149"/>
      <c r="F795" s="150"/>
      <c r="G795" s="158" t="s">
        <v>11</v>
      </c>
      <c r="H795" s="150"/>
      <c r="I795" s="159">
        <f>SUM(I787:I794)</f>
        <v>150</v>
      </c>
      <c r="J795" s="180" t="s">
        <v>76</v>
      </c>
    </row>
    <row r="796" spans="1:10" s="181" customFormat="1">
      <c r="A796" s="276"/>
      <c r="B796" s="148"/>
      <c r="C796" s="149"/>
      <c r="D796" s="149"/>
      <c r="E796" s="149"/>
      <c r="F796" s="150"/>
      <c r="G796" s="150"/>
      <c r="H796" s="158"/>
      <c r="I796" s="160"/>
      <c r="J796" s="180"/>
    </row>
    <row r="797" spans="1:10" s="181" customFormat="1" ht="37.5">
      <c r="A797" s="276">
        <v>52.1</v>
      </c>
      <c r="B797" s="155" t="s">
        <v>60</v>
      </c>
      <c r="C797" s="149"/>
      <c r="D797" s="149"/>
      <c r="E797" s="149"/>
      <c r="F797" s="150"/>
      <c r="G797" s="150"/>
      <c r="H797" s="158"/>
      <c r="I797" s="151"/>
      <c r="J797" s="180"/>
    </row>
    <row r="798" spans="1:10" s="181" customFormat="1">
      <c r="A798" s="276"/>
      <c r="B798" s="148" t="s">
        <v>522</v>
      </c>
      <c r="C798" s="149">
        <v>1</v>
      </c>
      <c r="D798" s="149" t="s">
        <v>73</v>
      </c>
      <c r="E798" s="149">
        <v>2</v>
      </c>
      <c r="F798" s="150">
        <v>3</v>
      </c>
      <c r="G798" s="150"/>
      <c r="H798" s="158"/>
      <c r="I798" s="151">
        <f>ROUND(PRODUCT(C798:H798),2)</f>
        <v>6</v>
      </c>
      <c r="J798" s="180"/>
    </row>
    <row r="799" spans="1:10" s="181" customFormat="1">
      <c r="A799" s="276"/>
      <c r="B799" s="233"/>
      <c r="C799" s="149"/>
      <c r="D799" s="149"/>
      <c r="E799" s="149"/>
      <c r="F799" s="150"/>
      <c r="G799" s="150"/>
      <c r="H799" s="158" t="s">
        <v>523</v>
      </c>
      <c r="I799" s="159">
        <f>SUM(I798:I798)</f>
        <v>6</v>
      </c>
      <c r="J799" s="180" t="s">
        <v>76</v>
      </c>
    </row>
    <row r="800" spans="1:10" s="181" customFormat="1">
      <c r="A800" s="276"/>
      <c r="B800" s="233"/>
      <c r="C800" s="149"/>
      <c r="D800" s="149"/>
      <c r="E800" s="149"/>
      <c r="F800" s="150"/>
      <c r="G800" s="150"/>
      <c r="H800" s="158"/>
      <c r="I800" s="159"/>
      <c r="J800" s="180"/>
    </row>
    <row r="801" spans="1:10" s="181" customFormat="1" ht="21.75">
      <c r="A801" s="276">
        <v>53.3</v>
      </c>
      <c r="B801" s="289" t="s">
        <v>1431</v>
      </c>
      <c r="C801" s="149"/>
      <c r="D801" s="149"/>
      <c r="E801" s="149"/>
      <c r="F801" s="150"/>
      <c r="G801" s="150"/>
      <c r="H801" s="158"/>
      <c r="I801" s="159"/>
      <c r="J801" s="221"/>
    </row>
    <row r="802" spans="1:10" s="181" customFormat="1" ht="21.75" customHeight="1">
      <c r="A802" s="276"/>
      <c r="B802" s="233" t="s">
        <v>164</v>
      </c>
      <c r="C802" s="149">
        <v>1</v>
      </c>
      <c r="D802" s="149" t="s">
        <v>73</v>
      </c>
      <c r="E802" s="149">
        <v>2</v>
      </c>
      <c r="F802" s="150">
        <v>4</v>
      </c>
      <c r="G802" s="150"/>
      <c r="H802" s="158"/>
      <c r="I802" s="151">
        <f t="shared" ref="I802" si="62">ROUND(PRODUCT(C802:H802),2)</f>
        <v>8</v>
      </c>
      <c r="J802" s="180"/>
    </row>
    <row r="803" spans="1:10" s="181" customFormat="1">
      <c r="A803" s="276"/>
      <c r="B803" s="233"/>
      <c r="C803" s="149"/>
      <c r="D803" s="149"/>
      <c r="E803" s="149"/>
      <c r="F803" s="150"/>
      <c r="G803" s="150"/>
      <c r="H803" s="158" t="s">
        <v>523</v>
      </c>
      <c r="I803" s="159">
        <f>SUM(I802:I802)</f>
        <v>8</v>
      </c>
      <c r="J803" s="180" t="s">
        <v>346</v>
      </c>
    </row>
    <row r="804" spans="1:10" s="181" customFormat="1">
      <c r="A804" s="276"/>
      <c r="B804" s="361"/>
      <c r="C804" s="149"/>
      <c r="D804" s="149"/>
      <c r="E804" s="149"/>
      <c r="F804" s="150"/>
      <c r="G804" s="150"/>
      <c r="H804" s="158"/>
      <c r="I804" s="159"/>
      <c r="J804" s="180"/>
    </row>
    <row r="805" spans="1:10" s="154" customFormat="1" ht="66.75" customHeight="1">
      <c r="A805" s="276">
        <v>59.2</v>
      </c>
      <c r="B805" s="178" t="s">
        <v>403</v>
      </c>
    </row>
    <row r="806" spans="1:10" s="154" customFormat="1" ht="21" customHeight="1">
      <c r="A806" s="276"/>
      <c r="B806" s="178" t="s">
        <v>1742</v>
      </c>
      <c r="C806" s="149">
        <v>1</v>
      </c>
      <c r="D806" s="149" t="s">
        <v>73</v>
      </c>
      <c r="E806" s="149">
        <v>13</v>
      </c>
      <c r="F806" s="150"/>
      <c r="G806" s="150"/>
      <c r="H806" s="150"/>
      <c r="I806" s="159">
        <f>ROUND(PRODUCT(C806:H806),2)</f>
        <v>13</v>
      </c>
      <c r="J806" s="161" t="s">
        <v>128</v>
      </c>
    </row>
    <row r="807" spans="1:10" s="154" customFormat="1" ht="19.5" customHeight="1">
      <c r="A807" s="276"/>
      <c r="B807" s="178"/>
      <c r="C807" s="149"/>
      <c r="D807" s="149"/>
      <c r="E807" s="149"/>
      <c r="F807" s="150"/>
      <c r="G807" s="150"/>
      <c r="H807" s="150"/>
      <c r="I807" s="207"/>
      <c r="J807" s="349"/>
    </row>
    <row r="808" spans="1:10" s="154" customFormat="1" ht="58.5" customHeight="1">
      <c r="A808" s="276">
        <v>60</v>
      </c>
      <c r="B808" s="208" t="s">
        <v>404</v>
      </c>
      <c r="C808" s="149"/>
      <c r="D808" s="149"/>
      <c r="E808" s="149"/>
      <c r="F808" s="150"/>
      <c r="G808" s="150"/>
      <c r="H808" s="150"/>
      <c r="I808" s="159"/>
      <c r="J808" s="161"/>
    </row>
    <row r="809" spans="1:10" s="154" customFormat="1">
      <c r="A809" s="276"/>
      <c r="B809" s="148" t="s">
        <v>365</v>
      </c>
      <c r="C809" s="149">
        <v>1</v>
      </c>
      <c r="D809" s="149" t="s">
        <v>73</v>
      </c>
      <c r="E809" s="149">
        <v>4</v>
      </c>
      <c r="F809" s="150"/>
      <c r="G809" s="150"/>
      <c r="H809" s="150"/>
      <c r="I809" s="151">
        <f t="shared" ref="I809:I813" si="63">ROUND(PRODUCT(C809:H809),2)</f>
        <v>4</v>
      </c>
      <c r="J809" s="349"/>
    </row>
    <row r="810" spans="1:10" s="154" customFormat="1">
      <c r="A810" s="276"/>
      <c r="B810" s="148" t="s">
        <v>405</v>
      </c>
      <c r="C810" s="149">
        <v>2</v>
      </c>
      <c r="D810" s="149" t="s">
        <v>73</v>
      </c>
      <c r="E810" s="149">
        <v>2</v>
      </c>
      <c r="F810" s="150"/>
      <c r="G810" s="150"/>
      <c r="H810" s="150"/>
      <c r="I810" s="151">
        <f t="shared" si="63"/>
        <v>4</v>
      </c>
      <c r="J810" s="161"/>
    </row>
    <row r="811" spans="1:10" s="154" customFormat="1">
      <c r="A811" s="276"/>
      <c r="B811" s="148" t="s">
        <v>362</v>
      </c>
      <c r="C811" s="149">
        <v>2</v>
      </c>
      <c r="D811" s="149" t="s">
        <v>73</v>
      </c>
      <c r="E811" s="149">
        <v>2</v>
      </c>
      <c r="F811" s="150"/>
      <c r="G811" s="150"/>
      <c r="H811" s="150"/>
      <c r="I811" s="151">
        <f t="shared" si="63"/>
        <v>4</v>
      </c>
      <c r="J811" s="161"/>
    </row>
    <row r="812" spans="1:10" s="154" customFormat="1" ht="18.75" customHeight="1">
      <c r="A812" s="276"/>
      <c r="B812" s="148" t="s">
        <v>363</v>
      </c>
      <c r="C812" s="149">
        <v>2</v>
      </c>
      <c r="D812" s="149" t="s">
        <v>73</v>
      </c>
      <c r="E812" s="149">
        <v>5</v>
      </c>
      <c r="F812" s="150"/>
      <c r="G812" s="150"/>
      <c r="H812" s="150"/>
      <c r="I812" s="151">
        <f t="shared" si="63"/>
        <v>10</v>
      </c>
      <c r="J812" s="161"/>
    </row>
    <row r="813" spans="1:10" s="154" customFormat="1">
      <c r="A813" s="276"/>
      <c r="B813" s="148" t="s">
        <v>406</v>
      </c>
      <c r="C813" s="149">
        <v>2</v>
      </c>
      <c r="D813" s="149" t="s">
        <v>73</v>
      </c>
      <c r="E813" s="149">
        <v>2</v>
      </c>
      <c r="F813" s="150"/>
      <c r="G813" s="150"/>
      <c r="H813" s="150"/>
      <c r="I813" s="151">
        <f t="shared" si="63"/>
        <v>4</v>
      </c>
      <c r="J813" s="161"/>
    </row>
    <row r="814" spans="1:10" s="181" customFormat="1" ht="21" customHeight="1">
      <c r="A814" s="221"/>
      <c r="B814" s="148"/>
      <c r="C814" s="149"/>
      <c r="D814" s="149"/>
      <c r="E814" s="149"/>
      <c r="F814" s="150"/>
      <c r="G814" s="158" t="s">
        <v>11</v>
      </c>
      <c r="H814" s="150"/>
      <c r="I814" s="159">
        <f>SUM(I809:I813)</f>
        <v>26</v>
      </c>
      <c r="J814" s="180" t="s">
        <v>377</v>
      </c>
    </row>
    <row r="815" spans="1:10" s="181" customFormat="1" ht="19.5" customHeight="1">
      <c r="A815" s="221"/>
      <c r="B815" s="155"/>
      <c r="C815" s="149"/>
      <c r="D815" s="149"/>
      <c r="E815" s="149"/>
      <c r="F815" s="150"/>
      <c r="G815" s="150"/>
      <c r="H815" s="150"/>
      <c r="I815" s="151"/>
      <c r="J815" s="180"/>
    </row>
    <row r="816" spans="1:10" s="154" customFormat="1" ht="37.5" customHeight="1">
      <c r="A816" s="276">
        <v>61.2</v>
      </c>
      <c r="B816" s="453" t="s">
        <v>1432</v>
      </c>
      <c r="C816" s="149"/>
      <c r="D816" s="149"/>
      <c r="E816" s="149"/>
      <c r="F816" s="150"/>
      <c r="G816" s="150"/>
      <c r="H816" s="158"/>
      <c r="I816" s="151"/>
      <c r="J816" s="180"/>
    </row>
    <row r="817" spans="1:10" s="154" customFormat="1">
      <c r="A817" s="276"/>
      <c r="B817" s="233" t="s">
        <v>1433</v>
      </c>
      <c r="C817" s="149">
        <v>1</v>
      </c>
      <c r="D817" s="149" t="s">
        <v>73</v>
      </c>
      <c r="E817" s="149">
        <v>1</v>
      </c>
      <c r="F817" s="150">
        <v>10</v>
      </c>
      <c r="G817" s="150"/>
      <c r="H817" s="158"/>
      <c r="I817" s="151">
        <f t="shared" ref="I817" si="64">ROUND(PRODUCT(C817:H817),2)</f>
        <v>10</v>
      </c>
      <c r="J817" s="180"/>
    </row>
    <row r="818" spans="1:10" s="181" customFormat="1">
      <c r="A818" s="276"/>
      <c r="B818" s="233"/>
      <c r="C818" s="149"/>
      <c r="D818" s="149"/>
      <c r="E818" s="149"/>
      <c r="F818" s="150"/>
      <c r="G818" s="150"/>
      <c r="H818" s="158" t="s">
        <v>523</v>
      </c>
      <c r="I818" s="159">
        <f>SUM(I817:I817)</f>
        <v>10</v>
      </c>
      <c r="J818" s="180" t="s">
        <v>76</v>
      </c>
    </row>
    <row r="819" spans="1:10" s="181" customFormat="1">
      <c r="A819" s="276"/>
      <c r="B819" s="233"/>
      <c r="C819" s="149"/>
      <c r="D819" s="149"/>
      <c r="E819" s="149"/>
      <c r="F819" s="150"/>
      <c r="G819" s="150"/>
      <c r="H819" s="158"/>
      <c r="I819" s="159"/>
      <c r="J819" s="180"/>
    </row>
    <row r="820" spans="1:10" s="181" customFormat="1" ht="53.25" customHeight="1">
      <c r="A820" s="276">
        <v>69</v>
      </c>
      <c r="B820" s="178" t="s">
        <v>407</v>
      </c>
      <c r="C820" s="149"/>
      <c r="D820" s="149"/>
      <c r="E820" s="149"/>
      <c r="F820" s="150"/>
      <c r="G820" s="150"/>
      <c r="H820" s="150"/>
      <c r="I820" s="159"/>
      <c r="J820" s="180"/>
    </row>
    <row r="821" spans="1:10" s="181" customFormat="1">
      <c r="A821" s="276"/>
      <c r="B821" s="153" t="s">
        <v>408</v>
      </c>
      <c r="C821" s="149"/>
      <c r="D821" s="149"/>
      <c r="E821" s="149"/>
      <c r="F821" s="150"/>
      <c r="G821" s="150"/>
      <c r="H821" s="150"/>
      <c r="I821" s="159"/>
      <c r="J821" s="180"/>
    </row>
    <row r="822" spans="1:10" s="181" customFormat="1">
      <c r="A822" s="276"/>
      <c r="B822" s="178" t="s">
        <v>409</v>
      </c>
      <c r="C822" s="149">
        <v>1</v>
      </c>
      <c r="D822" s="149" t="s">
        <v>73</v>
      </c>
      <c r="E822" s="149">
        <v>1</v>
      </c>
      <c r="F822" s="150"/>
      <c r="G822" s="150"/>
      <c r="H822" s="150"/>
      <c r="I822" s="151">
        <f>ROUND(PRODUCT(C822:H822),2)</f>
        <v>1</v>
      </c>
      <c r="J822" s="180"/>
    </row>
    <row r="823" spans="1:10" s="181" customFormat="1">
      <c r="A823" s="276"/>
      <c r="B823" s="178" t="s">
        <v>1548</v>
      </c>
      <c r="C823" s="149">
        <v>1</v>
      </c>
      <c r="D823" s="149" t="s">
        <v>73</v>
      </c>
      <c r="E823" s="149">
        <v>2</v>
      </c>
      <c r="F823" s="150"/>
      <c r="G823" s="150"/>
      <c r="H823" s="150"/>
      <c r="I823" s="151">
        <f>ROUND(PRODUCT(C823:H823),2)</f>
        <v>2</v>
      </c>
      <c r="J823" s="180"/>
    </row>
    <row r="824" spans="1:10" s="181" customFormat="1">
      <c r="A824" s="276"/>
      <c r="B824" s="178" t="s">
        <v>1549</v>
      </c>
      <c r="C824" s="149">
        <v>1</v>
      </c>
      <c r="D824" s="149" t="s">
        <v>73</v>
      </c>
      <c r="E824" s="149">
        <v>1</v>
      </c>
      <c r="F824" s="150"/>
      <c r="G824" s="150"/>
      <c r="H824" s="150"/>
      <c r="I824" s="151">
        <f>ROUND(PRODUCT(C824:H824),2)</f>
        <v>1</v>
      </c>
      <c r="J824" s="180"/>
    </row>
    <row r="825" spans="1:10" s="181" customFormat="1">
      <c r="A825" s="276"/>
      <c r="B825" s="153" t="s">
        <v>171</v>
      </c>
      <c r="C825" s="149"/>
      <c r="D825" s="149"/>
      <c r="E825" s="149"/>
      <c r="F825" s="150"/>
      <c r="G825" s="150"/>
      <c r="H825" s="150"/>
      <c r="I825" s="159"/>
      <c r="J825" s="180"/>
    </row>
    <row r="826" spans="1:10" s="181" customFormat="1">
      <c r="A826" s="276"/>
      <c r="B826" s="148" t="s">
        <v>410</v>
      </c>
      <c r="C826" s="149">
        <v>1</v>
      </c>
      <c r="D826" s="149" t="s">
        <v>73</v>
      </c>
      <c r="E826" s="149">
        <v>1</v>
      </c>
      <c r="F826" s="150"/>
      <c r="G826" s="150"/>
      <c r="H826" s="150"/>
      <c r="I826" s="151">
        <f t="shared" ref="I826:I838" si="65">ROUND(PRODUCT(C826:H826),2)</f>
        <v>1</v>
      </c>
      <c r="J826" s="180"/>
    </row>
    <row r="827" spans="1:10" s="181" customFormat="1">
      <c r="A827" s="276"/>
      <c r="B827" s="148" t="s">
        <v>411</v>
      </c>
      <c r="C827" s="149">
        <v>1</v>
      </c>
      <c r="D827" s="149" t="s">
        <v>73</v>
      </c>
      <c r="E827" s="149">
        <v>1</v>
      </c>
      <c r="F827" s="150"/>
      <c r="G827" s="150"/>
      <c r="H827" s="150"/>
      <c r="I827" s="151">
        <f t="shared" si="65"/>
        <v>1</v>
      </c>
      <c r="J827" s="180"/>
    </row>
    <row r="828" spans="1:10" s="154" customFormat="1">
      <c r="A828" s="276"/>
      <c r="B828" s="148" t="s">
        <v>412</v>
      </c>
      <c r="C828" s="149">
        <v>1</v>
      </c>
      <c r="D828" s="149" t="s">
        <v>73</v>
      </c>
      <c r="E828" s="149">
        <v>2</v>
      </c>
      <c r="F828" s="150"/>
      <c r="G828" s="150"/>
      <c r="H828" s="150"/>
      <c r="I828" s="151">
        <f t="shared" si="65"/>
        <v>2</v>
      </c>
      <c r="J828" s="161"/>
    </row>
    <row r="829" spans="1:10" s="181" customFormat="1" ht="18.75" customHeight="1">
      <c r="B829" s="148" t="s">
        <v>413</v>
      </c>
      <c r="C829" s="149">
        <v>1</v>
      </c>
      <c r="D829" s="149" t="s">
        <v>73</v>
      </c>
      <c r="E829" s="149">
        <v>1</v>
      </c>
      <c r="F829" s="150"/>
      <c r="G829" s="150"/>
      <c r="H829" s="150"/>
      <c r="I829" s="151">
        <f t="shared" si="65"/>
        <v>1</v>
      </c>
      <c r="J829" s="180"/>
    </row>
    <row r="830" spans="1:10" s="181" customFormat="1" ht="18" customHeight="1">
      <c r="A830" s="276"/>
      <c r="B830" s="148" t="s">
        <v>414</v>
      </c>
      <c r="C830" s="149">
        <v>1</v>
      </c>
      <c r="D830" s="149" t="s">
        <v>73</v>
      </c>
      <c r="E830" s="149">
        <v>1</v>
      </c>
      <c r="F830" s="150"/>
      <c r="G830" s="150"/>
      <c r="H830" s="150"/>
      <c r="I830" s="151">
        <f>ROUND(PRODUCT(C830:H830),2)</f>
        <v>1</v>
      </c>
      <c r="J830" s="180"/>
    </row>
    <row r="831" spans="1:10" s="181" customFormat="1" ht="18" customHeight="1">
      <c r="A831" s="276"/>
      <c r="B831" s="148" t="s">
        <v>1550</v>
      </c>
      <c r="C831" s="149">
        <v>1</v>
      </c>
      <c r="D831" s="149" t="s">
        <v>73</v>
      </c>
      <c r="E831" s="149">
        <v>2</v>
      </c>
      <c r="F831" s="150"/>
      <c r="G831" s="150"/>
      <c r="H831" s="150"/>
      <c r="I831" s="151">
        <f t="shared" si="65"/>
        <v>2</v>
      </c>
      <c r="J831" s="180"/>
    </row>
    <row r="832" spans="1:10" s="181" customFormat="1">
      <c r="A832" s="276"/>
      <c r="B832" s="155" t="s">
        <v>157</v>
      </c>
      <c r="C832" s="149"/>
      <c r="D832" s="149"/>
      <c r="E832" s="149"/>
      <c r="F832" s="150"/>
      <c r="G832" s="150"/>
      <c r="H832" s="150"/>
      <c r="I832" s="151">
        <f t="shared" si="65"/>
        <v>0</v>
      </c>
      <c r="J832" s="180"/>
    </row>
    <row r="833" spans="1:10" s="181" customFormat="1">
      <c r="A833" s="276"/>
      <c r="B833" s="148" t="s">
        <v>416</v>
      </c>
      <c r="C833" s="149">
        <v>1</v>
      </c>
      <c r="D833" s="149" t="s">
        <v>73</v>
      </c>
      <c r="E833" s="149">
        <v>1</v>
      </c>
      <c r="F833" s="150"/>
      <c r="G833" s="150"/>
      <c r="H833" s="150"/>
      <c r="I833" s="151">
        <f t="shared" si="65"/>
        <v>1</v>
      </c>
      <c r="J833" s="180"/>
    </row>
    <row r="834" spans="1:10" s="181" customFormat="1">
      <c r="A834" s="276"/>
      <c r="B834" s="148" t="s">
        <v>411</v>
      </c>
      <c r="C834" s="149">
        <v>1</v>
      </c>
      <c r="D834" s="149" t="s">
        <v>73</v>
      </c>
      <c r="E834" s="149">
        <v>1</v>
      </c>
      <c r="F834" s="150"/>
      <c r="G834" s="150"/>
      <c r="H834" s="150"/>
      <c r="I834" s="151">
        <f t="shared" si="65"/>
        <v>1</v>
      </c>
      <c r="J834" s="180"/>
    </row>
    <row r="835" spans="1:10" s="181" customFormat="1">
      <c r="A835" s="276"/>
      <c r="B835" s="148" t="s">
        <v>412</v>
      </c>
      <c r="C835" s="149">
        <v>1</v>
      </c>
      <c r="D835" s="149" t="s">
        <v>73</v>
      </c>
      <c r="E835" s="149"/>
      <c r="F835" s="150"/>
      <c r="G835" s="150"/>
      <c r="H835" s="150"/>
      <c r="I835" s="151">
        <f t="shared" si="65"/>
        <v>1</v>
      </c>
      <c r="J835" s="180"/>
    </row>
    <row r="836" spans="1:10" s="181" customFormat="1">
      <c r="A836" s="276"/>
      <c r="B836" s="148" t="s">
        <v>413</v>
      </c>
      <c r="C836" s="149">
        <v>1</v>
      </c>
      <c r="D836" s="149" t="s">
        <v>73</v>
      </c>
      <c r="E836" s="149">
        <v>1</v>
      </c>
      <c r="F836" s="150"/>
      <c r="G836" s="150"/>
      <c r="H836" s="150"/>
      <c r="I836" s="151">
        <f t="shared" si="65"/>
        <v>1</v>
      </c>
      <c r="J836" s="180"/>
    </row>
    <row r="837" spans="1:10" s="181" customFormat="1">
      <c r="A837" s="276"/>
      <c r="B837" s="148" t="s">
        <v>414</v>
      </c>
      <c r="C837" s="149">
        <v>1</v>
      </c>
      <c r="D837" s="149" t="s">
        <v>73</v>
      </c>
      <c r="E837" s="149">
        <v>1</v>
      </c>
      <c r="F837" s="150"/>
      <c r="G837" s="150"/>
      <c r="H837" s="150"/>
      <c r="I837" s="151">
        <f t="shared" si="65"/>
        <v>1</v>
      </c>
      <c r="J837" s="180"/>
    </row>
    <row r="838" spans="1:10" s="181" customFormat="1">
      <c r="A838" s="276"/>
      <c r="B838" s="148" t="s">
        <v>1551</v>
      </c>
      <c r="C838" s="149">
        <v>1</v>
      </c>
      <c r="D838" s="149" t="s">
        <v>73</v>
      </c>
      <c r="E838" s="149">
        <v>3</v>
      </c>
      <c r="F838" s="150"/>
      <c r="G838" s="150"/>
      <c r="H838" s="150"/>
      <c r="I838" s="151">
        <f t="shared" si="65"/>
        <v>3</v>
      </c>
      <c r="J838" s="180"/>
    </row>
    <row r="839" spans="1:10" s="181" customFormat="1">
      <c r="A839" s="276"/>
      <c r="B839" s="148"/>
      <c r="C839" s="149"/>
      <c r="D839" s="149"/>
      <c r="E839" s="149"/>
      <c r="F839" s="150"/>
      <c r="G839" s="150"/>
      <c r="H839" s="150"/>
      <c r="I839" s="159">
        <f>SUM(I822:I838)</f>
        <v>20</v>
      </c>
      <c r="J839" s="180" t="s">
        <v>128</v>
      </c>
    </row>
    <row r="840" spans="1:10" s="181" customFormat="1">
      <c r="A840" s="276"/>
      <c r="B840" s="148"/>
      <c r="C840" s="149"/>
      <c r="D840" s="149"/>
      <c r="E840" s="149"/>
      <c r="F840" s="150"/>
      <c r="G840" s="150"/>
      <c r="H840" s="150"/>
      <c r="I840" s="160"/>
      <c r="J840" s="180"/>
    </row>
    <row r="841" spans="1:10" s="181" customFormat="1" ht="99.75" customHeight="1">
      <c r="A841" s="276">
        <v>72</v>
      </c>
      <c r="B841" s="178" t="s">
        <v>417</v>
      </c>
      <c r="C841" s="149"/>
      <c r="D841" s="149"/>
      <c r="E841" s="149"/>
      <c r="F841" s="150"/>
      <c r="G841" s="150"/>
      <c r="H841" s="150"/>
      <c r="I841" s="159"/>
      <c r="J841" s="180"/>
    </row>
    <row r="842" spans="1:10" s="181" customFormat="1">
      <c r="A842" s="276"/>
      <c r="B842" s="155" t="s">
        <v>408</v>
      </c>
      <c r="C842" s="149"/>
      <c r="D842" s="149"/>
      <c r="E842" s="149"/>
      <c r="F842" s="150"/>
      <c r="G842" s="150"/>
      <c r="H842" s="150"/>
      <c r="I842" s="159"/>
      <c r="J842" s="180"/>
    </row>
    <row r="843" spans="1:10" s="181" customFormat="1">
      <c r="A843" s="276"/>
      <c r="B843" s="148" t="s">
        <v>418</v>
      </c>
      <c r="C843" s="149">
        <v>1</v>
      </c>
      <c r="D843" s="149" t="s">
        <v>73</v>
      </c>
      <c r="E843" s="149">
        <v>2</v>
      </c>
      <c r="F843" s="150"/>
      <c r="G843" s="150"/>
      <c r="H843" s="150"/>
      <c r="I843" s="151">
        <f t="shared" ref="I843:I864" si="66">ROUND(PRODUCT(C843:H843),2)</f>
        <v>2</v>
      </c>
      <c r="J843" s="180"/>
    </row>
    <row r="844" spans="1:10" s="181" customFormat="1">
      <c r="A844" s="276"/>
      <c r="B844" s="148" t="s">
        <v>1552</v>
      </c>
      <c r="C844" s="149">
        <v>1</v>
      </c>
      <c r="D844" s="149" t="s">
        <v>73</v>
      </c>
      <c r="E844" s="149">
        <v>4</v>
      </c>
      <c r="F844" s="150"/>
      <c r="G844" s="150"/>
      <c r="H844" s="150"/>
      <c r="I844" s="151">
        <f t="shared" si="66"/>
        <v>4</v>
      </c>
      <c r="J844" s="180"/>
    </row>
    <row r="845" spans="1:10" s="181" customFormat="1">
      <c r="A845" s="276"/>
      <c r="B845" s="155" t="s">
        <v>190</v>
      </c>
      <c r="C845" s="149"/>
      <c r="D845" s="149"/>
      <c r="E845" s="149"/>
      <c r="F845" s="150"/>
      <c r="G845" s="150"/>
      <c r="H845" s="150"/>
      <c r="I845" s="151">
        <f t="shared" si="66"/>
        <v>0</v>
      </c>
      <c r="J845" s="180"/>
    </row>
    <row r="846" spans="1:10" s="181" customFormat="1">
      <c r="A846" s="276"/>
      <c r="B846" s="148" t="s">
        <v>419</v>
      </c>
      <c r="C846" s="149">
        <v>1</v>
      </c>
      <c r="D846" s="149" t="s">
        <v>73</v>
      </c>
      <c r="E846" s="149">
        <v>2</v>
      </c>
      <c r="F846" s="150"/>
      <c r="G846" s="150"/>
      <c r="H846" s="150"/>
      <c r="I846" s="151">
        <f t="shared" si="66"/>
        <v>2</v>
      </c>
      <c r="J846" s="180"/>
    </row>
    <row r="847" spans="1:10" s="181" customFormat="1">
      <c r="A847" s="276"/>
      <c r="B847" s="148" t="s">
        <v>420</v>
      </c>
      <c r="C847" s="149">
        <v>1</v>
      </c>
      <c r="D847" s="149" t="s">
        <v>73</v>
      </c>
      <c r="E847" s="149">
        <v>1</v>
      </c>
      <c r="F847" s="150"/>
      <c r="G847" s="150"/>
      <c r="H847" s="150"/>
      <c r="I847" s="151">
        <f t="shared" si="66"/>
        <v>1</v>
      </c>
      <c r="J847" s="212"/>
    </row>
    <row r="848" spans="1:10" s="181" customFormat="1">
      <c r="A848" s="276"/>
      <c r="B848" s="148" t="s">
        <v>421</v>
      </c>
      <c r="C848" s="149">
        <v>1</v>
      </c>
      <c r="D848" s="149" t="s">
        <v>73</v>
      </c>
      <c r="E848" s="149">
        <v>3</v>
      </c>
      <c r="F848" s="150"/>
      <c r="G848" s="150"/>
      <c r="H848" s="150"/>
      <c r="I848" s="151">
        <f t="shared" si="66"/>
        <v>3</v>
      </c>
      <c r="J848" s="221"/>
    </row>
    <row r="849" spans="1:10" s="181" customFormat="1" ht="17.25" customHeight="1">
      <c r="B849" s="148" t="s">
        <v>184</v>
      </c>
      <c r="C849" s="149">
        <v>1</v>
      </c>
      <c r="D849" s="149" t="s">
        <v>73</v>
      </c>
      <c r="E849" s="149">
        <v>1</v>
      </c>
      <c r="F849" s="150"/>
      <c r="G849" s="150"/>
      <c r="H849" s="150"/>
      <c r="I849" s="151">
        <f t="shared" si="66"/>
        <v>1</v>
      </c>
      <c r="J849" s="212"/>
    </row>
    <row r="850" spans="1:10" s="181" customFormat="1">
      <c r="A850" s="249"/>
      <c r="B850" s="148" t="s">
        <v>191</v>
      </c>
      <c r="C850" s="149">
        <v>1</v>
      </c>
      <c r="D850" s="149" t="s">
        <v>73</v>
      </c>
      <c r="E850" s="149">
        <v>1</v>
      </c>
      <c r="F850" s="150"/>
      <c r="G850" s="150"/>
      <c r="H850" s="150"/>
      <c r="I850" s="151">
        <f t="shared" si="66"/>
        <v>1</v>
      </c>
      <c r="J850" s="180"/>
    </row>
    <row r="851" spans="1:10" s="181" customFormat="1">
      <c r="A851" s="249"/>
      <c r="B851" s="148" t="s">
        <v>1202</v>
      </c>
      <c r="C851" s="149">
        <v>1</v>
      </c>
      <c r="D851" s="149" t="s">
        <v>73</v>
      </c>
      <c r="E851" s="149">
        <v>1</v>
      </c>
      <c r="F851" s="150"/>
      <c r="G851" s="150"/>
      <c r="H851" s="150"/>
      <c r="I851" s="151">
        <f t="shared" si="66"/>
        <v>1</v>
      </c>
      <c r="J851" s="180"/>
    </row>
    <row r="852" spans="1:10" s="181" customFormat="1">
      <c r="A852" s="276"/>
      <c r="B852" s="148" t="s">
        <v>422</v>
      </c>
      <c r="C852" s="149">
        <v>1</v>
      </c>
      <c r="D852" s="149" t="s">
        <v>73</v>
      </c>
      <c r="E852" s="149">
        <v>2</v>
      </c>
      <c r="F852" s="150"/>
      <c r="G852" s="150"/>
      <c r="H852" s="150"/>
      <c r="I852" s="151">
        <f t="shared" si="66"/>
        <v>2</v>
      </c>
      <c r="J852" s="180"/>
    </row>
    <row r="853" spans="1:10" s="181" customFormat="1">
      <c r="A853" s="276"/>
      <c r="B853" s="148" t="s">
        <v>122</v>
      </c>
      <c r="C853" s="149">
        <v>1</v>
      </c>
      <c r="D853" s="149" t="s">
        <v>73</v>
      </c>
      <c r="E853" s="149">
        <v>1</v>
      </c>
      <c r="F853" s="150"/>
      <c r="G853" s="150"/>
      <c r="H853" s="150"/>
      <c r="I853" s="151">
        <f t="shared" si="66"/>
        <v>1</v>
      </c>
      <c r="J853" s="180"/>
    </row>
    <row r="854" spans="1:10" s="181" customFormat="1">
      <c r="A854" s="276"/>
      <c r="B854" s="155" t="s">
        <v>189</v>
      </c>
      <c r="C854" s="149"/>
      <c r="D854" s="149"/>
      <c r="E854" s="149"/>
      <c r="F854" s="150"/>
      <c r="G854" s="150"/>
      <c r="H854" s="150"/>
      <c r="I854" s="151">
        <f t="shared" si="66"/>
        <v>0</v>
      </c>
      <c r="J854" s="180"/>
    </row>
    <row r="855" spans="1:10" s="181" customFormat="1">
      <c r="A855" s="276"/>
      <c r="B855" s="148" t="s">
        <v>419</v>
      </c>
      <c r="C855" s="149">
        <v>1</v>
      </c>
      <c r="D855" s="149" t="s">
        <v>73</v>
      </c>
      <c r="E855" s="149">
        <v>2</v>
      </c>
      <c r="F855" s="150"/>
      <c r="G855" s="150"/>
      <c r="H855" s="150"/>
      <c r="I855" s="151">
        <f t="shared" si="66"/>
        <v>2</v>
      </c>
      <c r="J855" s="180"/>
    </row>
    <row r="856" spans="1:10" s="181" customFormat="1">
      <c r="A856" s="276"/>
      <c r="B856" s="148" t="s">
        <v>183</v>
      </c>
      <c r="C856" s="149">
        <v>1</v>
      </c>
      <c r="D856" s="149" t="s">
        <v>73</v>
      </c>
      <c r="E856" s="149">
        <v>1</v>
      </c>
      <c r="F856" s="150"/>
      <c r="G856" s="150"/>
      <c r="H856" s="150"/>
      <c r="I856" s="151">
        <f t="shared" si="66"/>
        <v>1</v>
      </c>
      <c r="J856" s="180"/>
    </row>
    <row r="857" spans="1:10" s="181" customFormat="1">
      <c r="A857" s="276"/>
      <c r="B857" s="148" t="s">
        <v>421</v>
      </c>
      <c r="C857" s="149">
        <v>1</v>
      </c>
      <c r="D857" s="149" t="s">
        <v>73</v>
      </c>
      <c r="E857" s="149">
        <v>3</v>
      </c>
      <c r="F857" s="150"/>
      <c r="G857" s="150"/>
      <c r="H857" s="150"/>
      <c r="I857" s="151">
        <f t="shared" si="66"/>
        <v>3</v>
      </c>
      <c r="J857" s="180"/>
    </row>
    <row r="858" spans="1:10" s="181" customFormat="1">
      <c r="A858" s="276"/>
      <c r="B858" s="148" t="s">
        <v>192</v>
      </c>
      <c r="C858" s="149">
        <v>1</v>
      </c>
      <c r="D858" s="149" t="s">
        <v>73</v>
      </c>
      <c r="E858" s="149">
        <v>1</v>
      </c>
      <c r="F858" s="150"/>
      <c r="G858" s="150"/>
      <c r="H858" s="150"/>
      <c r="I858" s="151">
        <f t="shared" si="66"/>
        <v>1</v>
      </c>
      <c r="J858" s="180"/>
    </row>
    <row r="859" spans="1:10" s="181" customFormat="1">
      <c r="A859" s="276"/>
      <c r="B859" s="148" t="s">
        <v>184</v>
      </c>
      <c r="C859" s="149">
        <v>1</v>
      </c>
      <c r="D859" s="149" t="s">
        <v>73</v>
      </c>
      <c r="E859" s="149">
        <v>1</v>
      </c>
      <c r="F859" s="150"/>
      <c r="G859" s="150"/>
      <c r="H859" s="150"/>
      <c r="I859" s="151">
        <f t="shared" si="66"/>
        <v>1</v>
      </c>
      <c r="J859" s="180"/>
    </row>
    <row r="860" spans="1:10" s="181" customFormat="1">
      <c r="A860" s="276"/>
      <c r="B860" s="148" t="s">
        <v>422</v>
      </c>
      <c r="C860" s="149">
        <v>1</v>
      </c>
      <c r="D860" s="149" t="s">
        <v>73</v>
      </c>
      <c r="E860" s="149">
        <v>2</v>
      </c>
      <c r="F860" s="150"/>
      <c r="G860" s="150"/>
      <c r="H860" s="150"/>
      <c r="I860" s="151">
        <f t="shared" si="66"/>
        <v>2</v>
      </c>
      <c r="J860" s="180"/>
    </row>
    <row r="861" spans="1:10" s="181" customFormat="1">
      <c r="A861" s="276"/>
      <c r="B861" s="148" t="s">
        <v>191</v>
      </c>
      <c r="C861" s="149">
        <v>1</v>
      </c>
      <c r="D861" s="149" t="s">
        <v>73</v>
      </c>
      <c r="E861" s="149">
        <v>1</v>
      </c>
      <c r="F861" s="150"/>
      <c r="G861" s="150"/>
      <c r="H861" s="150"/>
      <c r="I861" s="151">
        <f t="shared" si="66"/>
        <v>1</v>
      </c>
      <c r="J861" s="180"/>
    </row>
    <row r="862" spans="1:10" s="181" customFormat="1">
      <c r="A862" s="276"/>
      <c r="B862" s="148" t="s">
        <v>156</v>
      </c>
      <c r="C862" s="149">
        <v>1</v>
      </c>
      <c r="D862" s="149" t="s">
        <v>73</v>
      </c>
      <c r="E862" s="149">
        <v>4</v>
      </c>
      <c r="F862" s="150"/>
      <c r="G862" s="150"/>
      <c r="H862" s="150"/>
      <c r="I862" s="151">
        <f t="shared" si="66"/>
        <v>4</v>
      </c>
      <c r="J862" s="180"/>
    </row>
    <row r="863" spans="1:10" s="181" customFormat="1">
      <c r="A863" s="276"/>
      <c r="B863" s="155" t="s">
        <v>173</v>
      </c>
      <c r="C863" s="149"/>
      <c r="D863" s="149"/>
      <c r="E863" s="149"/>
      <c r="F863" s="150"/>
      <c r="G863" s="150"/>
      <c r="H863" s="150"/>
      <c r="I863" s="151">
        <f t="shared" si="66"/>
        <v>0</v>
      </c>
      <c r="J863" s="180"/>
    </row>
    <row r="864" spans="1:10" s="181" customFormat="1">
      <c r="A864" s="276"/>
      <c r="B864" s="148" t="s">
        <v>424</v>
      </c>
      <c r="C864" s="149">
        <v>2</v>
      </c>
      <c r="D864" s="149" t="s">
        <v>73</v>
      </c>
      <c r="E864" s="149">
        <v>2</v>
      </c>
      <c r="F864" s="150"/>
      <c r="G864" s="150"/>
      <c r="H864" s="150"/>
      <c r="I864" s="151">
        <f t="shared" si="66"/>
        <v>4</v>
      </c>
      <c r="J864" s="180"/>
    </row>
    <row r="865" spans="1:10" s="181" customFormat="1">
      <c r="A865" s="276"/>
      <c r="B865" s="157" t="s">
        <v>11</v>
      </c>
      <c r="C865" s="149"/>
      <c r="D865" s="149"/>
      <c r="E865" s="149"/>
      <c r="F865" s="150"/>
      <c r="G865" s="150"/>
      <c r="H865" s="150"/>
      <c r="I865" s="159">
        <f>SUM(I842:I864)</f>
        <v>37</v>
      </c>
      <c r="J865" s="213" t="s">
        <v>377</v>
      </c>
    </row>
    <row r="866" spans="1:10" s="181" customFormat="1">
      <c r="A866" s="276"/>
      <c r="B866" s="157"/>
      <c r="C866" s="149"/>
      <c r="D866" s="149"/>
      <c r="E866" s="149"/>
      <c r="F866" s="150"/>
      <c r="G866" s="150"/>
      <c r="H866" s="150"/>
      <c r="I866" s="160"/>
      <c r="J866" s="213"/>
    </row>
    <row r="867" spans="1:10" s="181" customFormat="1" ht="93.75">
      <c r="A867" s="179">
        <v>74</v>
      </c>
      <c r="B867" s="178" t="s">
        <v>425</v>
      </c>
      <c r="C867" s="149"/>
      <c r="D867" s="149"/>
      <c r="E867" s="149"/>
      <c r="F867" s="150"/>
      <c r="G867" s="150"/>
      <c r="H867" s="150"/>
      <c r="I867" s="151"/>
      <c r="J867" s="180"/>
    </row>
    <row r="868" spans="1:10" s="181" customFormat="1">
      <c r="A868" s="276"/>
      <c r="B868" s="155" t="s">
        <v>408</v>
      </c>
      <c r="C868" s="149"/>
      <c r="D868" s="149"/>
      <c r="E868" s="149"/>
      <c r="F868" s="150"/>
      <c r="G868" s="150"/>
      <c r="H868" s="150"/>
      <c r="I868" s="159"/>
      <c r="J868" s="180"/>
    </row>
    <row r="869" spans="1:10" s="181" customFormat="1">
      <c r="A869" s="276"/>
      <c r="B869" s="148" t="s">
        <v>418</v>
      </c>
      <c r="C869" s="149">
        <v>1</v>
      </c>
      <c r="D869" s="149" t="s">
        <v>73</v>
      </c>
      <c r="E869" s="149">
        <v>2</v>
      </c>
      <c r="F869" s="150"/>
      <c r="G869" s="150"/>
      <c r="H869" s="150"/>
      <c r="I869" s="151">
        <f t="shared" ref="I869:I888" si="67">ROUND(PRODUCT(C869:H869),2)</f>
        <v>2</v>
      </c>
      <c r="J869" s="180"/>
    </row>
    <row r="870" spans="1:10" s="181" customFormat="1">
      <c r="A870" s="276"/>
      <c r="B870" s="155" t="s">
        <v>190</v>
      </c>
      <c r="C870" s="149"/>
      <c r="D870" s="149"/>
      <c r="E870" s="149"/>
      <c r="F870" s="150"/>
      <c r="G870" s="150"/>
      <c r="H870" s="150"/>
      <c r="I870" s="151">
        <f t="shared" si="67"/>
        <v>0</v>
      </c>
      <c r="J870" s="180"/>
    </row>
    <row r="871" spans="1:10" s="181" customFormat="1">
      <c r="A871" s="276"/>
      <c r="B871" s="148" t="s">
        <v>419</v>
      </c>
      <c r="C871" s="149">
        <v>1</v>
      </c>
      <c r="D871" s="149" t="s">
        <v>73</v>
      </c>
      <c r="E871" s="149">
        <v>2</v>
      </c>
      <c r="F871" s="150"/>
      <c r="G871" s="150"/>
      <c r="H871" s="150"/>
      <c r="I871" s="151">
        <f t="shared" si="67"/>
        <v>2</v>
      </c>
      <c r="J871" s="180"/>
    </row>
    <row r="872" spans="1:10" s="181" customFormat="1">
      <c r="A872" s="276"/>
      <c r="B872" s="148" t="s">
        <v>420</v>
      </c>
      <c r="C872" s="149">
        <v>1</v>
      </c>
      <c r="D872" s="149" t="s">
        <v>73</v>
      </c>
      <c r="E872" s="149">
        <v>1</v>
      </c>
      <c r="F872" s="150"/>
      <c r="G872" s="150"/>
      <c r="H872" s="150"/>
      <c r="I872" s="151">
        <f t="shared" si="67"/>
        <v>1</v>
      </c>
      <c r="J872" s="180"/>
    </row>
    <row r="873" spans="1:10" s="181" customFormat="1">
      <c r="A873" s="276"/>
      <c r="B873" s="148" t="s">
        <v>421</v>
      </c>
      <c r="C873" s="149">
        <v>1</v>
      </c>
      <c r="D873" s="149" t="s">
        <v>73</v>
      </c>
      <c r="E873" s="149">
        <v>3</v>
      </c>
      <c r="F873" s="150"/>
      <c r="G873" s="150"/>
      <c r="H873" s="150"/>
      <c r="I873" s="151">
        <f t="shared" si="67"/>
        <v>3</v>
      </c>
      <c r="J873" s="221"/>
    </row>
    <row r="874" spans="1:10" s="181" customFormat="1" ht="17.25" customHeight="1">
      <c r="B874" s="148" t="s">
        <v>184</v>
      </c>
      <c r="C874" s="149">
        <v>1</v>
      </c>
      <c r="D874" s="149" t="s">
        <v>73</v>
      </c>
      <c r="E874" s="149">
        <v>1</v>
      </c>
      <c r="F874" s="150"/>
      <c r="G874" s="150"/>
      <c r="H874" s="150"/>
      <c r="I874" s="151">
        <f t="shared" si="67"/>
        <v>1</v>
      </c>
      <c r="J874" s="180"/>
    </row>
    <row r="875" spans="1:10" s="181" customFormat="1">
      <c r="A875" s="276"/>
      <c r="B875" s="148" t="s">
        <v>191</v>
      </c>
      <c r="C875" s="149">
        <v>1</v>
      </c>
      <c r="D875" s="149" t="s">
        <v>73</v>
      </c>
      <c r="E875" s="149">
        <v>1</v>
      </c>
      <c r="F875" s="150"/>
      <c r="G875" s="150"/>
      <c r="H875" s="150"/>
      <c r="I875" s="151">
        <f t="shared" si="67"/>
        <v>1</v>
      </c>
      <c r="J875" s="180"/>
    </row>
    <row r="876" spans="1:10" s="181" customFormat="1">
      <c r="A876" s="276"/>
      <c r="B876" s="148" t="s">
        <v>422</v>
      </c>
      <c r="C876" s="149">
        <v>1</v>
      </c>
      <c r="D876" s="149" t="s">
        <v>73</v>
      </c>
      <c r="E876" s="149">
        <v>2</v>
      </c>
      <c r="F876" s="150"/>
      <c r="G876" s="150"/>
      <c r="H876" s="150"/>
      <c r="I876" s="151">
        <f t="shared" si="67"/>
        <v>2</v>
      </c>
      <c r="J876" s="180"/>
    </row>
    <row r="877" spans="1:10" s="181" customFormat="1">
      <c r="A877" s="276"/>
      <c r="B877" s="148" t="s">
        <v>423</v>
      </c>
      <c r="C877" s="149">
        <v>1</v>
      </c>
      <c r="D877" s="149" t="s">
        <v>73</v>
      </c>
      <c r="E877" s="149">
        <v>1</v>
      </c>
      <c r="F877" s="150"/>
      <c r="G877" s="150"/>
      <c r="H877" s="150"/>
      <c r="I877" s="151">
        <f t="shared" si="67"/>
        <v>1</v>
      </c>
      <c r="J877" s="180"/>
    </row>
    <row r="878" spans="1:10" s="181" customFormat="1">
      <c r="A878" s="276"/>
      <c r="B878" s="148" t="s">
        <v>122</v>
      </c>
      <c r="C878" s="149">
        <v>1</v>
      </c>
      <c r="D878" s="149" t="s">
        <v>73</v>
      </c>
      <c r="E878" s="149">
        <v>1</v>
      </c>
      <c r="F878" s="150"/>
      <c r="G878" s="150"/>
      <c r="H878" s="150"/>
      <c r="I878" s="151">
        <f t="shared" si="67"/>
        <v>1</v>
      </c>
      <c r="J878" s="180"/>
    </row>
    <row r="879" spans="1:10" s="181" customFormat="1">
      <c r="A879" s="276"/>
      <c r="B879" s="155" t="s">
        <v>189</v>
      </c>
      <c r="C879" s="149"/>
      <c r="D879" s="149"/>
      <c r="E879" s="149"/>
      <c r="F879" s="150"/>
      <c r="G879" s="150"/>
      <c r="H879" s="150"/>
      <c r="I879" s="151">
        <f t="shared" si="67"/>
        <v>0</v>
      </c>
      <c r="J879" s="180"/>
    </row>
    <row r="880" spans="1:10" s="181" customFormat="1">
      <c r="A880" s="276"/>
      <c r="B880" s="148" t="s">
        <v>419</v>
      </c>
      <c r="C880" s="149">
        <v>1</v>
      </c>
      <c r="D880" s="149" t="s">
        <v>73</v>
      </c>
      <c r="E880" s="149">
        <v>2</v>
      </c>
      <c r="F880" s="150"/>
      <c r="G880" s="150"/>
      <c r="H880" s="150"/>
      <c r="I880" s="151">
        <f t="shared" si="67"/>
        <v>2</v>
      </c>
      <c r="J880" s="180"/>
    </row>
    <row r="881" spans="1:10" s="181" customFormat="1">
      <c r="A881" s="276"/>
      <c r="B881" s="148" t="s">
        <v>426</v>
      </c>
      <c r="C881" s="149">
        <v>1</v>
      </c>
      <c r="D881" s="149" t="s">
        <v>73</v>
      </c>
      <c r="E881" s="149">
        <v>1</v>
      </c>
      <c r="F881" s="150"/>
      <c r="G881" s="150"/>
      <c r="H881" s="150"/>
      <c r="I881" s="151">
        <f t="shared" si="67"/>
        <v>1</v>
      </c>
      <c r="J881" s="180"/>
    </row>
    <row r="882" spans="1:10" s="181" customFormat="1">
      <c r="A882" s="276"/>
      <c r="B882" s="148" t="s">
        <v>421</v>
      </c>
      <c r="C882" s="149">
        <v>1</v>
      </c>
      <c r="D882" s="149" t="s">
        <v>73</v>
      </c>
      <c r="E882" s="149">
        <v>3</v>
      </c>
      <c r="F882" s="150"/>
      <c r="G882" s="150"/>
      <c r="H882" s="150"/>
      <c r="I882" s="151">
        <f t="shared" si="67"/>
        <v>3</v>
      </c>
      <c r="J882" s="180"/>
    </row>
    <row r="883" spans="1:10" s="181" customFormat="1">
      <c r="A883" s="276"/>
      <c r="B883" s="148" t="s">
        <v>192</v>
      </c>
      <c r="C883" s="149">
        <v>1</v>
      </c>
      <c r="D883" s="149" t="s">
        <v>73</v>
      </c>
      <c r="E883" s="149">
        <v>1</v>
      </c>
      <c r="F883" s="150"/>
      <c r="G883" s="150"/>
      <c r="H883" s="150"/>
      <c r="I883" s="151">
        <f t="shared" si="67"/>
        <v>1</v>
      </c>
      <c r="J883" s="180"/>
    </row>
    <row r="884" spans="1:10" s="181" customFormat="1">
      <c r="A884" s="276"/>
      <c r="B884" s="148" t="s">
        <v>156</v>
      </c>
      <c r="C884" s="149">
        <v>1</v>
      </c>
      <c r="D884" s="149" t="s">
        <v>73</v>
      </c>
      <c r="E884" s="149">
        <v>3</v>
      </c>
      <c r="F884" s="150"/>
      <c r="G884" s="150"/>
      <c r="H884" s="150"/>
      <c r="I884" s="151">
        <f t="shared" si="67"/>
        <v>3</v>
      </c>
      <c r="J884" s="180"/>
    </row>
    <row r="885" spans="1:10" s="181" customFormat="1">
      <c r="A885" s="276"/>
      <c r="B885" s="148" t="s">
        <v>422</v>
      </c>
      <c r="C885" s="149">
        <v>1</v>
      </c>
      <c r="D885" s="149" t="s">
        <v>73</v>
      </c>
      <c r="E885" s="149">
        <v>1</v>
      </c>
      <c r="F885" s="150"/>
      <c r="G885" s="150"/>
      <c r="H885" s="150"/>
      <c r="I885" s="151">
        <f t="shared" si="67"/>
        <v>1</v>
      </c>
      <c r="J885" s="180"/>
    </row>
    <row r="886" spans="1:10" s="181" customFormat="1">
      <c r="A886" s="276"/>
      <c r="B886" s="148" t="s">
        <v>191</v>
      </c>
      <c r="C886" s="149">
        <v>1</v>
      </c>
      <c r="D886" s="149" t="s">
        <v>73</v>
      </c>
      <c r="E886" s="149">
        <v>1</v>
      </c>
      <c r="F886" s="150"/>
      <c r="G886" s="150"/>
      <c r="H886" s="150"/>
      <c r="I886" s="151">
        <f t="shared" si="67"/>
        <v>1</v>
      </c>
      <c r="J886" s="180"/>
    </row>
    <row r="887" spans="1:10" s="181" customFormat="1">
      <c r="A887" s="276"/>
      <c r="B887" s="155" t="s">
        <v>173</v>
      </c>
      <c r="C887" s="149"/>
      <c r="D887" s="149"/>
      <c r="E887" s="149"/>
      <c r="F887" s="150"/>
      <c r="G887" s="150"/>
      <c r="H887" s="150"/>
      <c r="I887" s="151">
        <f t="shared" si="67"/>
        <v>0</v>
      </c>
      <c r="J887" s="180"/>
    </row>
    <row r="888" spans="1:10" s="181" customFormat="1">
      <c r="A888" s="276"/>
      <c r="B888" s="148" t="s">
        <v>424</v>
      </c>
      <c r="C888" s="149">
        <v>1</v>
      </c>
      <c r="D888" s="149" t="s">
        <v>73</v>
      </c>
      <c r="E888" s="149">
        <v>4</v>
      </c>
      <c r="F888" s="150"/>
      <c r="G888" s="150"/>
      <c r="H888" s="150"/>
      <c r="I888" s="151">
        <f t="shared" si="67"/>
        <v>4</v>
      </c>
      <c r="J888" s="180"/>
    </row>
    <row r="889" spans="1:10" s="181" customFormat="1">
      <c r="A889" s="276"/>
      <c r="B889" s="157" t="s">
        <v>11</v>
      </c>
      <c r="C889" s="149"/>
      <c r="D889" s="149"/>
      <c r="E889" s="149"/>
      <c r="F889" s="150"/>
      <c r="G889" s="150"/>
      <c r="H889" s="150"/>
      <c r="I889" s="159">
        <f>SUM(I868:I888)</f>
        <v>30</v>
      </c>
      <c r="J889" s="180" t="s">
        <v>128</v>
      </c>
    </row>
    <row r="890" spans="1:10" s="181" customFormat="1">
      <c r="A890" s="276"/>
      <c r="B890" s="157"/>
      <c r="C890" s="149"/>
      <c r="D890" s="149"/>
      <c r="E890" s="149"/>
      <c r="F890" s="150"/>
      <c r="G890" s="150"/>
      <c r="H890" s="150"/>
      <c r="I890" s="160"/>
      <c r="J890" s="180"/>
    </row>
    <row r="891" spans="1:10" s="181" customFormat="1" ht="75">
      <c r="A891" s="276">
        <v>76</v>
      </c>
      <c r="B891" s="178" t="s">
        <v>427</v>
      </c>
      <c r="C891" s="149">
        <v>1</v>
      </c>
      <c r="D891" s="149" t="s">
        <v>73</v>
      </c>
      <c r="E891" s="149">
        <v>1</v>
      </c>
      <c r="F891" s="150">
        <v>30</v>
      </c>
      <c r="G891" s="150"/>
      <c r="H891" s="150"/>
      <c r="I891" s="159">
        <f>ROUND(PRODUCT(C891:H891),2)</f>
        <v>30</v>
      </c>
      <c r="J891" s="213" t="s">
        <v>76</v>
      </c>
    </row>
    <row r="892" spans="1:10" s="181" customFormat="1">
      <c r="A892" s="276"/>
      <c r="B892" s="178"/>
      <c r="C892" s="149"/>
      <c r="D892" s="149"/>
      <c r="E892" s="149"/>
      <c r="F892" s="150"/>
      <c r="G892" s="150"/>
      <c r="H892" s="150"/>
      <c r="I892" s="160"/>
      <c r="J892" s="180"/>
    </row>
    <row r="893" spans="1:10" s="181" customFormat="1" ht="93.75">
      <c r="A893" s="276">
        <v>77.3</v>
      </c>
      <c r="B893" s="178" t="s">
        <v>428</v>
      </c>
      <c r="C893" s="162"/>
      <c r="D893" s="148"/>
      <c r="E893" s="162"/>
      <c r="F893" s="150"/>
      <c r="G893" s="150"/>
      <c r="H893" s="150"/>
      <c r="I893" s="205"/>
      <c r="J893" s="180"/>
    </row>
    <row r="894" spans="1:10" s="181" customFormat="1">
      <c r="A894" s="276"/>
      <c r="B894" s="155" t="s">
        <v>190</v>
      </c>
      <c r="C894" s="162"/>
      <c r="D894" s="148"/>
      <c r="E894" s="162"/>
      <c r="F894" s="150"/>
      <c r="G894" s="150"/>
      <c r="H894" s="150"/>
      <c r="I894" s="205"/>
      <c r="J894" s="180"/>
    </row>
    <row r="895" spans="1:10" s="181" customFormat="1">
      <c r="A895" s="276"/>
      <c r="B895" s="148" t="s">
        <v>270</v>
      </c>
      <c r="C895" s="162">
        <v>1</v>
      </c>
      <c r="D895" s="148" t="s">
        <v>73</v>
      </c>
      <c r="E895" s="162">
        <v>2</v>
      </c>
      <c r="F895" s="150"/>
      <c r="G895" s="150"/>
      <c r="H895" s="150"/>
      <c r="I895" s="151">
        <f t="shared" ref="I895:I905" si="68">ROUND(PRODUCT(C895:H895),2)</f>
        <v>2</v>
      </c>
      <c r="J895" s="180"/>
    </row>
    <row r="896" spans="1:10" s="181" customFormat="1">
      <c r="A896" s="276"/>
      <c r="B896" s="148" t="s">
        <v>412</v>
      </c>
      <c r="C896" s="162">
        <v>1</v>
      </c>
      <c r="D896" s="148" t="s">
        <v>73</v>
      </c>
      <c r="E896" s="162">
        <v>1</v>
      </c>
      <c r="F896" s="150"/>
      <c r="G896" s="150"/>
      <c r="H896" s="150"/>
      <c r="I896" s="151">
        <f t="shared" si="68"/>
        <v>1</v>
      </c>
      <c r="J896" s="180"/>
    </row>
    <row r="897" spans="1:10" s="181" customFormat="1">
      <c r="A897" s="276"/>
      <c r="B897" s="148" t="s">
        <v>413</v>
      </c>
      <c r="C897" s="162">
        <v>1</v>
      </c>
      <c r="D897" s="148" t="s">
        <v>73</v>
      </c>
      <c r="E897" s="162">
        <v>1</v>
      </c>
      <c r="F897" s="150"/>
      <c r="G897" s="150"/>
      <c r="H897" s="150"/>
      <c r="I897" s="151">
        <f t="shared" si="68"/>
        <v>1</v>
      </c>
      <c r="J897" s="180"/>
    </row>
    <row r="898" spans="1:10" s="181" customFormat="1">
      <c r="A898" s="276"/>
      <c r="B898" s="148" t="s">
        <v>415</v>
      </c>
      <c r="C898" s="162">
        <v>1</v>
      </c>
      <c r="D898" s="148" t="s">
        <v>73</v>
      </c>
      <c r="E898" s="162">
        <v>1</v>
      </c>
      <c r="F898" s="150"/>
      <c r="G898" s="150"/>
      <c r="H898" s="150"/>
      <c r="I898" s="151">
        <f t="shared" si="68"/>
        <v>1</v>
      </c>
      <c r="J898" s="221"/>
    </row>
    <row r="899" spans="1:10" s="181" customFormat="1">
      <c r="A899" s="276"/>
      <c r="B899" s="148" t="s">
        <v>1553</v>
      </c>
      <c r="C899" s="162">
        <v>1</v>
      </c>
      <c r="D899" s="148" t="s">
        <v>73</v>
      </c>
      <c r="E899" s="162">
        <v>1</v>
      </c>
      <c r="F899" s="150"/>
      <c r="G899" s="150"/>
      <c r="H899" s="150"/>
      <c r="I899" s="151">
        <f t="shared" si="68"/>
        <v>1</v>
      </c>
      <c r="J899" s="180"/>
    </row>
    <row r="900" spans="1:10" s="181" customFormat="1" ht="15" customHeight="1">
      <c r="B900" s="155" t="s">
        <v>189</v>
      </c>
      <c r="C900" s="162"/>
      <c r="D900" s="148"/>
      <c r="E900" s="162"/>
      <c r="F900" s="150"/>
      <c r="G900" s="150"/>
      <c r="H900" s="150"/>
      <c r="I900" s="151">
        <f t="shared" si="68"/>
        <v>0</v>
      </c>
      <c r="J900" s="221"/>
    </row>
    <row r="901" spans="1:10" s="181" customFormat="1" ht="20.25" customHeight="1">
      <c r="B901" s="148" t="s">
        <v>270</v>
      </c>
      <c r="C901" s="162">
        <v>1</v>
      </c>
      <c r="D901" s="148" t="s">
        <v>73</v>
      </c>
      <c r="E901" s="162">
        <v>2</v>
      </c>
      <c r="F901" s="150"/>
      <c r="G901" s="150"/>
      <c r="H901" s="150"/>
      <c r="I901" s="151">
        <f t="shared" si="68"/>
        <v>2</v>
      </c>
      <c r="J901" s="180"/>
    </row>
    <row r="902" spans="1:10" s="181" customFormat="1">
      <c r="A902" s="276"/>
      <c r="B902" s="148" t="s">
        <v>412</v>
      </c>
      <c r="C902" s="162">
        <v>1</v>
      </c>
      <c r="D902" s="148" t="s">
        <v>73</v>
      </c>
      <c r="E902" s="162">
        <v>1</v>
      </c>
      <c r="F902" s="150"/>
      <c r="G902" s="150"/>
      <c r="H902" s="150"/>
      <c r="I902" s="151">
        <f t="shared" si="68"/>
        <v>1</v>
      </c>
      <c r="J902" s="180"/>
    </row>
    <row r="903" spans="1:10" s="181" customFormat="1">
      <c r="A903" s="276"/>
      <c r="B903" s="148" t="s">
        <v>413</v>
      </c>
      <c r="C903" s="162">
        <v>1</v>
      </c>
      <c r="D903" s="148" t="s">
        <v>73</v>
      </c>
      <c r="E903" s="162">
        <v>1</v>
      </c>
      <c r="F903" s="150"/>
      <c r="G903" s="150"/>
      <c r="H903" s="150"/>
      <c r="I903" s="151">
        <f t="shared" si="68"/>
        <v>1</v>
      </c>
      <c r="J903" s="180"/>
    </row>
    <row r="904" spans="1:10" s="181" customFormat="1">
      <c r="A904" s="276"/>
      <c r="B904" s="148" t="s">
        <v>1553</v>
      </c>
      <c r="C904" s="162">
        <v>1</v>
      </c>
      <c r="D904" s="148" t="s">
        <v>73</v>
      </c>
      <c r="E904" s="162">
        <v>1</v>
      </c>
      <c r="F904" s="150"/>
      <c r="G904" s="150"/>
      <c r="H904" s="150"/>
      <c r="I904" s="151">
        <f t="shared" si="68"/>
        <v>1</v>
      </c>
      <c r="J904" s="180"/>
    </row>
    <row r="905" spans="1:10" s="181" customFormat="1">
      <c r="A905" s="276"/>
      <c r="B905" s="148" t="s">
        <v>156</v>
      </c>
      <c r="C905" s="162">
        <v>1</v>
      </c>
      <c r="D905" s="148" t="s">
        <v>73</v>
      </c>
      <c r="E905" s="162">
        <v>1</v>
      </c>
      <c r="F905" s="150"/>
      <c r="G905" s="150"/>
      <c r="H905" s="150"/>
      <c r="I905" s="151">
        <f t="shared" si="68"/>
        <v>1</v>
      </c>
      <c r="J905" s="180"/>
    </row>
    <row r="906" spans="1:10" s="181" customFormat="1">
      <c r="A906" s="276"/>
      <c r="B906" s="148"/>
      <c r="C906" s="162"/>
      <c r="D906" s="148"/>
      <c r="E906" s="162"/>
      <c r="F906" s="150"/>
      <c r="G906" s="150"/>
      <c r="H906" s="150"/>
      <c r="I906" s="242">
        <f>SUM(I895:I905)</f>
        <v>12</v>
      </c>
      <c r="J906" s="180" t="s">
        <v>128</v>
      </c>
    </row>
    <row r="907" spans="1:10" s="181" customFormat="1">
      <c r="A907" s="276"/>
      <c r="B907" s="148"/>
      <c r="C907" s="162"/>
      <c r="D907" s="148"/>
      <c r="E907" s="162"/>
      <c r="F907" s="150"/>
      <c r="G907" s="150"/>
      <c r="H907" s="150"/>
      <c r="I907" s="214"/>
      <c r="J907" s="180"/>
    </row>
    <row r="908" spans="1:10" s="181" customFormat="1" ht="100.5" customHeight="1">
      <c r="A908" s="276">
        <v>77.400000000000006</v>
      </c>
      <c r="B908" s="178" t="s">
        <v>429</v>
      </c>
      <c r="C908" s="162"/>
      <c r="D908" s="148"/>
      <c r="E908" s="162"/>
      <c r="F908" s="150"/>
      <c r="G908" s="150"/>
      <c r="H908" s="150"/>
      <c r="I908" s="205"/>
      <c r="J908" s="180"/>
    </row>
    <row r="909" spans="1:10" s="181" customFormat="1">
      <c r="A909" s="276"/>
      <c r="B909" s="148" t="s">
        <v>430</v>
      </c>
      <c r="C909" s="162">
        <v>1</v>
      </c>
      <c r="D909" s="148" t="s">
        <v>73</v>
      </c>
      <c r="E909" s="162">
        <v>1</v>
      </c>
      <c r="F909" s="150">
        <v>20</v>
      </c>
      <c r="G909" s="150"/>
      <c r="H909" s="150"/>
      <c r="I909" s="151">
        <f>ROUND(PRODUCT(C909:H909),2)</f>
        <v>20</v>
      </c>
      <c r="J909" s="180"/>
    </row>
    <row r="910" spans="1:10" s="181" customFormat="1">
      <c r="A910" s="276"/>
      <c r="B910" s="148" t="s">
        <v>431</v>
      </c>
      <c r="C910" s="162">
        <v>1</v>
      </c>
      <c r="D910" s="148" t="s">
        <v>73</v>
      </c>
      <c r="E910" s="162">
        <v>1</v>
      </c>
      <c r="F910" s="150">
        <v>20</v>
      </c>
      <c r="G910" s="150"/>
      <c r="H910" s="150"/>
      <c r="I910" s="151">
        <f>ROUND(PRODUCT(C910:H910),2)</f>
        <v>20</v>
      </c>
      <c r="J910" s="180"/>
    </row>
    <row r="911" spans="1:10" s="181" customFormat="1">
      <c r="A911" s="276"/>
      <c r="B911" s="148" t="s">
        <v>432</v>
      </c>
      <c r="C911" s="162">
        <v>1</v>
      </c>
      <c r="D911" s="148" t="s">
        <v>73</v>
      </c>
      <c r="E911" s="162">
        <v>1</v>
      </c>
      <c r="F911" s="150">
        <v>20</v>
      </c>
      <c r="G911" s="150"/>
      <c r="H911" s="150"/>
      <c r="I911" s="151">
        <f>ROUND(PRODUCT(C911:H911),2)</f>
        <v>20</v>
      </c>
      <c r="J911" s="180"/>
    </row>
    <row r="912" spans="1:10" s="181" customFormat="1">
      <c r="A912" s="276"/>
      <c r="B912" s="148"/>
      <c r="C912" s="162"/>
      <c r="D912" s="148"/>
      <c r="E912" s="162"/>
      <c r="F912" s="150"/>
      <c r="G912" s="150"/>
      <c r="H912" s="150"/>
      <c r="I912" s="242">
        <f>SUM(I909:I911)</f>
        <v>60</v>
      </c>
      <c r="J912" s="213" t="s">
        <v>377</v>
      </c>
    </row>
    <row r="913" spans="1:10" s="181" customFormat="1">
      <c r="A913" s="276"/>
      <c r="B913" s="148"/>
      <c r="C913" s="162"/>
      <c r="D913" s="148"/>
      <c r="E913" s="162"/>
      <c r="F913" s="150"/>
      <c r="G913" s="150"/>
      <c r="H913" s="150"/>
      <c r="I913" s="214"/>
      <c r="J913" s="180"/>
    </row>
    <row r="914" spans="1:10" s="181" customFormat="1" ht="56.25">
      <c r="A914" s="276">
        <v>78</v>
      </c>
      <c r="B914" s="178" t="s">
        <v>433</v>
      </c>
      <c r="C914" s="149">
        <v>1</v>
      </c>
      <c r="D914" s="149" t="s">
        <v>73</v>
      </c>
      <c r="E914" s="149">
        <v>3</v>
      </c>
      <c r="F914" s="150"/>
      <c r="G914" s="150"/>
      <c r="H914" s="150"/>
      <c r="I914" s="159">
        <f>ROUND(PRODUCT(C914:H914),2)</f>
        <v>3</v>
      </c>
      <c r="J914" s="213" t="s">
        <v>377</v>
      </c>
    </row>
    <row r="915" spans="1:10" s="181" customFormat="1">
      <c r="A915" s="276"/>
      <c r="B915" s="178"/>
      <c r="C915" s="149"/>
      <c r="D915" s="149"/>
      <c r="E915" s="149"/>
      <c r="F915" s="150"/>
      <c r="G915" s="150"/>
      <c r="H915" s="150"/>
      <c r="I915" s="160"/>
      <c r="J915" s="352"/>
    </row>
    <row r="916" spans="1:10" s="181" customFormat="1">
      <c r="A916" s="276">
        <v>238</v>
      </c>
      <c r="B916" s="155" t="s">
        <v>434</v>
      </c>
      <c r="C916" s="149"/>
      <c r="D916" s="149"/>
      <c r="E916" s="149"/>
      <c r="F916" s="150"/>
      <c r="G916" s="150"/>
      <c r="H916" s="158"/>
      <c r="I916" s="160"/>
      <c r="J916" s="180"/>
    </row>
    <row r="917" spans="1:10" s="181" customFormat="1" ht="21.75" customHeight="1">
      <c r="A917" s="276"/>
      <c r="B917" s="148" t="s">
        <v>435</v>
      </c>
      <c r="C917" s="149"/>
      <c r="D917" s="149"/>
      <c r="E917" s="149"/>
      <c r="F917" s="150"/>
      <c r="G917" s="150"/>
      <c r="H917" s="158"/>
      <c r="I917" s="229">
        <f>'Main BBS -Revised ok'!X92</f>
        <v>6.2427130000000002</v>
      </c>
      <c r="J917" s="180" t="s">
        <v>78</v>
      </c>
    </row>
    <row r="918" spans="1:10" s="181" customFormat="1" ht="21.75" customHeight="1">
      <c r="A918" s="276"/>
      <c r="B918" s="148"/>
      <c r="C918" s="149"/>
      <c r="D918" s="149"/>
      <c r="E918" s="149"/>
      <c r="F918" s="150"/>
      <c r="G918" s="150"/>
      <c r="H918" s="158"/>
      <c r="I918" s="215"/>
      <c r="J918" s="180"/>
    </row>
    <row r="919" spans="1:10" s="154" customFormat="1" ht="37.5">
      <c r="A919" s="276">
        <v>2.15</v>
      </c>
      <c r="B919" s="155" t="s">
        <v>436</v>
      </c>
      <c r="C919" s="149"/>
      <c r="D919" s="149"/>
      <c r="E919" s="149"/>
      <c r="F919" s="150"/>
      <c r="G919" s="150"/>
      <c r="H919" s="150"/>
      <c r="I919" s="216"/>
      <c r="J919" s="213"/>
    </row>
    <row r="920" spans="1:10" s="136" customFormat="1" ht="18.75" customHeight="1">
      <c r="A920" s="343"/>
      <c r="B920" s="144" t="s">
        <v>1692</v>
      </c>
      <c r="C920" s="138">
        <v>1</v>
      </c>
      <c r="D920" s="143" t="s">
        <v>73</v>
      </c>
      <c r="E920" s="138">
        <v>23</v>
      </c>
      <c r="F920" s="139">
        <v>1.1000000000000001</v>
      </c>
      <c r="G920" s="139">
        <v>1.1000000000000001</v>
      </c>
      <c r="H920" s="139">
        <v>0.15</v>
      </c>
      <c r="I920" s="140">
        <f t="shared" ref="I920:I924" si="69">ROUND(PRODUCT(C920:H920),2)</f>
        <v>4.17</v>
      </c>
      <c r="J920" s="433"/>
    </row>
    <row r="921" spans="1:10" s="136" customFormat="1" ht="18.75" customHeight="1">
      <c r="A921" s="343"/>
      <c r="B921" s="144" t="s">
        <v>1710</v>
      </c>
      <c r="C921" s="138">
        <v>1</v>
      </c>
      <c r="D921" s="143" t="s">
        <v>73</v>
      </c>
      <c r="E921" s="138">
        <v>14</v>
      </c>
      <c r="F921" s="139">
        <v>1.1000000000000001</v>
      </c>
      <c r="G921" s="139">
        <v>1.1000000000000001</v>
      </c>
      <c r="H921" s="139">
        <v>0.15</v>
      </c>
      <c r="I921" s="140">
        <f t="shared" si="69"/>
        <v>2.54</v>
      </c>
      <c r="J921" s="433"/>
    </row>
    <row r="922" spans="1:10" s="136" customFormat="1" ht="18.75" customHeight="1">
      <c r="A922" s="343"/>
      <c r="B922" s="144" t="s">
        <v>1711</v>
      </c>
      <c r="C922" s="138">
        <v>1</v>
      </c>
      <c r="D922" s="143" t="s">
        <v>73</v>
      </c>
      <c r="E922" s="138">
        <v>21</v>
      </c>
      <c r="F922" s="139">
        <v>1.1000000000000001</v>
      </c>
      <c r="G922" s="139">
        <v>1.1000000000000001</v>
      </c>
      <c r="H922" s="139">
        <v>0.15</v>
      </c>
      <c r="I922" s="140">
        <f t="shared" si="69"/>
        <v>3.81</v>
      </c>
      <c r="J922" s="433"/>
    </row>
    <row r="923" spans="1:10" s="136" customFormat="1" ht="18.75" customHeight="1">
      <c r="A923" s="343"/>
      <c r="B923" s="144" t="s">
        <v>1687</v>
      </c>
      <c r="C923" s="138">
        <v>2</v>
      </c>
      <c r="D923" s="143" t="s">
        <v>73</v>
      </c>
      <c r="E923" s="138">
        <v>2</v>
      </c>
      <c r="F923" s="139">
        <v>1.1000000000000001</v>
      </c>
      <c r="G923" s="139">
        <v>1.1000000000000001</v>
      </c>
      <c r="H923" s="139">
        <v>0.15</v>
      </c>
      <c r="I923" s="140">
        <f t="shared" si="69"/>
        <v>0.73</v>
      </c>
      <c r="J923" s="433"/>
    </row>
    <row r="924" spans="1:10" s="136" customFormat="1" ht="18.75" customHeight="1">
      <c r="A924" s="343"/>
      <c r="B924" s="439" t="s">
        <v>1688</v>
      </c>
      <c r="C924" s="440">
        <v>2</v>
      </c>
      <c r="D924" s="143" t="s">
        <v>73</v>
      </c>
      <c r="E924" s="138">
        <v>2</v>
      </c>
      <c r="F924" s="139">
        <v>1.4</v>
      </c>
      <c r="G924" s="139">
        <v>1.4</v>
      </c>
      <c r="H924" s="139">
        <v>0.15</v>
      </c>
      <c r="I924" s="140">
        <f t="shared" si="69"/>
        <v>1.18</v>
      </c>
      <c r="J924" s="433"/>
    </row>
    <row r="925" spans="1:10" s="136" customFormat="1" ht="18.75" customHeight="1">
      <c r="A925" s="345"/>
      <c r="B925" s="441" t="s">
        <v>1699</v>
      </c>
      <c r="C925" s="440">
        <v>1</v>
      </c>
      <c r="D925" s="143" t="s">
        <v>73</v>
      </c>
      <c r="E925" s="138">
        <v>10</v>
      </c>
      <c r="F925" s="139">
        <v>1.21</v>
      </c>
      <c r="G925" s="139">
        <v>1.21</v>
      </c>
      <c r="H925" s="139">
        <v>0.1</v>
      </c>
      <c r="I925" s="140">
        <f t="shared" ref="I925:I934" si="70">ROUND(PRODUCT(C925:H925),2)</f>
        <v>1.46</v>
      </c>
      <c r="J925" s="433"/>
    </row>
    <row r="926" spans="1:10" s="136" customFormat="1" ht="18.75" customHeight="1">
      <c r="A926" s="345"/>
      <c r="B926" s="441" t="s">
        <v>1693</v>
      </c>
      <c r="C926" s="440">
        <v>1</v>
      </c>
      <c r="D926" s="143" t="s">
        <v>73</v>
      </c>
      <c r="E926" s="138">
        <v>1</v>
      </c>
      <c r="F926" s="139">
        <v>1.21</v>
      </c>
      <c r="G926" s="139">
        <v>1.21</v>
      </c>
      <c r="H926" s="139">
        <v>0.1</v>
      </c>
      <c r="I926" s="140">
        <f t="shared" si="70"/>
        <v>0.15</v>
      </c>
      <c r="J926" s="433"/>
    </row>
    <row r="927" spans="1:10" s="136" customFormat="1" ht="18.75" customHeight="1">
      <c r="A927" s="345"/>
      <c r="B927" s="441" t="s">
        <v>1694</v>
      </c>
      <c r="C927" s="440">
        <v>1</v>
      </c>
      <c r="D927" s="143" t="s">
        <v>73</v>
      </c>
      <c r="E927" s="138">
        <v>2</v>
      </c>
      <c r="F927" s="139">
        <v>1.21</v>
      </c>
      <c r="G927" s="139">
        <v>1.21</v>
      </c>
      <c r="H927" s="139">
        <v>0.1</v>
      </c>
      <c r="I927" s="140">
        <f t="shared" si="70"/>
        <v>0.28999999999999998</v>
      </c>
      <c r="J927" s="433"/>
    </row>
    <row r="928" spans="1:10" s="136" customFormat="1" ht="18.75" customHeight="1">
      <c r="A928" s="345"/>
      <c r="B928" s="441" t="s">
        <v>1700</v>
      </c>
      <c r="C928" s="440">
        <v>1</v>
      </c>
      <c r="D928" s="143" t="s">
        <v>73</v>
      </c>
      <c r="E928" s="138">
        <v>1</v>
      </c>
      <c r="F928" s="139">
        <v>14.7</v>
      </c>
      <c r="G928" s="139">
        <v>0.95</v>
      </c>
      <c r="H928" s="369">
        <v>0.45</v>
      </c>
      <c r="I928" s="140">
        <f t="shared" si="70"/>
        <v>6.28</v>
      </c>
      <c r="J928" s="433"/>
    </row>
    <row r="929" spans="1:10" s="136" customFormat="1" ht="18.75" customHeight="1">
      <c r="A929" s="345"/>
      <c r="B929" s="441" t="s">
        <v>1701</v>
      </c>
      <c r="C929" s="440">
        <v>1</v>
      </c>
      <c r="D929" s="143" t="s">
        <v>73</v>
      </c>
      <c r="E929" s="138">
        <v>2</v>
      </c>
      <c r="F929" s="139">
        <v>11.5</v>
      </c>
      <c r="G929" s="378">
        <v>3.5</v>
      </c>
      <c r="H929" s="369">
        <v>0.15</v>
      </c>
      <c r="I929" s="140">
        <f t="shared" si="70"/>
        <v>12.08</v>
      </c>
      <c r="J929" s="433"/>
    </row>
    <row r="930" spans="1:10" s="136" customFormat="1" ht="18.75" customHeight="1">
      <c r="A930" s="345"/>
      <c r="B930" s="441" t="s">
        <v>1697</v>
      </c>
      <c r="C930" s="440">
        <v>1</v>
      </c>
      <c r="D930" s="143" t="s">
        <v>73</v>
      </c>
      <c r="E930" s="138">
        <v>1</v>
      </c>
      <c r="F930" s="139">
        <v>41.7</v>
      </c>
      <c r="G930" s="139">
        <v>4.5</v>
      </c>
      <c r="H930" s="369">
        <v>0.15</v>
      </c>
      <c r="I930" s="140">
        <f t="shared" si="70"/>
        <v>28.15</v>
      </c>
      <c r="J930" s="433"/>
    </row>
    <row r="931" spans="1:10" s="136" customFormat="1" ht="18.75" customHeight="1">
      <c r="A931" s="345"/>
      <c r="B931" s="441" t="s">
        <v>1706</v>
      </c>
      <c r="C931" s="440">
        <v>1</v>
      </c>
      <c r="D931" s="143" t="s">
        <v>73</v>
      </c>
      <c r="E931" s="138">
        <v>2</v>
      </c>
      <c r="F931" s="139">
        <v>4.5</v>
      </c>
      <c r="G931" s="139">
        <v>3.5</v>
      </c>
      <c r="H931" s="369">
        <v>0.15</v>
      </c>
      <c r="I931" s="140">
        <f t="shared" si="70"/>
        <v>4.7300000000000004</v>
      </c>
      <c r="J931" s="433"/>
    </row>
    <row r="932" spans="1:10" s="136" customFormat="1" ht="18.75" customHeight="1">
      <c r="A932" s="345"/>
      <c r="B932" s="441" t="s">
        <v>1706</v>
      </c>
      <c r="C932" s="440">
        <v>1</v>
      </c>
      <c r="D932" s="143" t="s">
        <v>73</v>
      </c>
      <c r="E932" s="138">
        <v>1</v>
      </c>
      <c r="F932" s="139">
        <v>1.5</v>
      </c>
      <c r="G932" s="139">
        <v>3.5</v>
      </c>
      <c r="H932" s="369">
        <v>0.15</v>
      </c>
      <c r="I932" s="140">
        <f t="shared" si="70"/>
        <v>0.79</v>
      </c>
      <c r="J932" s="433"/>
    </row>
    <row r="933" spans="1:10" s="136" customFormat="1" ht="18.75" customHeight="1">
      <c r="A933" s="345"/>
      <c r="B933" s="441" t="s">
        <v>1602</v>
      </c>
      <c r="C933" s="444">
        <v>0.5</v>
      </c>
      <c r="D933" s="143" t="s">
        <v>73</v>
      </c>
      <c r="E933" s="138">
        <v>4</v>
      </c>
      <c r="F933" s="139">
        <v>1.5</v>
      </c>
      <c r="G933" s="139">
        <v>3.5</v>
      </c>
      <c r="H933" s="369">
        <v>0.15</v>
      </c>
      <c r="I933" s="140">
        <f t="shared" si="70"/>
        <v>1.58</v>
      </c>
      <c r="J933" s="433"/>
    </row>
    <row r="934" spans="1:10" s="136" customFormat="1" ht="18.75" customHeight="1">
      <c r="A934" s="345"/>
      <c r="B934" s="441" t="s">
        <v>1602</v>
      </c>
      <c r="C934" s="444">
        <v>0.5</v>
      </c>
      <c r="D934" s="143" t="s">
        <v>73</v>
      </c>
      <c r="E934" s="138">
        <v>2</v>
      </c>
      <c r="F934" s="139">
        <v>1.5</v>
      </c>
      <c r="G934" s="139">
        <v>3.5</v>
      </c>
      <c r="H934" s="369">
        <v>0.15</v>
      </c>
      <c r="I934" s="140">
        <f t="shared" si="70"/>
        <v>0.79</v>
      </c>
      <c r="J934" s="433"/>
    </row>
    <row r="935" spans="1:10" s="154" customFormat="1">
      <c r="A935" s="360"/>
      <c r="B935" s="221"/>
      <c r="C935" s="149"/>
      <c r="D935" s="149"/>
      <c r="E935" s="149"/>
      <c r="F935" s="150"/>
      <c r="G935" s="150"/>
      <c r="H935" s="150"/>
      <c r="I935" s="475">
        <f>SUM(I920:I934)</f>
        <v>68.73</v>
      </c>
      <c r="J935" s="180" t="s">
        <v>12</v>
      </c>
    </row>
    <row r="936" spans="1:10" s="154" customFormat="1">
      <c r="A936" s="276"/>
      <c r="B936" s="148"/>
      <c r="C936" s="149"/>
      <c r="D936" s="149"/>
      <c r="E936" s="149"/>
      <c r="F936" s="150"/>
      <c r="G936" s="150"/>
      <c r="H936" s="158"/>
      <c r="I936" s="160"/>
      <c r="J936" s="180"/>
    </row>
    <row r="937" spans="1:10" s="154" customFormat="1" ht="56.25">
      <c r="A937" s="395" t="s">
        <v>437</v>
      </c>
      <c r="B937" s="141" t="s">
        <v>438</v>
      </c>
      <c r="C937" s="138"/>
      <c r="D937" s="138"/>
      <c r="E937" s="138"/>
      <c r="F937" s="139"/>
      <c r="G937" s="139"/>
      <c r="H937" s="139"/>
      <c r="I937" s="140"/>
      <c r="J937" s="180"/>
    </row>
    <row r="938" spans="1:10" s="154" customFormat="1">
      <c r="A938" s="395"/>
      <c r="B938" s="155" t="s">
        <v>1598</v>
      </c>
      <c r="C938" s="138"/>
      <c r="D938" s="138"/>
      <c r="E938" s="138"/>
      <c r="F938" s="139"/>
      <c r="G938" s="139"/>
      <c r="H938" s="139"/>
      <c r="I938" s="140"/>
      <c r="J938" s="180"/>
    </row>
    <row r="939" spans="1:10" s="136" customFormat="1" ht="18.75" customHeight="1">
      <c r="A939" s="343"/>
      <c r="B939" s="144" t="s">
        <v>1692</v>
      </c>
      <c r="C939" s="138">
        <v>1</v>
      </c>
      <c r="D939" s="143" t="s">
        <v>73</v>
      </c>
      <c r="E939" s="138">
        <v>23</v>
      </c>
      <c r="F939" s="139">
        <v>0.9</v>
      </c>
      <c r="G939" s="139">
        <v>0.9</v>
      </c>
      <c r="H939" s="139">
        <v>0.2</v>
      </c>
      <c r="I939" s="140">
        <f t="shared" ref="I939:I946" si="71">ROUND(PRODUCT(C939:H939),2)</f>
        <v>3.73</v>
      </c>
      <c r="J939" s="433"/>
    </row>
    <row r="940" spans="1:10" s="136" customFormat="1" ht="18.75" customHeight="1">
      <c r="A940" s="343"/>
      <c r="B940" s="144" t="s">
        <v>1710</v>
      </c>
      <c r="C940" s="138">
        <v>1</v>
      </c>
      <c r="D940" s="143" t="s">
        <v>73</v>
      </c>
      <c r="E940" s="138">
        <v>14</v>
      </c>
      <c r="F940" s="139">
        <v>0.9</v>
      </c>
      <c r="G940" s="139">
        <v>0.9</v>
      </c>
      <c r="H940" s="139">
        <v>0.2</v>
      </c>
      <c r="I940" s="140">
        <f t="shared" si="71"/>
        <v>2.27</v>
      </c>
      <c r="J940" s="433"/>
    </row>
    <row r="941" spans="1:10" s="136" customFormat="1" ht="18.75" customHeight="1">
      <c r="A941" s="343"/>
      <c r="B941" s="144" t="s">
        <v>1711</v>
      </c>
      <c r="C941" s="138">
        <v>1</v>
      </c>
      <c r="D941" s="143" t="s">
        <v>73</v>
      </c>
      <c r="E941" s="138">
        <v>21</v>
      </c>
      <c r="F941" s="139">
        <v>0.9</v>
      </c>
      <c r="G941" s="139">
        <v>0.9</v>
      </c>
      <c r="H941" s="139">
        <v>0.2</v>
      </c>
      <c r="I941" s="140">
        <f t="shared" si="71"/>
        <v>3.4</v>
      </c>
      <c r="J941" s="433"/>
    </row>
    <row r="942" spans="1:10" s="136" customFormat="1" ht="18.75" customHeight="1">
      <c r="A942" s="343"/>
      <c r="B942" s="144" t="s">
        <v>1687</v>
      </c>
      <c r="C942" s="138">
        <v>2</v>
      </c>
      <c r="D942" s="143" t="s">
        <v>73</v>
      </c>
      <c r="E942" s="138">
        <v>2</v>
      </c>
      <c r="F942" s="139">
        <v>0.9</v>
      </c>
      <c r="G942" s="139">
        <v>0.9</v>
      </c>
      <c r="H942" s="139">
        <v>0.2</v>
      </c>
      <c r="I942" s="140">
        <f t="shared" si="71"/>
        <v>0.65</v>
      </c>
      <c r="J942" s="433"/>
    </row>
    <row r="943" spans="1:10" s="136" customFormat="1" ht="18.75" customHeight="1">
      <c r="A943" s="343"/>
      <c r="B943" s="439" t="s">
        <v>1688</v>
      </c>
      <c r="C943" s="440">
        <v>2</v>
      </c>
      <c r="D943" s="143" t="s">
        <v>73</v>
      </c>
      <c r="E943" s="138">
        <v>2</v>
      </c>
      <c r="F943" s="139">
        <v>1.2</v>
      </c>
      <c r="G943" s="139">
        <v>1.2</v>
      </c>
      <c r="H943" s="139">
        <v>0.3</v>
      </c>
      <c r="I943" s="140">
        <f t="shared" si="71"/>
        <v>1.73</v>
      </c>
      <c r="J943" s="433"/>
    </row>
    <row r="944" spans="1:10" s="136" customFormat="1" ht="18.75" customHeight="1">
      <c r="A944" s="343"/>
      <c r="B944" s="439" t="s">
        <v>1718</v>
      </c>
      <c r="C944" s="440">
        <v>1</v>
      </c>
      <c r="D944" s="143" t="s">
        <v>73</v>
      </c>
      <c r="E944" s="138">
        <v>66</v>
      </c>
      <c r="F944" s="139">
        <v>0.23</v>
      </c>
      <c r="G944" s="139">
        <v>0.23</v>
      </c>
      <c r="H944" s="139">
        <v>0.6</v>
      </c>
      <c r="I944" s="140">
        <f t="shared" ref="I944" si="72">ROUND(PRODUCT(C944:H944),2)</f>
        <v>2.09</v>
      </c>
      <c r="J944" s="433"/>
    </row>
    <row r="945" spans="1:10" s="136" customFormat="1" ht="18.75" customHeight="1">
      <c r="A945" s="343"/>
      <c r="B945" s="439" t="s">
        <v>1698</v>
      </c>
      <c r="C945" s="440">
        <v>1</v>
      </c>
      <c r="D945" s="143" t="s">
        <v>73</v>
      </c>
      <c r="E945" s="138">
        <v>1</v>
      </c>
      <c r="F945" s="139">
        <v>66</v>
      </c>
      <c r="G945" s="139">
        <v>0.23</v>
      </c>
      <c r="H945" s="369">
        <v>0.3</v>
      </c>
      <c r="I945" s="140">
        <f t="shared" si="71"/>
        <v>4.55</v>
      </c>
      <c r="J945" s="433"/>
    </row>
    <row r="946" spans="1:10" s="136" customFormat="1" ht="18.75" customHeight="1">
      <c r="A946" s="343"/>
      <c r="B946" s="439" t="s">
        <v>1690</v>
      </c>
      <c r="C946" s="440">
        <v>1</v>
      </c>
      <c r="D946" s="143" t="s">
        <v>73</v>
      </c>
      <c r="E946" s="138">
        <v>1</v>
      </c>
      <c r="F946" s="139">
        <v>53</v>
      </c>
      <c r="G946" s="139">
        <v>0.23</v>
      </c>
      <c r="H946" s="369">
        <v>0.3</v>
      </c>
      <c r="I946" s="140">
        <f t="shared" si="71"/>
        <v>3.66</v>
      </c>
      <c r="J946" s="433"/>
    </row>
    <row r="947" spans="1:10" s="136" customFormat="1" ht="18.75" customHeight="1">
      <c r="A947" s="343"/>
      <c r="B947" s="439" t="s">
        <v>1691</v>
      </c>
      <c r="C947" s="440">
        <v>1</v>
      </c>
      <c r="D947" s="143" t="s">
        <v>73</v>
      </c>
      <c r="E947" s="138">
        <v>1</v>
      </c>
      <c r="F947" s="139">
        <v>38.4</v>
      </c>
      <c r="G947" s="139">
        <v>0.23</v>
      </c>
      <c r="H947" s="369">
        <v>0.3</v>
      </c>
      <c r="I947" s="140">
        <f t="shared" ref="I947:I949" si="73">ROUND(PRODUCT(C947:H947),2)</f>
        <v>2.65</v>
      </c>
      <c r="J947" s="433"/>
    </row>
    <row r="948" spans="1:10" s="136" customFormat="1" ht="18.75" customHeight="1">
      <c r="A948" s="345"/>
      <c r="B948" s="446" t="s">
        <v>1719</v>
      </c>
      <c r="C948" s="440">
        <v>1</v>
      </c>
      <c r="D948" s="143" t="s">
        <v>73</v>
      </c>
      <c r="E948" s="138">
        <v>1</v>
      </c>
      <c r="F948" s="139">
        <v>38.4</v>
      </c>
      <c r="G948" s="139">
        <v>0.23</v>
      </c>
      <c r="H948" s="139">
        <v>1.2</v>
      </c>
      <c r="I948" s="140">
        <f t="shared" ref="I948" si="74">ROUND(PRODUCT(C948:H948),2)</f>
        <v>10.6</v>
      </c>
      <c r="J948" s="450"/>
    </row>
    <row r="949" spans="1:10" s="136" customFormat="1" ht="18.75" customHeight="1">
      <c r="A949" s="345"/>
      <c r="B949" s="446" t="s">
        <v>1749</v>
      </c>
      <c r="C949" s="440">
        <v>1</v>
      </c>
      <c r="D949" s="143" t="s">
        <v>73</v>
      </c>
      <c r="E949" s="138">
        <v>1</v>
      </c>
      <c r="F949" s="139">
        <v>53</v>
      </c>
      <c r="G949" s="139">
        <v>0.23</v>
      </c>
      <c r="H949" s="139">
        <v>1.2</v>
      </c>
      <c r="I949" s="140">
        <f t="shared" si="73"/>
        <v>14.63</v>
      </c>
      <c r="J949" s="433"/>
    </row>
    <row r="950" spans="1:10" s="136" customFormat="1" ht="18.75" customHeight="1">
      <c r="A950" s="345"/>
      <c r="B950" s="441"/>
      <c r="C950" s="442"/>
      <c r="D950" s="438"/>
      <c r="E950" s="138"/>
      <c r="F950" s="139"/>
      <c r="G950" s="139"/>
      <c r="H950" s="139"/>
      <c r="I950" s="443">
        <f>SUM(I939:I949)</f>
        <v>49.96</v>
      </c>
      <c r="J950" s="433" t="str">
        <f>'[1]Excess details F &amp; B'!$I$14</f>
        <v>Cum</v>
      </c>
    </row>
    <row r="951" spans="1:10" s="154" customFormat="1">
      <c r="A951" s="434"/>
      <c r="B951" s="221"/>
      <c r="C951" s="138"/>
      <c r="D951" s="138"/>
      <c r="E951" s="138"/>
      <c r="F951" s="139"/>
      <c r="G951" s="139"/>
      <c r="H951" s="139"/>
      <c r="I951" s="140"/>
      <c r="J951" s="180"/>
    </row>
    <row r="952" spans="1:10" s="181" customFormat="1">
      <c r="A952" s="276"/>
      <c r="B952" s="155" t="s">
        <v>439</v>
      </c>
      <c r="C952" s="149"/>
      <c r="D952" s="149"/>
      <c r="E952" s="149"/>
      <c r="F952" s="150"/>
      <c r="G952" s="150"/>
      <c r="H952" s="150"/>
      <c r="I952" s="151"/>
      <c r="J952" s="161"/>
    </row>
    <row r="953" spans="1:10" s="181" customFormat="1">
      <c r="A953" s="276"/>
      <c r="B953" s="170" t="s">
        <v>1338</v>
      </c>
      <c r="C953" s="149">
        <v>1</v>
      </c>
      <c r="D953" s="156" t="s">
        <v>73</v>
      </c>
      <c r="E953" s="217">
        <v>1</v>
      </c>
      <c r="F953" s="168">
        <v>2.2200000000000002</v>
      </c>
      <c r="G953" s="168">
        <v>0.23</v>
      </c>
      <c r="H953" s="168">
        <v>0.05</v>
      </c>
      <c r="I953" s="151">
        <f t="shared" ref="I953:I961" si="75">ROUND(PRODUCT(C953:H953),2)</f>
        <v>0.03</v>
      </c>
      <c r="J953" s="161"/>
    </row>
    <row r="954" spans="1:10" s="181" customFormat="1">
      <c r="A954" s="276"/>
      <c r="B954" s="170" t="s">
        <v>1338</v>
      </c>
      <c r="C954" s="149">
        <v>1</v>
      </c>
      <c r="D954" s="156" t="s">
        <v>73</v>
      </c>
      <c r="E954" s="217">
        <v>1</v>
      </c>
      <c r="F954" s="150">
        <v>2.0750000000000002</v>
      </c>
      <c r="G954" s="150">
        <v>0.23</v>
      </c>
      <c r="H954" s="150">
        <v>0.05</v>
      </c>
      <c r="I954" s="151">
        <f t="shared" si="75"/>
        <v>0.02</v>
      </c>
      <c r="J954" s="180"/>
    </row>
    <row r="955" spans="1:10" s="181" customFormat="1">
      <c r="A955" s="276"/>
      <c r="B955" s="170" t="s">
        <v>1338</v>
      </c>
      <c r="C955" s="149">
        <v>1</v>
      </c>
      <c r="D955" s="156" t="s">
        <v>73</v>
      </c>
      <c r="E955" s="217">
        <v>1</v>
      </c>
      <c r="F955" s="150">
        <v>4.12</v>
      </c>
      <c r="G955" s="150">
        <v>0.23</v>
      </c>
      <c r="H955" s="150">
        <v>0.05</v>
      </c>
      <c r="I955" s="151">
        <f t="shared" si="75"/>
        <v>0.05</v>
      </c>
      <c r="J955" s="221"/>
    </row>
    <row r="956" spans="1:10" s="154" customFormat="1" ht="20.25" customHeight="1">
      <c r="A956" s="276"/>
      <c r="B956" s="170" t="s">
        <v>1339</v>
      </c>
      <c r="C956" s="149">
        <v>1</v>
      </c>
      <c r="D956" s="156" t="s">
        <v>73</v>
      </c>
      <c r="E956" s="217">
        <v>1</v>
      </c>
      <c r="F956" s="150">
        <v>3.45</v>
      </c>
      <c r="G956" s="150">
        <v>0.23</v>
      </c>
      <c r="H956" s="150">
        <v>0.15</v>
      </c>
      <c r="I956" s="151">
        <f t="shared" si="75"/>
        <v>0.12</v>
      </c>
      <c r="J956" s="161"/>
    </row>
    <row r="957" spans="1:10" s="154" customFormat="1">
      <c r="A957" s="276"/>
      <c r="B957" s="170" t="s">
        <v>1340</v>
      </c>
      <c r="C957" s="149">
        <v>1</v>
      </c>
      <c r="D957" s="156" t="s">
        <v>73</v>
      </c>
      <c r="E957" s="217">
        <v>1</v>
      </c>
      <c r="F957" s="150">
        <v>2.0750000000000002</v>
      </c>
      <c r="G957" s="150">
        <v>0.23</v>
      </c>
      <c r="H957" s="150">
        <v>0.15</v>
      </c>
      <c r="I957" s="151">
        <f t="shared" si="75"/>
        <v>7.0000000000000007E-2</v>
      </c>
      <c r="J957" s="180"/>
    </row>
    <row r="958" spans="1:10" s="136" customFormat="1" ht="22.5" customHeight="1">
      <c r="B958" s="170" t="s">
        <v>1340</v>
      </c>
      <c r="C958" s="149">
        <v>1</v>
      </c>
      <c r="D958" s="156" t="s">
        <v>73</v>
      </c>
      <c r="E958" s="217">
        <v>1</v>
      </c>
      <c r="F958" s="150">
        <v>4.12</v>
      </c>
      <c r="G958" s="150">
        <v>0.23</v>
      </c>
      <c r="H958" s="150">
        <v>0.15</v>
      </c>
      <c r="I958" s="151">
        <f t="shared" si="75"/>
        <v>0.14000000000000001</v>
      </c>
      <c r="J958" s="147"/>
    </row>
    <row r="959" spans="1:10" s="154" customFormat="1">
      <c r="A959" s="276"/>
      <c r="B959" s="170" t="s">
        <v>1341</v>
      </c>
      <c r="C959" s="149">
        <v>1</v>
      </c>
      <c r="D959" s="156" t="s">
        <v>73</v>
      </c>
      <c r="E959" s="217">
        <v>1</v>
      </c>
      <c r="F959" s="150">
        <v>2.0750000000000002</v>
      </c>
      <c r="G959" s="150">
        <v>0.6</v>
      </c>
      <c r="H959" s="218">
        <v>6.25E-2</v>
      </c>
      <c r="I959" s="151">
        <f t="shared" si="75"/>
        <v>0.08</v>
      </c>
      <c r="J959" s="161"/>
    </row>
    <row r="960" spans="1:10" s="154" customFormat="1" ht="19.5" customHeight="1">
      <c r="A960" s="276"/>
      <c r="B960" s="170" t="s">
        <v>1341</v>
      </c>
      <c r="C960" s="149">
        <v>1</v>
      </c>
      <c r="D960" s="156" t="s">
        <v>73</v>
      </c>
      <c r="E960" s="217">
        <v>1</v>
      </c>
      <c r="F960" s="150">
        <v>4.12</v>
      </c>
      <c r="G960" s="150">
        <v>0.6</v>
      </c>
      <c r="H960" s="218">
        <v>6.25E-2</v>
      </c>
      <c r="I960" s="151">
        <f t="shared" si="75"/>
        <v>0.15</v>
      </c>
      <c r="J960" s="161"/>
    </row>
    <row r="961" spans="1:10" s="154" customFormat="1">
      <c r="A961" s="276"/>
      <c r="B961" s="170" t="s">
        <v>1435</v>
      </c>
      <c r="C961" s="149">
        <v>2</v>
      </c>
      <c r="D961" s="156" t="s">
        <v>73</v>
      </c>
      <c r="E961" s="217">
        <v>2</v>
      </c>
      <c r="F961" s="150">
        <v>0.38</v>
      </c>
      <c r="G961" s="150">
        <v>0.23</v>
      </c>
      <c r="H961" s="218">
        <v>2.5</v>
      </c>
      <c r="I961" s="151">
        <f t="shared" si="75"/>
        <v>0.87</v>
      </c>
      <c r="J961" s="161"/>
    </row>
    <row r="962" spans="1:10" s="154" customFormat="1">
      <c r="A962" s="276"/>
      <c r="B962" s="148"/>
      <c r="C962" s="149"/>
      <c r="D962" s="149"/>
      <c r="E962" s="149"/>
      <c r="F962" s="150"/>
      <c r="G962" s="158" t="s">
        <v>11</v>
      </c>
      <c r="H962" s="158"/>
      <c r="I962" s="159">
        <f>SUM(I953:I961)</f>
        <v>1.53</v>
      </c>
      <c r="J962" s="180" t="s">
        <v>12</v>
      </c>
    </row>
    <row r="963" spans="1:10" s="154" customFormat="1">
      <c r="A963" s="276"/>
      <c r="B963" s="148"/>
      <c r="C963" s="149"/>
      <c r="D963" s="149"/>
      <c r="E963" s="149"/>
      <c r="F963" s="150"/>
      <c r="G963" s="150"/>
      <c r="H963" s="158"/>
      <c r="I963" s="160"/>
      <c r="J963" s="161"/>
    </row>
    <row r="964" spans="1:10" s="154" customFormat="1">
      <c r="A964" s="276"/>
      <c r="B964" s="155" t="s">
        <v>445</v>
      </c>
      <c r="C964" s="149"/>
      <c r="D964" s="149"/>
      <c r="E964" s="149"/>
      <c r="F964" s="150"/>
      <c r="G964" s="150"/>
      <c r="H964" s="150"/>
      <c r="I964" s="151"/>
      <c r="J964" s="161"/>
    </row>
    <row r="965" spans="1:10" s="154" customFormat="1">
      <c r="A965" s="276"/>
      <c r="B965" s="148" t="s">
        <v>443</v>
      </c>
      <c r="C965" s="149">
        <v>1</v>
      </c>
      <c r="D965" s="149" t="s">
        <v>73</v>
      </c>
      <c r="E965" s="149">
        <v>4</v>
      </c>
      <c r="F965" s="150">
        <v>1.81</v>
      </c>
      <c r="G965" s="150">
        <v>0.23</v>
      </c>
      <c r="H965" s="150">
        <v>0.15</v>
      </c>
      <c r="I965" s="151">
        <f t="shared" ref="I965:I983" si="76">ROUND(PRODUCT(C965:H965),2)</f>
        <v>0.25</v>
      </c>
      <c r="J965" s="161"/>
    </row>
    <row r="966" spans="1:10" s="154" customFormat="1">
      <c r="A966" s="276"/>
      <c r="B966" s="148" t="s">
        <v>440</v>
      </c>
      <c r="C966" s="149">
        <v>1</v>
      </c>
      <c r="D966" s="149" t="s">
        <v>73</v>
      </c>
      <c r="E966" s="149">
        <v>4</v>
      </c>
      <c r="F966" s="150">
        <v>1.81</v>
      </c>
      <c r="G966" s="150">
        <v>0.6</v>
      </c>
      <c r="H966" s="218">
        <v>6.25E-2</v>
      </c>
      <c r="I966" s="151">
        <f t="shared" si="76"/>
        <v>0.27</v>
      </c>
      <c r="J966" s="161"/>
    </row>
    <row r="967" spans="1:10" s="154" customFormat="1">
      <c r="A967" s="276"/>
      <c r="B967" s="148" t="s">
        <v>1436</v>
      </c>
      <c r="C967" s="149">
        <v>1</v>
      </c>
      <c r="D967" s="149" t="s">
        <v>73</v>
      </c>
      <c r="E967" s="149">
        <v>2</v>
      </c>
      <c r="F967" s="150">
        <v>1.36</v>
      </c>
      <c r="G967" s="150">
        <v>0.23</v>
      </c>
      <c r="H967" s="150">
        <v>0.15</v>
      </c>
      <c r="I967" s="151">
        <f t="shared" si="76"/>
        <v>0.09</v>
      </c>
      <c r="J967" s="161"/>
    </row>
    <row r="968" spans="1:10" s="154" customFormat="1">
      <c r="A968" s="276"/>
      <c r="B968" s="148" t="s">
        <v>440</v>
      </c>
      <c r="C968" s="149">
        <v>1</v>
      </c>
      <c r="D968" s="149" t="s">
        <v>73</v>
      </c>
      <c r="E968" s="149">
        <v>2</v>
      </c>
      <c r="F968" s="150">
        <v>1.36</v>
      </c>
      <c r="G968" s="150">
        <v>0.6</v>
      </c>
      <c r="H968" s="218">
        <v>6.25E-2</v>
      </c>
      <c r="I968" s="151">
        <f t="shared" si="76"/>
        <v>0.1</v>
      </c>
      <c r="J968" s="161"/>
    </row>
    <row r="969" spans="1:10" s="154" customFormat="1" ht="16.5" customHeight="1">
      <c r="A969" s="276"/>
      <c r="B969" s="148" t="s">
        <v>441</v>
      </c>
      <c r="C969" s="149">
        <v>1</v>
      </c>
      <c r="D969" s="149" t="s">
        <v>73</v>
      </c>
      <c r="E969" s="149">
        <v>8</v>
      </c>
      <c r="F969" s="150">
        <v>1.21</v>
      </c>
      <c r="G969" s="150">
        <v>0.23</v>
      </c>
      <c r="H969" s="150">
        <v>0.15</v>
      </c>
      <c r="I969" s="151">
        <f t="shared" si="76"/>
        <v>0.33</v>
      </c>
      <c r="J969" s="161"/>
    </row>
    <row r="970" spans="1:10" s="154" customFormat="1">
      <c r="A970" s="276"/>
      <c r="B970" s="148" t="s">
        <v>444</v>
      </c>
      <c r="C970" s="149">
        <v>1</v>
      </c>
      <c r="D970" s="149" t="s">
        <v>73</v>
      </c>
      <c r="E970" s="149">
        <v>2</v>
      </c>
      <c r="F970" s="150">
        <v>4.6100000000000003</v>
      </c>
      <c r="G970" s="150">
        <v>0.12</v>
      </c>
      <c r="H970" s="150">
        <v>0.15</v>
      </c>
      <c r="I970" s="151">
        <f t="shared" si="76"/>
        <v>0.17</v>
      </c>
      <c r="J970" s="349"/>
    </row>
    <row r="971" spans="1:10" s="154" customFormat="1">
      <c r="A971" s="276"/>
      <c r="B971" s="148" t="s">
        <v>447</v>
      </c>
      <c r="C971" s="149">
        <v>1</v>
      </c>
      <c r="D971" s="149" t="s">
        <v>73</v>
      </c>
      <c r="E971" s="149">
        <v>3</v>
      </c>
      <c r="F971" s="150">
        <v>1.46</v>
      </c>
      <c r="G971" s="150">
        <v>0.23</v>
      </c>
      <c r="H971" s="150">
        <v>0.15</v>
      </c>
      <c r="I971" s="151">
        <f t="shared" si="76"/>
        <v>0.15</v>
      </c>
      <c r="J971" s="161"/>
    </row>
    <row r="972" spans="1:10" s="154" customFormat="1">
      <c r="A972" s="276"/>
      <c r="B972" s="148" t="s">
        <v>440</v>
      </c>
      <c r="C972" s="149">
        <v>1</v>
      </c>
      <c r="D972" s="149" t="s">
        <v>73</v>
      </c>
      <c r="E972" s="149">
        <v>1</v>
      </c>
      <c r="F972" s="150">
        <v>1.46</v>
      </c>
      <c r="G972" s="150">
        <v>0.6</v>
      </c>
      <c r="H972" s="218">
        <v>6.25E-2</v>
      </c>
      <c r="I972" s="151">
        <f t="shared" si="76"/>
        <v>0.05</v>
      </c>
      <c r="J972" s="161"/>
    </row>
    <row r="973" spans="1:10" s="154" customFormat="1">
      <c r="A973" s="276"/>
      <c r="B973" s="148" t="s">
        <v>1438</v>
      </c>
      <c r="C973" s="149">
        <v>1</v>
      </c>
      <c r="D973" s="149" t="s">
        <v>73</v>
      </c>
      <c r="E973" s="149">
        <v>2</v>
      </c>
      <c r="F973" s="150">
        <v>4.6100000000000003</v>
      </c>
      <c r="G973" s="150">
        <v>0.115</v>
      </c>
      <c r="H973" s="150">
        <v>0.15</v>
      </c>
      <c r="I973" s="151">
        <f t="shared" si="76"/>
        <v>0.16</v>
      </c>
      <c r="J973" s="161"/>
    </row>
    <row r="974" spans="1:10" s="154" customFormat="1">
      <c r="A974" s="276"/>
      <c r="B974" s="148" t="s">
        <v>1437</v>
      </c>
      <c r="C974" s="149">
        <v>1</v>
      </c>
      <c r="D974" s="149" t="s">
        <v>73</v>
      </c>
      <c r="E974" s="149">
        <v>1</v>
      </c>
      <c r="F974" s="150">
        <v>1.21</v>
      </c>
      <c r="G974" s="150">
        <v>0.23</v>
      </c>
      <c r="H974" s="150">
        <v>0.15</v>
      </c>
      <c r="I974" s="151">
        <f t="shared" si="76"/>
        <v>0.04</v>
      </c>
      <c r="J974" s="161"/>
    </row>
    <row r="975" spans="1:10" s="154" customFormat="1">
      <c r="A975" s="276"/>
      <c r="B975" s="148" t="s">
        <v>448</v>
      </c>
      <c r="C975" s="149">
        <v>1</v>
      </c>
      <c r="D975" s="149" t="s">
        <v>73</v>
      </c>
      <c r="E975" s="149">
        <v>2</v>
      </c>
      <c r="F975" s="150">
        <v>5.07</v>
      </c>
      <c r="G975" s="150">
        <v>0.23</v>
      </c>
      <c r="H975" s="150">
        <v>0.4</v>
      </c>
      <c r="I975" s="151">
        <f t="shared" si="76"/>
        <v>0.93</v>
      </c>
      <c r="J975" s="161"/>
    </row>
    <row r="976" spans="1:10" s="154" customFormat="1">
      <c r="A976" s="276"/>
      <c r="B976" s="148" t="s">
        <v>448</v>
      </c>
      <c r="C976" s="149">
        <v>1</v>
      </c>
      <c r="D976" s="149" t="s">
        <v>73</v>
      </c>
      <c r="E976" s="149">
        <v>2</v>
      </c>
      <c r="F976" s="150">
        <v>4.09</v>
      </c>
      <c r="G976" s="150">
        <v>0.23</v>
      </c>
      <c r="H976" s="150">
        <v>0.4</v>
      </c>
      <c r="I976" s="151">
        <f t="shared" si="76"/>
        <v>0.75</v>
      </c>
      <c r="J976" s="161"/>
    </row>
    <row r="977" spans="1:10" s="154" customFormat="1">
      <c r="A977" s="276"/>
      <c r="B977" s="148" t="s">
        <v>448</v>
      </c>
      <c r="C977" s="149">
        <v>1</v>
      </c>
      <c r="D977" s="149" t="s">
        <v>73</v>
      </c>
      <c r="E977" s="149">
        <v>2</v>
      </c>
      <c r="F977" s="168">
        <v>1.61</v>
      </c>
      <c r="G977" s="168">
        <v>0.23</v>
      </c>
      <c r="H977" s="168">
        <v>0.4</v>
      </c>
      <c r="I977" s="151">
        <f t="shared" si="76"/>
        <v>0.3</v>
      </c>
      <c r="J977" s="161"/>
    </row>
    <row r="978" spans="1:10" s="154" customFormat="1">
      <c r="A978" s="276"/>
      <c r="B978" s="148" t="s">
        <v>449</v>
      </c>
      <c r="C978" s="149">
        <v>1</v>
      </c>
      <c r="D978" s="149" t="s">
        <v>73</v>
      </c>
      <c r="E978" s="149">
        <v>1</v>
      </c>
      <c r="F978" s="150">
        <v>2.2999999999999998</v>
      </c>
      <c r="G978" s="150">
        <v>3</v>
      </c>
      <c r="H978" s="150">
        <v>0.15</v>
      </c>
      <c r="I978" s="151">
        <f>ROUND(PRODUCT(C978:H978),2)</f>
        <v>1.04</v>
      </c>
      <c r="J978" s="161"/>
    </row>
    <row r="979" spans="1:10" s="154" customFormat="1">
      <c r="A979" s="276"/>
      <c r="B979" s="148" t="s">
        <v>450</v>
      </c>
      <c r="C979" s="149">
        <v>1</v>
      </c>
      <c r="D979" s="149" t="s">
        <v>73</v>
      </c>
      <c r="E979" s="149">
        <v>1</v>
      </c>
      <c r="F979" s="150">
        <v>3.5</v>
      </c>
      <c r="G979" s="150">
        <v>2.78</v>
      </c>
      <c r="H979" s="150">
        <v>0.15</v>
      </c>
      <c r="I979" s="151">
        <f t="shared" si="76"/>
        <v>1.46</v>
      </c>
      <c r="J979" s="161"/>
    </row>
    <row r="980" spans="1:10" s="154" customFormat="1">
      <c r="A980" s="276"/>
      <c r="B980" s="148" t="s">
        <v>451</v>
      </c>
      <c r="C980" s="149">
        <v>-1</v>
      </c>
      <c r="D980" s="149" t="s">
        <v>73</v>
      </c>
      <c r="E980" s="149">
        <v>1</v>
      </c>
      <c r="F980" s="150">
        <v>0.6</v>
      </c>
      <c r="G980" s="150">
        <v>0.6</v>
      </c>
      <c r="H980" s="150">
        <v>0.15</v>
      </c>
      <c r="I980" s="151">
        <f t="shared" si="76"/>
        <v>-0.05</v>
      </c>
      <c r="J980" s="161"/>
    </row>
    <row r="981" spans="1:10" s="154" customFormat="1">
      <c r="A981" s="234"/>
      <c r="B981" s="148" t="s">
        <v>1439</v>
      </c>
      <c r="C981" s="149">
        <v>1</v>
      </c>
      <c r="D981" s="149" t="s">
        <v>73</v>
      </c>
      <c r="E981" s="149">
        <v>2</v>
      </c>
      <c r="F981" s="150">
        <v>2.36</v>
      </c>
      <c r="G981" s="150">
        <v>0.23</v>
      </c>
      <c r="H981" s="150">
        <v>0.4</v>
      </c>
      <c r="I981" s="151">
        <f t="shared" si="76"/>
        <v>0.43</v>
      </c>
      <c r="J981" s="349"/>
    </row>
    <row r="982" spans="1:10" s="154" customFormat="1" ht="16.5" customHeight="1">
      <c r="A982" s="276"/>
      <c r="B982" s="148" t="s">
        <v>1439</v>
      </c>
      <c r="C982" s="149">
        <v>1</v>
      </c>
      <c r="D982" s="149" t="s">
        <v>73</v>
      </c>
      <c r="E982" s="149">
        <v>2</v>
      </c>
      <c r="F982" s="150">
        <v>1.7</v>
      </c>
      <c r="G982" s="150">
        <v>0.23</v>
      </c>
      <c r="H982" s="150">
        <v>0.4</v>
      </c>
      <c r="I982" s="151">
        <f t="shared" si="76"/>
        <v>0.31</v>
      </c>
      <c r="J982" s="161"/>
    </row>
    <row r="983" spans="1:10" s="154" customFormat="1">
      <c r="A983" s="276"/>
      <c r="B983" s="148" t="s">
        <v>1440</v>
      </c>
      <c r="C983" s="149">
        <v>1</v>
      </c>
      <c r="D983" s="149" t="s">
        <v>73</v>
      </c>
      <c r="E983" s="149">
        <v>1</v>
      </c>
      <c r="F983" s="150">
        <v>2.36</v>
      </c>
      <c r="G983" s="150">
        <v>2.16</v>
      </c>
      <c r="H983" s="150">
        <v>0.15</v>
      </c>
      <c r="I983" s="151">
        <f t="shared" si="76"/>
        <v>0.76</v>
      </c>
      <c r="J983" s="161"/>
    </row>
    <row r="984" spans="1:10" s="154" customFormat="1">
      <c r="A984" s="276"/>
      <c r="B984" s="148"/>
      <c r="C984" s="149"/>
      <c r="D984" s="149"/>
      <c r="E984" s="149"/>
      <c r="F984" s="150"/>
      <c r="G984" s="158" t="s">
        <v>11</v>
      </c>
      <c r="H984" s="150"/>
      <c r="I984" s="159">
        <f>SUM(I965:I983)</f>
        <v>7.5399999999999991</v>
      </c>
      <c r="J984" s="164" t="s">
        <v>12</v>
      </c>
    </row>
    <row r="985" spans="1:10" s="154" customFormat="1">
      <c r="A985" s="276"/>
      <c r="B985" s="148"/>
      <c r="C985" s="149"/>
      <c r="D985" s="149"/>
      <c r="E985" s="149"/>
      <c r="F985" s="150"/>
      <c r="G985" s="150"/>
      <c r="H985" s="158"/>
      <c r="I985" s="160"/>
      <c r="J985" s="164"/>
    </row>
    <row r="986" spans="1:10" s="154" customFormat="1" ht="56.25">
      <c r="A986" s="276">
        <v>18.100000000000001</v>
      </c>
      <c r="B986" s="155" t="s">
        <v>457</v>
      </c>
      <c r="C986" s="149"/>
      <c r="D986" s="149"/>
      <c r="E986" s="149"/>
      <c r="F986" s="150"/>
      <c r="G986" s="150"/>
      <c r="H986" s="150"/>
      <c r="I986" s="151"/>
      <c r="J986" s="180"/>
    </row>
    <row r="987" spans="1:10" s="154" customFormat="1" ht="37.5">
      <c r="A987" s="276"/>
      <c r="B987" s="155" t="s">
        <v>458</v>
      </c>
      <c r="C987" s="149"/>
      <c r="D987" s="149"/>
      <c r="E987" s="149"/>
      <c r="F987" s="150"/>
      <c r="G987" s="150"/>
      <c r="H987" s="150"/>
      <c r="I987" s="151"/>
      <c r="J987" s="180"/>
    </row>
    <row r="988" spans="1:10" s="136" customFormat="1" ht="18.75" customHeight="1">
      <c r="A988" s="343"/>
      <c r="B988" s="144" t="s">
        <v>1692</v>
      </c>
      <c r="C988" s="138">
        <v>1</v>
      </c>
      <c r="D988" s="143" t="s">
        <v>73</v>
      </c>
      <c r="E988" s="138">
        <v>23</v>
      </c>
      <c r="F988" s="139">
        <v>3.6</v>
      </c>
      <c r="G988" s="139"/>
      <c r="H988" s="139">
        <v>0.2</v>
      </c>
      <c r="I988" s="140">
        <f t="shared" ref="I988:I995" si="77">ROUND(PRODUCT(C988:H988),2)</f>
        <v>16.559999999999999</v>
      </c>
      <c r="J988" s="433"/>
    </row>
    <row r="989" spans="1:10" s="136" customFormat="1" ht="18.75" customHeight="1">
      <c r="A989" s="343"/>
      <c r="B989" s="144" t="s">
        <v>1710</v>
      </c>
      <c r="C989" s="138">
        <v>1</v>
      </c>
      <c r="D989" s="143" t="s">
        <v>73</v>
      </c>
      <c r="E989" s="138">
        <v>14</v>
      </c>
      <c r="F989" s="139">
        <v>3.6</v>
      </c>
      <c r="G989" s="139"/>
      <c r="H989" s="139">
        <v>0.2</v>
      </c>
      <c r="I989" s="140">
        <f t="shared" si="77"/>
        <v>10.08</v>
      </c>
      <c r="J989" s="433"/>
    </row>
    <row r="990" spans="1:10" s="136" customFormat="1" ht="18.75" customHeight="1">
      <c r="A990" s="343"/>
      <c r="B990" s="144" t="s">
        <v>1711</v>
      </c>
      <c r="C990" s="138">
        <v>1</v>
      </c>
      <c r="D990" s="143" t="s">
        <v>73</v>
      </c>
      <c r="E990" s="138">
        <v>21</v>
      </c>
      <c r="F990" s="139">
        <v>3.6</v>
      </c>
      <c r="G990" s="139"/>
      <c r="H990" s="139">
        <v>0.2</v>
      </c>
      <c r="I990" s="140">
        <f t="shared" si="77"/>
        <v>15.12</v>
      </c>
      <c r="J990" s="433"/>
    </row>
    <row r="991" spans="1:10" s="136" customFormat="1" ht="18.75" customHeight="1">
      <c r="A991" s="343"/>
      <c r="B991" s="144" t="s">
        <v>1687</v>
      </c>
      <c r="C991" s="138">
        <v>2</v>
      </c>
      <c r="D991" s="143" t="s">
        <v>73</v>
      </c>
      <c r="E991" s="138">
        <v>2</v>
      </c>
      <c r="F991" s="139">
        <v>3.6</v>
      </c>
      <c r="G991" s="139"/>
      <c r="H991" s="139">
        <v>0.2</v>
      </c>
      <c r="I991" s="140">
        <f t="shared" si="77"/>
        <v>2.88</v>
      </c>
      <c r="J991" s="433"/>
    </row>
    <row r="992" spans="1:10" s="136" customFormat="1" ht="18.75" customHeight="1">
      <c r="A992" s="343"/>
      <c r="B992" s="439" t="s">
        <v>1688</v>
      </c>
      <c r="C992" s="440">
        <v>2</v>
      </c>
      <c r="D992" s="143" t="s">
        <v>73</v>
      </c>
      <c r="E992" s="138">
        <v>2</v>
      </c>
      <c r="F992" s="139">
        <v>4.8</v>
      </c>
      <c r="G992" s="139"/>
      <c r="H992" s="139">
        <v>0.3</v>
      </c>
      <c r="I992" s="140">
        <f t="shared" si="77"/>
        <v>5.76</v>
      </c>
      <c r="J992" s="433"/>
    </row>
    <row r="993" spans="1:10" s="136" customFormat="1" ht="18.75" customHeight="1">
      <c r="A993" s="343"/>
      <c r="B993" s="439" t="s">
        <v>1698</v>
      </c>
      <c r="C993" s="440">
        <v>1</v>
      </c>
      <c r="D993" s="143" t="s">
        <v>73</v>
      </c>
      <c r="E993" s="138">
        <v>2</v>
      </c>
      <c r="F993" s="139">
        <v>66</v>
      </c>
      <c r="G993" s="139"/>
      <c r="H993" s="369">
        <v>0.3</v>
      </c>
      <c r="I993" s="140">
        <f t="shared" si="77"/>
        <v>39.6</v>
      </c>
      <c r="J993" s="433"/>
    </row>
    <row r="994" spans="1:10" s="136" customFormat="1" ht="18.75" customHeight="1">
      <c r="A994" s="343"/>
      <c r="B994" s="439" t="s">
        <v>1690</v>
      </c>
      <c r="C994" s="440">
        <v>1</v>
      </c>
      <c r="D994" s="143" t="s">
        <v>73</v>
      </c>
      <c r="E994" s="138">
        <v>2</v>
      </c>
      <c r="F994" s="139">
        <v>53</v>
      </c>
      <c r="G994" s="139"/>
      <c r="H994" s="369">
        <v>0.3</v>
      </c>
      <c r="I994" s="140">
        <f t="shared" si="77"/>
        <v>31.8</v>
      </c>
      <c r="J994" s="433"/>
    </row>
    <row r="995" spans="1:10" s="136" customFormat="1" ht="18.75" customHeight="1">
      <c r="A995" s="343"/>
      <c r="B995" s="439" t="s">
        <v>1691</v>
      </c>
      <c r="C995" s="440">
        <v>1</v>
      </c>
      <c r="D995" s="143" t="s">
        <v>73</v>
      </c>
      <c r="E995" s="138">
        <v>2</v>
      </c>
      <c r="F995" s="139">
        <v>38.4</v>
      </c>
      <c r="G995" s="139"/>
      <c r="H995" s="369">
        <v>0.3</v>
      </c>
      <c r="I995" s="140">
        <f t="shared" si="77"/>
        <v>23.04</v>
      </c>
      <c r="J995" s="433"/>
    </row>
    <row r="996" spans="1:10" s="136" customFormat="1" ht="18.75" customHeight="1">
      <c r="A996" s="345"/>
      <c r="B996" s="446"/>
      <c r="C996" s="440"/>
      <c r="D996" s="143"/>
      <c r="E996" s="138"/>
      <c r="F996" s="139"/>
      <c r="G996" s="139"/>
      <c r="H996" s="139"/>
      <c r="I996" s="443">
        <f>SUM(I988:I995)</f>
        <v>144.84</v>
      </c>
      <c r="J996" s="180" t="s">
        <v>75</v>
      </c>
    </row>
    <row r="997" spans="1:10" s="154" customFormat="1">
      <c r="A997" s="276"/>
      <c r="B997" s="155"/>
      <c r="C997" s="149"/>
      <c r="D997" s="149"/>
      <c r="E997" s="149"/>
      <c r="F997" s="150"/>
      <c r="G997" s="150"/>
      <c r="H997" s="150"/>
      <c r="I997" s="151"/>
      <c r="J997" s="180"/>
    </row>
    <row r="998" spans="1:10" s="136" customFormat="1" ht="56.25">
      <c r="A998" s="395"/>
      <c r="B998" s="155" t="s">
        <v>459</v>
      </c>
      <c r="C998" s="149"/>
      <c r="D998" s="149"/>
      <c r="E998" s="149"/>
      <c r="F998" s="150"/>
      <c r="G998" s="150"/>
      <c r="H998" s="150"/>
      <c r="I998" s="151"/>
      <c r="J998" s="147"/>
    </row>
    <row r="999" spans="1:10" s="136" customFormat="1">
      <c r="A999" s="395"/>
      <c r="B999" s="155" t="s">
        <v>1532</v>
      </c>
      <c r="C999" s="149"/>
      <c r="D999" s="149"/>
      <c r="E999" s="149"/>
      <c r="F999" s="150"/>
      <c r="G999" s="150"/>
      <c r="H999" s="150"/>
      <c r="I999" s="151"/>
      <c r="J999" s="147"/>
    </row>
    <row r="1000" spans="1:10" s="136" customFormat="1">
      <c r="A1000" s="395"/>
      <c r="B1000" s="148" t="s">
        <v>1533</v>
      </c>
      <c r="C1000" s="202">
        <v>1</v>
      </c>
      <c r="D1000" s="203" t="s">
        <v>73</v>
      </c>
      <c r="E1000" s="202">
        <v>1</v>
      </c>
      <c r="F1000" s="187">
        <v>1</v>
      </c>
      <c r="G1000" s="187">
        <v>0.23</v>
      </c>
      <c r="H1000" s="187"/>
      <c r="I1000" s="151">
        <f t="shared" ref="I1000:I1049" si="78">ROUND(PRODUCT(C1000:H1000),2)</f>
        <v>0.23</v>
      </c>
      <c r="J1000" s="147"/>
    </row>
    <row r="1001" spans="1:10" s="136" customFormat="1">
      <c r="A1001" s="395"/>
      <c r="B1001" s="148" t="s">
        <v>1534</v>
      </c>
      <c r="C1001" s="202">
        <v>1</v>
      </c>
      <c r="D1001" s="203" t="s">
        <v>73</v>
      </c>
      <c r="E1001" s="202">
        <v>4</v>
      </c>
      <c r="F1001" s="187">
        <v>1.35</v>
      </c>
      <c r="G1001" s="187">
        <v>0.23</v>
      </c>
      <c r="H1001" s="187"/>
      <c r="I1001" s="151">
        <f t="shared" si="78"/>
        <v>1.24</v>
      </c>
      <c r="J1001" s="147"/>
    </row>
    <row r="1002" spans="1:10" s="136" customFormat="1">
      <c r="A1002" s="395"/>
      <c r="B1002" s="148" t="s">
        <v>1535</v>
      </c>
      <c r="C1002" s="202">
        <v>2</v>
      </c>
      <c r="D1002" s="203" t="s">
        <v>73</v>
      </c>
      <c r="E1002" s="202">
        <v>1</v>
      </c>
      <c r="F1002" s="187">
        <v>1.81</v>
      </c>
      <c r="G1002" s="187"/>
      <c r="H1002" s="187">
        <v>0.15</v>
      </c>
      <c r="I1002" s="151">
        <f t="shared" si="78"/>
        <v>0.54</v>
      </c>
      <c r="J1002" s="147"/>
    </row>
    <row r="1003" spans="1:10" s="136" customFormat="1">
      <c r="A1003" s="395"/>
      <c r="B1003" s="148" t="s">
        <v>1536</v>
      </c>
      <c r="C1003" s="202">
        <v>2</v>
      </c>
      <c r="D1003" s="203" t="s">
        <v>73</v>
      </c>
      <c r="E1003" s="202">
        <v>2</v>
      </c>
      <c r="F1003" s="187">
        <v>3.45</v>
      </c>
      <c r="G1003" s="187"/>
      <c r="H1003" s="187">
        <v>0.15</v>
      </c>
      <c r="I1003" s="151">
        <f t="shared" si="78"/>
        <v>2.0699999999999998</v>
      </c>
      <c r="J1003" s="147"/>
    </row>
    <row r="1004" spans="1:10" s="136" customFormat="1">
      <c r="A1004" s="395"/>
      <c r="B1004" s="148" t="s">
        <v>1536</v>
      </c>
      <c r="C1004" s="202">
        <v>1</v>
      </c>
      <c r="D1004" s="203" t="s">
        <v>73</v>
      </c>
      <c r="E1004" s="202">
        <v>4</v>
      </c>
      <c r="F1004" s="187">
        <v>0.23</v>
      </c>
      <c r="G1004" s="187"/>
      <c r="H1004" s="187">
        <v>0.15</v>
      </c>
      <c r="I1004" s="151">
        <f t="shared" si="78"/>
        <v>0.14000000000000001</v>
      </c>
      <c r="J1004" s="147"/>
    </row>
    <row r="1005" spans="1:10" s="181" customFormat="1">
      <c r="A1005" s="276"/>
      <c r="B1005" s="155" t="s">
        <v>333</v>
      </c>
      <c r="C1005" s="149"/>
      <c r="D1005" s="149"/>
      <c r="E1005" s="149"/>
      <c r="F1005" s="150"/>
      <c r="G1005" s="150"/>
      <c r="H1005" s="150"/>
      <c r="I1005" s="151">
        <f t="shared" si="78"/>
        <v>0</v>
      </c>
      <c r="J1005" s="180"/>
    </row>
    <row r="1006" spans="1:10" s="181" customFormat="1">
      <c r="A1006" s="276"/>
      <c r="B1006" s="201" t="s">
        <v>1502</v>
      </c>
      <c r="C1006" s="202">
        <v>1</v>
      </c>
      <c r="D1006" s="203" t="s">
        <v>73</v>
      </c>
      <c r="E1006" s="202">
        <v>4</v>
      </c>
      <c r="F1006" s="187">
        <v>1.35</v>
      </c>
      <c r="G1006" s="187">
        <v>0.23</v>
      </c>
      <c r="H1006" s="187"/>
      <c r="I1006" s="151">
        <f t="shared" si="78"/>
        <v>1.24</v>
      </c>
      <c r="J1006" s="180"/>
    </row>
    <row r="1007" spans="1:10" s="181" customFormat="1">
      <c r="A1007" s="276"/>
      <c r="B1007" s="201" t="s">
        <v>1503</v>
      </c>
      <c r="C1007" s="202">
        <v>2</v>
      </c>
      <c r="D1007" s="203" t="s">
        <v>73</v>
      </c>
      <c r="E1007" s="202">
        <v>4</v>
      </c>
      <c r="F1007" s="187">
        <v>1.81</v>
      </c>
      <c r="G1007" s="187"/>
      <c r="H1007" s="187">
        <v>0.15</v>
      </c>
      <c r="I1007" s="151">
        <f t="shared" si="78"/>
        <v>2.17</v>
      </c>
      <c r="J1007" s="180"/>
    </row>
    <row r="1008" spans="1:10" s="181" customFormat="1">
      <c r="A1008" s="276"/>
      <c r="B1008" s="201" t="s">
        <v>1503</v>
      </c>
      <c r="C1008" s="202">
        <v>2</v>
      </c>
      <c r="D1008" s="203" t="s">
        <v>73</v>
      </c>
      <c r="E1008" s="202">
        <v>4</v>
      </c>
      <c r="F1008" s="187">
        <v>0.23</v>
      </c>
      <c r="G1008" s="187"/>
      <c r="H1008" s="187">
        <v>0.15</v>
      </c>
      <c r="I1008" s="151">
        <f t="shared" si="78"/>
        <v>0.28000000000000003</v>
      </c>
      <c r="J1008" s="180"/>
    </row>
    <row r="1009" spans="1:10" s="181" customFormat="1">
      <c r="A1009" s="276"/>
      <c r="B1009" s="201" t="s">
        <v>1537</v>
      </c>
      <c r="C1009" s="202">
        <v>1</v>
      </c>
      <c r="D1009" s="203" t="s">
        <v>73</v>
      </c>
      <c r="E1009" s="202">
        <v>2</v>
      </c>
      <c r="F1009" s="187">
        <v>0.9</v>
      </c>
      <c r="G1009" s="187">
        <v>0.23</v>
      </c>
      <c r="H1009" s="187"/>
      <c r="I1009" s="151">
        <f t="shared" si="78"/>
        <v>0.41</v>
      </c>
      <c r="J1009" s="180"/>
    </row>
    <row r="1010" spans="1:10" s="181" customFormat="1">
      <c r="A1010" s="276"/>
      <c r="B1010" s="201" t="s">
        <v>1538</v>
      </c>
      <c r="C1010" s="202">
        <v>2</v>
      </c>
      <c r="D1010" s="203" t="s">
        <v>73</v>
      </c>
      <c r="E1010" s="202">
        <v>2</v>
      </c>
      <c r="F1010" s="187">
        <v>1.36</v>
      </c>
      <c r="G1010" s="187"/>
      <c r="H1010" s="187">
        <v>0.15</v>
      </c>
      <c r="I1010" s="151">
        <f t="shared" si="78"/>
        <v>0.82</v>
      </c>
      <c r="J1010" s="180"/>
    </row>
    <row r="1011" spans="1:10" s="181" customFormat="1">
      <c r="A1011" s="276"/>
      <c r="B1011" s="201" t="s">
        <v>1538</v>
      </c>
      <c r="C1011" s="202">
        <v>2</v>
      </c>
      <c r="D1011" s="203" t="s">
        <v>73</v>
      </c>
      <c r="E1011" s="202">
        <v>2</v>
      </c>
      <c r="F1011" s="187">
        <v>0.23</v>
      </c>
      <c r="G1011" s="187"/>
      <c r="H1011" s="187">
        <v>0.15</v>
      </c>
      <c r="I1011" s="151">
        <f t="shared" si="78"/>
        <v>0.14000000000000001</v>
      </c>
      <c r="J1011" s="180"/>
    </row>
    <row r="1012" spans="1:10" s="181" customFormat="1">
      <c r="A1012" s="276"/>
      <c r="B1012" s="201" t="s">
        <v>1504</v>
      </c>
      <c r="C1012" s="202">
        <v>1</v>
      </c>
      <c r="D1012" s="203" t="s">
        <v>73</v>
      </c>
      <c r="E1012" s="202">
        <v>3</v>
      </c>
      <c r="F1012" s="187">
        <v>1</v>
      </c>
      <c r="G1012" s="187">
        <v>0.23</v>
      </c>
      <c r="H1012" s="187"/>
      <c r="I1012" s="151">
        <f t="shared" si="78"/>
        <v>0.69</v>
      </c>
      <c r="J1012" s="180"/>
    </row>
    <row r="1013" spans="1:10" s="181" customFormat="1">
      <c r="A1013" s="276"/>
      <c r="B1013" s="201" t="s">
        <v>1505</v>
      </c>
      <c r="C1013" s="202">
        <v>2</v>
      </c>
      <c r="D1013" s="203" t="s">
        <v>73</v>
      </c>
      <c r="E1013" s="202">
        <v>3</v>
      </c>
      <c r="F1013" s="187">
        <v>1.46</v>
      </c>
      <c r="G1013" s="187"/>
      <c r="H1013" s="187">
        <v>0.15</v>
      </c>
      <c r="I1013" s="151">
        <f t="shared" si="78"/>
        <v>1.31</v>
      </c>
      <c r="J1013" s="180"/>
    </row>
    <row r="1014" spans="1:10" s="181" customFormat="1">
      <c r="A1014" s="276"/>
      <c r="B1014" s="201" t="s">
        <v>1505</v>
      </c>
      <c r="C1014" s="202">
        <v>2</v>
      </c>
      <c r="D1014" s="203" t="s">
        <v>73</v>
      </c>
      <c r="E1014" s="202">
        <v>3</v>
      </c>
      <c r="F1014" s="187">
        <v>0.23</v>
      </c>
      <c r="G1014" s="187"/>
      <c r="H1014" s="187">
        <v>0.15</v>
      </c>
      <c r="I1014" s="151">
        <f t="shared" si="78"/>
        <v>0.21</v>
      </c>
      <c r="J1014" s="180"/>
    </row>
    <row r="1015" spans="1:10" s="181" customFormat="1">
      <c r="A1015" s="276"/>
      <c r="B1015" s="201" t="s">
        <v>1507</v>
      </c>
      <c r="C1015" s="202">
        <v>1</v>
      </c>
      <c r="D1015" s="203" t="s">
        <v>73</v>
      </c>
      <c r="E1015" s="202">
        <v>2</v>
      </c>
      <c r="F1015" s="187">
        <v>0.9</v>
      </c>
      <c r="G1015" s="187">
        <v>0.23</v>
      </c>
      <c r="H1015" s="187"/>
      <c r="I1015" s="151">
        <f t="shared" si="78"/>
        <v>0.41</v>
      </c>
      <c r="J1015" s="180"/>
    </row>
    <row r="1016" spans="1:10" s="181" customFormat="1">
      <c r="A1016" s="276"/>
      <c r="B1016" s="201" t="s">
        <v>1508</v>
      </c>
      <c r="C1016" s="202">
        <v>2</v>
      </c>
      <c r="D1016" s="203" t="s">
        <v>73</v>
      </c>
      <c r="E1016" s="202">
        <v>2</v>
      </c>
      <c r="F1016" s="187">
        <v>4.6100000000000003</v>
      </c>
      <c r="G1016" s="187"/>
      <c r="H1016" s="187">
        <v>0.15</v>
      </c>
      <c r="I1016" s="151">
        <f t="shared" si="78"/>
        <v>2.77</v>
      </c>
      <c r="J1016" s="180"/>
    </row>
    <row r="1017" spans="1:10" s="181" customFormat="1">
      <c r="A1017" s="276"/>
      <c r="B1017" s="201" t="s">
        <v>1506</v>
      </c>
      <c r="C1017" s="202">
        <v>2</v>
      </c>
      <c r="D1017" s="203" t="s">
        <v>73</v>
      </c>
      <c r="E1017" s="202">
        <v>3</v>
      </c>
      <c r="F1017" s="187">
        <v>0.75</v>
      </c>
      <c r="G1017" s="385">
        <v>0.115</v>
      </c>
      <c r="H1017" s="187"/>
      <c r="I1017" s="151">
        <f t="shared" si="78"/>
        <v>0.52</v>
      </c>
      <c r="J1017" s="180"/>
    </row>
    <row r="1018" spans="1:10" s="181" customFormat="1">
      <c r="A1018" s="276"/>
      <c r="B1018" s="201" t="s">
        <v>1509</v>
      </c>
      <c r="C1018" s="202">
        <v>1</v>
      </c>
      <c r="D1018" s="203" t="s">
        <v>73</v>
      </c>
      <c r="E1018" s="202">
        <v>2</v>
      </c>
      <c r="F1018" s="187">
        <v>2.8050000000000002</v>
      </c>
      <c r="G1018" s="187"/>
      <c r="H1018" s="187">
        <v>0.15</v>
      </c>
      <c r="I1018" s="151">
        <f t="shared" si="78"/>
        <v>0.84</v>
      </c>
      <c r="J1018" s="180"/>
    </row>
    <row r="1019" spans="1:10" s="181" customFormat="1">
      <c r="A1019" s="276"/>
      <c r="B1019" s="201" t="s">
        <v>1510</v>
      </c>
      <c r="C1019" s="149">
        <v>1</v>
      </c>
      <c r="D1019" s="156" t="s">
        <v>73</v>
      </c>
      <c r="E1019" s="149">
        <v>2</v>
      </c>
      <c r="F1019" s="150">
        <v>4.18</v>
      </c>
      <c r="G1019" s="150"/>
      <c r="H1019" s="150">
        <v>0.15</v>
      </c>
      <c r="I1019" s="151">
        <f t="shared" si="78"/>
        <v>1.25</v>
      </c>
      <c r="J1019" s="180"/>
    </row>
    <row r="1020" spans="1:10" s="181" customFormat="1">
      <c r="A1020" s="276"/>
      <c r="B1020" s="201" t="s">
        <v>1510</v>
      </c>
      <c r="C1020" s="149">
        <v>1</v>
      </c>
      <c r="D1020" s="156" t="s">
        <v>73</v>
      </c>
      <c r="E1020" s="149">
        <v>2</v>
      </c>
      <c r="F1020" s="150">
        <v>3.335</v>
      </c>
      <c r="G1020" s="150"/>
      <c r="H1020" s="150">
        <v>0.15</v>
      </c>
      <c r="I1020" s="151">
        <f t="shared" si="78"/>
        <v>1</v>
      </c>
      <c r="J1020" s="180"/>
    </row>
    <row r="1021" spans="1:10" s="181" customFormat="1">
      <c r="A1021" s="276"/>
      <c r="B1021" s="201" t="s">
        <v>1511</v>
      </c>
      <c r="C1021" s="149">
        <v>1</v>
      </c>
      <c r="D1021" s="156" t="s">
        <v>73</v>
      </c>
      <c r="E1021" s="149">
        <v>2</v>
      </c>
      <c r="F1021" s="150">
        <v>4.6100000000000003</v>
      </c>
      <c r="G1021" s="150"/>
      <c r="H1021" s="150">
        <v>0.15</v>
      </c>
      <c r="I1021" s="151">
        <f t="shared" si="78"/>
        <v>1.38</v>
      </c>
      <c r="J1021" s="180"/>
    </row>
    <row r="1022" spans="1:10" s="181" customFormat="1">
      <c r="A1022" s="276"/>
      <c r="B1022" s="201" t="s">
        <v>1512</v>
      </c>
      <c r="C1022" s="202">
        <v>1</v>
      </c>
      <c r="D1022" s="202" t="s">
        <v>73</v>
      </c>
      <c r="E1022" s="202">
        <v>4</v>
      </c>
      <c r="F1022" s="187">
        <v>0.75</v>
      </c>
      <c r="G1022" s="187">
        <v>0.23</v>
      </c>
      <c r="H1022" s="187"/>
      <c r="I1022" s="151">
        <f t="shared" si="78"/>
        <v>0.69</v>
      </c>
      <c r="J1022" s="180"/>
    </row>
    <row r="1023" spans="1:10" s="181" customFormat="1">
      <c r="A1023" s="276"/>
      <c r="B1023" s="201" t="s">
        <v>1513</v>
      </c>
      <c r="C1023" s="202">
        <v>2</v>
      </c>
      <c r="D1023" s="203" t="s">
        <v>73</v>
      </c>
      <c r="E1023" s="202">
        <v>4</v>
      </c>
      <c r="F1023" s="187">
        <v>1.21</v>
      </c>
      <c r="G1023" s="187"/>
      <c r="H1023" s="187">
        <v>0.15</v>
      </c>
      <c r="I1023" s="151">
        <f t="shared" si="78"/>
        <v>1.45</v>
      </c>
      <c r="J1023" s="180"/>
    </row>
    <row r="1024" spans="1:10" s="181" customFormat="1">
      <c r="A1024" s="276"/>
      <c r="B1024" s="201" t="s">
        <v>1514</v>
      </c>
      <c r="C1024" s="202">
        <v>1</v>
      </c>
      <c r="D1024" s="202" t="s">
        <v>73</v>
      </c>
      <c r="E1024" s="202">
        <v>2</v>
      </c>
      <c r="F1024" s="187">
        <v>4.6100000000000003</v>
      </c>
      <c r="G1024" s="187">
        <v>0.6</v>
      </c>
      <c r="H1024" s="187"/>
      <c r="I1024" s="151">
        <f t="shared" si="78"/>
        <v>5.53</v>
      </c>
      <c r="J1024" s="180"/>
    </row>
    <row r="1025" spans="1:10" s="181" customFormat="1">
      <c r="A1025" s="276"/>
      <c r="B1025" s="201" t="s">
        <v>1515</v>
      </c>
      <c r="C1025" s="202">
        <v>2</v>
      </c>
      <c r="D1025" s="202" t="s">
        <v>73</v>
      </c>
      <c r="E1025" s="202">
        <v>2</v>
      </c>
      <c r="F1025" s="187">
        <v>0.6</v>
      </c>
      <c r="G1025" s="187"/>
      <c r="H1025" s="187">
        <v>0.05</v>
      </c>
      <c r="I1025" s="151">
        <f t="shared" si="78"/>
        <v>0.12</v>
      </c>
      <c r="J1025" s="180"/>
    </row>
    <row r="1026" spans="1:10" s="181" customFormat="1">
      <c r="A1026" s="276"/>
      <c r="B1026" s="201" t="s">
        <v>1516</v>
      </c>
      <c r="C1026" s="202">
        <v>1</v>
      </c>
      <c r="D1026" s="202" t="s">
        <v>73</v>
      </c>
      <c r="E1026" s="202">
        <v>1</v>
      </c>
      <c r="F1026" s="187">
        <v>0.75</v>
      </c>
      <c r="G1026" s="187">
        <v>0.23</v>
      </c>
      <c r="H1026" s="187"/>
      <c r="I1026" s="151">
        <f t="shared" si="78"/>
        <v>0.17</v>
      </c>
      <c r="J1026" s="180"/>
    </row>
    <row r="1027" spans="1:10" s="181" customFormat="1">
      <c r="A1027" s="276"/>
      <c r="B1027" s="201" t="s">
        <v>1517</v>
      </c>
      <c r="C1027" s="202">
        <v>1</v>
      </c>
      <c r="D1027" s="202" t="s">
        <v>73</v>
      </c>
      <c r="E1027" s="202">
        <v>2</v>
      </c>
      <c r="F1027" s="187">
        <v>1.21</v>
      </c>
      <c r="G1027" s="187"/>
      <c r="H1027" s="187">
        <v>0.15</v>
      </c>
      <c r="I1027" s="151">
        <f t="shared" si="78"/>
        <v>0.36</v>
      </c>
      <c r="J1027" s="180"/>
    </row>
    <row r="1028" spans="1:10" s="181" customFormat="1">
      <c r="A1028" s="276"/>
      <c r="B1028" s="201" t="s">
        <v>1518</v>
      </c>
      <c r="C1028" s="202">
        <v>1</v>
      </c>
      <c r="D1028" s="203" t="s">
        <v>73</v>
      </c>
      <c r="E1028" s="202">
        <v>2</v>
      </c>
      <c r="F1028" s="187">
        <v>1.2</v>
      </c>
      <c r="G1028" s="187"/>
      <c r="H1028" s="187">
        <v>1.2</v>
      </c>
      <c r="I1028" s="151">
        <f t="shared" si="78"/>
        <v>2.88</v>
      </c>
      <c r="J1028" s="180"/>
    </row>
    <row r="1029" spans="1:10" s="181" customFormat="1">
      <c r="A1029" s="276"/>
      <c r="B1029" s="201" t="s">
        <v>1519</v>
      </c>
      <c r="C1029" s="202">
        <v>1</v>
      </c>
      <c r="D1029" s="202" t="s">
        <v>73</v>
      </c>
      <c r="E1029" s="202">
        <v>6</v>
      </c>
      <c r="F1029" s="187">
        <v>1.2</v>
      </c>
      <c r="G1029" s="187">
        <v>0.23</v>
      </c>
      <c r="H1029" s="187"/>
      <c r="I1029" s="151">
        <f t="shared" si="78"/>
        <v>1.66</v>
      </c>
      <c r="J1029" s="180"/>
    </row>
    <row r="1030" spans="1:10" s="181" customFormat="1">
      <c r="A1030" s="276"/>
      <c r="B1030" s="201" t="s">
        <v>1520</v>
      </c>
      <c r="C1030" s="202">
        <v>2</v>
      </c>
      <c r="D1030" s="202" t="s">
        <v>73</v>
      </c>
      <c r="E1030" s="202">
        <v>6</v>
      </c>
      <c r="F1030" s="187">
        <v>1.66</v>
      </c>
      <c r="G1030" s="187"/>
      <c r="H1030" s="187">
        <v>0.1</v>
      </c>
      <c r="I1030" s="151">
        <f t="shared" si="78"/>
        <v>1.99</v>
      </c>
      <c r="J1030" s="180"/>
    </row>
    <row r="1031" spans="1:10" s="181" customFormat="1">
      <c r="A1031" s="276"/>
      <c r="B1031" s="222" t="s">
        <v>461</v>
      </c>
      <c r="C1031" s="202"/>
      <c r="D1031" s="202"/>
      <c r="E1031" s="202"/>
      <c r="F1031" s="187"/>
      <c r="G1031" s="187"/>
      <c r="H1031" s="187"/>
      <c r="I1031" s="151">
        <f t="shared" si="78"/>
        <v>0</v>
      </c>
      <c r="J1031" s="180"/>
    </row>
    <row r="1032" spans="1:10" s="181" customFormat="1">
      <c r="A1032" s="276"/>
      <c r="B1032" s="148" t="s">
        <v>1521</v>
      </c>
      <c r="C1032" s="149">
        <v>1</v>
      </c>
      <c r="D1032" s="156" t="s">
        <v>73</v>
      </c>
      <c r="E1032" s="149">
        <v>1</v>
      </c>
      <c r="F1032" s="150">
        <v>3.1850000000000001</v>
      </c>
      <c r="G1032" s="150">
        <v>0.23</v>
      </c>
      <c r="H1032" s="150"/>
      <c r="I1032" s="151">
        <f t="shared" si="78"/>
        <v>0.73</v>
      </c>
      <c r="J1032" s="180"/>
    </row>
    <row r="1033" spans="1:10" s="181" customFormat="1">
      <c r="A1033" s="276"/>
      <c r="B1033" s="148" t="s">
        <v>1521</v>
      </c>
      <c r="C1033" s="149">
        <v>1</v>
      </c>
      <c r="D1033" s="156" t="s">
        <v>73</v>
      </c>
      <c r="E1033" s="149">
        <v>1</v>
      </c>
      <c r="F1033" s="150">
        <v>1.93</v>
      </c>
      <c r="G1033" s="150">
        <v>0.23</v>
      </c>
      <c r="H1033" s="150"/>
      <c r="I1033" s="151">
        <f t="shared" si="78"/>
        <v>0.44</v>
      </c>
      <c r="J1033" s="180"/>
    </row>
    <row r="1034" spans="1:10" s="181" customFormat="1">
      <c r="A1034" s="276"/>
      <c r="B1034" s="148" t="s">
        <v>1521</v>
      </c>
      <c r="C1034" s="149">
        <v>1</v>
      </c>
      <c r="D1034" s="156" t="s">
        <v>73</v>
      </c>
      <c r="E1034" s="149">
        <v>2</v>
      </c>
      <c r="F1034" s="150">
        <v>4.6100000000000003</v>
      </c>
      <c r="G1034" s="150">
        <v>0.23</v>
      </c>
      <c r="H1034" s="150"/>
      <c r="I1034" s="151">
        <f t="shared" si="78"/>
        <v>2.12</v>
      </c>
      <c r="J1034" s="180"/>
    </row>
    <row r="1035" spans="1:10" s="181" customFormat="1">
      <c r="A1035" s="276"/>
      <c r="B1035" s="148" t="s">
        <v>1521</v>
      </c>
      <c r="C1035" s="149">
        <v>1</v>
      </c>
      <c r="D1035" s="156" t="s">
        <v>73</v>
      </c>
      <c r="E1035" s="149">
        <v>2</v>
      </c>
      <c r="F1035" s="150">
        <v>1.2</v>
      </c>
      <c r="G1035" s="150">
        <v>0.23</v>
      </c>
      <c r="H1035" s="150"/>
      <c r="I1035" s="151">
        <f t="shared" si="78"/>
        <v>0.55000000000000004</v>
      </c>
      <c r="J1035" s="180"/>
    </row>
    <row r="1036" spans="1:10" s="181" customFormat="1">
      <c r="A1036" s="276"/>
      <c r="B1036" s="148" t="s">
        <v>1522</v>
      </c>
      <c r="C1036" s="149">
        <v>1</v>
      </c>
      <c r="D1036" s="156" t="s">
        <v>73</v>
      </c>
      <c r="E1036" s="149">
        <v>1</v>
      </c>
      <c r="F1036" s="150">
        <v>6.6</v>
      </c>
      <c r="G1036" s="150"/>
      <c r="H1036" s="150">
        <v>0.23</v>
      </c>
      <c r="I1036" s="151">
        <f t="shared" si="78"/>
        <v>1.52</v>
      </c>
      <c r="J1036" s="180"/>
    </row>
    <row r="1037" spans="1:10" s="181" customFormat="1">
      <c r="A1037" s="276"/>
      <c r="B1037" s="148" t="s">
        <v>1523</v>
      </c>
      <c r="C1037" s="149">
        <v>1</v>
      </c>
      <c r="D1037" s="156" t="s">
        <v>73</v>
      </c>
      <c r="E1037" s="149">
        <v>1</v>
      </c>
      <c r="F1037" s="150">
        <v>18.03</v>
      </c>
      <c r="G1037" s="150"/>
      <c r="H1037" s="150">
        <v>0.38</v>
      </c>
      <c r="I1037" s="151">
        <f t="shared" si="78"/>
        <v>6.85</v>
      </c>
      <c r="J1037" s="180"/>
    </row>
    <row r="1038" spans="1:10" s="181" customFormat="1">
      <c r="A1038" s="276"/>
      <c r="B1038" s="148" t="s">
        <v>1524</v>
      </c>
      <c r="C1038" s="149">
        <v>1</v>
      </c>
      <c r="D1038" s="156" t="s">
        <v>73</v>
      </c>
      <c r="E1038" s="149">
        <v>2</v>
      </c>
      <c r="F1038" s="150">
        <v>4.7</v>
      </c>
      <c r="G1038" s="150"/>
      <c r="H1038" s="150">
        <v>0.38</v>
      </c>
      <c r="I1038" s="151">
        <f t="shared" si="78"/>
        <v>3.57</v>
      </c>
      <c r="J1038" s="180"/>
    </row>
    <row r="1039" spans="1:10" s="181" customFormat="1">
      <c r="A1039" s="276"/>
      <c r="B1039" s="148" t="s">
        <v>1525</v>
      </c>
      <c r="C1039" s="149">
        <v>1</v>
      </c>
      <c r="D1039" s="156" t="s">
        <v>73</v>
      </c>
      <c r="E1039" s="149">
        <v>2</v>
      </c>
      <c r="F1039" s="150">
        <v>0.75</v>
      </c>
      <c r="G1039" s="150"/>
      <c r="H1039" s="150">
        <v>0.38</v>
      </c>
      <c r="I1039" s="151">
        <f t="shared" si="78"/>
        <v>0.56999999999999995</v>
      </c>
      <c r="J1039" s="180"/>
    </row>
    <row r="1040" spans="1:10" s="181" customFormat="1">
      <c r="A1040" s="276"/>
      <c r="B1040" s="148" t="s">
        <v>1526</v>
      </c>
      <c r="C1040" s="149">
        <v>1</v>
      </c>
      <c r="D1040" s="156" t="s">
        <v>73</v>
      </c>
      <c r="E1040" s="149">
        <v>1</v>
      </c>
      <c r="F1040" s="150">
        <v>2.1</v>
      </c>
      <c r="G1040" s="150">
        <v>1.2</v>
      </c>
      <c r="H1040" s="150"/>
      <c r="I1040" s="151">
        <f t="shared" si="78"/>
        <v>2.52</v>
      </c>
      <c r="J1040" s="180"/>
    </row>
    <row r="1041" spans="1:10" s="181" customFormat="1">
      <c r="A1041" s="276"/>
      <c r="B1041" s="148" t="s">
        <v>1527</v>
      </c>
      <c r="C1041" s="149">
        <v>1</v>
      </c>
      <c r="D1041" s="156" t="s">
        <v>73</v>
      </c>
      <c r="E1041" s="149">
        <v>1</v>
      </c>
      <c r="F1041" s="150">
        <v>2.1</v>
      </c>
      <c r="G1041" s="150">
        <v>1.2</v>
      </c>
      <c r="H1041" s="150"/>
      <c r="I1041" s="151">
        <f t="shared" si="78"/>
        <v>2.52</v>
      </c>
      <c r="J1041" s="180"/>
    </row>
    <row r="1042" spans="1:10" s="181" customFormat="1">
      <c r="A1042" s="276"/>
      <c r="B1042" s="148" t="s">
        <v>1529</v>
      </c>
      <c r="C1042" s="149">
        <v>-1</v>
      </c>
      <c r="D1042" s="156" t="s">
        <v>73</v>
      </c>
      <c r="E1042" s="149">
        <v>1</v>
      </c>
      <c r="F1042" s="150">
        <v>0.6</v>
      </c>
      <c r="G1042" s="150">
        <v>0.6</v>
      </c>
      <c r="H1042" s="150"/>
      <c r="I1042" s="151">
        <f t="shared" si="78"/>
        <v>-0.36</v>
      </c>
      <c r="J1042" s="180"/>
    </row>
    <row r="1043" spans="1:10" s="181" customFormat="1">
      <c r="A1043" s="276"/>
      <c r="B1043" s="148" t="s">
        <v>1528</v>
      </c>
      <c r="C1043" s="149">
        <v>1</v>
      </c>
      <c r="D1043" s="156" t="s">
        <v>73</v>
      </c>
      <c r="E1043" s="149">
        <v>1</v>
      </c>
      <c r="F1043" s="150">
        <v>8.44</v>
      </c>
      <c r="G1043" s="150"/>
      <c r="H1043" s="165">
        <v>0.125</v>
      </c>
      <c r="I1043" s="151">
        <f t="shared" si="78"/>
        <v>1.06</v>
      </c>
      <c r="J1043" s="180"/>
    </row>
    <row r="1044" spans="1:10" s="181" customFormat="1">
      <c r="A1044" s="276"/>
      <c r="B1044" s="155" t="s">
        <v>1530</v>
      </c>
      <c r="C1044" s="149"/>
      <c r="D1044" s="156"/>
      <c r="E1044" s="149"/>
      <c r="F1044" s="150"/>
      <c r="G1044" s="150"/>
      <c r="H1044" s="150"/>
      <c r="I1044" s="151">
        <f t="shared" si="78"/>
        <v>0</v>
      </c>
      <c r="J1044" s="180"/>
    </row>
    <row r="1045" spans="1:10" s="181" customFormat="1">
      <c r="A1045" s="276"/>
      <c r="B1045" s="148" t="s">
        <v>1521</v>
      </c>
      <c r="C1045" s="149">
        <v>1</v>
      </c>
      <c r="D1045" s="156" t="s">
        <v>73</v>
      </c>
      <c r="E1045" s="149">
        <v>2</v>
      </c>
      <c r="F1045" s="150">
        <v>1.7</v>
      </c>
      <c r="G1045" s="150">
        <v>0.23</v>
      </c>
      <c r="H1045" s="150"/>
      <c r="I1045" s="151">
        <f t="shared" si="78"/>
        <v>0.78</v>
      </c>
      <c r="J1045" s="180"/>
    </row>
    <row r="1046" spans="1:10" s="181" customFormat="1">
      <c r="A1046" s="276"/>
      <c r="B1046" s="148" t="s">
        <v>1521</v>
      </c>
      <c r="C1046" s="149">
        <v>1</v>
      </c>
      <c r="D1046" s="156" t="s">
        <v>73</v>
      </c>
      <c r="E1046" s="149">
        <v>2</v>
      </c>
      <c r="F1046" s="150">
        <v>1.9</v>
      </c>
      <c r="G1046" s="150">
        <v>0.23</v>
      </c>
      <c r="H1046" s="150"/>
      <c r="I1046" s="151">
        <f t="shared" si="78"/>
        <v>0.87</v>
      </c>
      <c r="J1046" s="180"/>
    </row>
    <row r="1047" spans="1:10" s="181" customFormat="1">
      <c r="A1047" s="276"/>
      <c r="B1047" s="148" t="s">
        <v>462</v>
      </c>
      <c r="C1047" s="149">
        <v>1</v>
      </c>
      <c r="D1047" s="156" t="s">
        <v>73</v>
      </c>
      <c r="E1047" s="149">
        <v>1</v>
      </c>
      <c r="F1047" s="150">
        <v>7.2</v>
      </c>
      <c r="G1047" s="150"/>
      <c r="H1047" s="150">
        <v>0.23</v>
      </c>
      <c r="I1047" s="151">
        <f t="shared" si="78"/>
        <v>1.66</v>
      </c>
      <c r="J1047" s="180"/>
    </row>
    <row r="1048" spans="1:10" s="181" customFormat="1">
      <c r="A1048" s="276"/>
      <c r="B1048" s="148" t="s">
        <v>463</v>
      </c>
      <c r="C1048" s="149">
        <v>1</v>
      </c>
      <c r="D1048" s="156" t="s">
        <v>73</v>
      </c>
      <c r="E1048" s="149">
        <v>1</v>
      </c>
      <c r="F1048" s="150">
        <v>9.0399999999999991</v>
      </c>
      <c r="G1048" s="150"/>
      <c r="H1048" s="150">
        <v>0.38</v>
      </c>
      <c r="I1048" s="151">
        <f t="shared" si="78"/>
        <v>3.44</v>
      </c>
      <c r="J1048" s="180"/>
    </row>
    <row r="1049" spans="1:10" s="181" customFormat="1">
      <c r="A1049" s="276"/>
      <c r="B1049" s="148" t="s">
        <v>1531</v>
      </c>
      <c r="C1049" s="149">
        <v>1</v>
      </c>
      <c r="D1049" s="156" t="s">
        <v>73</v>
      </c>
      <c r="E1049" s="149">
        <v>1</v>
      </c>
      <c r="F1049" s="150">
        <v>1.7</v>
      </c>
      <c r="G1049" s="150">
        <v>1.9</v>
      </c>
      <c r="H1049" s="150"/>
      <c r="I1049" s="151">
        <f t="shared" si="78"/>
        <v>3.23</v>
      </c>
      <c r="J1049" s="180"/>
    </row>
    <row r="1050" spans="1:10" s="181" customFormat="1">
      <c r="A1050" s="276"/>
      <c r="B1050" s="148"/>
      <c r="C1050" s="149"/>
      <c r="D1050" s="149"/>
      <c r="E1050" s="149"/>
      <c r="F1050" s="150"/>
      <c r="G1050" s="158" t="s">
        <v>11</v>
      </c>
      <c r="H1050" s="150"/>
      <c r="I1050" s="159">
        <f>SUM(I1000:I1049)</f>
        <v>66.58</v>
      </c>
      <c r="J1050" s="180" t="s">
        <v>75</v>
      </c>
    </row>
    <row r="1051" spans="1:10" s="181" customFormat="1">
      <c r="A1051" s="276"/>
      <c r="B1051" s="148"/>
      <c r="C1051" s="149"/>
      <c r="D1051" s="149"/>
      <c r="E1051" s="149"/>
      <c r="F1051" s="150"/>
      <c r="G1051" s="150"/>
      <c r="H1051" s="158"/>
      <c r="I1051" s="159"/>
      <c r="J1051" s="180"/>
    </row>
    <row r="1052" spans="1:10" s="181" customFormat="1" ht="37.5">
      <c r="A1052" s="276"/>
      <c r="B1052" s="155" t="s">
        <v>464</v>
      </c>
      <c r="C1052" s="149"/>
      <c r="D1052" s="149"/>
      <c r="E1052" s="149"/>
      <c r="F1052" s="150"/>
      <c r="G1052" s="150"/>
      <c r="H1052" s="150"/>
      <c r="I1052" s="151"/>
      <c r="J1052" s="180"/>
    </row>
    <row r="1053" spans="1:10" s="181" customFormat="1" ht="18.75" customHeight="1">
      <c r="A1053" s="276"/>
      <c r="B1053" s="353" t="s">
        <v>1539</v>
      </c>
      <c r="C1053" s="149">
        <v>1</v>
      </c>
      <c r="D1053" s="149" t="s">
        <v>73</v>
      </c>
      <c r="E1053" s="149">
        <v>62</v>
      </c>
      <c r="F1053" s="150">
        <v>0.92</v>
      </c>
      <c r="G1053" s="150"/>
      <c r="H1053" s="170">
        <v>0.6</v>
      </c>
      <c r="I1053" s="151">
        <f>ROUND(PRODUCT(C1053:H1053),2)</f>
        <v>34.22</v>
      </c>
      <c r="J1053" s="180"/>
    </row>
    <row r="1054" spans="1:10" s="181" customFormat="1" ht="22.5" customHeight="1">
      <c r="A1054" s="276"/>
      <c r="B1054" s="353" t="s">
        <v>1541</v>
      </c>
      <c r="C1054" s="138">
        <v>1</v>
      </c>
      <c r="D1054" s="138" t="s">
        <v>73</v>
      </c>
      <c r="E1054" s="138">
        <v>62</v>
      </c>
      <c r="F1054" s="139">
        <v>0.92</v>
      </c>
      <c r="G1054" s="139"/>
      <c r="H1054" s="146">
        <v>1.5</v>
      </c>
      <c r="I1054" s="140">
        <f t="shared" ref="I1054:I1065" si="79">ROUND(PRODUCT(C1054:H1054),2)</f>
        <v>85.56</v>
      </c>
      <c r="J1054" s="180"/>
    </row>
    <row r="1055" spans="1:10" s="181" customFormat="1">
      <c r="A1055" s="276"/>
      <c r="B1055" s="142" t="s">
        <v>1435</v>
      </c>
      <c r="C1055" s="138">
        <v>1</v>
      </c>
      <c r="D1055" s="138" t="s">
        <v>73</v>
      </c>
      <c r="E1055" s="138">
        <v>4</v>
      </c>
      <c r="F1055" s="139">
        <f>(0.23+0.38)*2</f>
        <v>1.22</v>
      </c>
      <c r="G1055" s="139"/>
      <c r="H1055" s="146">
        <v>2.4</v>
      </c>
      <c r="I1055" s="140">
        <f t="shared" si="79"/>
        <v>11.71</v>
      </c>
      <c r="J1055" s="221"/>
    </row>
    <row r="1056" spans="1:10" s="181" customFormat="1">
      <c r="A1056" s="276"/>
      <c r="B1056" s="142" t="s">
        <v>1542</v>
      </c>
      <c r="C1056" s="138">
        <v>1</v>
      </c>
      <c r="D1056" s="138" t="s">
        <v>73</v>
      </c>
      <c r="E1056" s="138">
        <v>1</v>
      </c>
      <c r="F1056" s="139">
        <v>3.45</v>
      </c>
      <c r="G1056" s="139">
        <v>0.6</v>
      </c>
      <c r="H1056" s="146"/>
      <c r="I1056" s="140">
        <f t="shared" ref="I1056:I1057" si="80">ROUND(PRODUCT(C1056:H1056),2)</f>
        <v>2.0699999999999998</v>
      </c>
      <c r="J1056" s="180"/>
    </row>
    <row r="1057" spans="1:10" s="181" customFormat="1">
      <c r="A1057" s="276"/>
      <c r="B1057" s="148" t="s">
        <v>1543</v>
      </c>
      <c r="C1057" s="138">
        <v>1</v>
      </c>
      <c r="D1057" s="138" t="s">
        <v>73</v>
      </c>
      <c r="E1057" s="138">
        <v>2</v>
      </c>
      <c r="F1057" s="139">
        <v>0.6</v>
      </c>
      <c r="G1057" s="139"/>
      <c r="H1057" s="386">
        <v>6.25E-2</v>
      </c>
      <c r="I1057" s="140">
        <f t="shared" si="80"/>
        <v>0.08</v>
      </c>
      <c r="J1057" s="180"/>
    </row>
    <row r="1058" spans="1:10" s="181" customFormat="1">
      <c r="A1058" s="276"/>
      <c r="B1058" s="142" t="s">
        <v>1720</v>
      </c>
      <c r="C1058" s="138">
        <v>1</v>
      </c>
      <c r="D1058" s="138" t="s">
        <v>73</v>
      </c>
      <c r="E1058" s="138">
        <v>1</v>
      </c>
      <c r="F1058" s="139">
        <v>2.0750000000000002</v>
      </c>
      <c r="G1058" s="139">
        <v>0.6</v>
      </c>
      <c r="H1058" s="146"/>
      <c r="I1058" s="140">
        <f t="shared" si="79"/>
        <v>1.25</v>
      </c>
      <c r="J1058" s="180"/>
    </row>
    <row r="1059" spans="1:10" s="181" customFormat="1">
      <c r="A1059" s="276"/>
      <c r="B1059" s="148" t="s">
        <v>1543</v>
      </c>
      <c r="C1059" s="138">
        <v>1</v>
      </c>
      <c r="D1059" s="138" t="s">
        <v>73</v>
      </c>
      <c r="E1059" s="138">
        <v>2</v>
      </c>
      <c r="F1059" s="139">
        <v>0.6</v>
      </c>
      <c r="G1059" s="139"/>
      <c r="H1059" s="386">
        <v>6.25E-2</v>
      </c>
      <c r="I1059" s="140">
        <f t="shared" si="79"/>
        <v>0.08</v>
      </c>
      <c r="J1059" s="180"/>
    </row>
    <row r="1060" spans="1:10" s="181" customFormat="1">
      <c r="A1060" s="276"/>
      <c r="B1060" s="148" t="s">
        <v>1544</v>
      </c>
      <c r="C1060" s="138">
        <v>1</v>
      </c>
      <c r="D1060" s="138" t="s">
        <v>73</v>
      </c>
      <c r="E1060" s="138">
        <v>4</v>
      </c>
      <c r="F1060" s="139">
        <v>1.81</v>
      </c>
      <c r="G1060" s="139">
        <v>0.6</v>
      </c>
      <c r="H1060" s="386"/>
      <c r="I1060" s="140">
        <f t="shared" si="79"/>
        <v>4.34</v>
      </c>
      <c r="J1060" s="180"/>
    </row>
    <row r="1061" spans="1:10" s="181" customFormat="1">
      <c r="A1061" s="276"/>
      <c r="B1061" s="148" t="s">
        <v>1543</v>
      </c>
      <c r="C1061" s="138">
        <v>2</v>
      </c>
      <c r="D1061" s="138" t="s">
        <v>73</v>
      </c>
      <c r="E1061" s="138">
        <v>4</v>
      </c>
      <c r="F1061" s="139">
        <v>0.6</v>
      </c>
      <c r="G1061" s="139"/>
      <c r="H1061" s="386">
        <v>6.25E-2</v>
      </c>
      <c r="I1061" s="140">
        <f t="shared" si="79"/>
        <v>0.3</v>
      </c>
      <c r="J1061" s="180"/>
    </row>
    <row r="1062" spans="1:10" s="181" customFormat="1">
      <c r="A1062" s="276"/>
      <c r="B1062" s="148" t="s">
        <v>1545</v>
      </c>
      <c r="C1062" s="138">
        <v>1</v>
      </c>
      <c r="D1062" s="138" t="s">
        <v>73</v>
      </c>
      <c r="E1062" s="138">
        <v>1</v>
      </c>
      <c r="F1062" s="139">
        <v>1.46</v>
      </c>
      <c r="G1062" s="139">
        <v>0.6</v>
      </c>
      <c r="H1062" s="386"/>
      <c r="I1062" s="140">
        <f t="shared" si="79"/>
        <v>0.88</v>
      </c>
      <c r="J1062" s="180"/>
    </row>
    <row r="1063" spans="1:10" s="181" customFormat="1">
      <c r="A1063" s="276"/>
      <c r="B1063" s="148" t="s">
        <v>1543</v>
      </c>
      <c r="C1063" s="138">
        <v>2</v>
      </c>
      <c r="D1063" s="138" t="s">
        <v>73</v>
      </c>
      <c r="E1063" s="138">
        <v>1</v>
      </c>
      <c r="F1063" s="139">
        <v>0.6</v>
      </c>
      <c r="G1063" s="139"/>
      <c r="H1063" s="386">
        <v>6.25E-2</v>
      </c>
      <c r="I1063" s="140">
        <f t="shared" si="79"/>
        <v>0.08</v>
      </c>
      <c r="J1063" s="180"/>
    </row>
    <row r="1064" spans="1:10" s="181" customFormat="1">
      <c r="A1064" s="276"/>
      <c r="B1064" s="148" t="s">
        <v>1546</v>
      </c>
      <c r="C1064" s="138">
        <v>1</v>
      </c>
      <c r="D1064" s="138" t="s">
        <v>73</v>
      </c>
      <c r="E1064" s="138">
        <v>2</v>
      </c>
      <c r="F1064" s="139">
        <v>1.36</v>
      </c>
      <c r="G1064" s="139">
        <v>0.6</v>
      </c>
      <c r="H1064" s="386"/>
      <c r="I1064" s="140">
        <f t="shared" si="79"/>
        <v>1.63</v>
      </c>
      <c r="J1064" s="180"/>
    </row>
    <row r="1065" spans="1:10" s="181" customFormat="1">
      <c r="A1065" s="276"/>
      <c r="B1065" s="148" t="s">
        <v>1543</v>
      </c>
      <c r="C1065" s="138">
        <v>2</v>
      </c>
      <c r="D1065" s="138" t="s">
        <v>73</v>
      </c>
      <c r="E1065" s="138">
        <v>2</v>
      </c>
      <c r="F1065" s="139">
        <v>0.6</v>
      </c>
      <c r="G1065" s="139"/>
      <c r="H1065" s="386">
        <v>6.25E-2</v>
      </c>
      <c r="I1065" s="140">
        <f t="shared" si="79"/>
        <v>0.15</v>
      </c>
      <c r="J1065" s="180"/>
    </row>
    <row r="1066" spans="1:10" s="181" customFormat="1" ht="15.75" customHeight="1">
      <c r="A1066" s="276"/>
      <c r="B1066" s="148"/>
      <c r="C1066" s="149"/>
      <c r="D1066" s="149"/>
      <c r="E1066" s="149"/>
      <c r="F1066" s="150"/>
      <c r="G1066" s="150"/>
      <c r="H1066" s="158" t="s">
        <v>74</v>
      </c>
      <c r="I1066" s="159">
        <f>SUM(I1053:I1065)</f>
        <v>142.35000000000005</v>
      </c>
      <c r="J1066" s="180" t="s">
        <v>75</v>
      </c>
    </row>
    <row r="1067" spans="1:10" s="181" customFormat="1" ht="15.75" customHeight="1">
      <c r="A1067" s="276"/>
      <c r="B1067" s="148"/>
      <c r="C1067" s="149"/>
      <c r="D1067" s="149"/>
      <c r="E1067" s="149"/>
      <c r="F1067" s="150"/>
      <c r="G1067" s="150"/>
      <c r="H1067" s="158"/>
      <c r="I1067" s="159"/>
    </row>
    <row r="1068" spans="1:10" s="181" customFormat="1" ht="15.75" customHeight="1">
      <c r="A1068" s="276"/>
      <c r="B1068" s="148"/>
      <c r="C1068" s="149"/>
      <c r="D1068" s="149"/>
      <c r="E1068" s="149"/>
      <c r="F1068" s="150"/>
      <c r="G1068" s="150"/>
      <c r="H1068" s="158"/>
      <c r="I1068" s="159"/>
      <c r="J1068" s="180"/>
    </row>
    <row r="1069" spans="1:10" s="181" customFormat="1" ht="16.5" customHeight="1">
      <c r="A1069" s="276"/>
      <c r="B1069" s="155" t="s">
        <v>465</v>
      </c>
      <c r="C1069" s="149"/>
      <c r="D1069" s="149"/>
      <c r="E1069" s="149"/>
      <c r="F1069" s="150"/>
      <c r="G1069" s="150"/>
      <c r="H1069" s="158"/>
      <c r="I1069" s="159"/>
      <c r="J1069" s="180"/>
    </row>
    <row r="1070" spans="1:10" s="181" customFormat="1" ht="16.5" customHeight="1">
      <c r="A1070" s="276"/>
      <c r="B1070" s="148" t="s">
        <v>1750</v>
      </c>
      <c r="C1070" s="149">
        <v>1</v>
      </c>
      <c r="D1070" s="149" t="s">
        <v>73</v>
      </c>
      <c r="E1070" s="149">
        <v>2</v>
      </c>
      <c r="F1070" s="150">
        <v>38.4</v>
      </c>
      <c r="G1070" s="150"/>
      <c r="H1070" s="150">
        <v>1.2</v>
      </c>
      <c r="I1070" s="151">
        <f>ROUND(PRODUCT(C1070:H1070),2)</f>
        <v>92.16</v>
      </c>
      <c r="J1070" s="180"/>
    </row>
    <row r="1071" spans="1:10" s="181" customFormat="1" ht="16.5" customHeight="1">
      <c r="A1071" s="276"/>
      <c r="B1071" s="148" t="s">
        <v>1751</v>
      </c>
      <c r="C1071" s="149">
        <v>1</v>
      </c>
      <c r="D1071" s="149" t="s">
        <v>73</v>
      </c>
      <c r="E1071" s="149">
        <v>2</v>
      </c>
      <c r="F1071" s="150">
        <v>53</v>
      </c>
      <c r="G1071" s="150"/>
      <c r="H1071" s="150">
        <v>1.2</v>
      </c>
      <c r="I1071" s="151">
        <f>ROUND(PRODUCT(C1071:H1071),2)</f>
        <v>127.2</v>
      </c>
      <c r="J1071" s="180"/>
    </row>
    <row r="1072" spans="1:10" s="181" customFormat="1">
      <c r="A1072" s="276"/>
      <c r="B1072" s="148" t="s">
        <v>466</v>
      </c>
      <c r="C1072" s="149">
        <v>1</v>
      </c>
      <c r="D1072" s="149" t="s">
        <v>73</v>
      </c>
      <c r="E1072" s="149">
        <v>1</v>
      </c>
      <c r="F1072" s="150">
        <v>6.6</v>
      </c>
      <c r="G1072" s="150"/>
      <c r="H1072" s="165">
        <v>1.075</v>
      </c>
      <c r="I1072" s="151">
        <f>ROUND(PRODUCT(C1072:H1072),2)</f>
        <v>7.1</v>
      </c>
      <c r="J1072" s="180"/>
    </row>
    <row r="1073" spans="1:10" s="181" customFormat="1">
      <c r="A1073" s="276"/>
      <c r="B1073" s="148" t="s">
        <v>467</v>
      </c>
      <c r="C1073" s="149">
        <v>1</v>
      </c>
      <c r="D1073" s="149" t="s">
        <v>73</v>
      </c>
      <c r="E1073" s="149">
        <v>1</v>
      </c>
      <c r="F1073" s="150">
        <v>8.44</v>
      </c>
      <c r="G1073" s="150"/>
      <c r="H1073" s="150">
        <v>1.2</v>
      </c>
      <c r="I1073" s="151">
        <f>ROUND(PRODUCT(C1073:H1073),2)</f>
        <v>10.130000000000001</v>
      </c>
      <c r="J1073" s="180"/>
    </row>
    <row r="1074" spans="1:10" s="181" customFormat="1">
      <c r="A1074" s="276"/>
      <c r="B1074" s="148"/>
      <c r="C1074" s="149"/>
      <c r="D1074" s="149"/>
      <c r="E1074" s="149"/>
      <c r="F1074" s="150"/>
      <c r="G1074" s="158" t="s">
        <v>246</v>
      </c>
      <c r="H1074" s="158"/>
      <c r="I1074" s="159">
        <f>SUM(I1070:I1073)</f>
        <v>236.59</v>
      </c>
      <c r="J1074" s="180" t="s">
        <v>75</v>
      </c>
    </row>
    <row r="1075" spans="1:10" s="181" customFormat="1">
      <c r="A1075" s="276"/>
      <c r="B1075" s="148"/>
      <c r="C1075" s="149"/>
      <c r="D1075" s="149"/>
      <c r="E1075" s="149"/>
      <c r="F1075" s="150"/>
      <c r="G1075" s="158"/>
      <c r="H1075" s="158"/>
      <c r="I1075" s="159"/>
      <c r="J1075" s="221"/>
    </row>
    <row r="1076" spans="1:10" s="181" customFormat="1" ht="93.75">
      <c r="A1076" s="276" t="s">
        <v>468</v>
      </c>
      <c r="B1076" s="155" t="s">
        <v>469</v>
      </c>
      <c r="C1076" s="149"/>
      <c r="D1076" s="149"/>
      <c r="E1076" s="149"/>
      <c r="F1076" s="150"/>
      <c r="G1076" s="158"/>
      <c r="H1076" s="150"/>
      <c r="I1076" s="151"/>
      <c r="J1076" s="221"/>
    </row>
    <row r="1077" spans="1:10" s="181" customFormat="1">
      <c r="A1077" s="276"/>
      <c r="B1077" s="148" t="s">
        <v>470</v>
      </c>
      <c r="C1077" s="149">
        <v>1</v>
      </c>
      <c r="D1077" s="149" t="s">
        <v>73</v>
      </c>
      <c r="E1077" s="149">
        <v>1</v>
      </c>
      <c r="F1077" s="150">
        <v>0.75</v>
      </c>
      <c r="G1077" s="150"/>
      <c r="H1077" s="150">
        <v>2.1</v>
      </c>
      <c r="I1077" s="151">
        <f>ROUND(PRODUCT(C1077:H1077),2)</f>
        <v>1.58</v>
      </c>
      <c r="J1077" s="180"/>
    </row>
    <row r="1078" spans="1:10" s="154" customFormat="1">
      <c r="A1078" s="276"/>
      <c r="B1078" s="148" t="s">
        <v>471</v>
      </c>
      <c r="C1078" s="149">
        <v>1</v>
      </c>
      <c r="D1078" s="149" t="s">
        <v>73</v>
      </c>
      <c r="E1078" s="149">
        <v>10</v>
      </c>
      <c r="F1078" s="150">
        <v>0.75</v>
      </c>
      <c r="G1078" s="150"/>
      <c r="H1078" s="150">
        <v>2.1</v>
      </c>
      <c r="I1078" s="151">
        <f>ROUND(PRODUCT(C1078:H1078),2)</f>
        <v>15.75</v>
      </c>
      <c r="J1078" s="161"/>
    </row>
    <row r="1079" spans="1:10" s="181" customFormat="1">
      <c r="A1079" s="276"/>
      <c r="B1079" s="148" t="s">
        <v>311</v>
      </c>
      <c r="C1079" s="149">
        <v>1</v>
      </c>
      <c r="D1079" s="149" t="s">
        <v>73</v>
      </c>
      <c r="E1079" s="149">
        <v>2</v>
      </c>
      <c r="F1079" s="150">
        <v>0.75</v>
      </c>
      <c r="G1079" s="150"/>
      <c r="H1079" s="150">
        <v>1.35</v>
      </c>
      <c r="I1079" s="151">
        <f>ROUND(PRODUCT(C1079:H1079),2)</f>
        <v>2.0299999999999998</v>
      </c>
      <c r="J1079" s="180"/>
    </row>
    <row r="1080" spans="1:10" s="181" customFormat="1">
      <c r="A1080" s="276"/>
      <c r="B1080" s="148"/>
      <c r="C1080" s="149"/>
      <c r="D1080" s="149"/>
      <c r="E1080" s="149"/>
      <c r="F1080" s="150"/>
      <c r="G1080" s="158" t="s">
        <v>11</v>
      </c>
      <c r="H1080" s="150"/>
      <c r="I1080" s="159">
        <f>SUM(I1077:I1079)</f>
        <v>19.36</v>
      </c>
      <c r="J1080" s="180" t="s">
        <v>176</v>
      </c>
    </row>
    <row r="1081" spans="1:10" s="181" customFormat="1">
      <c r="A1081" s="276"/>
      <c r="B1081" s="148"/>
      <c r="C1081" s="149"/>
      <c r="D1081" s="149"/>
      <c r="E1081" s="149"/>
      <c r="F1081" s="150"/>
      <c r="G1081" s="150"/>
      <c r="H1081" s="158"/>
      <c r="I1081" s="159"/>
      <c r="J1081" s="180"/>
    </row>
    <row r="1082" spans="1:10" s="181" customFormat="1" ht="56.25">
      <c r="A1082" s="276" t="s">
        <v>94</v>
      </c>
      <c r="B1082" s="222" t="s">
        <v>479</v>
      </c>
      <c r="C1082" s="149"/>
      <c r="D1082" s="149"/>
      <c r="E1082" s="149"/>
      <c r="F1082" s="150"/>
      <c r="G1082" s="150"/>
      <c r="H1082" s="150"/>
      <c r="I1082" s="151"/>
      <c r="J1082" s="180"/>
    </row>
    <row r="1083" spans="1:10" s="181" customFormat="1">
      <c r="A1083" s="276"/>
      <c r="B1083" s="155" t="s">
        <v>250</v>
      </c>
      <c r="C1083" s="149"/>
      <c r="D1083" s="149"/>
      <c r="E1083" s="149"/>
      <c r="F1083" s="150"/>
      <c r="G1083" s="150"/>
      <c r="H1083" s="150"/>
      <c r="I1083" s="151">
        <f>ROUND(PRODUCT(C1083:H1083),2)</f>
        <v>0</v>
      </c>
      <c r="J1083" s="180"/>
    </row>
    <row r="1084" spans="1:10" s="181" customFormat="1">
      <c r="A1084" s="276"/>
      <c r="B1084" s="148" t="s">
        <v>1314</v>
      </c>
      <c r="C1084" s="149">
        <v>1</v>
      </c>
      <c r="D1084" s="149" t="s">
        <v>73</v>
      </c>
      <c r="E1084" s="149">
        <v>1</v>
      </c>
      <c r="F1084" s="150">
        <v>1.2</v>
      </c>
      <c r="G1084" s="150"/>
      <c r="H1084" s="150">
        <v>2.1</v>
      </c>
      <c r="I1084" s="151">
        <f>ROUND(PRODUCT(C1084:H1084),2)</f>
        <v>2.52</v>
      </c>
      <c r="J1084" s="180"/>
    </row>
    <row r="1085" spans="1:10" s="181" customFormat="1">
      <c r="A1085" s="276"/>
      <c r="B1085" s="148" t="s">
        <v>1343</v>
      </c>
      <c r="C1085" s="149">
        <v>1</v>
      </c>
      <c r="D1085" s="149" t="s">
        <v>73</v>
      </c>
      <c r="E1085" s="149">
        <v>3</v>
      </c>
      <c r="F1085" s="150">
        <v>1.35</v>
      </c>
      <c r="G1085" s="150"/>
      <c r="H1085" s="150">
        <v>2.1</v>
      </c>
      <c r="I1085" s="151">
        <f>ROUND(PRODUCT(C1085:H1085),2)</f>
        <v>8.51</v>
      </c>
      <c r="J1085" s="180"/>
    </row>
    <row r="1086" spans="1:10" s="181" customFormat="1">
      <c r="A1086" s="276"/>
      <c r="B1086" s="155" t="s">
        <v>253</v>
      </c>
      <c r="C1086" s="149"/>
      <c r="D1086" s="149"/>
      <c r="E1086" s="149"/>
      <c r="F1086" s="150"/>
      <c r="G1086" s="150"/>
      <c r="H1086" s="150"/>
      <c r="I1086" s="151"/>
      <c r="J1086" s="180"/>
    </row>
    <row r="1087" spans="1:10" s="181" customFormat="1">
      <c r="A1087" s="276"/>
      <c r="B1087" s="148" t="s">
        <v>1314</v>
      </c>
      <c r="C1087" s="149">
        <v>1</v>
      </c>
      <c r="D1087" s="149" t="s">
        <v>73</v>
      </c>
      <c r="E1087" s="149">
        <v>1</v>
      </c>
      <c r="F1087" s="150">
        <v>1.2</v>
      </c>
      <c r="G1087" s="150"/>
      <c r="H1087" s="150">
        <v>2.1</v>
      </c>
      <c r="I1087" s="151">
        <f>ROUND(PRODUCT(C1087:H1087),2)</f>
        <v>2.52</v>
      </c>
      <c r="J1087" s="180"/>
    </row>
    <row r="1088" spans="1:10" s="181" customFormat="1">
      <c r="A1088" s="276"/>
      <c r="B1088" s="148" t="s">
        <v>1343</v>
      </c>
      <c r="C1088" s="149">
        <v>1</v>
      </c>
      <c r="D1088" s="149" t="s">
        <v>73</v>
      </c>
      <c r="E1088" s="149">
        <v>3</v>
      </c>
      <c r="F1088" s="150">
        <v>1.35</v>
      </c>
      <c r="G1088" s="150"/>
      <c r="H1088" s="150">
        <v>2.1</v>
      </c>
      <c r="I1088" s="151">
        <f>ROUND(PRODUCT(C1088:H1088),2)</f>
        <v>8.51</v>
      </c>
      <c r="J1088" s="180"/>
    </row>
    <row r="1089" spans="1:10" s="181" customFormat="1">
      <c r="B1089" s="155"/>
      <c r="C1089" s="149"/>
      <c r="D1089" s="149"/>
      <c r="E1089" s="149"/>
      <c r="F1089" s="150"/>
      <c r="G1089" s="150"/>
      <c r="H1089" s="158" t="s">
        <v>74</v>
      </c>
      <c r="I1089" s="159">
        <f>SUM(I1084:I1088)</f>
        <v>22.06</v>
      </c>
      <c r="J1089" s="180"/>
    </row>
    <row r="1090" spans="1:10" s="181" customFormat="1" ht="15" customHeight="1">
      <c r="A1090" s="152"/>
      <c r="B1090" s="155"/>
      <c r="C1090" s="149"/>
      <c r="D1090" s="149"/>
      <c r="E1090" s="149"/>
      <c r="F1090" s="150"/>
      <c r="G1090" s="150"/>
      <c r="H1090" s="158"/>
      <c r="I1090" s="159"/>
      <c r="J1090" s="180"/>
    </row>
    <row r="1091" spans="1:10" s="181" customFormat="1" ht="54.75" customHeight="1">
      <c r="A1091" s="276" t="s">
        <v>1453</v>
      </c>
      <c r="B1091" s="223" t="s">
        <v>480</v>
      </c>
      <c r="C1091" s="149"/>
      <c r="D1091" s="149"/>
      <c r="E1091" s="149"/>
      <c r="F1091" s="150"/>
      <c r="G1091" s="150"/>
      <c r="H1091" s="158"/>
      <c r="I1091" s="159"/>
      <c r="J1091" s="180"/>
    </row>
    <row r="1092" spans="1:10" s="181" customFormat="1" ht="15" customHeight="1">
      <c r="A1092" s="276"/>
      <c r="B1092" s="155" t="s">
        <v>272</v>
      </c>
      <c r="C1092" s="149"/>
      <c r="D1092" s="149"/>
      <c r="E1092" s="149"/>
      <c r="F1092" s="150"/>
      <c r="G1092" s="150"/>
      <c r="H1092" s="150"/>
      <c r="I1092" s="151"/>
      <c r="J1092" s="180"/>
    </row>
    <row r="1093" spans="1:10" s="154" customFormat="1">
      <c r="A1093" s="276"/>
      <c r="B1093" s="148" t="s">
        <v>273</v>
      </c>
      <c r="C1093" s="149">
        <v>1</v>
      </c>
      <c r="D1093" s="149" t="s">
        <v>73</v>
      </c>
      <c r="E1093" s="149">
        <v>2</v>
      </c>
      <c r="F1093" s="150">
        <v>3.1</v>
      </c>
      <c r="G1093" s="150"/>
      <c r="H1093" s="150">
        <v>2.1</v>
      </c>
      <c r="I1093" s="159">
        <f>ROUND(PRODUCT(C1093:H1093),2)</f>
        <v>13.02</v>
      </c>
      <c r="J1093" s="180" t="s">
        <v>75</v>
      </c>
    </row>
    <row r="1094" spans="1:10" s="154" customFormat="1">
      <c r="A1094" s="276"/>
      <c r="B1094" s="148"/>
      <c r="C1094" s="149"/>
      <c r="D1094" s="149"/>
      <c r="E1094" s="149"/>
      <c r="F1094" s="150"/>
      <c r="G1094" s="158"/>
      <c r="H1094" s="158"/>
      <c r="I1094" s="159"/>
      <c r="J1094" s="180"/>
    </row>
    <row r="1095" spans="1:10" s="181" customFormat="1" ht="35.25" customHeight="1">
      <c r="A1095" s="276" t="s">
        <v>95</v>
      </c>
      <c r="B1095" s="155" t="s">
        <v>481</v>
      </c>
      <c r="C1095" s="149"/>
      <c r="D1095" s="149"/>
      <c r="E1095" s="149"/>
      <c r="F1095" s="150"/>
      <c r="G1095" s="150"/>
      <c r="H1095" s="150"/>
      <c r="I1095" s="151"/>
      <c r="J1095" s="180"/>
    </row>
    <row r="1096" spans="1:10" s="181" customFormat="1">
      <c r="A1096" s="276"/>
      <c r="B1096" s="155" t="s">
        <v>482</v>
      </c>
      <c r="C1096" s="149"/>
      <c r="D1096" s="149"/>
      <c r="E1096" s="149"/>
      <c r="F1096" s="150"/>
      <c r="G1096" s="150"/>
      <c r="H1096" s="150"/>
      <c r="I1096" s="151"/>
      <c r="J1096" s="180"/>
    </row>
    <row r="1097" spans="1:10" s="181" customFormat="1">
      <c r="A1097" s="276"/>
      <c r="B1097" s="148" t="s">
        <v>483</v>
      </c>
      <c r="C1097" s="149">
        <v>1</v>
      </c>
      <c r="D1097" s="149" t="s">
        <v>73</v>
      </c>
      <c r="E1097" s="149">
        <v>1</v>
      </c>
      <c r="F1097" s="150">
        <v>0.8</v>
      </c>
      <c r="G1097" s="150"/>
      <c r="H1097" s="150">
        <v>2.0499999999999998</v>
      </c>
      <c r="I1097" s="151">
        <f>ROUND(PRODUCT(C1097:H1097),2)</f>
        <v>1.64</v>
      </c>
      <c r="J1097" s="221"/>
    </row>
    <row r="1098" spans="1:10" s="181" customFormat="1" ht="21" customHeight="1">
      <c r="A1098" s="276"/>
      <c r="B1098" s="148" t="s">
        <v>333</v>
      </c>
      <c r="C1098" s="149">
        <v>1</v>
      </c>
      <c r="D1098" s="149" t="s">
        <v>73</v>
      </c>
      <c r="E1098" s="149">
        <v>2</v>
      </c>
      <c r="F1098" s="150">
        <v>0.8</v>
      </c>
      <c r="G1098" s="150"/>
      <c r="H1098" s="150">
        <v>2.0499999999999998</v>
      </c>
      <c r="I1098" s="151">
        <f>ROUND(PRODUCT(C1098:H1098),2)</f>
        <v>3.28</v>
      </c>
      <c r="J1098" s="180"/>
    </row>
    <row r="1099" spans="1:10" s="181" customFormat="1">
      <c r="A1099" s="276"/>
      <c r="B1099" s="148"/>
      <c r="C1099" s="149"/>
      <c r="D1099" s="149"/>
      <c r="E1099" s="149"/>
      <c r="F1099" s="150"/>
      <c r="G1099" s="150"/>
      <c r="H1099" s="150"/>
      <c r="I1099" s="159">
        <f>SUM(I1097:I1098)</f>
        <v>4.92</v>
      </c>
      <c r="J1099" s="180" t="s">
        <v>75</v>
      </c>
    </row>
    <row r="1100" spans="1:10" s="181" customFormat="1" ht="16.5" customHeight="1">
      <c r="A1100" s="276"/>
      <c r="B1100" s="148"/>
      <c r="C1100" s="149"/>
      <c r="D1100" s="149"/>
      <c r="E1100" s="149"/>
      <c r="F1100" s="150"/>
      <c r="G1100" s="150"/>
      <c r="H1100" s="158"/>
      <c r="I1100" s="159"/>
      <c r="J1100" s="180"/>
    </row>
    <row r="1101" spans="1:10" s="181" customFormat="1" ht="16.5" customHeight="1">
      <c r="A1101" s="276"/>
      <c r="B1101" s="222" t="s">
        <v>1454</v>
      </c>
      <c r="C1101" s="149"/>
      <c r="D1101" s="149"/>
      <c r="E1101" s="149"/>
      <c r="F1101" s="150"/>
      <c r="G1101" s="150"/>
      <c r="H1101" s="150"/>
      <c r="I1101" s="151"/>
      <c r="J1101" s="180"/>
    </row>
    <row r="1102" spans="1:10" s="181" customFormat="1" ht="32.25" customHeight="1">
      <c r="A1102" s="276"/>
      <c r="B1102" s="148" t="s">
        <v>477</v>
      </c>
      <c r="C1102" s="149">
        <v>1</v>
      </c>
      <c r="D1102" s="149" t="s">
        <v>73</v>
      </c>
      <c r="E1102" s="149">
        <v>1</v>
      </c>
      <c r="F1102" s="150">
        <v>0.9</v>
      </c>
      <c r="G1102" s="150"/>
      <c r="H1102" s="150">
        <v>2.0499999999999998</v>
      </c>
      <c r="I1102" s="151">
        <f>ROUND(PRODUCT(C1102:H1102),2)</f>
        <v>1.85</v>
      </c>
      <c r="J1102" s="180"/>
    </row>
    <row r="1103" spans="1:10" s="181" customFormat="1">
      <c r="A1103" s="276"/>
      <c r="B1103" s="148" t="s">
        <v>475</v>
      </c>
      <c r="C1103" s="149">
        <v>1</v>
      </c>
      <c r="D1103" s="149" t="s">
        <v>73</v>
      </c>
      <c r="E1103" s="149">
        <v>6</v>
      </c>
      <c r="F1103" s="150">
        <v>0.9</v>
      </c>
      <c r="G1103" s="150"/>
      <c r="H1103" s="150">
        <v>2.0499999999999998</v>
      </c>
      <c r="I1103" s="151">
        <f>ROUND(PRODUCT(C1103:H1103),2)</f>
        <v>11.07</v>
      </c>
      <c r="J1103" s="180"/>
    </row>
    <row r="1104" spans="1:10" s="181" customFormat="1">
      <c r="A1104" s="276"/>
      <c r="B1104" s="148" t="s">
        <v>478</v>
      </c>
      <c r="C1104" s="149">
        <v>1</v>
      </c>
      <c r="D1104" s="149" t="s">
        <v>73</v>
      </c>
      <c r="E1104" s="149">
        <v>5</v>
      </c>
      <c r="F1104" s="150">
        <v>0.9</v>
      </c>
      <c r="G1104" s="150"/>
      <c r="H1104" s="150">
        <v>2.0499999999999998</v>
      </c>
      <c r="I1104" s="151">
        <f>ROUND(PRODUCT(C1104:H1104),2)</f>
        <v>9.23</v>
      </c>
      <c r="J1104" s="180"/>
    </row>
    <row r="1105" spans="1:10" s="181" customFormat="1">
      <c r="A1105" s="276"/>
      <c r="B1105" s="148" t="s">
        <v>484</v>
      </c>
      <c r="C1105" s="149">
        <v>1</v>
      </c>
      <c r="D1105" s="149" t="s">
        <v>73</v>
      </c>
      <c r="E1105" s="149">
        <v>2</v>
      </c>
      <c r="F1105" s="150">
        <v>0.9</v>
      </c>
      <c r="G1105" s="150"/>
      <c r="H1105" s="150">
        <v>2.0499999999999998</v>
      </c>
      <c r="I1105" s="151">
        <f>ROUND(PRODUCT(C1105:H1105),2)</f>
        <v>3.69</v>
      </c>
      <c r="J1105" s="180"/>
    </row>
    <row r="1106" spans="1:10" s="181" customFormat="1">
      <c r="A1106" s="276"/>
      <c r="B1106" s="148"/>
      <c r="C1106" s="149"/>
      <c r="D1106" s="149"/>
      <c r="E1106" s="149"/>
      <c r="F1106" s="150"/>
      <c r="G1106" s="150"/>
      <c r="H1106" s="158" t="s">
        <v>74</v>
      </c>
      <c r="I1106" s="159">
        <f>SUM(I1102:I1105)</f>
        <v>25.84</v>
      </c>
      <c r="J1106" s="180" t="s">
        <v>75</v>
      </c>
    </row>
    <row r="1107" spans="1:10" s="181" customFormat="1">
      <c r="A1107" s="276"/>
      <c r="B1107" s="148"/>
      <c r="C1107" s="149"/>
      <c r="D1107" s="149"/>
      <c r="E1107" s="149"/>
      <c r="F1107" s="150"/>
      <c r="G1107" s="158"/>
      <c r="H1107" s="158"/>
      <c r="I1107" s="159"/>
      <c r="J1107" s="180"/>
    </row>
    <row r="1108" spans="1:10" s="181" customFormat="1" ht="56.25">
      <c r="A1108" s="276">
        <v>23.5</v>
      </c>
      <c r="B1108" s="155" t="s">
        <v>485</v>
      </c>
      <c r="C1108" s="149"/>
      <c r="D1108" s="149"/>
      <c r="E1108" s="149"/>
      <c r="F1108" s="150"/>
      <c r="G1108" s="150"/>
      <c r="H1108" s="150"/>
      <c r="I1108" s="151"/>
      <c r="J1108" s="180"/>
    </row>
    <row r="1109" spans="1:10" s="181" customFormat="1">
      <c r="A1109" s="276"/>
      <c r="B1109" s="155" t="s">
        <v>486</v>
      </c>
      <c r="C1109" s="149"/>
      <c r="D1109" s="149"/>
      <c r="E1109" s="149"/>
      <c r="F1109" s="150"/>
      <c r="G1109" s="150"/>
      <c r="H1109" s="150"/>
      <c r="I1109" s="151"/>
      <c r="J1109" s="180"/>
    </row>
    <row r="1110" spans="1:10" s="181" customFormat="1">
      <c r="A1110" s="276"/>
      <c r="B1110" s="148" t="s">
        <v>487</v>
      </c>
      <c r="C1110" s="149">
        <v>1</v>
      </c>
      <c r="D1110" s="149" t="s">
        <v>73</v>
      </c>
      <c r="E1110" s="149">
        <v>2</v>
      </c>
      <c r="F1110" s="150"/>
      <c r="G1110" s="150"/>
      <c r="H1110" s="150"/>
      <c r="I1110" s="159">
        <f>ROUND(PRODUCT(C1110:H1110),2)</f>
        <v>2</v>
      </c>
      <c r="J1110" s="180" t="s">
        <v>128</v>
      </c>
    </row>
    <row r="1111" spans="1:10" s="181" customFormat="1">
      <c r="A1111" s="276"/>
      <c r="B1111" s="148"/>
      <c r="C1111" s="149"/>
      <c r="D1111" s="149"/>
      <c r="E1111" s="149"/>
      <c r="F1111" s="150"/>
      <c r="G1111" s="150"/>
      <c r="H1111" s="150"/>
      <c r="I1111" s="159"/>
      <c r="J1111" s="180"/>
    </row>
    <row r="1112" spans="1:10" s="181" customFormat="1" ht="56.25">
      <c r="A1112" s="276">
        <v>24.1</v>
      </c>
      <c r="B1112" s="155" t="s">
        <v>488</v>
      </c>
      <c r="C1112" s="149"/>
      <c r="D1112" s="149"/>
      <c r="E1112" s="149"/>
      <c r="F1112" s="150"/>
      <c r="G1112" s="150"/>
      <c r="H1112" s="150"/>
      <c r="I1112" s="151"/>
      <c r="J1112" s="180"/>
    </row>
    <row r="1113" spans="1:10" s="181" customFormat="1">
      <c r="A1113" s="276"/>
      <c r="B1113" s="155" t="s">
        <v>489</v>
      </c>
      <c r="C1113" s="149"/>
      <c r="D1113" s="149"/>
      <c r="E1113" s="149"/>
      <c r="F1113" s="150"/>
      <c r="G1113" s="150"/>
      <c r="H1113" s="150"/>
      <c r="I1113" s="151"/>
      <c r="J1113" s="180"/>
    </row>
    <row r="1114" spans="1:10" s="181" customFormat="1" ht="18" customHeight="1">
      <c r="A1114" s="276"/>
      <c r="B1114" s="155" t="s">
        <v>189</v>
      </c>
      <c r="C1114" s="149"/>
      <c r="D1114" s="149"/>
      <c r="E1114" s="149"/>
      <c r="F1114" s="150"/>
      <c r="G1114" s="150"/>
      <c r="H1114" s="150"/>
      <c r="I1114" s="151"/>
      <c r="J1114" s="180"/>
    </row>
    <row r="1115" spans="1:10" s="181" customFormat="1">
      <c r="A1115" s="276"/>
      <c r="B1115" s="148" t="s">
        <v>490</v>
      </c>
      <c r="C1115" s="149">
        <v>1</v>
      </c>
      <c r="D1115" s="149" t="s">
        <v>73</v>
      </c>
      <c r="E1115" s="149">
        <v>2</v>
      </c>
      <c r="F1115" s="150">
        <v>0.9</v>
      </c>
      <c r="G1115" s="150"/>
      <c r="H1115" s="150">
        <v>0.45</v>
      </c>
      <c r="I1115" s="159">
        <f>ROUND(PRODUCT(C1115:H1115),2)</f>
        <v>0.81</v>
      </c>
      <c r="J1115" s="180" t="s">
        <v>75</v>
      </c>
    </row>
    <row r="1116" spans="1:10" s="181" customFormat="1" ht="18.75" customHeight="1">
      <c r="B1116" s="148"/>
      <c r="C1116" s="149"/>
      <c r="D1116" s="149"/>
      <c r="E1116" s="149"/>
      <c r="F1116" s="150"/>
      <c r="G1116" s="150"/>
      <c r="H1116" s="224"/>
      <c r="I1116" s="159"/>
      <c r="J1116" s="180"/>
    </row>
    <row r="1117" spans="1:10" s="181" customFormat="1" ht="104.25" customHeight="1">
      <c r="A1117" s="276">
        <v>29.8</v>
      </c>
      <c r="B1117" s="178" t="s">
        <v>491</v>
      </c>
      <c r="C1117" s="149"/>
      <c r="D1117" s="149"/>
      <c r="E1117" s="149"/>
      <c r="F1117" s="150"/>
      <c r="G1117" s="158"/>
      <c r="H1117" s="150"/>
      <c r="I1117" s="159"/>
      <c r="J1117" s="180"/>
    </row>
    <row r="1118" spans="1:10" s="181" customFormat="1">
      <c r="A1118" s="276"/>
      <c r="B1118" s="155" t="s">
        <v>492</v>
      </c>
      <c r="C1118" s="149"/>
      <c r="D1118" s="149"/>
      <c r="E1118" s="149"/>
      <c r="F1118" s="150"/>
      <c r="G1118" s="158"/>
      <c r="H1118" s="150"/>
      <c r="I1118" s="159"/>
      <c r="J1118" s="180"/>
    </row>
    <row r="1119" spans="1:10" s="181" customFormat="1">
      <c r="B1119" s="148" t="s">
        <v>493</v>
      </c>
      <c r="C1119" s="149">
        <v>1</v>
      </c>
      <c r="D1119" s="156" t="s">
        <v>73</v>
      </c>
      <c r="E1119" s="149">
        <v>2</v>
      </c>
      <c r="F1119" s="150">
        <f>2*(1.5+2.7)</f>
        <v>8.4</v>
      </c>
      <c r="G1119" s="150"/>
      <c r="H1119" s="150">
        <v>1.5</v>
      </c>
      <c r="I1119" s="151">
        <f>ROUND(PRODUCT(C1119:H1119),2)</f>
        <v>25.2</v>
      </c>
      <c r="J1119" s="180"/>
    </row>
    <row r="1120" spans="1:10" s="181" customFormat="1" ht="16.5" customHeight="1">
      <c r="A1120" s="276"/>
      <c r="B1120" s="148" t="s">
        <v>1345</v>
      </c>
      <c r="C1120" s="149">
        <v>1</v>
      </c>
      <c r="D1120" s="156" t="s">
        <v>73</v>
      </c>
      <c r="E1120" s="149">
        <v>1</v>
      </c>
      <c r="F1120" s="150">
        <v>0.75</v>
      </c>
      <c r="G1120" s="150"/>
      <c r="H1120" s="165">
        <v>1.425</v>
      </c>
      <c r="I1120" s="151">
        <f>-ROUND(PRODUCT(C1120:H1120),2)</f>
        <v>-1.07</v>
      </c>
      <c r="J1120" s="180"/>
    </row>
    <row r="1121" spans="1:10" s="181" customFormat="1" ht="16.5" customHeight="1">
      <c r="A1121" s="276"/>
      <c r="B1121" s="148" t="s">
        <v>1344</v>
      </c>
      <c r="C1121" s="149">
        <v>1</v>
      </c>
      <c r="D1121" s="156" t="s">
        <v>73</v>
      </c>
      <c r="E1121" s="149">
        <v>1</v>
      </c>
      <c r="F1121" s="150">
        <v>1</v>
      </c>
      <c r="G1121" s="150"/>
      <c r="H1121" s="165">
        <v>1.425</v>
      </c>
      <c r="I1121" s="151">
        <f>-ROUND(PRODUCT(C1121:H1121),2)</f>
        <v>-1.43</v>
      </c>
      <c r="J1121" s="180"/>
    </row>
    <row r="1122" spans="1:10" s="181" customFormat="1">
      <c r="A1122" s="276"/>
      <c r="B1122" s="148" t="s">
        <v>495</v>
      </c>
      <c r="C1122" s="149">
        <v>2</v>
      </c>
      <c r="D1122" s="156" t="s">
        <v>73</v>
      </c>
      <c r="E1122" s="149">
        <v>2</v>
      </c>
      <c r="F1122" s="165">
        <v>0.23</v>
      </c>
      <c r="G1122" s="150"/>
      <c r="H1122" s="150">
        <v>1.5</v>
      </c>
      <c r="I1122" s="151">
        <f>ROUND(PRODUCT(C1122:H1122),2)</f>
        <v>1.38</v>
      </c>
      <c r="J1122" s="180"/>
    </row>
    <row r="1123" spans="1:10" s="181" customFormat="1" ht="16.5" customHeight="1">
      <c r="A1123" s="276"/>
      <c r="B1123" s="155" t="s">
        <v>171</v>
      </c>
      <c r="C1123" s="149"/>
      <c r="D1123" s="149"/>
      <c r="E1123" s="149"/>
      <c r="F1123" s="150"/>
      <c r="G1123" s="158"/>
      <c r="H1123" s="150"/>
      <c r="I1123" s="151">
        <f>ROUND(PRODUCT(C1123:H1123),2)</f>
        <v>0</v>
      </c>
      <c r="J1123" s="180"/>
    </row>
    <row r="1124" spans="1:10" s="181" customFormat="1" ht="19.5" customHeight="1">
      <c r="B1124" s="148" t="s">
        <v>177</v>
      </c>
      <c r="C1124" s="149">
        <v>1</v>
      </c>
      <c r="D1124" s="156" t="s">
        <v>73</v>
      </c>
      <c r="E1124" s="149">
        <v>1</v>
      </c>
      <c r="F1124" s="150">
        <f>2*(2.075+1.32)</f>
        <v>6.7900000000000009</v>
      </c>
      <c r="G1124" s="150"/>
      <c r="H1124" s="150">
        <v>2.1</v>
      </c>
      <c r="I1124" s="151">
        <f>ROUND(PRODUCT(C1124:H1124),2)</f>
        <v>14.26</v>
      </c>
      <c r="J1124" s="180"/>
    </row>
    <row r="1125" spans="1:10" s="181" customFormat="1">
      <c r="A1125" s="276"/>
      <c r="B1125" s="148" t="s">
        <v>494</v>
      </c>
      <c r="C1125" s="149">
        <v>1</v>
      </c>
      <c r="D1125" s="156" t="s">
        <v>73</v>
      </c>
      <c r="E1125" s="149">
        <v>1</v>
      </c>
      <c r="F1125" s="150">
        <v>0.75</v>
      </c>
      <c r="G1125" s="150"/>
      <c r="H1125" s="165">
        <v>2.0249999999999999</v>
      </c>
      <c r="I1125" s="151">
        <f>-ROUND(PRODUCT(C1125:H1125),2)</f>
        <v>-1.52</v>
      </c>
      <c r="J1125" s="180"/>
    </row>
    <row r="1126" spans="1:10" s="181" customFormat="1">
      <c r="A1126" s="276"/>
      <c r="B1126" s="148" t="s">
        <v>495</v>
      </c>
      <c r="C1126" s="149">
        <v>1</v>
      </c>
      <c r="D1126" s="156" t="s">
        <v>73</v>
      </c>
      <c r="E1126" s="149">
        <v>2</v>
      </c>
      <c r="F1126" s="165">
        <v>0.115</v>
      </c>
      <c r="G1126" s="150"/>
      <c r="H1126" s="150">
        <v>2.1</v>
      </c>
      <c r="I1126" s="151">
        <f>ROUND(PRODUCT(C1126:H1126),2)</f>
        <v>0.48</v>
      </c>
      <c r="J1126" s="180"/>
    </row>
    <row r="1127" spans="1:10" s="181" customFormat="1">
      <c r="A1127" s="276"/>
      <c r="B1127" s="148" t="s">
        <v>496</v>
      </c>
      <c r="C1127" s="149">
        <v>1</v>
      </c>
      <c r="D1127" s="156" t="s">
        <v>73</v>
      </c>
      <c r="E1127" s="149">
        <v>1</v>
      </c>
      <c r="F1127" s="150">
        <f>2*(1.85+1.255)</f>
        <v>6.21</v>
      </c>
      <c r="G1127" s="150"/>
      <c r="H1127" s="150">
        <v>1.5</v>
      </c>
      <c r="I1127" s="151">
        <f>ROUND(PRODUCT(C1127:H1127),2)</f>
        <v>9.32</v>
      </c>
      <c r="J1127" s="180"/>
    </row>
    <row r="1128" spans="1:10" s="181" customFormat="1">
      <c r="A1128" s="276"/>
      <c r="B1128" s="148" t="s">
        <v>494</v>
      </c>
      <c r="C1128" s="149">
        <v>1</v>
      </c>
      <c r="D1128" s="156" t="s">
        <v>73</v>
      </c>
      <c r="E1128" s="149">
        <v>1</v>
      </c>
      <c r="F1128" s="150">
        <v>0.75</v>
      </c>
      <c r="G1128" s="150"/>
      <c r="H1128" s="165">
        <v>1.425</v>
      </c>
      <c r="I1128" s="151">
        <f>-ROUND(PRODUCT(C1128:H1128),2)</f>
        <v>-1.07</v>
      </c>
      <c r="J1128" s="180"/>
    </row>
    <row r="1129" spans="1:10" s="181" customFormat="1">
      <c r="A1129" s="276"/>
      <c r="B1129" s="148" t="s">
        <v>495</v>
      </c>
      <c r="C1129" s="149">
        <v>1</v>
      </c>
      <c r="D1129" s="156" t="s">
        <v>73</v>
      </c>
      <c r="E1129" s="149">
        <v>2</v>
      </c>
      <c r="F1129" s="165">
        <v>0.115</v>
      </c>
      <c r="G1129" s="150"/>
      <c r="H1129" s="150">
        <v>1.5</v>
      </c>
      <c r="I1129" s="151">
        <f>ROUND(PRODUCT(C1129:H1129),2)</f>
        <v>0.35</v>
      </c>
      <c r="J1129" s="180"/>
    </row>
    <row r="1130" spans="1:10" s="181" customFormat="1">
      <c r="A1130" s="276"/>
      <c r="B1130" s="155" t="s">
        <v>157</v>
      </c>
      <c r="C1130" s="149"/>
      <c r="D1130" s="149"/>
      <c r="E1130" s="149"/>
      <c r="F1130" s="150"/>
      <c r="G1130" s="150"/>
      <c r="H1130" s="150"/>
      <c r="I1130" s="151">
        <f>ROUND(PRODUCT(C1130:H1130),2)</f>
        <v>0</v>
      </c>
      <c r="J1130" s="180"/>
    </row>
    <row r="1131" spans="1:10" s="181" customFormat="1">
      <c r="A1131" s="276"/>
      <c r="B1131" s="148" t="s">
        <v>177</v>
      </c>
      <c r="C1131" s="149">
        <v>1</v>
      </c>
      <c r="D1131" s="156" t="s">
        <v>73</v>
      </c>
      <c r="E1131" s="149">
        <v>1</v>
      </c>
      <c r="F1131" s="150">
        <f>2*(2.075+1.32)</f>
        <v>6.7900000000000009</v>
      </c>
      <c r="G1131" s="150"/>
      <c r="H1131" s="150">
        <v>2.1</v>
      </c>
      <c r="I1131" s="151">
        <f>ROUND(PRODUCT(C1131:H1131),2)</f>
        <v>14.26</v>
      </c>
      <c r="J1131" s="180"/>
    </row>
    <row r="1132" spans="1:10" s="181" customFormat="1">
      <c r="A1132" s="276"/>
      <c r="B1132" s="148" t="s">
        <v>494</v>
      </c>
      <c r="C1132" s="149">
        <v>1</v>
      </c>
      <c r="D1132" s="156" t="s">
        <v>73</v>
      </c>
      <c r="E1132" s="149">
        <v>1</v>
      </c>
      <c r="F1132" s="150">
        <v>0.75</v>
      </c>
      <c r="G1132" s="150"/>
      <c r="H1132" s="165">
        <v>2.0249999999999999</v>
      </c>
      <c r="I1132" s="151">
        <f>-ROUND(PRODUCT(C1132:H1132),2)</f>
        <v>-1.52</v>
      </c>
      <c r="J1132" s="180"/>
    </row>
    <row r="1133" spans="1:10" s="181" customFormat="1">
      <c r="A1133" s="276"/>
      <c r="B1133" s="148" t="s">
        <v>495</v>
      </c>
      <c r="C1133" s="149">
        <v>1</v>
      </c>
      <c r="D1133" s="156" t="s">
        <v>73</v>
      </c>
      <c r="E1133" s="149">
        <v>2</v>
      </c>
      <c r="F1133" s="165">
        <v>0.115</v>
      </c>
      <c r="G1133" s="150"/>
      <c r="H1133" s="150">
        <v>2.1</v>
      </c>
      <c r="I1133" s="151">
        <f>ROUND(PRODUCT(C1133:H1133),2)</f>
        <v>0.48</v>
      </c>
      <c r="J1133" s="180"/>
    </row>
    <row r="1134" spans="1:10" s="181" customFormat="1">
      <c r="A1134" s="276"/>
      <c r="B1134" s="148" t="s">
        <v>496</v>
      </c>
      <c r="C1134" s="149">
        <v>1</v>
      </c>
      <c r="D1134" s="156" t="s">
        <v>73</v>
      </c>
      <c r="E1134" s="149">
        <v>1</v>
      </c>
      <c r="F1134" s="150">
        <f>2*(1.85+1.255)</f>
        <v>6.21</v>
      </c>
      <c r="G1134" s="150"/>
      <c r="H1134" s="150">
        <v>1.5</v>
      </c>
      <c r="I1134" s="151">
        <f>ROUND(PRODUCT(C1134:H1134),2)</f>
        <v>9.32</v>
      </c>
      <c r="J1134" s="180"/>
    </row>
    <row r="1135" spans="1:10" s="181" customFormat="1">
      <c r="A1135" s="276"/>
      <c r="B1135" s="148" t="s">
        <v>494</v>
      </c>
      <c r="C1135" s="149">
        <v>1</v>
      </c>
      <c r="D1135" s="156" t="s">
        <v>73</v>
      </c>
      <c r="E1135" s="149">
        <v>1</v>
      </c>
      <c r="F1135" s="150">
        <v>0.75</v>
      </c>
      <c r="G1135" s="150"/>
      <c r="H1135" s="165">
        <v>1.425</v>
      </c>
      <c r="I1135" s="151">
        <f>-ROUND(PRODUCT(C1135:H1135),2)</f>
        <v>-1.07</v>
      </c>
      <c r="J1135" s="180"/>
    </row>
    <row r="1136" spans="1:10" s="181" customFormat="1">
      <c r="A1136" s="276"/>
      <c r="B1136" s="148" t="s">
        <v>495</v>
      </c>
      <c r="C1136" s="149">
        <v>1</v>
      </c>
      <c r="D1136" s="156" t="s">
        <v>73</v>
      </c>
      <c r="E1136" s="149">
        <v>2</v>
      </c>
      <c r="F1136" s="165">
        <v>0.115</v>
      </c>
      <c r="G1136" s="150"/>
      <c r="H1136" s="150">
        <v>1.5</v>
      </c>
      <c r="I1136" s="151">
        <f>ROUND(PRODUCT(C1136:H1136),2)</f>
        <v>0.35</v>
      </c>
      <c r="J1136" s="180"/>
    </row>
    <row r="1137" spans="1:10" s="181" customFormat="1">
      <c r="A1137" s="276"/>
      <c r="B1137" s="155" t="s">
        <v>188</v>
      </c>
      <c r="C1137" s="220"/>
      <c r="D1137" s="225"/>
      <c r="E1137" s="220"/>
      <c r="F1137" s="158"/>
      <c r="G1137" s="158"/>
      <c r="H1137" s="158"/>
      <c r="I1137" s="159"/>
      <c r="J1137" s="180"/>
    </row>
    <row r="1138" spans="1:10" s="181" customFormat="1">
      <c r="A1138" s="276"/>
      <c r="B1138" s="148" t="s">
        <v>497</v>
      </c>
      <c r="C1138" s="149">
        <v>1</v>
      </c>
      <c r="D1138" s="156" t="s">
        <v>73</v>
      </c>
      <c r="E1138" s="149">
        <v>2</v>
      </c>
      <c r="F1138" s="150">
        <f>2*(1.32+1.485)</f>
        <v>5.61</v>
      </c>
      <c r="G1138" s="150"/>
      <c r="H1138" s="150">
        <v>1.5</v>
      </c>
      <c r="I1138" s="151">
        <f>ROUND(PRODUCT(C1138:H1138),2)</f>
        <v>16.829999999999998</v>
      </c>
      <c r="J1138" s="180"/>
    </row>
    <row r="1139" spans="1:10" s="181" customFormat="1">
      <c r="A1139" s="276"/>
      <c r="B1139" s="148" t="s">
        <v>1345</v>
      </c>
      <c r="C1139" s="149">
        <v>1</v>
      </c>
      <c r="D1139" s="156" t="s">
        <v>73</v>
      </c>
      <c r="E1139" s="149">
        <v>2</v>
      </c>
      <c r="F1139" s="150">
        <v>0.75</v>
      </c>
      <c r="G1139" s="150"/>
      <c r="H1139" s="165">
        <v>1.425</v>
      </c>
      <c r="I1139" s="151">
        <f>-ROUND(PRODUCT(C1139:H1139),2)</f>
        <v>-2.14</v>
      </c>
      <c r="J1139" s="180"/>
    </row>
    <row r="1140" spans="1:10" s="181" customFormat="1">
      <c r="A1140" s="276"/>
      <c r="B1140" s="148" t="s">
        <v>495</v>
      </c>
      <c r="C1140" s="149">
        <v>1</v>
      </c>
      <c r="D1140" s="156" t="s">
        <v>73</v>
      </c>
      <c r="E1140" s="149">
        <v>2</v>
      </c>
      <c r="F1140" s="165">
        <v>0.115</v>
      </c>
      <c r="G1140" s="150"/>
      <c r="H1140" s="150">
        <v>1.5</v>
      </c>
      <c r="I1140" s="151">
        <f>ROUND(PRODUCT(C1140:H1140),2)</f>
        <v>0.35</v>
      </c>
      <c r="J1140" s="180"/>
    </row>
    <row r="1141" spans="1:10" s="181" customFormat="1">
      <c r="A1141" s="276"/>
      <c r="B1141" s="148" t="s">
        <v>160</v>
      </c>
      <c r="C1141" s="149">
        <v>1</v>
      </c>
      <c r="D1141" s="156" t="s">
        <v>73</v>
      </c>
      <c r="E1141" s="149">
        <v>2</v>
      </c>
      <c r="F1141" s="150">
        <f>2*(1.21+1.485)</f>
        <v>5.3900000000000006</v>
      </c>
      <c r="G1141" s="150"/>
      <c r="H1141" s="150">
        <v>1.5</v>
      </c>
      <c r="I1141" s="151">
        <f>ROUND(PRODUCT(C1141:H1141),2)</f>
        <v>16.170000000000002</v>
      </c>
      <c r="J1141" s="180"/>
    </row>
    <row r="1142" spans="1:10" s="181" customFormat="1">
      <c r="A1142" s="276"/>
      <c r="B1142" s="148" t="s">
        <v>1345</v>
      </c>
      <c r="C1142" s="149">
        <v>1</v>
      </c>
      <c r="D1142" s="156" t="s">
        <v>73</v>
      </c>
      <c r="E1142" s="149">
        <v>2</v>
      </c>
      <c r="F1142" s="150">
        <v>0.75</v>
      </c>
      <c r="G1142" s="150"/>
      <c r="H1142" s="165">
        <v>1.425</v>
      </c>
      <c r="I1142" s="151">
        <f>-ROUND(PRODUCT(C1142:H1142),2)</f>
        <v>-2.14</v>
      </c>
      <c r="J1142" s="180"/>
    </row>
    <row r="1143" spans="1:10" s="181" customFormat="1">
      <c r="A1143" s="276"/>
      <c r="B1143" s="148" t="s">
        <v>495</v>
      </c>
      <c r="C1143" s="149">
        <v>1</v>
      </c>
      <c r="D1143" s="156" t="s">
        <v>73</v>
      </c>
      <c r="E1143" s="149">
        <v>2</v>
      </c>
      <c r="F1143" s="165">
        <v>0.115</v>
      </c>
      <c r="G1143" s="150"/>
      <c r="H1143" s="150">
        <v>1.5</v>
      </c>
      <c r="I1143" s="151">
        <f>ROUND(PRODUCT(C1143:H1143),2)</f>
        <v>0.35</v>
      </c>
      <c r="J1143" s="180"/>
    </row>
    <row r="1144" spans="1:10" s="221" customFormat="1">
      <c r="A1144" s="276"/>
      <c r="B1144" s="148" t="s">
        <v>160</v>
      </c>
      <c r="C1144" s="149">
        <v>1</v>
      </c>
      <c r="D1144" s="156" t="s">
        <v>73</v>
      </c>
      <c r="E1144" s="149">
        <v>2</v>
      </c>
      <c r="F1144" s="150">
        <f>2*(1.85+1.485)</f>
        <v>6.67</v>
      </c>
      <c r="G1144" s="150"/>
      <c r="H1144" s="150">
        <v>1.5</v>
      </c>
      <c r="I1144" s="151">
        <f>ROUND(PRODUCT(C1144:H1144),2)</f>
        <v>20.010000000000002</v>
      </c>
      <c r="J1144" s="180"/>
    </row>
    <row r="1145" spans="1:10" s="181" customFormat="1">
      <c r="A1145" s="276"/>
      <c r="B1145" s="148" t="s">
        <v>1345</v>
      </c>
      <c r="C1145" s="149">
        <v>1</v>
      </c>
      <c r="D1145" s="156" t="s">
        <v>73</v>
      </c>
      <c r="E1145" s="149">
        <v>2</v>
      </c>
      <c r="F1145" s="150">
        <v>0.75</v>
      </c>
      <c r="G1145" s="150"/>
      <c r="H1145" s="165">
        <v>1.425</v>
      </c>
      <c r="I1145" s="151">
        <f>-ROUND(PRODUCT(C1145:H1145),2)</f>
        <v>-2.14</v>
      </c>
      <c r="J1145" s="180"/>
    </row>
    <row r="1146" spans="1:10" s="181" customFormat="1">
      <c r="A1146" s="276"/>
      <c r="B1146" s="148" t="s">
        <v>495</v>
      </c>
      <c r="C1146" s="149">
        <v>1</v>
      </c>
      <c r="D1146" s="156" t="s">
        <v>73</v>
      </c>
      <c r="E1146" s="149">
        <v>2</v>
      </c>
      <c r="F1146" s="165">
        <v>0.115</v>
      </c>
      <c r="G1146" s="150"/>
      <c r="H1146" s="150">
        <v>1.5</v>
      </c>
      <c r="I1146" s="151">
        <f>ROUND(PRODUCT(C1146:H1146),2)</f>
        <v>0.35</v>
      </c>
      <c r="J1146" s="180"/>
    </row>
    <row r="1147" spans="1:10" s="181" customFormat="1">
      <c r="A1147" s="276"/>
      <c r="B1147" s="148"/>
      <c r="C1147" s="149"/>
      <c r="D1147" s="149"/>
      <c r="E1147" s="149"/>
      <c r="F1147" s="150"/>
      <c r="G1147" s="150"/>
      <c r="H1147" s="158" t="s">
        <v>74</v>
      </c>
      <c r="I1147" s="159">
        <f>SUM(I1119:I1146)</f>
        <v>115.35999999999997</v>
      </c>
      <c r="J1147" s="180" t="s">
        <v>75</v>
      </c>
    </row>
    <row r="1148" spans="1:10" s="181" customFormat="1">
      <c r="A1148" s="276"/>
      <c r="B1148" s="148"/>
      <c r="C1148" s="149"/>
      <c r="D1148" s="149"/>
      <c r="E1148" s="149"/>
      <c r="F1148" s="150"/>
      <c r="G1148" s="150"/>
      <c r="H1148" s="158"/>
      <c r="I1148" s="159"/>
      <c r="J1148" s="180"/>
    </row>
    <row r="1149" spans="1:10" s="181" customFormat="1" ht="104.25" customHeight="1">
      <c r="A1149" s="276">
        <v>29.9</v>
      </c>
      <c r="B1149" s="206" t="s">
        <v>498</v>
      </c>
      <c r="C1149" s="149"/>
      <c r="D1149" s="149"/>
      <c r="E1149" s="149"/>
      <c r="F1149" s="150"/>
      <c r="G1149" s="158"/>
      <c r="H1149" s="158"/>
      <c r="I1149" s="159"/>
      <c r="J1149" s="180"/>
    </row>
    <row r="1150" spans="1:10" s="181" customFormat="1">
      <c r="A1150" s="276"/>
      <c r="B1150" s="155" t="s">
        <v>287</v>
      </c>
      <c r="C1150" s="149"/>
      <c r="D1150" s="149"/>
      <c r="E1150" s="149"/>
      <c r="F1150" s="150"/>
      <c r="G1150" s="158"/>
      <c r="H1150" s="158"/>
      <c r="I1150" s="159"/>
      <c r="J1150" s="180"/>
    </row>
    <row r="1151" spans="1:10" s="181" customFormat="1">
      <c r="A1151" s="276"/>
      <c r="B1151" s="148" t="s">
        <v>499</v>
      </c>
      <c r="C1151" s="149">
        <v>1</v>
      </c>
      <c r="D1151" s="156" t="s">
        <v>73</v>
      </c>
      <c r="E1151" s="149">
        <v>2</v>
      </c>
      <c r="F1151" s="150">
        <v>2.7</v>
      </c>
      <c r="G1151" s="150">
        <v>1.5</v>
      </c>
      <c r="H1151" s="150"/>
      <c r="I1151" s="151">
        <f t="shared" ref="I1151:I1170" si="81">ROUND(PRODUCT(C1151:H1151),2)</f>
        <v>8.1</v>
      </c>
      <c r="J1151" s="180"/>
    </row>
    <row r="1152" spans="1:10" s="181" customFormat="1">
      <c r="A1152" s="276"/>
      <c r="B1152" s="148" t="s">
        <v>501</v>
      </c>
      <c r="C1152" s="149">
        <v>1</v>
      </c>
      <c r="D1152" s="149" t="s">
        <v>73</v>
      </c>
      <c r="E1152" s="149">
        <v>1</v>
      </c>
      <c r="F1152" s="150">
        <v>0.55000000000000004</v>
      </c>
      <c r="G1152" s="150">
        <v>0.45</v>
      </c>
      <c r="H1152" s="150"/>
      <c r="I1152" s="151">
        <f>-ROUND(PRODUCT(C1152:H1152),2)</f>
        <v>-0.25</v>
      </c>
      <c r="J1152" s="180"/>
    </row>
    <row r="1153" spans="1:10" s="181" customFormat="1">
      <c r="A1153" s="276"/>
      <c r="B1153" s="148" t="s">
        <v>500</v>
      </c>
      <c r="C1153" s="149">
        <v>1</v>
      </c>
      <c r="D1153" s="156" t="s">
        <v>73</v>
      </c>
      <c r="E1153" s="149">
        <v>2</v>
      </c>
      <c r="F1153" s="150">
        <v>0.75</v>
      </c>
      <c r="G1153" s="150">
        <v>0.23</v>
      </c>
      <c r="H1153" s="150"/>
      <c r="I1153" s="151">
        <f t="shared" si="81"/>
        <v>0.35</v>
      </c>
      <c r="J1153" s="180"/>
    </row>
    <row r="1154" spans="1:10" s="181" customFormat="1">
      <c r="A1154" s="276"/>
      <c r="B1154" s="155" t="s">
        <v>171</v>
      </c>
      <c r="C1154" s="149"/>
      <c r="D1154" s="149"/>
      <c r="E1154" s="149"/>
      <c r="F1154" s="150"/>
      <c r="G1154" s="158"/>
      <c r="H1154" s="150"/>
      <c r="I1154" s="151">
        <f t="shared" si="81"/>
        <v>0</v>
      </c>
      <c r="J1154" s="180"/>
    </row>
    <row r="1155" spans="1:10" s="181" customFormat="1">
      <c r="A1155" s="276"/>
      <c r="B1155" s="148" t="s">
        <v>175</v>
      </c>
      <c r="C1155" s="149">
        <v>1</v>
      </c>
      <c r="D1155" s="149" t="s">
        <v>73</v>
      </c>
      <c r="E1155" s="149">
        <v>1</v>
      </c>
      <c r="F1155" s="150">
        <v>1.32</v>
      </c>
      <c r="G1155" s="165">
        <v>2.0750000000000002</v>
      </c>
      <c r="H1155" s="150"/>
      <c r="I1155" s="151">
        <f t="shared" si="81"/>
        <v>2.74</v>
      </c>
      <c r="J1155" s="221"/>
    </row>
    <row r="1156" spans="1:10" s="181" customFormat="1" ht="19.5" customHeight="1">
      <c r="B1156" s="148" t="s">
        <v>500</v>
      </c>
      <c r="C1156" s="149">
        <v>1</v>
      </c>
      <c r="D1156" s="149" t="s">
        <v>73</v>
      </c>
      <c r="E1156" s="149">
        <v>1</v>
      </c>
      <c r="F1156" s="150">
        <v>0.75</v>
      </c>
      <c r="G1156" s="165">
        <v>0.115</v>
      </c>
      <c r="H1156" s="150"/>
      <c r="I1156" s="151">
        <f t="shared" si="81"/>
        <v>0.09</v>
      </c>
      <c r="J1156" s="180"/>
    </row>
    <row r="1157" spans="1:10" s="181" customFormat="1">
      <c r="A1157" s="249"/>
      <c r="B1157" s="148" t="s">
        <v>126</v>
      </c>
      <c r="C1157" s="149">
        <v>1</v>
      </c>
      <c r="D1157" s="149" t="s">
        <v>73</v>
      </c>
      <c r="E1157" s="149">
        <v>1</v>
      </c>
      <c r="F1157" s="150">
        <v>1.85</v>
      </c>
      <c r="G1157" s="150">
        <v>1.2549999999999999</v>
      </c>
      <c r="H1157" s="150"/>
      <c r="I1157" s="151">
        <f t="shared" si="81"/>
        <v>2.3199999999999998</v>
      </c>
      <c r="J1157" s="180"/>
    </row>
    <row r="1158" spans="1:10" s="181" customFormat="1">
      <c r="A1158" s="276"/>
      <c r="B1158" s="148" t="s">
        <v>500</v>
      </c>
      <c r="C1158" s="149">
        <v>1</v>
      </c>
      <c r="D1158" s="149" t="s">
        <v>73</v>
      </c>
      <c r="E1158" s="149">
        <v>1</v>
      </c>
      <c r="F1158" s="150">
        <v>0.75</v>
      </c>
      <c r="G1158" s="165">
        <v>0.115</v>
      </c>
      <c r="H1158" s="150"/>
      <c r="I1158" s="151">
        <f t="shared" si="81"/>
        <v>0.09</v>
      </c>
      <c r="J1158" s="180"/>
    </row>
    <row r="1159" spans="1:10" s="181" customFormat="1">
      <c r="A1159" s="276"/>
      <c r="B1159" s="155" t="s">
        <v>157</v>
      </c>
      <c r="C1159" s="149"/>
      <c r="D1159" s="149"/>
      <c r="E1159" s="149"/>
      <c r="F1159" s="150"/>
      <c r="G1159" s="150"/>
      <c r="H1159" s="150"/>
      <c r="I1159" s="151">
        <f t="shared" si="81"/>
        <v>0</v>
      </c>
      <c r="J1159" s="180"/>
    </row>
    <row r="1160" spans="1:10" s="181" customFormat="1">
      <c r="A1160" s="276"/>
      <c r="B1160" s="148" t="s">
        <v>175</v>
      </c>
      <c r="C1160" s="149">
        <v>1</v>
      </c>
      <c r="D1160" s="149" t="s">
        <v>73</v>
      </c>
      <c r="E1160" s="149">
        <v>1</v>
      </c>
      <c r="F1160" s="150">
        <v>1.32</v>
      </c>
      <c r="G1160" s="165">
        <v>2.0750000000000002</v>
      </c>
      <c r="H1160" s="150"/>
      <c r="I1160" s="151">
        <f t="shared" si="81"/>
        <v>2.74</v>
      </c>
      <c r="J1160" s="180"/>
    </row>
    <row r="1161" spans="1:10" s="181" customFormat="1">
      <c r="A1161" s="276"/>
      <c r="B1161" s="148" t="s">
        <v>500</v>
      </c>
      <c r="C1161" s="149">
        <v>1</v>
      </c>
      <c r="D1161" s="149" t="s">
        <v>73</v>
      </c>
      <c r="E1161" s="149">
        <v>1</v>
      </c>
      <c r="F1161" s="150">
        <v>0.75</v>
      </c>
      <c r="G1161" s="165">
        <v>0.115</v>
      </c>
      <c r="H1161" s="150"/>
      <c r="I1161" s="151">
        <f t="shared" si="81"/>
        <v>0.09</v>
      </c>
      <c r="J1161" s="180"/>
    </row>
    <row r="1162" spans="1:10" s="181" customFormat="1">
      <c r="A1162" s="276"/>
      <c r="B1162" s="148" t="s">
        <v>126</v>
      </c>
      <c r="C1162" s="149">
        <v>1</v>
      </c>
      <c r="D1162" s="149" t="s">
        <v>73</v>
      </c>
      <c r="E1162" s="149">
        <v>1</v>
      </c>
      <c r="F1162" s="150">
        <v>1.85</v>
      </c>
      <c r="G1162" s="150">
        <v>1.2549999999999999</v>
      </c>
      <c r="H1162" s="150"/>
      <c r="I1162" s="151">
        <f t="shared" si="81"/>
        <v>2.3199999999999998</v>
      </c>
      <c r="J1162" s="180"/>
    </row>
    <row r="1163" spans="1:10" s="181" customFormat="1">
      <c r="A1163" s="276"/>
      <c r="B1163" s="148" t="s">
        <v>500</v>
      </c>
      <c r="C1163" s="149">
        <v>1</v>
      </c>
      <c r="D1163" s="149" t="s">
        <v>73</v>
      </c>
      <c r="E1163" s="149">
        <v>1</v>
      </c>
      <c r="F1163" s="150">
        <v>0.75</v>
      </c>
      <c r="G1163" s="165">
        <v>0.115</v>
      </c>
      <c r="H1163" s="150"/>
      <c r="I1163" s="151">
        <f t="shared" si="81"/>
        <v>0.09</v>
      </c>
      <c r="J1163" s="180"/>
    </row>
    <row r="1164" spans="1:10" s="181" customFormat="1">
      <c r="A1164" s="276"/>
      <c r="B1164" s="155" t="s">
        <v>123</v>
      </c>
      <c r="C1164" s="149"/>
      <c r="D1164" s="149"/>
      <c r="E1164" s="149"/>
      <c r="F1164" s="150"/>
      <c r="G1164" s="150"/>
      <c r="H1164" s="150"/>
      <c r="I1164" s="151">
        <f t="shared" si="81"/>
        <v>0</v>
      </c>
      <c r="J1164" s="180"/>
    </row>
    <row r="1165" spans="1:10" s="181" customFormat="1">
      <c r="A1165" s="276"/>
      <c r="B1165" s="148" t="s">
        <v>502</v>
      </c>
      <c r="C1165" s="149">
        <v>1</v>
      </c>
      <c r="D1165" s="149" t="s">
        <v>73</v>
      </c>
      <c r="E1165" s="149">
        <v>2</v>
      </c>
      <c r="F1165" s="150">
        <v>1.85</v>
      </c>
      <c r="G1165" s="165">
        <v>1.4850000000000001</v>
      </c>
      <c r="H1165" s="150"/>
      <c r="I1165" s="151">
        <f t="shared" si="81"/>
        <v>5.49</v>
      </c>
      <c r="J1165" s="180"/>
    </row>
    <row r="1166" spans="1:10" s="181" customFormat="1">
      <c r="A1166" s="276"/>
      <c r="B1166" s="148" t="s">
        <v>500</v>
      </c>
      <c r="C1166" s="149">
        <v>1</v>
      </c>
      <c r="D1166" s="149" t="s">
        <v>73</v>
      </c>
      <c r="E1166" s="149">
        <v>2</v>
      </c>
      <c r="F1166" s="150">
        <v>0.75</v>
      </c>
      <c r="G1166" s="165">
        <v>0.115</v>
      </c>
      <c r="H1166" s="150"/>
      <c r="I1166" s="151">
        <f t="shared" si="81"/>
        <v>0.17</v>
      </c>
      <c r="J1166" s="180"/>
    </row>
    <row r="1167" spans="1:10" s="181" customFormat="1">
      <c r="A1167" s="276"/>
      <c r="B1167" s="148" t="s">
        <v>497</v>
      </c>
      <c r="C1167" s="149">
        <v>1</v>
      </c>
      <c r="D1167" s="149" t="s">
        <v>73</v>
      </c>
      <c r="E1167" s="149">
        <v>2</v>
      </c>
      <c r="F1167" s="150">
        <v>1.32</v>
      </c>
      <c r="G1167" s="165">
        <v>1.4850000000000001</v>
      </c>
      <c r="H1167" s="150"/>
      <c r="I1167" s="151">
        <f t="shared" si="81"/>
        <v>3.92</v>
      </c>
      <c r="J1167" s="180"/>
    </row>
    <row r="1168" spans="1:10" s="181" customFormat="1">
      <c r="A1168" s="276"/>
      <c r="B1168" s="148" t="s">
        <v>500</v>
      </c>
      <c r="C1168" s="149">
        <v>1</v>
      </c>
      <c r="D1168" s="149" t="s">
        <v>73</v>
      </c>
      <c r="E1168" s="149">
        <v>2</v>
      </c>
      <c r="F1168" s="150">
        <v>0.75</v>
      </c>
      <c r="G1168" s="165">
        <v>0.115</v>
      </c>
      <c r="H1168" s="150"/>
      <c r="I1168" s="151">
        <f t="shared" si="81"/>
        <v>0.17</v>
      </c>
      <c r="J1168" s="180"/>
    </row>
    <row r="1169" spans="1:10" s="181" customFormat="1">
      <c r="A1169" s="276"/>
      <c r="B1169" s="148" t="s">
        <v>160</v>
      </c>
      <c r="C1169" s="149">
        <v>1</v>
      </c>
      <c r="D1169" s="149" t="s">
        <v>73</v>
      </c>
      <c r="E1169" s="149">
        <v>1</v>
      </c>
      <c r="F1169" s="150">
        <v>1.21</v>
      </c>
      <c r="G1169" s="165">
        <v>1.4850000000000001</v>
      </c>
      <c r="H1169" s="150"/>
      <c r="I1169" s="151">
        <f t="shared" si="81"/>
        <v>1.8</v>
      </c>
      <c r="J1169" s="180"/>
    </row>
    <row r="1170" spans="1:10" s="181" customFormat="1">
      <c r="A1170" s="276"/>
      <c r="B1170" s="148" t="s">
        <v>500</v>
      </c>
      <c r="C1170" s="149">
        <v>1</v>
      </c>
      <c r="D1170" s="149" t="s">
        <v>73</v>
      </c>
      <c r="E1170" s="149">
        <v>1</v>
      </c>
      <c r="F1170" s="150">
        <v>0.75</v>
      </c>
      <c r="G1170" s="165">
        <v>0.115</v>
      </c>
      <c r="H1170" s="150"/>
      <c r="I1170" s="151">
        <f t="shared" si="81"/>
        <v>0.09</v>
      </c>
      <c r="J1170" s="180"/>
    </row>
    <row r="1171" spans="1:10" s="181" customFormat="1">
      <c r="A1171" s="276"/>
      <c r="B1171" s="148" t="s">
        <v>655</v>
      </c>
      <c r="C1171" s="149">
        <v>1</v>
      </c>
      <c r="D1171" s="149" t="s">
        <v>73</v>
      </c>
      <c r="E1171" s="149">
        <v>2</v>
      </c>
      <c r="F1171" s="150">
        <v>4.6100000000000003</v>
      </c>
      <c r="G1171" s="150">
        <v>1.47</v>
      </c>
      <c r="H1171" s="150"/>
      <c r="I1171" s="151">
        <f>ROUND(PRODUCT(C1171:H1171),2)</f>
        <v>13.55</v>
      </c>
      <c r="J1171" s="180"/>
    </row>
    <row r="1172" spans="1:10" s="181" customFormat="1">
      <c r="A1172" s="276"/>
      <c r="B1172" s="148" t="s">
        <v>1370</v>
      </c>
      <c r="C1172" s="149">
        <v>1</v>
      </c>
      <c r="D1172" s="149" t="s">
        <v>73</v>
      </c>
      <c r="E1172" s="149">
        <v>2</v>
      </c>
      <c r="F1172" s="150">
        <f>2*(4.61+1.47)</f>
        <v>12.16</v>
      </c>
      <c r="G1172" s="150"/>
      <c r="H1172" s="150">
        <v>0.1</v>
      </c>
      <c r="I1172" s="151">
        <f>ROUND(PRODUCT(C1172:H1172),2)</f>
        <v>2.4300000000000002</v>
      </c>
      <c r="J1172" s="180"/>
    </row>
    <row r="1173" spans="1:10" s="181" customFormat="1">
      <c r="A1173" s="276"/>
      <c r="B1173" s="148"/>
      <c r="C1173" s="149"/>
      <c r="D1173" s="149"/>
      <c r="E1173" s="149"/>
      <c r="F1173" s="150"/>
      <c r="G1173" s="150"/>
      <c r="H1173" s="158" t="s">
        <v>74</v>
      </c>
      <c r="I1173" s="159">
        <f>SUM(I1151:I1172)</f>
        <v>46.300000000000004</v>
      </c>
      <c r="J1173" s="180" t="s">
        <v>75</v>
      </c>
    </row>
    <row r="1174" spans="1:10" s="181" customFormat="1">
      <c r="A1174" s="276"/>
      <c r="B1174" s="148"/>
      <c r="C1174" s="149"/>
      <c r="D1174" s="149"/>
      <c r="E1174" s="149"/>
      <c r="F1174" s="150"/>
      <c r="G1174" s="150"/>
      <c r="H1174" s="158"/>
      <c r="I1174" s="159"/>
      <c r="J1174" s="180"/>
    </row>
    <row r="1175" spans="1:10" s="181" customFormat="1" ht="56.25">
      <c r="A1175" s="276">
        <v>31.4</v>
      </c>
      <c r="B1175" s="155" t="s">
        <v>503</v>
      </c>
      <c r="C1175" s="149"/>
      <c r="D1175" s="149"/>
      <c r="E1175" s="149"/>
      <c r="F1175" s="150"/>
      <c r="G1175" s="150"/>
      <c r="H1175" s="150"/>
      <c r="I1175" s="151"/>
      <c r="J1175" s="180"/>
    </row>
    <row r="1176" spans="1:10" s="181" customFormat="1">
      <c r="A1176" s="276"/>
      <c r="B1176" s="148" t="s">
        <v>504</v>
      </c>
      <c r="C1176" s="149">
        <v>1</v>
      </c>
      <c r="D1176" s="156" t="s">
        <v>73</v>
      </c>
      <c r="E1176" s="149">
        <v>1</v>
      </c>
      <c r="F1176" s="150">
        <v>14.24</v>
      </c>
      <c r="G1176" s="150">
        <v>3.45</v>
      </c>
      <c r="H1176" s="150"/>
      <c r="I1176" s="151">
        <f>ROUND(PRODUCT(C1176:H1176),2)</f>
        <v>49.13</v>
      </c>
      <c r="J1176" s="180"/>
    </row>
    <row r="1177" spans="1:10" s="181" customFormat="1">
      <c r="A1177" s="276"/>
      <c r="B1177" s="148" t="s">
        <v>505</v>
      </c>
      <c r="C1177" s="149">
        <v>1</v>
      </c>
      <c r="D1177" s="156" t="s">
        <v>73</v>
      </c>
      <c r="E1177" s="149">
        <v>1</v>
      </c>
      <c r="F1177" s="150">
        <f>2*(14.24+3.45)</f>
        <v>35.380000000000003</v>
      </c>
      <c r="G1177" s="150"/>
      <c r="H1177" s="150">
        <v>0.1</v>
      </c>
      <c r="I1177" s="151">
        <f t="shared" ref="I1177:I1186" si="82">ROUND(PRODUCT(C1177:H1177),2)</f>
        <v>3.54</v>
      </c>
      <c r="J1177" s="180"/>
    </row>
    <row r="1178" spans="1:10" s="181" customFormat="1">
      <c r="A1178" s="276"/>
      <c r="B1178" s="148" t="s">
        <v>505</v>
      </c>
      <c r="C1178" s="149">
        <v>2</v>
      </c>
      <c r="D1178" s="156" t="s">
        <v>73</v>
      </c>
      <c r="E1178" s="149">
        <v>4</v>
      </c>
      <c r="F1178" s="150">
        <v>0.15</v>
      </c>
      <c r="G1178" s="150"/>
      <c r="H1178" s="150">
        <v>0.1</v>
      </c>
      <c r="I1178" s="151">
        <f>ROUND(PRODUCT(C1178:H1178),2)</f>
        <v>0.12</v>
      </c>
      <c r="J1178" s="180"/>
    </row>
    <row r="1179" spans="1:10" s="181" customFormat="1" ht="15.75" customHeight="1">
      <c r="A1179" s="276"/>
      <c r="B1179" s="148" t="s">
        <v>1759</v>
      </c>
      <c r="C1179" s="149">
        <v>1</v>
      </c>
      <c r="D1179" s="156" t="s">
        <v>73</v>
      </c>
      <c r="E1179" s="149">
        <v>1</v>
      </c>
      <c r="F1179" s="150">
        <v>14.24</v>
      </c>
      <c r="G1179" s="150">
        <v>6.9450000000000003</v>
      </c>
      <c r="H1179" s="150"/>
      <c r="I1179" s="151">
        <f>ROUND(PRODUCT(C1179:H1179),2)</f>
        <v>98.9</v>
      </c>
      <c r="J1179" s="180"/>
    </row>
    <row r="1180" spans="1:10" s="181" customFormat="1" ht="26.25" customHeight="1">
      <c r="A1180" s="276"/>
      <c r="B1180" s="148" t="s">
        <v>506</v>
      </c>
      <c r="C1180" s="149">
        <v>1</v>
      </c>
      <c r="D1180" s="156" t="s">
        <v>73</v>
      </c>
      <c r="E1180" s="149">
        <v>1</v>
      </c>
      <c r="F1180" s="150">
        <f>2*(14.24+6.945)</f>
        <v>42.370000000000005</v>
      </c>
      <c r="G1180" s="150"/>
      <c r="H1180" s="150">
        <v>0.1</v>
      </c>
      <c r="I1180" s="151">
        <f t="shared" ref="I1180:I1185" si="83">ROUND(PRODUCT(C1180:H1180),2)</f>
        <v>4.24</v>
      </c>
      <c r="J1180" s="221"/>
    </row>
    <row r="1181" spans="1:10" s="181" customFormat="1" ht="22.5" customHeight="1">
      <c r="B1181" s="148" t="s">
        <v>506</v>
      </c>
      <c r="C1181" s="149">
        <v>1</v>
      </c>
      <c r="D1181" s="156" t="s">
        <v>73</v>
      </c>
      <c r="E1181" s="149">
        <v>1</v>
      </c>
      <c r="F1181" s="150">
        <f>2*(14.24+6.83)</f>
        <v>42.14</v>
      </c>
      <c r="G1181" s="150"/>
      <c r="H1181" s="150">
        <v>0.1</v>
      </c>
      <c r="I1181" s="151">
        <f t="shared" si="83"/>
        <v>4.21</v>
      </c>
      <c r="J1181" s="180"/>
    </row>
    <row r="1182" spans="1:10" s="181" customFormat="1">
      <c r="A1182" s="276"/>
      <c r="B1182" s="148" t="s">
        <v>1347</v>
      </c>
      <c r="C1182" s="149">
        <v>1</v>
      </c>
      <c r="D1182" s="156" t="s">
        <v>73</v>
      </c>
      <c r="E1182" s="149">
        <v>4</v>
      </c>
      <c r="F1182" s="150">
        <v>1.06</v>
      </c>
      <c r="G1182" s="150"/>
      <c r="H1182" s="150">
        <v>0.1</v>
      </c>
      <c r="I1182" s="151">
        <f t="shared" si="83"/>
        <v>0.42</v>
      </c>
      <c r="J1182" s="180"/>
    </row>
    <row r="1183" spans="1:10" s="181" customFormat="1" ht="15.75" customHeight="1">
      <c r="A1183" s="276"/>
      <c r="B1183" s="148" t="s">
        <v>1348</v>
      </c>
      <c r="C1183" s="149">
        <v>1</v>
      </c>
      <c r="D1183" s="156" t="s">
        <v>73</v>
      </c>
      <c r="E1183" s="149">
        <v>1</v>
      </c>
      <c r="F1183" s="150">
        <v>2.1</v>
      </c>
      <c r="G1183" s="150"/>
      <c r="H1183" s="150">
        <v>0.1</v>
      </c>
      <c r="I1183" s="151">
        <f t="shared" si="83"/>
        <v>0.21</v>
      </c>
      <c r="J1183" s="180"/>
    </row>
    <row r="1184" spans="1:10" s="181" customFormat="1" ht="15.75" customHeight="1">
      <c r="A1184" s="276"/>
      <c r="B1184" s="148" t="s">
        <v>1139</v>
      </c>
      <c r="C1184" s="149">
        <v>-1</v>
      </c>
      <c r="D1184" s="156" t="s">
        <v>73</v>
      </c>
      <c r="E1184" s="149">
        <v>1</v>
      </c>
      <c r="F1184" s="150">
        <v>0.38</v>
      </c>
      <c r="G1184" s="150">
        <v>0.23</v>
      </c>
      <c r="H1184" s="150"/>
      <c r="I1184" s="151">
        <f t="shared" si="83"/>
        <v>-0.09</v>
      </c>
      <c r="J1184" s="180"/>
    </row>
    <row r="1185" spans="1:10" s="181" customFormat="1" ht="15.75" customHeight="1">
      <c r="A1185" s="276"/>
      <c r="B1185" s="148" t="s">
        <v>1139</v>
      </c>
      <c r="C1185" s="149">
        <v>-1</v>
      </c>
      <c r="D1185" s="156" t="s">
        <v>73</v>
      </c>
      <c r="E1185" s="149">
        <v>4</v>
      </c>
      <c r="F1185" s="150">
        <v>0.23</v>
      </c>
      <c r="G1185" s="150">
        <v>0.23</v>
      </c>
      <c r="H1185" s="150"/>
      <c r="I1185" s="151">
        <f t="shared" si="83"/>
        <v>-0.21</v>
      </c>
      <c r="J1185" s="180"/>
    </row>
    <row r="1186" spans="1:10" s="181" customFormat="1" ht="15.75" customHeight="1">
      <c r="A1186" s="276"/>
      <c r="B1186" s="148" t="s">
        <v>1139</v>
      </c>
      <c r="C1186" s="149">
        <v>-1</v>
      </c>
      <c r="D1186" s="156" t="s">
        <v>73</v>
      </c>
      <c r="E1186" s="149">
        <v>2</v>
      </c>
      <c r="F1186" s="150">
        <v>0.23</v>
      </c>
      <c r="G1186" s="150">
        <v>7.0000000000000007E-2</v>
      </c>
      <c r="H1186" s="150"/>
      <c r="I1186" s="151">
        <f t="shared" si="82"/>
        <v>-0.03</v>
      </c>
      <c r="J1186" s="180"/>
    </row>
    <row r="1187" spans="1:10" s="181" customFormat="1" ht="15.75" customHeight="1">
      <c r="A1187" s="276"/>
      <c r="B1187" s="148"/>
      <c r="C1187" s="149"/>
      <c r="D1187" s="149"/>
      <c r="E1187" s="149"/>
      <c r="F1187" s="150"/>
      <c r="G1187" s="158" t="s">
        <v>11</v>
      </c>
      <c r="H1187" s="150"/>
      <c r="I1187" s="159">
        <f>SUM(I1176:I1186)</f>
        <v>160.44</v>
      </c>
      <c r="J1187" s="180" t="s">
        <v>75</v>
      </c>
    </row>
    <row r="1188" spans="1:10" s="181" customFormat="1">
      <c r="A1188" s="276"/>
      <c r="B1188" s="148"/>
      <c r="C1188" s="149"/>
      <c r="D1188" s="149"/>
      <c r="E1188" s="149"/>
      <c r="F1188" s="150"/>
      <c r="G1188" s="150"/>
      <c r="H1188" s="150"/>
      <c r="I1188" s="151"/>
      <c r="J1188" s="180"/>
    </row>
    <row r="1189" spans="1:10" s="181" customFormat="1" ht="37.5">
      <c r="A1189" s="276">
        <v>38.6</v>
      </c>
      <c r="B1189" s="155" t="s">
        <v>508</v>
      </c>
      <c r="C1189" s="149"/>
      <c r="D1189" s="149"/>
      <c r="E1189" s="149"/>
      <c r="F1189" s="150"/>
      <c r="G1189" s="150"/>
      <c r="H1189" s="150"/>
      <c r="I1189" s="151"/>
      <c r="J1189" s="180"/>
    </row>
    <row r="1190" spans="1:10" s="181" customFormat="1">
      <c r="A1190" s="276"/>
      <c r="B1190" s="157" t="s">
        <v>313</v>
      </c>
      <c r="C1190" s="149"/>
      <c r="D1190" s="149"/>
      <c r="E1190" s="149"/>
      <c r="F1190" s="150"/>
      <c r="G1190" s="150"/>
      <c r="H1190" s="150"/>
      <c r="I1190" s="151">
        <f>I439</f>
        <v>1719.4599999999989</v>
      </c>
      <c r="J1190" s="180"/>
    </row>
    <row r="1191" spans="1:10" s="181" customFormat="1">
      <c r="A1191" s="276"/>
      <c r="B1191" s="148" t="s">
        <v>1300</v>
      </c>
      <c r="C1191" s="149">
        <v>2</v>
      </c>
      <c r="D1191" s="156" t="s">
        <v>73</v>
      </c>
      <c r="E1191" s="149">
        <v>2</v>
      </c>
      <c r="F1191" s="150">
        <v>14.24</v>
      </c>
      <c r="G1191" s="150"/>
      <c r="H1191" s="150">
        <v>0.3</v>
      </c>
      <c r="I1191" s="151">
        <f t="shared" ref="I1191:I1220" si="84">ROUND(PRODUCT(C1191:H1191),2)</f>
        <v>17.09</v>
      </c>
      <c r="J1191" s="180"/>
    </row>
    <row r="1192" spans="1:10" s="181" customFormat="1">
      <c r="A1192" s="276"/>
      <c r="B1192" s="148" t="s">
        <v>1300</v>
      </c>
      <c r="C1192" s="149">
        <v>1</v>
      </c>
      <c r="D1192" s="156" t="s">
        <v>73</v>
      </c>
      <c r="E1192" s="149">
        <v>2</v>
      </c>
      <c r="F1192" s="150">
        <v>6.81</v>
      </c>
      <c r="G1192" s="150"/>
      <c r="H1192" s="150">
        <v>0.3</v>
      </c>
      <c r="I1192" s="151">
        <f t="shared" si="84"/>
        <v>4.09</v>
      </c>
      <c r="J1192" s="180"/>
    </row>
    <row r="1193" spans="1:10" s="181" customFormat="1">
      <c r="A1193" s="276"/>
      <c r="B1193" s="148" t="s">
        <v>1300</v>
      </c>
      <c r="C1193" s="149">
        <v>2</v>
      </c>
      <c r="D1193" s="156" t="s">
        <v>73</v>
      </c>
      <c r="E1193" s="149">
        <v>2</v>
      </c>
      <c r="F1193" s="150">
        <v>4.12</v>
      </c>
      <c r="G1193" s="150"/>
      <c r="H1193" s="150">
        <v>0.3</v>
      </c>
      <c r="I1193" s="151">
        <f t="shared" si="84"/>
        <v>4.9400000000000004</v>
      </c>
      <c r="J1193" s="180"/>
    </row>
    <row r="1194" spans="1:10" s="181" customFormat="1">
      <c r="A1194" s="276"/>
      <c r="B1194" s="148" t="s">
        <v>1300</v>
      </c>
      <c r="C1194" s="149">
        <v>1</v>
      </c>
      <c r="D1194" s="156" t="s">
        <v>73</v>
      </c>
      <c r="E1194" s="149">
        <v>2</v>
      </c>
      <c r="F1194" s="150">
        <v>3.62</v>
      </c>
      <c r="G1194" s="150"/>
      <c r="H1194" s="150">
        <v>0.3</v>
      </c>
      <c r="I1194" s="151">
        <f t="shared" si="84"/>
        <v>2.17</v>
      </c>
      <c r="J1194" s="221"/>
    </row>
    <row r="1195" spans="1:10" s="181" customFormat="1">
      <c r="A1195" s="276"/>
      <c r="B1195" s="148" t="s">
        <v>1300</v>
      </c>
      <c r="C1195" s="149">
        <v>2</v>
      </c>
      <c r="D1195" s="156" t="s">
        <v>73</v>
      </c>
      <c r="E1195" s="149">
        <v>2</v>
      </c>
      <c r="F1195" s="150">
        <v>3.3</v>
      </c>
      <c r="G1195" s="150"/>
      <c r="H1195" s="165">
        <v>0.255</v>
      </c>
      <c r="I1195" s="151">
        <f t="shared" si="84"/>
        <v>3.37</v>
      </c>
      <c r="J1195" s="180"/>
    </row>
    <row r="1196" spans="1:10" s="181" customFormat="1" ht="21" customHeight="1">
      <c r="B1196" s="148" t="s">
        <v>1300</v>
      </c>
      <c r="C1196" s="149">
        <v>2</v>
      </c>
      <c r="D1196" s="156" t="s">
        <v>73</v>
      </c>
      <c r="E1196" s="149">
        <v>2</v>
      </c>
      <c r="F1196" s="150">
        <v>1.85</v>
      </c>
      <c r="G1196" s="150"/>
      <c r="H1196" s="165">
        <v>0.255</v>
      </c>
      <c r="I1196" s="151">
        <f t="shared" si="84"/>
        <v>1.89</v>
      </c>
      <c r="J1196" s="180"/>
    </row>
    <row r="1197" spans="1:10" s="181" customFormat="1">
      <c r="A1197" s="276"/>
      <c r="B1197" s="148" t="s">
        <v>1300</v>
      </c>
      <c r="C1197" s="149">
        <v>1</v>
      </c>
      <c r="D1197" s="156" t="s">
        <v>73</v>
      </c>
      <c r="E1197" s="149">
        <v>2</v>
      </c>
      <c r="F1197" s="150">
        <v>2.5299999999999998</v>
      </c>
      <c r="G1197" s="150"/>
      <c r="H1197" s="165">
        <v>0.255</v>
      </c>
      <c r="I1197" s="151">
        <f t="shared" si="84"/>
        <v>1.29</v>
      </c>
      <c r="J1197" s="180"/>
    </row>
    <row r="1198" spans="1:10" s="181" customFormat="1">
      <c r="A1198" s="276"/>
      <c r="B1198" s="148" t="s">
        <v>1300</v>
      </c>
      <c r="C1198" s="149">
        <v>2</v>
      </c>
      <c r="D1198" s="156" t="s">
        <v>73</v>
      </c>
      <c r="E1198" s="149">
        <v>2</v>
      </c>
      <c r="F1198" s="150">
        <v>2.33</v>
      </c>
      <c r="G1198" s="150"/>
      <c r="H1198" s="165">
        <v>0.47499999999999998</v>
      </c>
      <c r="I1198" s="151">
        <f t="shared" si="84"/>
        <v>4.43</v>
      </c>
      <c r="J1198" s="180"/>
    </row>
    <row r="1199" spans="1:10" s="181" customFormat="1">
      <c r="A1199" s="276"/>
      <c r="B1199" s="148" t="s">
        <v>1300</v>
      </c>
      <c r="C1199" s="149">
        <v>2</v>
      </c>
      <c r="D1199" s="156" t="s">
        <v>73</v>
      </c>
      <c r="E1199" s="149">
        <v>2</v>
      </c>
      <c r="F1199" s="150">
        <v>1.2</v>
      </c>
      <c r="G1199" s="150"/>
      <c r="H1199" s="165">
        <v>0.255</v>
      </c>
      <c r="I1199" s="151">
        <f t="shared" si="84"/>
        <v>1.22</v>
      </c>
      <c r="J1199" s="180"/>
    </row>
    <row r="1200" spans="1:10" s="181" customFormat="1">
      <c r="A1200" s="276"/>
      <c r="B1200" s="148" t="s">
        <v>1306</v>
      </c>
      <c r="C1200" s="149">
        <v>1</v>
      </c>
      <c r="D1200" s="156" t="s">
        <v>73</v>
      </c>
      <c r="E1200" s="149">
        <v>7</v>
      </c>
      <c r="F1200" s="150">
        <v>1.22</v>
      </c>
      <c r="G1200" s="150"/>
      <c r="H1200" s="150">
        <v>2.92</v>
      </c>
      <c r="I1200" s="151">
        <f t="shared" si="84"/>
        <v>24.94</v>
      </c>
      <c r="J1200" s="180"/>
    </row>
    <row r="1201" spans="1:10" s="181" customFormat="1">
      <c r="A1201" s="276"/>
      <c r="B1201" s="148" t="s">
        <v>1306</v>
      </c>
      <c r="C1201" s="149">
        <v>1</v>
      </c>
      <c r="D1201" s="156" t="s">
        <v>73</v>
      </c>
      <c r="E1201" s="149">
        <v>2</v>
      </c>
      <c r="F1201" s="150">
        <v>1.06</v>
      </c>
      <c r="G1201" s="150"/>
      <c r="H1201" s="150">
        <v>2.92</v>
      </c>
      <c r="I1201" s="151">
        <f t="shared" si="84"/>
        <v>6.19</v>
      </c>
      <c r="J1201" s="180"/>
    </row>
    <row r="1202" spans="1:10" s="181" customFormat="1">
      <c r="A1202" s="276"/>
      <c r="B1202" s="155" t="s">
        <v>329</v>
      </c>
      <c r="C1202" s="149"/>
      <c r="D1202" s="156"/>
      <c r="E1202" s="149"/>
      <c r="F1202" s="150"/>
      <c r="G1202" s="150"/>
      <c r="H1202" s="150"/>
      <c r="I1202" s="151">
        <f t="shared" si="84"/>
        <v>0</v>
      </c>
      <c r="J1202" s="180"/>
    </row>
    <row r="1203" spans="1:10" s="181" customFormat="1">
      <c r="A1203" s="276"/>
      <c r="B1203" s="148" t="s">
        <v>1300</v>
      </c>
      <c r="C1203" s="149">
        <v>1</v>
      </c>
      <c r="D1203" s="156" t="s">
        <v>73</v>
      </c>
      <c r="E1203" s="149">
        <v>2</v>
      </c>
      <c r="F1203" s="150">
        <v>6.81</v>
      </c>
      <c r="G1203" s="150"/>
      <c r="H1203" s="150">
        <v>0.3</v>
      </c>
      <c r="I1203" s="151">
        <f t="shared" si="84"/>
        <v>4.09</v>
      </c>
      <c r="J1203" s="180"/>
    </row>
    <row r="1204" spans="1:10" s="181" customFormat="1">
      <c r="A1204" s="276"/>
      <c r="B1204" s="148" t="s">
        <v>1300</v>
      </c>
      <c r="C1204" s="149">
        <v>1</v>
      </c>
      <c r="D1204" s="156" t="s">
        <v>73</v>
      </c>
      <c r="E1204" s="149">
        <v>2</v>
      </c>
      <c r="F1204" s="150">
        <v>2</v>
      </c>
      <c r="G1204" s="150"/>
      <c r="H1204" s="150">
        <v>0.3</v>
      </c>
      <c r="I1204" s="151">
        <f t="shared" si="84"/>
        <v>1.2</v>
      </c>
      <c r="J1204" s="180"/>
    </row>
    <row r="1205" spans="1:10" s="181" customFormat="1">
      <c r="A1205" s="276"/>
      <c r="B1205" s="148" t="s">
        <v>1300</v>
      </c>
      <c r="C1205" s="149">
        <v>1</v>
      </c>
      <c r="D1205" s="156" t="s">
        <v>73</v>
      </c>
      <c r="E1205" s="149">
        <v>2</v>
      </c>
      <c r="F1205" s="150">
        <v>1.85</v>
      </c>
      <c r="G1205" s="150"/>
      <c r="H1205" s="165">
        <v>0.255</v>
      </c>
      <c r="I1205" s="151">
        <f t="shared" si="84"/>
        <v>0.94</v>
      </c>
      <c r="J1205" s="180"/>
    </row>
    <row r="1206" spans="1:10" s="181" customFormat="1">
      <c r="A1206" s="276"/>
      <c r="B1206" s="155" t="s">
        <v>330</v>
      </c>
      <c r="C1206" s="149"/>
      <c r="D1206" s="149"/>
      <c r="E1206" s="149"/>
      <c r="F1206" s="150"/>
      <c r="G1206" s="150"/>
      <c r="H1206" s="150"/>
      <c r="I1206" s="151">
        <f t="shared" si="84"/>
        <v>0</v>
      </c>
      <c r="J1206" s="180"/>
    </row>
    <row r="1207" spans="1:10" s="181" customFormat="1">
      <c r="A1207" s="276"/>
      <c r="B1207" s="148" t="s">
        <v>1300</v>
      </c>
      <c r="C1207" s="149">
        <v>2</v>
      </c>
      <c r="D1207" s="156" t="s">
        <v>73</v>
      </c>
      <c r="E1207" s="149">
        <v>2</v>
      </c>
      <c r="F1207" s="150">
        <v>6.81</v>
      </c>
      <c r="G1207" s="150"/>
      <c r="H1207" s="150">
        <v>0.3</v>
      </c>
      <c r="I1207" s="151">
        <f t="shared" si="84"/>
        <v>8.17</v>
      </c>
      <c r="J1207" s="180"/>
    </row>
    <row r="1208" spans="1:10" s="181" customFormat="1">
      <c r="A1208" s="276"/>
      <c r="B1208" s="182" t="s">
        <v>1319</v>
      </c>
      <c r="C1208" s="149">
        <v>1</v>
      </c>
      <c r="D1208" s="156" t="s">
        <v>73</v>
      </c>
      <c r="E1208" s="149">
        <v>2</v>
      </c>
      <c r="F1208" s="150">
        <v>2.0750000000000002</v>
      </c>
      <c r="G1208" s="150"/>
      <c r="H1208" s="150">
        <v>0.3</v>
      </c>
      <c r="I1208" s="151">
        <f t="shared" si="84"/>
        <v>1.25</v>
      </c>
      <c r="J1208" s="180"/>
    </row>
    <row r="1209" spans="1:10" s="181" customFormat="1">
      <c r="A1209" s="276"/>
      <c r="B1209" s="148" t="s">
        <v>1300</v>
      </c>
      <c r="C1209" s="149">
        <v>2</v>
      </c>
      <c r="D1209" s="156" t="s">
        <v>73</v>
      </c>
      <c r="E1209" s="149">
        <v>2</v>
      </c>
      <c r="F1209" s="150">
        <v>2.5350000000000001</v>
      </c>
      <c r="G1209" s="150"/>
      <c r="H1209" s="165">
        <v>0.255</v>
      </c>
      <c r="I1209" s="151">
        <f t="shared" si="84"/>
        <v>2.59</v>
      </c>
      <c r="J1209" s="180"/>
    </row>
    <row r="1210" spans="1:10" s="181" customFormat="1">
      <c r="A1210" s="276"/>
      <c r="B1210" s="148" t="s">
        <v>1300</v>
      </c>
      <c r="C1210" s="149">
        <v>1</v>
      </c>
      <c r="D1210" s="156" t="s">
        <v>73</v>
      </c>
      <c r="E1210" s="149">
        <v>2</v>
      </c>
      <c r="F1210" s="150">
        <v>6.23</v>
      </c>
      <c r="G1210" s="150"/>
      <c r="H1210" s="165">
        <v>0.255</v>
      </c>
      <c r="I1210" s="151">
        <f t="shared" si="84"/>
        <v>3.18</v>
      </c>
      <c r="J1210" s="180"/>
    </row>
    <row r="1211" spans="1:10" s="181" customFormat="1">
      <c r="A1211" s="276"/>
      <c r="B1211" s="148" t="s">
        <v>1300</v>
      </c>
      <c r="C1211" s="149">
        <v>1</v>
      </c>
      <c r="D1211" s="156" t="s">
        <v>73</v>
      </c>
      <c r="E1211" s="149">
        <v>2</v>
      </c>
      <c r="F1211" s="150">
        <v>2</v>
      </c>
      <c r="G1211" s="150"/>
      <c r="H1211" s="150">
        <v>0.3</v>
      </c>
      <c r="I1211" s="151">
        <f t="shared" si="84"/>
        <v>1.2</v>
      </c>
      <c r="J1211" s="180"/>
    </row>
    <row r="1212" spans="1:10" s="181" customFormat="1">
      <c r="A1212" s="276"/>
      <c r="B1212" s="148" t="s">
        <v>1300</v>
      </c>
      <c r="C1212" s="149">
        <v>2</v>
      </c>
      <c r="D1212" s="156" t="s">
        <v>73</v>
      </c>
      <c r="E1212" s="149">
        <v>2</v>
      </c>
      <c r="F1212" s="150">
        <v>1.85</v>
      </c>
      <c r="G1212" s="150"/>
      <c r="H1212" s="165">
        <v>0.255</v>
      </c>
      <c r="I1212" s="151">
        <f t="shared" si="84"/>
        <v>1.89</v>
      </c>
      <c r="J1212" s="180"/>
    </row>
    <row r="1213" spans="1:10" s="181" customFormat="1">
      <c r="A1213" s="276"/>
      <c r="B1213" s="148" t="s">
        <v>1423</v>
      </c>
      <c r="C1213" s="149">
        <v>2</v>
      </c>
      <c r="D1213" s="149" t="s">
        <v>73</v>
      </c>
      <c r="E1213" s="149">
        <v>4</v>
      </c>
      <c r="F1213" s="150">
        <v>1.05</v>
      </c>
      <c r="G1213" s="150"/>
      <c r="H1213" s="150">
        <v>0.45</v>
      </c>
      <c r="I1213" s="151">
        <f t="shared" si="84"/>
        <v>3.78</v>
      </c>
      <c r="J1213" s="180"/>
    </row>
    <row r="1214" spans="1:10" s="181" customFormat="1">
      <c r="A1214" s="276"/>
      <c r="B1214" s="148" t="s">
        <v>1416</v>
      </c>
      <c r="C1214" s="149">
        <v>2</v>
      </c>
      <c r="D1214" s="149" t="s">
        <v>73</v>
      </c>
      <c r="E1214" s="149">
        <v>16</v>
      </c>
      <c r="F1214" s="150">
        <v>0.9</v>
      </c>
      <c r="G1214" s="150"/>
      <c r="H1214" s="150">
        <v>0.45</v>
      </c>
      <c r="I1214" s="151">
        <f t="shared" si="84"/>
        <v>12.96</v>
      </c>
      <c r="J1214" s="180"/>
    </row>
    <row r="1215" spans="1:10" s="181" customFormat="1">
      <c r="A1215" s="276"/>
      <c r="B1215" s="148" t="s">
        <v>1417</v>
      </c>
      <c r="C1215" s="149">
        <v>2</v>
      </c>
      <c r="D1215" s="149" t="s">
        <v>73</v>
      </c>
      <c r="E1215" s="149">
        <v>12</v>
      </c>
      <c r="F1215" s="150">
        <v>1.2</v>
      </c>
      <c r="G1215" s="150"/>
      <c r="H1215" s="150">
        <v>0.45</v>
      </c>
      <c r="I1215" s="151">
        <f t="shared" si="84"/>
        <v>12.96</v>
      </c>
      <c r="J1215" s="180"/>
    </row>
    <row r="1216" spans="1:10" s="181" customFormat="1">
      <c r="A1216" s="276"/>
      <c r="B1216" s="148" t="s">
        <v>1418</v>
      </c>
      <c r="C1216" s="149">
        <v>2</v>
      </c>
      <c r="D1216" s="149" t="s">
        <v>73</v>
      </c>
      <c r="E1216" s="149">
        <v>8</v>
      </c>
      <c r="F1216" s="150">
        <v>1.05</v>
      </c>
      <c r="G1216" s="150"/>
      <c r="H1216" s="150">
        <v>0.45</v>
      </c>
      <c r="I1216" s="151">
        <f t="shared" si="84"/>
        <v>7.56</v>
      </c>
      <c r="J1216" s="180"/>
    </row>
    <row r="1217" spans="1:10" s="181" customFormat="1">
      <c r="A1217" s="276"/>
      <c r="B1217" s="148" t="s">
        <v>1419</v>
      </c>
      <c r="C1217" s="149">
        <v>2</v>
      </c>
      <c r="D1217" s="149" t="s">
        <v>73</v>
      </c>
      <c r="E1217" s="149">
        <v>16</v>
      </c>
      <c r="F1217" s="150">
        <v>0.9</v>
      </c>
      <c r="G1217" s="150"/>
      <c r="H1217" s="150">
        <v>0.45</v>
      </c>
      <c r="I1217" s="151">
        <f t="shared" si="84"/>
        <v>12.96</v>
      </c>
      <c r="J1217" s="180"/>
    </row>
    <row r="1218" spans="1:10" s="181" customFormat="1">
      <c r="A1218" s="276"/>
      <c r="B1218" s="148" t="s">
        <v>1420</v>
      </c>
      <c r="C1218" s="149">
        <v>2</v>
      </c>
      <c r="D1218" s="149" t="s">
        <v>73</v>
      </c>
      <c r="E1218" s="149">
        <v>12</v>
      </c>
      <c r="F1218" s="150">
        <v>1.2</v>
      </c>
      <c r="G1218" s="150"/>
      <c r="H1218" s="150">
        <v>0.45</v>
      </c>
      <c r="I1218" s="151">
        <f t="shared" si="84"/>
        <v>12.96</v>
      </c>
      <c r="J1218" s="180"/>
    </row>
    <row r="1219" spans="1:10" s="181" customFormat="1">
      <c r="A1219" s="276"/>
      <c r="B1219" s="148" t="s">
        <v>1421</v>
      </c>
      <c r="C1219" s="149">
        <v>2</v>
      </c>
      <c r="D1219" s="149" t="s">
        <v>73</v>
      </c>
      <c r="E1219" s="149">
        <v>8</v>
      </c>
      <c r="F1219" s="150">
        <v>1.05</v>
      </c>
      <c r="G1219" s="150"/>
      <c r="H1219" s="150">
        <v>0.45</v>
      </c>
      <c r="I1219" s="151">
        <f t="shared" si="84"/>
        <v>7.56</v>
      </c>
      <c r="J1219" s="180"/>
    </row>
    <row r="1220" spans="1:10" s="181" customFormat="1">
      <c r="A1220" s="276"/>
      <c r="B1220" s="148" t="s">
        <v>1422</v>
      </c>
      <c r="C1220" s="149">
        <v>2</v>
      </c>
      <c r="D1220" s="149" t="s">
        <v>73</v>
      </c>
      <c r="E1220" s="149">
        <v>24</v>
      </c>
      <c r="F1220" s="150">
        <v>0.75</v>
      </c>
      <c r="G1220" s="150"/>
      <c r="H1220" s="150">
        <v>0.6</v>
      </c>
      <c r="I1220" s="151">
        <f t="shared" si="84"/>
        <v>21.6</v>
      </c>
      <c r="J1220" s="180"/>
    </row>
    <row r="1221" spans="1:10" s="181" customFormat="1">
      <c r="A1221" s="276"/>
      <c r="B1221" s="148"/>
      <c r="C1221" s="149"/>
      <c r="D1221" s="149"/>
      <c r="E1221" s="149"/>
      <c r="F1221" s="150"/>
      <c r="G1221" s="150"/>
      <c r="H1221" s="150"/>
      <c r="I1221" s="151">
        <f>SUM(I1190:I1220)</f>
        <v>1907.9299999999992</v>
      </c>
      <c r="J1221" s="180"/>
    </row>
    <row r="1222" spans="1:10" s="181" customFormat="1">
      <c r="A1222" s="276"/>
      <c r="B1222" s="148" t="s">
        <v>1349</v>
      </c>
      <c r="C1222" s="149"/>
      <c r="D1222" s="149"/>
      <c r="E1222" s="149"/>
      <c r="F1222" s="150"/>
      <c r="G1222" s="150"/>
      <c r="H1222" s="150"/>
      <c r="I1222" s="151">
        <f>-I1147</f>
        <v>-115.35999999999997</v>
      </c>
      <c r="J1222" s="180"/>
    </row>
    <row r="1223" spans="1:10" s="181" customFormat="1">
      <c r="A1223" s="276"/>
      <c r="B1223" s="148"/>
      <c r="C1223" s="149"/>
      <c r="D1223" s="149"/>
      <c r="E1223" s="149"/>
      <c r="F1223" s="150"/>
      <c r="G1223" s="150"/>
      <c r="H1223" s="158" t="s">
        <v>246</v>
      </c>
      <c r="I1223" s="159">
        <f>SUM(I1221:I1222)</f>
        <v>1792.5699999999993</v>
      </c>
      <c r="J1223" s="180" t="s">
        <v>75</v>
      </c>
    </row>
    <row r="1224" spans="1:10" s="181" customFormat="1">
      <c r="A1224" s="276"/>
      <c r="B1224" s="148"/>
      <c r="C1224" s="149"/>
      <c r="D1224" s="149"/>
      <c r="E1224" s="149"/>
      <c r="F1224" s="150"/>
      <c r="G1224" s="150"/>
      <c r="H1224" s="150"/>
      <c r="I1224" s="159"/>
      <c r="J1224" s="180"/>
    </row>
    <row r="1225" spans="1:10" s="181" customFormat="1" ht="37.5">
      <c r="A1225" s="276">
        <v>38.799999999999997</v>
      </c>
      <c r="B1225" s="155" t="s">
        <v>509</v>
      </c>
      <c r="C1225" s="149"/>
      <c r="D1225" s="149"/>
      <c r="E1225" s="149"/>
      <c r="F1225" s="150"/>
      <c r="G1225" s="150"/>
      <c r="H1225" s="150"/>
      <c r="I1225" s="151"/>
      <c r="J1225" s="180"/>
    </row>
    <row r="1226" spans="1:10" s="181" customFormat="1" ht="37.5">
      <c r="A1226" s="276"/>
      <c r="B1226" s="148" t="s">
        <v>508</v>
      </c>
      <c r="C1226" s="149"/>
      <c r="D1226" s="149"/>
      <c r="E1226" s="149"/>
      <c r="F1226" s="150"/>
      <c r="G1226" s="150"/>
      <c r="H1226" s="150"/>
      <c r="I1226" s="226">
        <f>I1223</f>
        <v>1792.5699999999993</v>
      </c>
      <c r="J1226" s="180" t="s">
        <v>75</v>
      </c>
    </row>
    <row r="1227" spans="1:10" s="181" customFormat="1">
      <c r="A1227" s="276"/>
      <c r="B1227" s="148"/>
      <c r="C1227" s="149"/>
      <c r="D1227" s="149"/>
      <c r="E1227" s="149"/>
      <c r="F1227" s="150"/>
      <c r="G1227" s="150"/>
      <c r="H1227" s="150"/>
      <c r="I1227" s="159"/>
      <c r="J1227" s="180"/>
    </row>
    <row r="1228" spans="1:10" s="181" customFormat="1" ht="56.25">
      <c r="A1228" s="276">
        <v>43.1</v>
      </c>
      <c r="B1228" s="155" t="s">
        <v>510</v>
      </c>
      <c r="C1228" s="220"/>
      <c r="D1228" s="220"/>
      <c r="E1228" s="220"/>
      <c r="F1228" s="158"/>
      <c r="G1228" s="158"/>
      <c r="H1228" s="158"/>
      <c r="I1228" s="159"/>
      <c r="J1228" s="180"/>
    </row>
    <row r="1229" spans="1:10" s="181" customFormat="1">
      <c r="A1229" s="276"/>
      <c r="B1229" s="148" t="s">
        <v>511</v>
      </c>
      <c r="C1229" s="227"/>
      <c r="D1229" s="149"/>
      <c r="E1229" s="149"/>
      <c r="F1229" s="150"/>
      <c r="G1229" s="150"/>
      <c r="H1229" s="228"/>
      <c r="I1229" s="447">
        <f>'Main BBS -Revised ok'!X92</f>
        <v>6.2427130000000002</v>
      </c>
      <c r="J1229" s="180" t="s">
        <v>78</v>
      </c>
    </row>
    <row r="1230" spans="1:10" s="181" customFormat="1" ht="22.5" customHeight="1">
      <c r="A1230" s="276"/>
      <c r="B1230" s="148"/>
      <c r="C1230" s="158"/>
      <c r="D1230" s="220"/>
      <c r="E1230" s="162"/>
      <c r="F1230" s="150"/>
      <c r="G1230" s="158"/>
      <c r="H1230" s="158"/>
      <c r="I1230" s="159"/>
      <c r="J1230" s="180"/>
    </row>
    <row r="1231" spans="1:10" s="181" customFormat="1" ht="101.25" customHeight="1">
      <c r="A1231" s="276" t="s">
        <v>1455</v>
      </c>
      <c r="B1231" s="230" t="s">
        <v>513</v>
      </c>
      <c r="C1231" s="149"/>
      <c r="D1231" s="149"/>
      <c r="E1231" s="149"/>
      <c r="F1231" s="150"/>
      <c r="G1231" s="158"/>
      <c r="H1231" s="150"/>
      <c r="I1231" s="159"/>
      <c r="J1231" s="180"/>
    </row>
    <row r="1232" spans="1:10" s="181" customFormat="1">
      <c r="A1232" s="276"/>
      <c r="B1232" s="155" t="s">
        <v>514</v>
      </c>
      <c r="C1232" s="149">
        <v>1</v>
      </c>
      <c r="D1232" s="149" t="s">
        <v>73</v>
      </c>
      <c r="E1232" s="149">
        <v>6</v>
      </c>
      <c r="F1232" s="150"/>
      <c r="G1232" s="150"/>
      <c r="H1232" s="150"/>
      <c r="I1232" s="159">
        <f>ROUND(PRODUCT(C1232:H1232),2)</f>
        <v>6</v>
      </c>
      <c r="J1232" s="180" t="s">
        <v>128</v>
      </c>
    </row>
    <row r="1233" spans="1:14" s="181" customFormat="1">
      <c r="A1233" s="354"/>
      <c r="B1233" s="148"/>
      <c r="C1233" s="149"/>
      <c r="D1233" s="149"/>
      <c r="E1233" s="149"/>
      <c r="F1233" s="150"/>
      <c r="G1233" s="158"/>
      <c r="H1233" s="150"/>
      <c r="I1233" s="159"/>
      <c r="J1233" s="180"/>
    </row>
    <row r="1234" spans="1:14" s="181" customFormat="1" ht="21.75" customHeight="1">
      <c r="A1234" s="276"/>
      <c r="B1234" s="155" t="s">
        <v>515</v>
      </c>
      <c r="C1234" s="149"/>
      <c r="D1234" s="149"/>
      <c r="E1234" s="149"/>
      <c r="F1234" s="150"/>
      <c r="G1234" s="150"/>
      <c r="H1234" s="150"/>
      <c r="I1234" s="151"/>
      <c r="J1234" s="180"/>
    </row>
    <row r="1235" spans="1:14" s="181" customFormat="1">
      <c r="A1235" s="276"/>
      <c r="B1235" s="148" t="s">
        <v>516</v>
      </c>
      <c r="C1235" s="149">
        <v>1</v>
      </c>
      <c r="D1235" s="149" t="s">
        <v>73</v>
      </c>
      <c r="E1235" s="149">
        <v>6</v>
      </c>
      <c r="F1235" s="150">
        <v>3</v>
      </c>
      <c r="G1235" s="150"/>
      <c r="H1235" s="150"/>
      <c r="I1235" s="159">
        <f>ROUND(PRODUCT(C1235:H1235),2)</f>
        <v>18</v>
      </c>
      <c r="J1235" s="180" t="s">
        <v>76</v>
      </c>
    </row>
    <row r="1236" spans="1:14" s="181" customFormat="1">
      <c r="A1236" s="276"/>
      <c r="B1236" s="148"/>
      <c r="C1236" s="149"/>
      <c r="D1236" s="149"/>
      <c r="E1236" s="149"/>
      <c r="F1236" s="150"/>
      <c r="G1236" s="158"/>
      <c r="H1236" s="150"/>
      <c r="I1236" s="159"/>
      <c r="J1236" s="180"/>
    </row>
    <row r="1237" spans="1:14" s="181" customFormat="1" ht="100.5" customHeight="1">
      <c r="A1237" s="276" t="s">
        <v>1456</v>
      </c>
      <c r="B1237" s="231" t="s">
        <v>520</v>
      </c>
      <c r="C1237" s="149"/>
      <c r="D1237" s="149"/>
      <c r="E1237" s="149"/>
      <c r="F1237" s="150"/>
      <c r="G1237" s="150"/>
      <c r="H1237" s="150"/>
      <c r="I1237" s="151"/>
      <c r="J1237" s="180"/>
    </row>
    <row r="1238" spans="1:14" s="181" customFormat="1">
      <c r="A1238" s="276"/>
      <c r="B1238" s="232" t="s">
        <v>521</v>
      </c>
      <c r="C1238" s="149">
        <v>1</v>
      </c>
      <c r="D1238" s="149" t="s">
        <v>73</v>
      </c>
      <c r="E1238" s="149">
        <v>6</v>
      </c>
      <c r="F1238" s="150"/>
      <c r="G1238" s="150"/>
      <c r="H1238" s="150"/>
      <c r="I1238" s="159">
        <f t="shared" ref="I1238" si="85">ROUND(PRODUCT(C1238:H1238),2)</f>
        <v>6</v>
      </c>
      <c r="J1238" s="180" t="s">
        <v>128</v>
      </c>
    </row>
    <row r="1239" spans="1:14" s="181" customFormat="1">
      <c r="A1239" s="276"/>
      <c r="B1239" s="232"/>
      <c r="C1239" s="149"/>
      <c r="D1239" s="149"/>
      <c r="E1239" s="149"/>
      <c r="F1239" s="150"/>
      <c r="G1239" s="150"/>
      <c r="H1239" s="150"/>
      <c r="I1239" s="151"/>
      <c r="J1239" s="180"/>
    </row>
    <row r="1240" spans="1:14" s="181" customFormat="1" ht="37.5">
      <c r="A1240" s="276">
        <v>44.6</v>
      </c>
      <c r="B1240" s="155" t="s">
        <v>517</v>
      </c>
      <c r="C1240" s="149"/>
      <c r="D1240" s="149"/>
      <c r="E1240" s="149"/>
      <c r="F1240" s="150"/>
      <c r="G1240" s="150"/>
      <c r="H1240" s="150"/>
      <c r="I1240" s="159"/>
      <c r="J1240" s="180"/>
    </row>
    <row r="1241" spans="1:14" s="181" customFormat="1" ht="22.5" customHeight="1">
      <c r="A1241" s="276"/>
      <c r="B1241" s="148" t="s">
        <v>1350</v>
      </c>
      <c r="C1241" s="149">
        <v>1</v>
      </c>
      <c r="D1241" s="149" t="s">
        <v>73</v>
      </c>
      <c r="E1241" s="149">
        <v>3</v>
      </c>
      <c r="F1241" s="150">
        <v>11.5</v>
      </c>
      <c r="G1241" s="150"/>
      <c r="H1241" s="150"/>
      <c r="I1241" s="151">
        <f t="shared" ref="I1241:I1245" si="86">ROUND(PRODUCT(C1241:H1241),2)</f>
        <v>34.5</v>
      </c>
      <c r="J1241" s="180"/>
    </row>
    <row r="1242" spans="1:14" s="181" customFormat="1">
      <c r="A1242" s="276"/>
      <c r="B1242" s="148" t="s">
        <v>518</v>
      </c>
      <c r="C1242" s="149">
        <v>1</v>
      </c>
      <c r="D1242" s="149" t="s">
        <v>73</v>
      </c>
      <c r="E1242" s="149">
        <v>6</v>
      </c>
      <c r="F1242" s="150">
        <v>2.5</v>
      </c>
      <c r="G1242" s="150"/>
      <c r="H1242" s="150"/>
      <c r="I1242" s="151">
        <f t="shared" si="86"/>
        <v>15</v>
      </c>
      <c r="J1242" s="180"/>
    </row>
    <row r="1243" spans="1:14" s="181" customFormat="1">
      <c r="A1243" s="276"/>
      <c r="B1243" s="148" t="s">
        <v>519</v>
      </c>
      <c r="C1243" s="149">
        <v>1</v>
      </c>
      <c r="D1243" s="149" t="s">
        <v>73</v>
      </c>
      <c r="E1243" s="149">
        <v>2</v>
      </c>
      <c r="F1243" s="150">
        <v>15</v>
      </c>
      <c r="G1243" s="150"/>
      <c r="H1243" s="150"/>
      <c r="I1243" s="151">
        <f t="shared" si="86"/>
        <v>30</v>
      </c>
      <c r="J1243" s="180"/>
      <c r="M1243" s="181">
        <f>14.7*10.37</f>
        <v>152.43899999999999</v>
      </c>
      <c r="N1243" s="181">
        <f>M1243*10.764</f>
        <v>1640.8533959999997</v>
      </c>
    </row>
    <row r="1244" spans="1:14" s="181" customFormat="1">
      <c r="A1244" s="276"/>
      <c r="B1244" s="148" t="s">
        <v>1351</v>
      </c>
      <c r="C1244" s="149">
        <v>1</v>
      </c>
      <c r="D1244" s="149" t="s">
        <v>73</v>
      </c>
      <c r="E1244" s="149">
        <v>2</v>
      </c>
      <c r="F1244" s="150">
        <v>6</v>
      </c>
      <c r="G1244" s="150"/>
      <c r="H1244" s="150"/>
      <c r="I1244" s="151">
        <f t="shared" si="86"/>
        <v>12</v>
      </c>
      <c r="J1244" s="180"/>
      <c r="M1244" s="181">
        <f>M1243*3</f>
        <v>457.31700000000001</v>
      </c>
      <c r="N1244" s="181">
        <f>N1243/450</f>
        <v>3.6463408799999995</v>
      </c>
    </row>
    <row r="1245" spans="1:14" s="181" customFormat="1">
      <c r="A1245" s="276"/>
      <c r="B1245" s="148" t="s">
        <v>1352</v>
      </c>
      <c r="C1245" s="149">
        <v>1</v>
      </c>
      <c r="D1245" s="149" t="s">
        <v>73</v>
      </c>
      <c r="E1245" s="149">
        <v>2</v>
      </c>
      <c r="F1245" s="150">
        <v>6</v>
      </c>
      <c r="G1245" s="150"/>
      <c r="H1245" s="150"/>
      <c r="I1245" s="151">
        <f t="shared" si="86"/>
        <v>12</v>
      </c>
      <c r="J1245" s="180"/>
      <c r="M1245" s="181">
        <f>M1244*10.764</f>
        <v>4922.5601879999995</v>
      </c>
    </row>
    <row r="1246" spans="1:14" s="181" customFormat="1">
      <c r="A1246" s="276"/>
      <c r="B1246" s="148"/>
      <c r="C1246" s="149"/>
      <c r="D1246" s="149"/>
      <c r="E1246" s="149"/>
      <c r="F1246" s="150"/>
      <c r="G1246" s="158" t="s">
        <v>11</v>
      </c>
      <c r="H1246" s="150"/>
      <c r="I1246" s="159">
        <f>SUM(I1241:I1245)</f>
        <v>103.5</v>
      </c>
      <c r="J1246" s="180" t="s">
        <v>76</v>
      </c>
      <c r="M1246" s="181">
        <f>M1245/450</f>
        <v>10.939022639999999</v>
      </c>
    </row>
    <row r="1247" spans="1:14" s="181" customFormat="1" ht="16.5" customHeight="1">
      <c r="A1247" s="276"/>
      <c r="B1247" s="148"/>
      <c r="C1247" s="149"/>
      <c r="D1247" s="149"/>
      <c r="E1247" s="149"/>
      <c r="F1247" s="150"/>
      <c r="G1247" s="158"/>
      <c r="H1247" s="158"/>
      <c r="I1247" s="159"/>
      <c r="J1247" s="180"/>
    </row>
    <row r="1248" spans="1:14" s="181" customFormat="1">
      <c r="A1248" s="276">
        <v>50.6</v>
      </c>
      <c r="B1248" s="387" t="s">
        <v>1594</v>
      </c>
      <c r="C1248" s="149"/>
      <c r="D1248" s="149"/>
      <c r="E1248" s="149"/>
      <c r="F1248" s="150"/>
      <c r="G1248" s="150"/>
      <c r="H1248" s="158"/>
      <c r="I1248" s="159"/>
      <c r="J1248" s="180"/>
    </row>
    <row r="1249" spans="1:10" s="181" customFormat="1">
      <c r="A1249" s="276"/>
      <c r="B1249" s="233" t="s">
        <v>1595</v>
      </c>
      <c r="C1249" s="149">
        <v>1</v>
      </c>
      <c r="D1249" s="149" t="s">
        <v>73</v>
      </c>
      <c r="E1249" s="149">
        <v>1</v>
      </c>
      <c r="F1249" s="150">
        <v>14.47</v>
      </c>
      <c r="G1249" s="165">
        <v>0.94499999999999995</v>
      </c>
      <c r="H1249" s="150"/>
      <c r="I1249" s="151">
        <f>ROUND(PRODUCT(C1249:H1249),2)</f>
        <v>13.67</v>
      </c>
      <c r="J1249" s="180"/>
    </row>
    <row r="1250" spans="1:10" s="181" customFormat="1">
      <c r="A1250" s="276"/>
      <c r="B1250" s="233" t="s">
        <v>1596</v>
      </c>
      <c r="C1250" s="149">
        <v>-1</v>
      </c>
      <c r="D1250" s="149" t="s">
        <v>73</v>
      </c>
      <c r="E1250" s="149">
        <v>3</v>
      </c>
      <c r="F1250" s="150">
        <v>1.06</v>
      </c>
      <c r="G1250" s="165">
        <v>0.94499999999999995</v>
      </c>
      <c r="H1250" s="150"/>
      <c r="I1250" s="151">
        <f>ROUND(PRODUCT(C1250:H1250),2)</f>
        <v>-3.01</v>
      </c>
      <c r="J1250" s="180"/>
    </row>
    <row r="1251" spans="1:10" s="181" customFormat="1">
      <c r="A1251" s="276"/>
      <c r="B1251" s="233" t="s">
        <v>1597</v>
      </c>
      <c r="C1251" s="149">
        <v>-1</v>
      </c>
      <c r="D1251" s="149" t="s">
        <v>73</v>
      </c>
      <c r="E1251" s="149">
        <v>2</v>
      </c>
      <c r="F1251" s="150">
        <v>0.53</v>
      </c>
      <c r="G1251" s="165">
        <v>0.53</v>
      </c>
      <c r="H1251" s="150"/>
      <c r="I1251" s="151">
        <f>ROUND(PRODUCT(C1251:H1251),2)</f>
        <v>-0.56000000000000005</v>
      </c>
      <c r="J1251" s="180"/>
    </row>
    <row r="1252" spans="1:10" s="181" customFormat="1">
      <c r="A1252" s="276"/>
      <c r="B1252" s="233"/>
      <c r="C1252" s="149"/>
      <c r="D1252" s="149"/>
      <c r="E1252" s="149"/>
      <c r="F1252" s="150"/>
      <c r="G1252" s="165"/>
      <c r="H1252" s="150"/>
      <c r="I1252" s="159">
        <f>SUM(I1249:I1251)</f>
        <v>10.1</v>
      </c>
      <c r="J1252" s="180" t="s">
        <v>75</v>
      </c>
    </row>
    <row r="1253" spans="1:10" s="181" customFormat="1">
      <c r="A1253" s="276"/>
      <c r="B1253" s="233"/>
      <c r="C1253" s="149"/>
      <c r="D1253" s="149"/>
      <c r="E1253" s="149"/>
      <c r="F1253" s="150"/>
      <c r="G1253" s="165"/>
      <c r="H1253" s="150"/>
      <c r="I1253" s="151"/>
      <c r="J1253" s="180"/>
    </row>
    <row r="1254" spans="1:10" s="181" customFormat="1" ht="102" customHeight="1">
      <c r="A1254" s="276">
        <v>52.4</v>
      </c>
      <c r="B1254" s="178" t="s">
        <v>524</v>
      </c>
      <c r="C1254" s="149"/>
      <c r="D1254" s="149"/>
      <c r="E1254" s="149"/>
      <c r="F1254" s="150"/>
      <c r="G1254" s="150"/>
      <c r="H1254" s="150"/>
      <c r="I1254" s="151"/>
      <c r="J1254" s="180"/>
    </row>
    <row r="1255" spans="1:10" s="181" customFormat="1" ht="37.5">
      <c r="A1255" s="276"/>
      <c r="B1255" s="178" t="s">
        <v>525</v>
      </c>
      <c r="C1255" s="149"/>
      <c r="D1255" s="149"/>
      <c r="E1255" s="149"/>
      <c r="F1255" s="150"/>
      <c r="G1255" s="150"/>
      <c r="H1255" s="150"/>
      <c r="I1255" s="151"/>
      <c r="J1255" s="180"/>
    </row>
    <row r="1256" spans="1:10" s="181" customFormat="1">
      <c r="A1256" s="276"/>
      <c r="B1256" s="148" t="s">
        <v>526</v>
      </c>
      <c r="C1256" s="149">
        <v>1</v>
      </c>
      <c r="D1256" s="149" t="s">
        <v>73</v>
      </c>
      <c r="E1256" s="149">
        <v>2</v>
      </c>
      <c r="F1256" s="150">
        <v>5.75</v>
      </c>
      <c r="G1256" s="150"/>
      <c r="H1256" s="150"/>
      <c r="I1256" s="151">
        <f>ROUND(PRODUCT(C1256:H1256),2)</f>
        <v>11.5</v>
      </c>
      <c r="J1256" s="180"/>
    </row>
    <row r="1257" spans="1:10" s="181" customFormat="1">
      <c r="A1257" s="276"/>
      <c r="B1257" s="148" t="s">
        <v>1354</v>
      </c>
      <c r="C1257" s="149">
        <v>1</v>
      </c>
      <c r="D1257" s="149" t="s">
        <v>73</v>
      </c>
      <c r="E1257" s="149">
        <v>2</v>
      </c>
      <c r="F1257" s="150">
        <v>7.5</v>
      </c>
      <c r="G1257" s="150"/>
      <c r="H1257" s="150"/>
      <c r="I1257" s="151">
        <f t="shared" ref="I1257:I1261" si="87">ROUND(PRODUCT(C1257:H1257),2)</f>
        <v>15</v>
      </c>
      <c r="J1257" s="180"/>
    </row>
    <row r="1258" spans="1:10" s="181" customFormat="1">
      <c r="A1258" s="276"/>
      <c r="B1258" s="148" t="s">
        <v>1355</v>
      </c>
      <c r="C1258" s="149">
        <v>1</v>
      </c>
      <c r="D1258" s="149" t="s">
        <v>73</v>
      </c>
      <c r="E1258" s="149">
        <v>2</v>
      </c>
      <c r="F1258" s="150">
        <v>5</v>
      </c>
      <c r="G1258" s="150"/>
      <c r="H1258" s="150"/>
      <c r="I1258" s="151">
        <f t="shared" si="87"/>
        <v>10</v>
      </c>
      <c r="J1258" s="180"/>
    </row>
    <row r="1259" spans="1:10" s="181" customFormat="1">
      <c r="A1259" s="276"/>
      <c r="B1259" s="148" t="s">
        <v>1353</v>
      </c>
      <c r="C1259" s="149">
        <v>1</v>
      </c>
      <c r="D1259" s="149" t="s">
        <v>73</v>
      </c>
      <c r="E1259" s="149">
        <v>2</v>
      </c>
      <c r="F1259" s="150">
        <v>2.2999999999999998</v>
      </c>
      <c r="G1259" s="150"/>
      <c r="H1259" s="150"/>
      <c r="I1259" s="151">
        <f t="shared" si="87"/>
        <v>4.5999999999999996</v>
      </c>
      <c r="J1259" s="180"/>
    </row>
    <row r="1260" spans="1:10" s="181" customFormat="1">
      <c r="A1260" s="276"/>
      <c r="B1260" s="148" t="s">
        <v>527</v>
      </c>
      <c r="C1260" s="149">
        <v>1</v>
      </c>
      <c r="D1260" s="149" t="s">
        <v>73</v>
      </c>
      <c r="E1260" s="149">
        <v>4</v>
      </c>
      <c r="F1260" s="150">
        <v>4.5</v>
      </c>
      <c r="G1260" s="150"/>
      <c r="H1260" s="150"/>
      <c r="I1260" s="151">
        <f t="shared" si="87"/>
        <v>18</v>
      </c>
      <c r="J1260" s="180"/>
    </row>
    <row r="1261" spans="1:10" s="181" customFormat="1" ht="15" customHeight="1">
      <c r="A1261" s="276"/>
      <c r="B1261" s="148" t="s">
        <v>1356</v>
      </c>
      <c r="C1261" s="149">
        <v>1</v>
      </c>
      <c r="D1261" s="149" t="s">
        <v>73</v>
      </c>
      <c r="E1261" s="149">
        <v>2</v>
      </c>
      <c r="F1261" s="150">
        <v>4</v>
      </c>
      <c r="G1261" s="150"/>
      <c r="H1261" s="150"/>
      <c r="I1261" s="151">
        <f t="shared" si="87"/>
        <v>8</v>
      </c>
      <c r="J1261" s="180"/>
    </row>
    <row r="1262" spans="1:10" s="181" customFormat="1" ht="14.25" customHeight="1">
      <c r="A1262" s="249"/>
      <c r="B1262" s="148" t="s">
        <v>1357</v>
      </c>
      <c r="C1262" s="149">
        <v>1</v>
      </c>
      <c r="D1262" s="149" t="s">
        <v>73</v>
      </c>
      <c r="E1262" s="149">
        <v>2</v>
      </c>
      <c r="F1262" s="150">
        <v>8</v>
      </c>
      <c r="G1262" s="150"/>
      <c r="H1262" s="150"/>
      <c r="I1262" s="151">
        <f>ROUND(PRODUCT(C1262:H1262),2)</f>
        <v>16</v>
      </c>
      <c r="J1262" s="180"/>
    </row>
    <row r="1263" spans="1:10" s="181" customFormat="1">
      <c r="A1263" s="276"/>
      <c r="B1263" s="154" t="s">
        <v>1358</v>
      </c>
      <c r="C1263" s="149">
        <v>1</v>
      </c>
      <c r="D1263" s="235" t="s">
        <v>73</v>
      </c>
      <c r="E1263" s="238">
        <v>14</v>
      </c>
      <c r="F1263" s="236">
        <v>0.6</v>
      </c>
      <c r="G1263" s="236"/>
      <c r="H1263" s="236"/>
      <c r="I1263" s="237">
        <f>ROUND(PRODUCT(C1263:H1263),2)</f>
        <v>8.4</v>
      </c>
      <c r="J1263" s="180"/>
    </row>
    <row r="1264" spans="1:10" s="181" customFormat="1">
      <c r="A1264" s="276"/>
      <c r="B1264" s="454" t="s">
        <v>1406</v>
      </c>
      <c r="C1264" s="149"/>
      <c r="D1264" s="235"/>
      <c r="E1264" s="238"/>
      <c r="F1264" s="236"/>
      <c r="G1264" s="236"/>
      <c r="H1264" s="236"/>
      <c r="I1264" s="237">
        <f>-excess!G117</f>
        <v>-30</v>
      </c>
      <c r="J1264" s="180"/>
    </row>
    <row r="1265" spans="1:10" s="181" customFormat="1">
      <c r="A1265" s="276"/>
      <c r="B1265" s="154"/>
      <c r="C1265" s="149"/>
      <c r="D1265" s="235"/>
      <c r="E1265" s="238"/>
      <c r="F1265" s="236"/>
      <c r="G1265" s="158" t="s">
        <v>11</v>
      </c>
      <c r="H1265" s="236"/>
      <c r="I1265" s="454">
        <f>SUM(I1256:I1264)</f>
        <v>61.5</v>
      </c>
      <c r="J1265" s="180" t="s">
        <v>76</v>
      </c>
    </row>
    <row r="1266" spans="1:10" s="181" customFormat="1">
      <c r="A1266" s="276"/>
      <c r="B1266" s="148"/>
      <c r="C1266" s="149"/>
      <c r="D1266" s="149"/>
      <c r="E1266" s="149"/>
      <c r="F1266" s="150"/>
      <c r="G1266" s="158"/>
      <c r="H1266" s="150"/>
      <c r="I1266" s="159"/>
      <c r="J1266" s="180"/>
    </row>
    <row r="1267" spans="1:10" s="181" customFormat="1" ht="56.25">
      <c r="A1267" s="276">
        <v>52.9</v>
      </c>
      <c r="B1267" s="387" t="s">
        <v>1592</v>
      </c>
      <c r="C1267" s="149"/>
      <c r="D1267" s="149"/>
      <c r="E1267" s="149"/>
      <c r="F1267" s="150"/>
      <c r="G1267" s="150"/>
      <c r="H1267" s="150"/>
      <c r="I1267" s="151"/>
      <c r="J1267" s="180"/>
    </row>
    <row r="1268" spans="1:10" s="181" customFormat="1">
      <c r="A1268" s="276"/>
      <c r="B1268" s="148" t="s">
        <v>1593</v>
      </c>
      <c r="C1268" s="149">
        <v>1</v>
      </c>
      <c r="D1268" s="149" t="s">
        <v>73</v>
      </c>
      <c r="E1268" s="149">
        <v>1</v>
      </c>
      <c r="F1268" s="150">
        <v>1</v>
      </c>
      <c r="G1268" s="150"/>
      <c r="H1268" s="150"/>
      <c r="I1268" s="159">
        <f t="shared" ref="I1268" si="88">ROUND(PRODUCT(C1268:H1268),2)</f>
        <v>1</v>
      </c>
      <c r="J1268" s="180" t="s">
        <v>77</v>
      </c>
    </row>
    <row r="1269" spans="1:10" s="181" customFormat="1">
      <c r="A1269" s="276"/>
      <c r="B1269" s="148"/>
      <c r="C1269" s="149"/>
      <c r="D1269" s="149"/>
      <c r="E1269" s="149"/>
      <c r="F1269" s="150"/>
      <c r="G1269" s="150"/>
      <c r="H1269" s="150"/>
      <c r="I1269" s="151"/>
      <c r="J1269" s="180"/>
    </row>
    <row r="1270" spans="1:10" s="154" customFormat="1" ht="56.25">
      <c r="A1270" s="276">
        <v>60</v>
      </c>
      <c r="B1270" s="155" t="s">
        <v>401</v>
      </c>
      <c r="C1270" s="149"/>
      <c r="D1270" s="149"/>
      <c r="E1270" s="149"/>
      <c r="F1270" s="150"/>
      <c r="G1270" s="150"/>
      <c r="H1270" s="150"/>
      <c r="I1270" s="151"/>
      <c r="J1270" s="161"/>
    </row>
    <row r="1271" spans="1:10" s="154" customFormat="1">
      <c r="A1271" s="276"/>
      <c r="B1271" s="148" t="s">
        <v>402</v>
      </c>
      <c r="C1271" s="149">
        <v>1</v>
      </c>
      <c r="D1271" s="149" t="s">
        <v>73</v>
      </c>
      <c r="E1271" s="149">
        <v>1</v>
      </c>
      <c r="F1271" s="150"/>
      <c r="G1271" s="150"/>
      <c r="H1271" s="150"/>
      <c r="I1271" s="159">
        <v>1</v>
      </c>
      <c r="J1271" s="161" t="s">
        <v>128</v>
      </c>
    </row>
    <row r="1272" spans="1:10" s="154" customFormat="1">
      <c r="A1272" s="276"/>
      <c r="B1272" s="148"/>
      <c r="C1272" s="149"/>
      <c r="D1272" s="149"/>
      <c r="E1272" s="149"/>
      <c r="F1272" s="150"/>
      <c r="G1272" s="150"/>
      <c r="H1272" s="150"/>
      <c r="I1272" s="159"/>
      <c r="J1272" s="349"/>
    </row>
    <row r="1273" spans="1:10" s="181" customFormat="1" ht="100.5" customHeight="1">
      <c r="A1273" s="276">
        <v>53.5</v>
      </c>
      <c r="B1273" s="178" t="s">
        <v>528</v>
      </c>
      <c r="C1273" s="149"/>
      <c r="D1273" s="149"/>
      <c r="E1273" s="149"/>
      <c r="F1273" s="150"/>
      <c r="G1273" s="150"/>
      <c r="H1273" s="158"/>
      <c r="I1273" s="151"/>
      <c r="J1273" s="180"/>
    </row>
    <row r="1274" spans="1:10" s="181" customFormat="1">
      <c r="A1274" s="276"/>
      <c r="B1274" s="178" t="s">
        <v>529</v>
      </c>
      <c r="C1274" s="149">
        <v>1</v>
      </c>
      <c r="D1274" s="149" t="s">
        <v>73</v>
      </c>
      <c r="E1274" s="149">
        <v>2</v>
      </c>
      <c r="F1274" s="150"/>
      <c r="G1274" s="150"/>
      <c r="H1274" s="158"/>
      <c r="I1274" s="151">
        <f>ROUND(PRODUCT(C1274:H1274),2)</f>
        <v>2</v>
      </c>
      <c r="J1274" s="180"/>
    </row>
    <row r="1275" spans="1:10" s="181" customFormat="1">
      <c r="A1275" s="276"/>
      <c r="B1275" s="148" t="s">
        <v>361</v>
      </c>
      <c r="C1275" s="149">
        <v>1</v>
      </c>
      <c r="D1275" s="149" t="s">
        <v>73</v>
      </c>
      <c r="E1275" s="149">
        <v>2</v>
      </c>
      <c r="F1275" s="150"/>
      <c r="G1275" s="150"/>
      <c r="H1275" s="150"/>
      <c r="I1275" s="151">
        <f>ROUND(PRODUCT(C1275:H1275),2)</f>
        <v>2</v>
      </c>
      <c r="J1275" s="180"/>
    </row>
    <row r="1276" spans="1:10" s="181" customFormat="1">
      <c r="A1276" s="276"/>
      <c r="B1276" s="148" t="s">
        <v>362</v>
      </c>
      <c r="C1276" s="149">
        <v>1</v>
      </c>
      <c r="D1276" s="149" t="s">
        <v>73</v>
      </c>
      <c r="E1276" s="149">
        <v>2</v>
      </c>
      <c r="F1276" s="150"/>
      <c r="G1276" s="150"/>
      <c r="H1276" s="150"/>
      <c r="I1276" s="151">
        <f>ROUND(PRODUCT(C1276:H1276),2)</f>
        <v>2</v>
      </c>
      <c r="J1276" s="180"/>
    </row>
    <row r="1277" spans="1:10" s="154" customFormat="1">
      <c r="A1277" s="234"/>
      <c r="B1277" s="148" t="s">
        <v>530</v>
      </c>
      <c r="C1277" s="149">
        <v>1</v>
      </c>
      <c r="D1277" s="149" t="s">
        <v>73</v>
      </c>
      <c r="E1277" s="149">
        <v>4</v>
      </c>
      <c r="F1277" s="150"/>
      <c r="G1277" s="150"/>
      <c r="H1277" s="150"/>
      <c r="I1277" s="151">
        <f>ROUND(PRODUCT(C1277:H1277),2)</f>
        <v>4</v>
      </c>
      <c r="J1277" s="349"/>
    </row>
    <row r="1278" spans="1:10" s="154" customFormat="1">
      <c r="A1278" s="234"/>
      <c r="B1278" s="148"/>
      <c r="C1278" s="149"/>
      <c r="D1278" s="149"/>
      <c r="E1278" s="149"/>
      <c r="F1278" s="150"/>
      <c r="G1278" s="158" t="s">
        <v>11</v>
      </c>
      <c r="H1278" s="150"/>
      <c r="I1278" s="159">
        <f>SUM(I1274:I1277)</f>
        <v>10</v>
      </c>
      <c r="J1278" s="349" t="s">
        <v>128</v>
      </c>
    </row>
    <row r="1279" spans="1:10" s="154" customFormat="1">
      <c r="A1279" s="234"/>
      <c r="B1279" s="148"/>
      <c r="C1279" s="149"/>
      <c r="D1279" s="149"/>
      <c r="E1279" s="149"/>
      <c r="F1279" s="150"/>
      <c r="G1279" s="158"/>
      <c r="H1279" s="150"/>
      <c r="I1279" s="159"/>
      <c r="J1279" s="349"/>
    </row>
    <row r="1280" spans="1:10" s="181" customFormat="1" ht="37.5">
      <c r="A1280" s="276" t="s">
        <v>105</v>
      </c>
      <c r="B1280" s="155" t="s">
        <v>531</v>
      </c>
      <c r="C1280" s="149"/>
      <c r="D1280" s="149"/>
      <c r="E1280" s="149"/>
      <c r="F1280" s="150"/>
      <c r="G1280" s="150"/>
      <c r="H1280" s="150"/>
      <c r="I1280" s="159"/>
      <c r="J1280" s="180"/>
    </row>
    <row r="1281" spans="1:10" s="181" customFormat="1" ht="18" customHeight="1">
      <c r="B1281" s="148" t="s">
        <v>532</v>
      </c>
      <c r="C1281" s="149">
        <v>1</v>
      </c>
      <c r="D1281" s="156" t="s">
        <v>73</v>
      </c>
      <c r="E1281" s="149">
        <v>2</v>
      </c>
      <c r="F1281" s="150"/>
      <c r="G1281" s="150"/>
      <c r="H1281" s="150"/>
      <c r="I1281" s="151">
        <f>ROUND(PRODUCT(C1281:H1281),2)</f>
        <v>2</v>
      </c>
      <c r="J1281" s="180"/>
    </row>
    <row r="1282" spans="1:10" s="181" customFormat="1">
      <c r="A1282" s="276"/>
      <c r="B1282" s="148" t="s">
        <v>361</v>
      </c>
      <c r="C1282" s="149">
        <v>1</v>
      </c>
      <c r="D1282" s="156" t="s">
        <v>73</v>
      </c>
      <c r="E1282" s="149">
        <v>3</v>
      </c>
      <c r="F1282" s="150"/>
      <c r="G1282" s="150"/>
      <c r="H1282" s="150"/>
      <c r="I1282" s="151">
        <f>ROUND(PRODUCT(C1282:H1282),2)</f>
        <v>3</v>
      </c>
      <c r="J1282" s="180"/>
    </row>
    <row r="1283" spans="1:10" s="181" customFormat="1" ht="16.5" customHeight="1">
      <c r="A1283" s="276"/>
      <c r="B1283" s="148" t="s">
        <v>362</v>
      </c>
      <c r="C1283" s="149">
        <v>1</v>
      </c>
      <c r="D1283" s="156" t="s">
        <v>73</v>
      </c>
      <c r="E1283" s="149">
        <v>3</v>
      </c>
      <c r="F1283" s="150"/>
      <c r="G1283" s="150"/>
      <c r="H1283" s="150"/>
      <c r="I1283" s="151">
        <f>ROUND(PRODUCT(C1283:H1283),2)</f>
        <v>3</v>
      </c>
      <c r="J1283" s="180"/>
    </row>
    <row r="1284" spans="1:10" s="181" customFormat="1">
      <c r="A1284" s="276"/>
      <c r="B1284" s="148" t="s">
        <v>530</v>
      </c>
      <c r="C1284" s="149">
        <v>1</v>
      </c>
      <c r="D1284" s="156" t="s">
        <v>73</v>
      </c>
      <c r="E1284" s="149">
        <v>5</v>
      </c>
      <c r="F1284" s="150"/>
      <c r="G1284" s="150"/>
      <c r="H1284" s="150"/>
      <c r="I1284" s="151">
        <f>ROUND(PRODUCT(C1284:H1284),2)</f>
        <v>5</v>
      </c>
      <c r="J1284" s="180"/>
    </row>
    <row r="1285" spans="1:10" s="181" customFormat="1">
      <c r="A1285" s="276"/>
      <c r="B1285" s="148" t="s">
        <v>533</v>
      </c>
      <c r="C1285" s="149">
        <v>1</v>
      </c>
      <c r="D1285" s="156" t="s">
        <v>73</v>
      </c>
      <c r="E1285" s="149">
        <v>2</v>
      </c>
      <c r="F1285" s="150"/>
      <c r="G1285" s="150"/>
      <c r="H1285" s="150"/>
      <c r="I1285" s="151">
        <f>ROUND(PRODUCT(C1285:H1285),2)</f>
        <v>2</v>
      </c>
      <c r="J1285" s="180"/>
    </row>
    <row r="1286" spans="1:10" s="181" customFormat="1">
      <c r="A1286" s="276"/>
      <c r="B1286" s="148"/>
      <c r="C1286" s="149"/>
      <c r="D1286" s="149"/>
      <c r="E1286" s="149"/>
      <c r="F1286" s="150"/>
      <c r="G1286" s="158" t="s">
        <v>11</v>
      </c>
      <c r="H1286" s="150"/>
      <c r="I1286" s="159">
        <f>SUM(I1281:I1285)</f>
        <v>15</v>
      </c>
      <c r="J1286" s="180" t="s">
        <v>276</v>
      </c>
    </row>
    <row r="1287" spans="1:10" s="181" customFormat="1">
      <c r="A1287" s="276"/>
      <c r="B1287" s="148"/>
      <c r="C1287" s="149"/>
      <c r="D1287" s="149"/>
      <c r="E1287" s="149"/>
      <c r="F1287" s="150"/>
      <c r="G1287" s="158"/>
      <c r="H1287" s="150"/>
      <c r="I1287" s="159"/>
      <c r="J1287" s="180"/>
    </row>
    <row r="1288" spans="1:10" s="181" customFormat="1" ht="37.5">
      <c r="A1288" s="276" t="s">
        <v>106</v>
      </c>
      <c r="B1288" s="155" t="s">
        <v>534</v>
      </c>
      <c r="C1288" s="149"/>
      <c r="D1288" s="149"/>
      <c r="E1288" s="149"/>
      <c r="F1288" s="150"/>
      <c r="G1288" s="158"/>
      <c r="H1288" s="150"/>
      <c r="I1288" s="159"/>
      <c r="J1288" s="180"/>
    </row>
    <row r="1289" spans="1:10" s="181" customFormat="1" ht="19.5" customHeight="1">
      <c r="A1289" s="276"/>
      <c r="B1289" s="148" t="s">
        <v>532</v>
      </c>
      <c r="C1289" s="149">
        <v>1</v>
      </c>
      <c r="D1289" s="156" t="s">
        <v>73</v>
      </c>
      <c r="E1289" s="149">
        <v>2</v>
      </c>
      <c r="F1289" s="150"/>
      <c r="G1289" s="150"/>
      <c r="H1289" s="150"/>
      <c r="I1289" s="151">
        <f>ROUND(PRODUCT(C1289:H1289),2)</f>
        <v>2</v>
      </c>
      <c r="J1289" s="180"/>
    </row>
    <row r="1290" spans="1:10" s="181" customFormat="1" ht="13.5" customHeight="1">
      <c r="A1290" s="276"/>
      <c r="B1290" s="148" t="s">
        <v>361</v>
      </c>
      <c r="C1290" s="149">
        <v>1</v>
      </c>
      <c r="D1290" s="156" t="s">
        <v>73</v>
      </c>
      <c r="E1290" s="149">
        <v>3</v>
      </c>
      <c r="F1290" s="150"/>
      <c r="G1290" s="150"/>
      <c r="H1290" s="150"/>
      <c r="I1290" s="151">
        <f>ROUND(PRODUCT(C1290:H1290),2)</f>
        <v>3</v>
      </c>
      <c r="J1290" s="180"/>
    </row>
    <row r="1291" spans="1:10" s="181" customFormat="1">
      <c r="A1291" s="276"/>
      <c r="B1291" s="148" t="s">
        <v>362</v>
      </c>
      <c r="C1291" s="149">
        <v>1</v>
      </c>
      <c r="D1291" s="156" t="s">
        <v>73</v>
      </c>
      <c r="E1291" s="149">
        <v>3</v>
      </c>
      <c r="F1291" s="150"/>
      <c r="G1291" s="150"/>
      <c r="H1291" s="150"/>
      <c r="I1291" s="151">
        <f>ROUND(PRODUCT(C1291:H1291),2)</f>
        <v>3</v>
      </c>
      <c r="J1291" s="180"/>
    </row>
    <row r="1292" spans="1:10" s="181" customFormat="1">
      <c r="A1292" s="276"/>
      <c r="B1292" s="148" t="s">
        <v>530</v>
      </c>
      <c r="C1292" s="149">
        <v>1</v>
      </c>
      <c r="D1292" s="156" t="s">
        <v>73</v>
      </c>
      <c r="E1292" s="149">
        <v>5</v>
      </c>
      <c r="F1292" s="150"/>
      <c r="G1292" s="150"/>
      <c r="H1292" s="150"/>
      <c r="I1292" s="151">
        <f>ROUND(PRODUCT(C1292:H1292),2)</f>
        <v>5</v>
      </c>
      <c r="J1292" s="180"/>
    </row>
    <row r="1293" spans="1:10" s="181" customFormat="1">
      <c r="A1293" s="276"/>
      <c r="B1293" s="148"/>
      <c r="C1293" s="149"/>
      <c r="D1293" s="149"/>
      <c r="E1293" s="149"/>
      <c r="F1293" s="150"/>
      <c r="G1293" s="158" t="s">
        <v>11</v>
      </c>
      <c r="H1293" s="150"/>
      <c r="I1293" s="159">
        <f>SUM(I1289:I1292)</f>
        <v>13</v>
      </c>
      <c r="J1293" s="180" t="s">
        <v>377</v>
      </c>
    </row>
    <row r="1294" spans="1:10" s="181" customFormat="1">
      <c r="A1294" s="276"/>
      <c r="B1294" s="148"/>
      <c r="C1294" s="149"/>
      <c r="D1294" s="149"/>
      <c r="E1294" s="149"/>
      <c r="F1294" s="150"/>
      <c r="G1294" s="158"/>
      <c r="H1294" s="150"/>
      <c r="I1294" s="159"/>
      <c r="J1294" s="221"/>
    </row>
    <row r="1295" spans="1:10" s="181" customFormat="1" ht="37.5" customHeight="1">
      <c r="A1295" s="276" t="s">
        <v>54</v>
      </c>
      <c r="B1295" s="183" t="s">
        <v>535</v>
      </c>
      <c r="C1295" s="149"/>
      <c r="D1295" s="149"/>
      <c r="E1295" s="149"/>
      <c r="F1295" s="150"/>
      <c r="G1295" s="150"/>
      <c r="H1295" s="150"/>
      <c r="I1295" s="151"/>
      <c r="J1295" s="221"/>
    </row>
    <row r="1296" spans="1:10" s="181" customFormat="1" ht="17.25" customHeight="1">
      <c r="B1296" s="148" t="s">
        <v>536</v>
      </c>
      <c r="C1296" s="149">
        <v>1</v>
      </c>
      <c r="D1296" s="149" t="s">
        <v>73</v>
      </c>
      <c r="E1296" s="149">
        <v>1</v>
      </c>
      <c r="F1296" s="150"/>
      <c r="G1296" s="150"/>
      <c r="H1296" s="150"/>
      <c r="I1296" s="151">
        <f>ROUND(PRODUCT(C1296:H1296),2)</f>
        <v>1</v>
      </c>
      <c r="J1296" s="180"/>
    </row>
    <row r="1297" spans="1:10" s="181" customFormat="1" ht="19.5" customHeight="1">
      <c r="A1297" s="276"/>
      <c r="B1297" s="148"/>
      <c r="C1297" s="149"/>
      <c r="D1297" s="149"/>
      <c r="E1297" s="149"/>
      <c r="F1297" s="150"/>
      <c r="G1297" s="158" t="s">
        <v>11</v>
      </c>
      <c r="H1297" s="150"/>
      <c r="I1297" s="159">
        <f>SUM(I1296:I1296)</f>
        <v>1</v>
      </c>
      <c r="J1297" s="180" t="s">
        <v>377</v>
      </c>
    </row>
    <row r="1298" spans="1:10" s="181" customFormat="1" ht="19.5" customHeight="1">
      <c r="A1298" s="276"/>
      <c r="B1298" s="148"/>
      <c r="C1298" s="149"/>
      <c r="D1298" s="149"/>
      <c r="E1298" s="149"/>
      <c r="F1298" s="150"/>
      <c r="G1298" s="158"/>
      <c r="H1298" s="150"/>
      <c r="I1298" s="159"/>
      <c r="J1298" s="180"/>
    </row>
    <row r="1299" spans="1:10" s="181" customFormat="1" ht="13.5" customHeight="1">
      <c r="A1299" s="276" t="s">
        <v>55</v>
      </c>
      <c r="B1299" s="183" t="s">
        <v>537</v>
      </c>
      <c r="C1299" s="149"/>
      <c r="D1299" s="149"/>
      <c r="E1299" s="149"/>
      <c r="F1299" s="150"/>
      <c r="G1299" s="150"/>
      <c r="H1299" s="150"/>
      <c r="I1299" s="151"/>
      <c r="J1299" s="180"/>
    </row>
    <row r="1300" spans="1:10" s="181" customFormat="1">
      <c r="A1300" s="276"/>
      <c r="B1300" s="148" t="s">
        <v>1359</v>
      </c>
      <c r="C1300" s="149">
        <v>1</v>
      </c>
      <c r="D1300" s="149" t="s">
        <v>73</v>
      </c>
      <c r="E1300" s="149">
        <v>2</v>
      </c>
      <c r="F1300" s="150"/>
      <c r="G1300" s="150"/>
      <c r="H1300" s="150"/>
      <c r="I1300" s="151">
        <f>ROUND(PRODUCT(C1300:H1300),2)</f>
        <v>2</v>
      </c>
      <c r="J1300" s="180"/>
    </row>
    <row r="1301" spans="1:10" s="181" customFormat="1">
      <c r="A1301" s="276"/>
      <c r="B1301" s="148"/>
      <c r="C1301" s="149"/>
      <c r="D1301" s="149"/>
      <c r="E1301" s="149"/>
      <c r="F1301" s="150"/>
      <c r="G1301" s="158" t="s">
        <v>11</v>
      </c>
      <c r="H1301" s="150"/>
      <c r="I1301" s="159">
        <f ca="1">SUM(I1300:I1301)</f>
        <v>2</v>
      </c>
      <c r="J1301" s="180" t="s">
        <v>377</v>
      </c>
    </row>
    <row r="1302" spans="1:10" s="181" customFormat="1">
      <c r="A1302" s="276"/>
      <c r="B1302" s="148"/>
      <c r="C1302" s="149"/>
      <c r="D1302" s="149"/>
      <c r="E1302" s="149"/>
      <c r="F1302" s="150"/>
    </row>
    <row r="1303" spans="1:10" s="181" customFormat="1" ht="49.5" customHeight="1">
      <c r="A1303" s="276" t="s">
        <v>56</v>
      </c>
      <c r="B1303" s="155" t="s">
        <v>539</v>
      </c>
      <c r="C1303" s="149"/>
      <c r="D1303" s="149"/>
      <c r="E1303" s="149"/>
      <c r="F1303" s="150"/>
      <c r="G1303" s="158"/>
      <c r="H1303" s="150"/>
      <c r="I1303" s="159"/>
      <c r="J1303" s="180"/>
    </row>
    <row r="1304" spans="1:10" s="181" customFormat="1">
      <c r="A1304" s="276"/>
      <c r="B1304" s="182" t="s">
        <v>1361</v>
      </c>
      <c r="C1304" s="149">
        <v>1</v>
      </c>
      <c r="D1304" s="149" t="s">
        <v>73</v>
      </c>
      <c r="E1304" s="149">
        <v>1</v>
      </c>
      <c r="F1304" s="150"/>
      <c r="G1304" s="150"/>
      <c r="H1304" s="150"/>
      <c r="I1304" s="151">
        <f>ROUND(PRODUCT(C1304:H1304),2)</f>
        <v>1</v>
      </c>
      <c r="J1304" s="180"/>
    </row>
    <row r="1305" spans="1:10" s="181" customFormat="1" ht="18.75" customHeight="1">
      <c r="A1305" s="276"/>
      <c r="B1305" s="182" t="s">
        <v>361</v>
      </c>
      <c r="C1305" s="149">
        <v>1</v>
      </c>
      <c r="D1305" s="149" t="s">
        <v>73</v>
      </c>
      <c r="E1305" s="149">
        <v>2</v>
      </c>
      <c r="F1305" s="150"/>
      <c r="G1305" s="150"/>
      <c r="H1305" s="150"/>
      <c r="I1305" s="151">
        <f>ROUND(PRODUCT(C1305:H1305),2)</f>
        <v>2</v>
      </c>
      <c r="J1305" s="180"/>
    </row>
    <row r="1306" spans="1:10" s="181" customFormat="1">
      <c r="B1306" s="182" t="s">
        <v>362</v>
      </c>
      <c r="C1306" s="149">
        <v>1</v>
      </c>
      <c r="D1306" s="149" t="s">
        <v>73</v>
      </c>
      <c r="E1306" s="149">
        <v>2</v>
      </c>
      <c r="F1306" s="150"/>
      <c r="G1306" s="150"/>
      <c r="H1306" s="150"/>
      <c r="I1306" s="151">
        <f>ROUND(PRODUCT(C1306:H1306),2)</f>
        <v>2</v>
      </c>
      <c r="J1306" s="180"/>
    </row>
    <row r="1307" spans="1:10" s="181" customFormat="1">
      <c r="A1307" s="276"/>
      <c r="B1307" s="182" t="s">
        <v>530</v>
      </c>
      <c r="C1307" s="149">
        <v>1</v>
      </c>
      <c r="D1307" s="149" t="s">
        <v>73</v>
      </c>
      <c r="E1307" s="149">
        <v>4</v>
      </c>
      <c r="F1307" s="150"/>
      <c r="G1307" s="150"/>
      <c r="H1307" s="150"/>
      <c r="I1307" s="151">
        <f>ROUND(PRODUCT(C1307:H1307),2)</f>
        <v>4</v>
      </c>
      <c r="J1307" s="180"/>
    </row>
    <row r="1308" spans="1:10" s="181" customFormat="1">
      <c r="A1308" s="276"/>
      <c r="B1308" s="182"/>
      <c r="C1308" s="149"/>
      <c r="D1308" s="149"/>
      <c r="E1308" s="149"/>
      <c r="F1308" s="150"/>
      <c r="G1308" s="158" t="s">
        <v>11</v>
      </c>
      <c r="H1308" s="150"/>
      <c r="I1308" s="159">
        <f>SUM(I1304:I1307)</f>
        <v>9</v>
      </c>
      <c r="J1308" s="180" t="s">
        <v>377</v>
      </c>
    </row>
    <row r="1309" spans="1:10" s="181" customFormat="1">
      <c r="A1309" s="276"/>
      <c r="B1309" s="182"/>
      <c r="C1309" s="149"/>
      <c r="D1309" s="149"/>
      <c r="E1309" s="149"/>
      <c r="F1309" s="150"/>
      <c r="G1309" s="158"/>
      <c r="H1309" s="150"/>
      <c r="I1309" s="159"/>
      <c r="J1309" s="180"/>
    </row>
    <row r="1310" spans="1:10" s="181" customFormat="1" ht="76.5" customHeight="1">
      <c r="A1310" s="276">
        <v>58.3</v>
      </c>
      <c r="B1310" s="208" t="s">
        <v>540</v>
      </c>
      <c r="C1310" s="149"/>
      <c r="D1310" s="149"/>
      <c r="E1310" s="149"/>
      <c r="F1310" s="150"/>
      <c r="G1310" s="158"/>
      <c r="H1310" s="150"/>
      <c r="I1310" s="159"/>
      <c r="J1310" s="180"/>
    </row>
    <row r="1311" spans="1:10" s="181" customFormat="1">
      <c r="B1311" s="155" t="s">
        <v>541</v>
      </c>
      <c r="C1311" s="149"/>
      <c r="D1311" s="149"/>
      <c r="E1311" s="149"/>
      <c r="F1311" s="150"/>
      <c r="G1311" s="150"/>
      <c r="H1311" s="150"/>
      <c r="I1311" s="151"/>
      <c r="J1311" s="180"/>
    </row>
    <row r="1312" spans="1:10" s="181" customFormat="1">
      <c r="A1312" s="276"/>
      <c r="B1312" s="148" t="s">
        <v>1362</v>
      </c>
      <c r="C1312" s="149">
        <v>1</v>
      </c>
      <c r="D1312" s="149" t="s">
        <v>73</v>
      </c>
      <c r="E1312" s="149">
        <v>2</v>
      </c>
      <c r="F1312" s="150">
        <v>11</v>
      </c>
      <c r="G1312" s="150"/>
      <c r="H1312" s="150"/>
      <c r="I1312" s="151">
        <f t="shared" ref="I1312:I1315" si="89">ROUND(PRODUCT(C1312:H1312),2)</f>
        <v>22</v>
      </c>
      <c r="J1312" s="180"/>
    </row>
    <row r="1313" spans="1:10" s="181" customFormat="1">
      <c r="A1313" s="276"/>
      <c r="B1313" s="148" t="s">
        <v>1363</v>
      </c>
      <c r="C1313" s="149">
        <v>1</v>
      </c>
      <c r="D1313" s="149" t="s">
        <v>73</v>
      </c>
      <c r="E1313" s="149">
        <v>4</v>
      </c>
      <c r="F1313" s="150">
        <v>15</v>
      </c>
      <c r="G1313" s="150"/>
      <c r="H1313" s="150"/>
      <c r="I1313" s="151">
        <f t="shared" si="89"/>
        <v>60</v>
      </c>
      <c r="J1313" s="180"/>
    </row>
    <row r="1314" spans="1:10" s="181" customFormat="1">
      <c r="A1314" s="276"/>
      <c r="B1314" s="148" t="s">
        <v>1364</v>
      </c>
      <c r="C1314" s="149">
        <v>1</v>
      </c>
      <c r="D1314" s="149" t="s">
        <v>73</v>
      </c>
      <c r="E1314" s="149">
        <v>10</v>
      </c>
      <c r="F1314" s="150">
        <v>1</v>
      </c>
      <c r="G1314" s="150"/>
      <c r="H1314" s="150"/>
      <c r="I1314" s="151">
        <f t="shared" si="89"/>
        <v>10</v>
      </c>
      <c r="J1314" s="180"/>
    </row>
    <row r="1315" spans="1:10" s="181" customFormat="1">
      <c r="A1315" s="276"/>
      <c r="B1315" s="148" t="s">
        <v>1365</v>
      </c>
      <c r="C1315" s="149">
        <v>1</v>
      </c>
      <c r="D1315" s="149" t="s">
        <v>73</v>
      </c>
      <c r="E1315" s="149">
        <v>4</v>
      </c>
      <c r="F1315" s="150">
        <v>2.5</v>
      </c>
      <c r="G1315" s="150"/>
      <c r="H1315" s="150"/>
      <c r="I1315" s="151">
        <f t="shared" si="89"/>
        <v>10</v>
      </c>
      <c r="J1315" s="180"/>
    </row>
    <row r="1316" spans="1:10" s="181" customFormat="1">
      <c r="A1316" s="276"/>
      <c r="B1316" s="157" t="s">
        <v>1406</v>
      </c>
      <c r="C1316" s="149"/>
      <c r="D1316" s="149"/>
      <c r="E1316" s="149"/>
      <c r="F1316" s="150"/>
      <c r="G1316" s="150"/>
      <c r="H1316" s="150"/>
      <c r="I1316" s="151">
        <f>-excess!G126</f>
        <v>-36</v>
      </c>
      <c r="J1316" s="180"/>
    </row>
    <row r="1317" spans="1:10" s="181" customFormat="1">
      <c r="A1317" s="276"/>
      <c r="B1317" s="148"/>
      <c r="C1317" s="149"/>
      <c r="D1317" s="149"/>
      <c r="E1317" s="149"/>
      <c r="F1317" s="150"/>
      <c r="G1317" s="158" t="s">
        <v>11</v>
      </c>
      <c r="H1317" s="150"/>
      <c r="I1317" s="159">
        <f>SUM(I1312:I1316)</f>
        <v>66</v>
      </c>
      <c r="J1317" s="180" t="s">
        <v>76</v>
      </c>
    </row>
    <row r="1318" spans="1:10" s="181" customFormat="1" ht="21" customHeight="1">
      <c r="B1318" s="148"/>
      <c r="C1318" s="149"/>
      <c r="D1318" s="149"/>
      <c r="E1318" s="149"/>
      <c r="F1318" s="150"/>
      <c r="G1318" s="158"/>
      <c r="H1318" s="158"/>
      <c r="I1318" s="159"/>
      <c r="J1318" s="180"/>
    </row>
    <row r="1319" spans="1:10" s="181" customFormat="1">
      <c r="A1319" s="276"/>
      <c r="B1319" s="155" t="s">
        <v>542</v>
      </c>
      <c r="C1319" s="149"/>
      <c r="D1319" s="149"/>
      <c r="E1319" s="149"/>
      <c r="F1319" s="150"/>
      <c r="G1319" s="158"/>
      <c r="H1319" s="150"/>
      <c r="I1319" s="159"/>
      <c r="J1319" s="180"/>
    </row>
    <row r="1320" spans="1:10" s="181" customFormat="1">
      <c r="A1320" s="276"/>
      <c r="B1320" s="148" t="s">
        <v>1362</v>
      </c>
      <c r="C1320" s="149">
        <v>1</v>
      </c>
      <c r="D1320" s="149" t="s">
        <v>73</v>
      </c>
      <c r="E1320" s="149">
        <v>1</v>
      </c>
      <c r="F1320" s="150">
        <v>11</v>
      </c>
      <c r="G1320" s="150"/>
      <c r="H1320" s="150"/>
      <c r="I1320" s="151">
        <f t="shared" ref="I1320:I1322" si="90">ROUND(PRODUCT(C1320:H1320),2)</f>
        <v>11</v>
      </c>
      <c r="J1320" s="180"/>
    </row>
    <row r="1321" spans="1:10" s="181" customFormat="1" ht="15.75" customHeight="1">
      <c r="A1321" s="276"/>
      <c r="B1321" s="148" t="s">
        <v>1363</v>
      </c>
      <c r="C1321" s="149">
        <v>1</v>
      </c>
      <c r="D1321" s="149" t="s">
        <v>73</v>
      </c>
      <c r="E1321" s="149">
        <v>5</v>
      </c>
      <c r="F1321" s="150">
        <v>15</v>
      </c>
      <c r="G1321" s="150"/>
      <c r="H1321" s="150"/>
      <c r="I1321" s="151">
        <f t="shared" si="90"/>
        <v>75</v>
      </c>
      <c r="J1321" s="180"/>
    </row>
    <row r="1322" spans="1:10" s="181" customFormat="1" ht="15.75" customHeight="1">
      <c r="A1322" s="276"/>
      <c r="B1322" s="148" t="s">
        <v>1364</v>
      </c>
      <c r="C1322" s="149">
        <v>1</v>
      </c>
      <c r="D1322" s="149" t="s">
        <v>73</v>
      </c>
      <c r="E1322" s="149">
        <v>10</v>
      </c>
      <c r="F1322" s="150">
        <v>0.75</v>
      </c>
      <c r="G1322" s="150"/>
      <c r="H1322" s="150"/>
      <c r="I1322" s="151">
        <f t="shared" si="90"/>
        <v>7.5</v>
      </c>
      <c r="J1322" s="180"/>
    </row>
    <row r="1323" spans="1:10" s="181" customFormat="1">
      <c r="A1323" s="276"/>
      <c r="B1323" s="157" t="s">
        <v>1406</v>
      </c>
      <c r="C1323" s="149"/>
      <c r="D1323" s="149"/>
      <c r="E1323" s="149"/>
      <c r="F1323" s="150"/>
      <c r="G1323" s="150"/>
      <c r="H1323" s="150"/>
      <c r="I1323" s="151">
        <f>-excess!G127</f>
        <v>-42</v>
      </c>
      <c r="J1323" s="180"/>
    </row>
    <row r="1324" spans="1:10" s="181" customFormat="1" ht="18" customHeight="1">
      <c r="A1324" s="276"/>
      <c r="B1324" s="148"/>
      <c r="C1324" s="149"/>
      <c r="D1324" s="149"/>
      <c r="E1324" s="149"/>
      <c r="F1324" s="150"/>
      <c r="G1324" s="158" t="s">
        <v>11</v>
      </c>
      <c r="H1324" s="150"/>
      <c r="I1324" s="159">
        <f>SUM(I1320:I1323)</f>
        <v>51.5</v>
      </c>
      <c r="J1324" s="180" t="s">
        <v>76</v>
      </c>
    </row>
    <row r="1325" spans="1:10" s="181" customFormat="1">
      <c r="A1325" s="276"/>
      <c r="B1325" s="148"/>
      <c r="C1325" s="149"/>
      <c r="D1325" s="149"/>
      <c r="E1325" s="149"/>
      <c r="F1325" s="150"/>
      <c r="G1325" s="150"/>
      <c r="H1325" s="158"/>
      <c r="I1325" s="159"/>
      <c r="J1325" s="180"/>
    </row>
    <row r="1326" spans="1:10" s="181" customFormat="1" ht="37.5">
      <c r="A1326" s="276">
        <v>58.4</v>
      </c>
      <c r="B1326" s="155" t="s">
        <v>543</v>
      </c>
      <c r="C1326" s="148"/>
      <c r="D1326" s="148"/>
      <c r="E1326" s="148"/>
      <c r="F1326" s="228"/>
      <c r="G1326" s="228"/>
      <c r="H1326" s="228"/>
      <c r="I1326" s="205"/>
      <c r="J1326" s="180"/>
    </row>
    <row r="1327" spans="1:10" s="181" customFormat="1">
      <c r="A1327" s="276"/>
      <c r="B1327" s="148" t="s">
        <v>544</v>
      </c>
      <c r="C1327" s="149">
        <v>1</v>
      </c>
      <c r="D1327" s="156" t="s">
        <v>73</v>
      </c>
      <c r="E1327" s="149">
        <v>10</v>
      </c>
      <c r="F1327" s="150">
        <v>2</v>
      </c>
      <c r="G1327" s="150"/>
      <c r="H1327" s="158"/>
      <c r="I1327" s="159">
        <f>PRODUCT(C1327:H1327)</f>
        <v>20</v>
      </c>
      <c r="J1327" s="180" t="s">
        <v>76</v>
      </c>
    </row>
    <row r="1328" spans="1:10" s="181" customFormat="1">
      <c r="A1328" s="276"/>
      <c r="B1328" s="148"/>
      <c r="C1328" s="149"/>
      <c r="D1328" s="156"/>
      <c r="E1328" s="149"/>
      <c r="F1328" s="150"/>
      <c r="G1328" s="150"/>
      <c r="H1328" s="158"/>
      <c r="I1328" s="159"/>
      <c r="J1328" s="180"/>
    </row>
    <row r="1329" spans="1:10" s="181" customFormat="1" ht="37.5">
      <c r="A1329" s="276">
        <v>58.5</v>
      </c>
      <c r="B1329" s="387" t="s">
        <v>1590</v>
      </c>
      <c r="C1329" s="149"/>
      <c r="D1329" s="156"/>
      <c r="E1329" s="149"/>
      <c r="F1329" s="150"/>
      <c r="G1329" s="150"/>
      <c r="H1329" s="158"/>
      <c r="I1329" s="159"/>
      <c r="J1329" s="180"/>
    </row>
    <row r="1330" spans="1:10" s="181" customFormat="1">
      <c r="A1330" s="276"/>
      <c r="B1330" s="148" t="s">
        <v>1591</v>
      </c>
      <c r="C1330" s="149">
        <v>1</v>
      </c>
      <c r="D1330" s="156" t="s">
        <v>73</v>
      </c>
      <c r="E1330" s="149">
        <v>1</v>
      </c>
      <c r="F1330" s="150">
        <v>1</v>
      </c>
      <c r="G1330" s="150"/>
      <c r="H1330" s="158"/>
      <c r="I1330" s="159">
        <f>PRODUCT(C1330:H1330)</f>
        <v>1</v>
      </c>
      <c r="J1330" s="180" t="s">
        <v>128</v>
      </c>
    </row>
    <row r="1331" spans="1:10" s="181" customFormat="1">
      <c r="A1331" s="276"/>
      <c r="B1331" s="148"/>
      <c r="C1331" s="149"/>
      <c r="D1331" s="156"/>
      <c r="E1331" s="149"/>
      <c r="F1331" s="150"/>
      <c r="G1331" s="150"/>
      <c r="H1331" s="158"/>
      <c r="I1331" s="159"/>
      <c r="J1331" s="180"/>
    </row>
    <row r="1332" spans="1:10" s="181" customFormat="1" ht="37.5">
      <c r="A1332" s="276">
        <v>61.3</v>
      </c>
      <c r="B1332" s="176" t="s">
        <v>545</v>
      </c>
      <c r="C1332" s="217"/>
      <c r="D1332" s="239"/>
      <c r="E1332" s="217"/>
      <c r="F1332" s="168"/>
      <c r="G1332" s="168"/>
      <c r="H1332" s="168"/>
      <c r="I1332" s="240"/>
      <c r="J1332" s="180"/>
    </row>
    <row r="1333" spans="1:10" s="181" customFormat="1" ht="15.75" customHeight="1">
      <c r="A1333" s="276"/>
      <c r="B1333" s="176" t="s">
        <v>546</v>
      </c>
      <c r="C1333" s="217"/>
      <c r="D1333" s="239"/>
      <c r="E1333" s="217"/>
      <c r="F1333" s="168"/>
      <c r="G1333" s="168"/>
      <c r="H1333" s="168"/>
      <c r="I1333" s="240"/>
      <c r="J1333" s="180"/>
    </row>
    <row r="1334" spans="1:10" s="181" customFormat="1" ht="15.75" customHeight="1">
      <c r="A1334" s="276"/>
      <c r="B1334" s="171" t="s">
        <v>547</v>
      </c>
      <c r="C1334" s="217">
        <v>1</v>
      </c>
      <c r="D1334" s="239"/>
      <c r="E1334" s="217">
        <v>1</v>
      </c>
      <c r="F1334" s="168">
        <v>30</v>
      </c>
      <c r="G1334" s="168"/>
      <c r="H1334" s="168"/>
      <c r="I1334" s="241">
        <f>PRODUCT(C1334:H1334)</f>
        <v>30</v>
      </c>
      <c r="J1334" s="180" t="s">
        <v>76</v>
      </c>
    </row>
    <row r="1335" spans="1:10" s="181" customFormat="1" ht="15.75" customHeight="1">
      <c r="A1335" s="276"/>
      <c r="B1335" s="171"/>
      <c r="C1335" s="217"/>
      <c r="D1335" s="239"/>
      <c r="E1335" s="217"/>
      <c r="F1335" s="168"/>
      <c r="G1335" s="168"/>
      <c r="H1335" s="168"/>
      <c r="I1335" s="241"/>
      <c r="J1335" s="180"/>
    </row>
    <row r="1336" spans="1:10" s="181" customFormat="1">
      <c r="A1336" s="276"/>
      <c r="B1336" s="176" t="s">
        <v>548</v>
      </c>
      <c r="C1336" s="217"/>
      <c r="D1336" s="239"/>
      <c r="E1336" s="217"/>
      <c r="F1336" s="168"/>
      <c r="G1336" s="168"/>
      <c r="H1336" s="168"/>
      <c r="I1336" s="240"/>
      <c r="J1336" s="180"/>
    </row>
    <row r="1337" spans="1:10" s="181" customFormat="1">
      <c r="A1337" s="276"/>
      <c r="B1337" s="171" t="s">
        <v>549</v>
      </c>
      <c r="C1337" s="217">
        <v>1</v>
      </c>
      <c r="D1337" s="239"/>
      <c r="E1337" s="217">
        <v>1</v>
      </c>
      <c r="F1337" s="465">
        <v>15</v>
      </c>
      <c r="G1337" s="168"/>
      <c r="H1337" s="168"/>
      <c r="I1337" s="458">
        <f>PRODUCT(C1337:H1337)</f>
        <v>15</v>
      </c>
      <c r="J1337" s="180" t="s">
        <v>76</v>
      </c>
    </row>
    <row r="1338" spans="1:10" s="181" customFormat="1">
      <c r="A1338" s="276"/>
      <c r="B1338" s="171"/>
      <c r="C1338" s="217"/>
      <c r="D1338" s="239"/>
      <c r="E1338" s="217"/>
      <c r="F1338" s="168"/>
      <c r="G1338" s="168"/>
      <c r="H1338" s="168"/>
      <c r="I1338" s="241"/>
      <c r="J1338" s="180"/>
    </row>
    <row r="1339" spans="1:10" s="181" customFormat="1" ht="37.5">
      <c r="A1339" s="276" t="s">
        <v>1586</v>
      </c>
      <c r="B1339" s="387" t="s">
        <v>1585</v>
      </c>
      <c r="C1339" s="217"/>
      <c r="D1339" s="239"/>
      <c r="E1339" s="217"/>
      <c r="F1339" s="168"/>
      <c r="G1339" s="168"/>
      <c r="H1339" s="168"/>
      <c r="I1339" s="241"/>
      <c r="J1339" s="180"/>
    </row>
    <row r="1340" spans="1:10" s="181" customFormat="1">
      <c r="A1340" s="276"/>
      <c r="B1340" s="387" t="s">
        <v>1589</v>
      </c>
      <c r="C1340" s="217">
        <v>1</v>
      </c>
      <c r="D1340" s="239"/>
      <c r="E1340" s="217">
        <v>1</v>
      </c>
      <c r="F1340" s="168">
        <v>2</v>
      </c>
      <c r="G1340" s="168"/>
      <c r="H1340" s="168"/>
      <c r="I1340" s="241">
        <f>PRODUCT(C1340:H1340)</f>
        <v>2</v>
      </c>
      <c r="J1340" s="180" t="s">
        <v>128</v>
      </c>
    </row>
    <row r="1341" spans="1:10" s="181" customFormat="1">
      <c r="A1341" s="276"/>
      <c r="B1341" s="387"/>
      <c r="C1341" s="217"/>
      <c r="D1341" s="239"/>
      <c r="E1341" s="217"/>
      <c r="F1341" s="168"/>
      <c r="G1341" s="168"/>
      <c r="H1341" s="168"/>
      <c r="I1341" s="241"/>
      <c r="J1341" s="180"/>
    </row>
    <row r="1342" spans="1:10" s="181" customFormat="1">
      <c r="A1342" s="276"/>
      <c r="B1342" s="387" t="s">
        <v>791</v>
      </c>
      <c r="C1342" s="217"/>
      <c r="D1342" s="239"/>
      <c r="E1342" s="217"/>
      <c r="F1342" s="168"/>
      <c r="G1342" s="168"/>
      <c r="H1342" s="168"/>
      <c r="I1342" s="241"/>
      <c r="J1342" s="180"/>
    </row>
    <row r="1343" spans="1:10" s="181" customFormat="1">
      <c r="A1343" s="276"/>
      <c r="B1343" s="387" t="s">
        <v>1589</v>
      </c>
      <c r="C1343" s="217">
        <v>1</v>
      </c>
      <c r="D1343" s="239"/>
      <c r="E1343" s="217">
        <v>1</v>
      </c>
      <c r="F1343" s="168">
        <v>2</v>
      </c>
      <c r="G1343" s="168"/>
      <c r="H1343" s="168"/>
      <c r="I1343" s="241">
        <f>PRODUCT(C1343:H1343)</f>
        <v>2</v>
      </c>
      <c r="J1343" s="180" t="s">
        <v>128</v>
      </c>
    </row>
    <row r="1344" spans="1:10" s="181" customFormat="1">
      <c r="A1344" s="276"/>
      <c r="B1344" s="387"/>
      <c r="C1344" s="217"/>
      <c r="D1344" s="239"/>
      <c r="E1344" s="217"/>
      <c r="F1344" s="168"/>
      <c r="G1344" s="168"/>
      <c r="H1344" s="168"/>
      <c r="I1344" s="241"/>
      <c r="J1344" s="180"/>
    </row>
    <row r="1345" spans="1:10" s="181" customFormat="1" ht="37.5">
      <c r="A1345" s="276" t="s">
        <v>1588</v>
      </c>
      <c r="B1345" s="387" t="s">
        <v>1587</v>
      </c>
      <c r="C1345" s="217"/>
      <c r="D1345" s="239"/>
      <c r="E1345" s="217"/>
      <c r="F1345" s="168"/>
      <c r="G1345" s="168"/>
      <c r="H1345" s="168"/>
      <c r="I1345" s="241"/>
      <c r="J1345" s="180"/>
    </row>
    <row r="1346" spans="1:10" s="181" customFormat="1">
      <c r="A1346" s="276"/>
      <c r="B1346" s="387" t="s">
        <v>1589</v>
      </c>
      <c r="C1346" s="217">
        <v>1</v>
      </c>
      <c r="D1346" s="239"/>
      <c r="E1346" s="217">
        <v>1</v>
      </c>
      <c r="F1346" s="168">
        <v>2</v>
      </c>
      <c r="G1346" s="168"/>
      <c r="H1346" s="168"/>
      <c r="I1346" s="241">
        <f>PRODUCT(C1346:H1346)</f>
        <v>2</v>
      </c>
      <c r="J1346" s="180" t="s">
        <v>128</v>
      </c>
    </row>
    <row r="1347" spans="1:10" s="181" customFormat="1">
      <c r="A1347" s="276"/>
      <c r="B1347" s="387"/>
      <c r="C1347" s="217"/>
      <c r="D1347" s="239"/>
      <c r="E1347" s="217"/>
      <c r="F1347" s="168"/>
      <c r="G1347" s="168"/>
      <c r="H1347" s="168"/>
      <c r="I1347" s="241"/>
      <c r="J1347" s="180"/>
    </row>
    <row r="1348" spans="1:10" s="181" customFormat="1">
      <c r="A1348" s="276"/>
      <c r="B1348" s="387" t="s">
        <v>793</v>
      </c>
      <c r="C1348" s="217"/>
      <c r="D1348" s="239"/>
      <c r="E1348" s="217"/>
      <c r="F1348" s="168"/>
      <c r="G1348" s="168"/>
      <c r="H1348" s="168"/>
      <c r="I1348" s="241"/>
      <c r="J1348" s="180"/>
    </row>
    <row r="1349" spans="1:10" s="181" customFormat="1">
      <c r="A1349" s="276"/>
      <c r="B1349" s="387" t="s">
        <v>1589</v>
      </c>
      <c r="C1349" s="217">
        <v>1</v>
      </c>
      <c r="D1349" s="239"/>
      <c r="E1349" s="217">
        <v>1</v>
      </c>
      <c r="F1349" s="168">
        <v>2</v>
      </c>
      <c r="G1349" s="168"/>
      <c r="H1349" s="168"/>
      <c r="I1349" s="241">
        <f>PRODUCT(C1349:H1349)</f>
        <v>2</v>
      </c>
      <c r="J1349" s="180" t="s">
        <v>128</v>
      </c>
    </row>
    <row r="1350" spans="1:10" s="181" customFormat="1">
      <c r="A1350" s="276"/>
      <c r="B1350" s="171"/>
      <c r="C1350" s="217"/>
      <c r="D1350" s="239"/>
      <c r="E1350" s="217"/>
      <c r="F1350" s="168"/>
      <c r="G1350" s="168"/>
      <c r="H1350" s="168"/>
      <c r="I1350" s="241"/>
      <c r="J1350" s="180"/>
    </row>
    <row r="1351" spans="1:10" s="181" customFormat="1" ht="54" customHeight="1">
      <c r="A1351" s="276">
        <v>64.099999999999994</v>
      </c>
      <c r="B1351" s="178" t="s">
        <v>550</v>
      </c>
      <c r="C1351" s="149"/>
      <c r="D1351" s="149"/>
      <c r="E1351" s="149"/>
      <c r="F1351" s="150"/>
      <c r="G1351" s="150"/>
      <c r="H1351" s="150"/>
      <c r="I1351" s="159"/>
      <c r="J1351" s="180"/>
    </row>
    <row r="1352" spans="1:10" s="181" customFormat="1">
      <c r="A1352" s="276"/>
      <c r="B1352" s="155" t="s">
        <v>551</v>
      </c>
      <c r="C1352" s="149"/>
      <c r="D1352" s="149"/>
      <c r="E1352" s="149"/>
      <c r="F1352" s="150"/>
      <c r="G1352" s="150"/>
      <c r="H1352" s="150"/>
      <c r="I1352" s="159"/>
      <c r="J1352" s="180"/>
    </row>
    <row r="1353" spans="1:10" s="181" customFormat="1" ht="16.5" customHeight="1">
      <c r="B1353" s="155" t="s">
        <v>408</v>
      </c>
      <c r="C1353" s="149"/>
      <c r="D1353" s="149"/>
      <c r="E1353" s="149"/>
      <c r="F1353" s="150"/>
      <c r="G1353" s="150"/>
      <c r="H1353" s="150"/>
      <c r="I1353" s="151"/>
      <c r="J1353" s="213"/>
    </row>
    <row r="1354" spans="1:10" s="181" customFormat="1" ht="16.5" customHeight="1">
      <c r="B1354" s="148" t="s">
        <v>1552</v>
      </c>
      <c r="C1354" s="149">
        <v>1</v>
      </c>
      <c r="D1354" s="149" t="s">
        <v>73</v>
      </c>
      <c r="E1354" s="149">
        <v>10</v>
      </c>
      <c r="F1354" s="150"/>
      <c r="G1354" s="150"/>
      <c r="H1354" s="150"/>
      <c r="I1354" s="151">
        <f t="shared" ref="I1354:I1379" si="91">ROUND(PRODUCT(C1354:H1354),2)</f>
        <v>10</v>
      </c>
      <c r="J1354" s="213"/>
    </row>
    <row r="1355" spans="1:10" s="181" customFormat="1">
      <c r="A1355" s="152"/>
      <c r="B1355" s="148" t="s">
        <v>248</v>
      </c>
      <c r="C1355" s="149">
        <v>1</v>
      </c>
      <c r="D1355" s="149" t="s">
        <v>73</v>
      </c>
      <c r="E1355" s="149">
        <v>2</v>
      </c>
      <c r="F1355" s="150"/>
      <c r="G1355" s="150"/>
      <c r="H1355" s="150"/>
      <c r="I1355" s="151">
        <f t="shared" si="91"/>
        <v>2</v>
      </c>
      <c r="J1355" s="213"/>
    </row>
    <row r="1356" spans="1:10" s="181" customFormat="1">
      <c r="A1356" s="152"/>
      <c r="B1356" s="148" t="s">
        <v>1554</v>
      </c>
      <c r="C1356" s="149">
        <v>1</v>
      </c>
      <c r="D1356" s="149" t="s">
        <v>73</v>
      </c>
      <c r="E1356" s="149">
        <v>1</v>
      </c>
      <c r="F1356" s="150"/>
      <c r="G1356" s="150"/>
      <c r="H1356" s="150"/>
      <c r="I1356" s="151">
        <f t="shared" si="91"/>
        <v>1</v>
      </c>
      <c r="J1356" s="213"/>
    </row>
    <row r="1357" spans="1:10" s="181" customFormat="1">
      <c r="A1357" s="152"/>
      <c r="B1357" s="148" t="s">
        <v>586</v>
      </c>
      <c r="C1357" s="149">
        <v>1</v>
      </c>
      <c r="D1357" s="149" t="s">
        <v>73</v>
      </c>
      <c r="E1357" s="149">
        <v>1</v>
      </c>
      <c r="F1357" s="150"/>
      <c r="G1357" s="150"/>
      <c r="H1357" s="150"/>
      <c r="I1357" s="151">
        <f t="shared" si="91"/>
        <v>1</v>
      </c>
      <c r="J1357" s="213"/>
    </row>
    <row r="1358" spans="1:10" s="181" customFormat="1">
      <c r="A1358" s="152"/>
      <c r="B1358" s="148" t="s">
        <v>1550</v>
      </c>
      <c r="C1358" s="149">
        <v>1</v>
      </c>
      <c r="D1358" s="149" t="s">
        <v>73</v>
      </c>
      <c r="E1358" s="149">
        <v>2</v>
      </c>
      <c r="F1358" s="150"/>
      <c r="G1358" s="150"/>
      <c r="H1358" s="150"/>
      <c r="I1358" s="151">
        <f t="shared" si="91"/>
        <v>2</v>
      </c>
      <c r="J1358" s="213"/>
    </row>
    <row r="1359" spans="1:10" s="181" customFormat="1">
      <c r="A1359" s="152"/>
      <c r="B1359" s="155" t="s">
        <v>171</v>
      </c>
      <c r="C1359" s="149"/>
      <c r="D1359" s="149"/>
      <c r="E1359" s="149"/>
      <c r="F1359" s="150"/>
      <c r="G1359" s="150"/>
      <c r="H1359" s="150"/>
      <c r="I1359" s="151">
        <f t="shared" si="91"/>
        <v>0</v>
      </c>
      <c r="J1359" s="213"/>
    </row>
    <row r="1360" spans="1:10" s="181" customFormat="1">
      <c r="A1360" s="152"/>
      <c r="B1360" s="148" t="s">
        <v>298</v>
      </c>
      <c r="C1360" s="149">
        <v>1</v>
      </c>
      <c r="D1360" s="149" t="s">
        <v>73</v>
      </c>
      <c r="E1360" s="149">
        <v>4</v>
      </c>
      <c r="F1360" s="150"/>
      <c r="G1360" s="150"/>
      <c r="H1360" s="150"/>
      <c r="I1360" s="151">
        <f t="shared" si="91"/>
        <v>4</v>
      </c>
      <c r="J1360" s="213"/>
    </row>
    <row r="1361" spans="1:10" s="181" customFormat="1">
      <c r="A1361" s="152"/>
      <c r="B1361" s="148" t="s">
        <v>460</v>
      </c>
      <c r="C1361" s="149">
        <v>1</v>
      </c>
      <c r="D1361" s="149" t="s">
        <v>73</v>
      </c>
      <c r="E1361" s="149">
        <v>3</v>
      </c>
      <c r="F1361" s="150"/>
      <c r="G1361" s="150"/>
      <c r="H1361" s="150"/>
      <c r="I1361" s="151">
        <f t="shared" si="91"/>
        <v>3</v>
      </c>
      <c r="J1361" s="213"/>
    </row>
    <row r="1362" spans="1:10" s="181" customFormat="1" ht="19.5" customHeight="1">
      <c r="B1362" s="148" t="s">
        <v>552</v>
      </c>
      <c r="C1362" s="149">
        <v>1</v>
      </c>
      <c r="D1362" s="149" t="s">
        <v>73</v>
      </c>
      <c r="E1362" s="149">
        <v>1</v>
      </c>
      <c r="F1362" s="150"/>
      <c r="G1362" s="150"/>
      <c r="H1362" s="150"/>
      <c r="I1362" s="151">
        <f t="shared" si="91"/>
        <v>1</v>
      </c>
      <c r="J1362" s="180"/>
    </row>
    <row r="1363" spans="1:10" s="181" customFormat="1" ht="19.5" customHeight="1">
      <c r="B1363" s="148" t="s">
        <v>1316</v>
      </c>
      <c r="C1363" s="149">
        <v>1</v>
      </c>
      <c r="D1363" s="149" t="s">
        <v>73</v>
      </c>
      <c r="E1363" s="149">
        <v>1</v>
      </c>
      <c r="F1363" s="150"/>
      <c r="G1363" s="150"/>
      <c r="H1363" s="150"/>
      <c r="I1363" s="151">
        <f t="shared" si="91"/>
        <v>1</v>
      </c>
      <c r="J1363" s="180"/>
    </row>
    <row r="1364" spans="1:10" s="181" customFormat="1">
      <c r="A1364" s="276"/>
      <c r="B1364" s="148" t="s">
        <v>553</v>
      </c>
      <c r="C1364" s="149">
        <v>1</v>
      </c>
      <c r="D1364" s="149" t="s">
        <v>73</v>
      </c>
      <c r="E1364" s="149">
        <v>1</v>
      </c>
      <c r="F1364" s="150"/>
      <c r="G1364" s="150"/>
      <c r="H1364" s="150"/>
      <c r="I1364" s="151">
        <f t="shared" si="91"/>
        <v>1</v>
      </c>
      <c r="J1364" s="180"/>
    </row>
    <row r="1365" spans="1:10" s="181" customFormat="1">
      <c r="A1365" s="249"/>
      <c r="B1365" s="148" t="s">
        <v>412</v>
      </c>
      <c r="C1365" s="149">
        <v>1</v>
      </c>
      <c r="D1365" s="149" t="s">
        <v>73</v>
      </c>
      <c r="E1365" s="149">
        <v>2</v>
      </c>
      <c r="F1365" s="150"/>
      <c r="G1365" s="150"/>
      <c r="H1365" s="150"/>
      <c r="I1365" s="151">
        <f t="shared" si="91"/>
        <v>2</v>
      </c>
      <c r="J1365" s="180"/>
    </row>
    <row r="1366" spans="1:10" s="181" customFormat="1">
      <c r="A1366" s="276"/>
      <c r="B1366" s="148" t="s">
        <v>191</v>
      </c>
      <c r="C1366" s="149">
        <v>1</v>
      </c>
      <c r="D1366" s="149" t="s">
        <v>73</v>
      </c>
      <c r="E1366" s="149">
        <v>2</v>
      </c>
      <c r="F1366" s="150"/>
      <c r="G1366" s="150"/>
      <c r="H1366" s="150"/>
      <c r="I1366" s="151">
        <f t="shared" si="91"/>
        <v>2</v>
      </c>
      <c r="J1366" s="180"/>
    </row>
    <row r="1367" spans="1:10" s="181" customFormat="1">
      <c r="A1367" s="276"/>
      <c r="B1367" s="148" t="s">
        <v>303</v>
      </c>
      <c r="C1367" s="149">
        <v>1</v>
      </c>
      <c r="D1367" s="149" t="s">
        <v>73</v>
      </c>
      <c r="E1367" s="149">
        <v>2</v>
      </c>
      <c r="F1367" s="150"/>
      <c r="G1367" s="150"/>
      <c r="H1367" s="150"/>
      <c r="I1367" s="151">
        <f t="shared" si="91"/>
        <v>2</v>
      </c>
      <c r="J1367" s="180"/>
    </row>
    <row r="1368" spans="1:10" s="181" customFormat="1">
      <c r="A1368" s="276"/>
      <c r="B1368" s="148" t="s">
        <v>554</v>
      </c>
      <c r="C1368" s="149">
        <v>1</v>
      </c>
      <c r="D1368" s="149" t="s">
        <v>73</v>
      </c>
      <c r="E1368" s="149">
        <v>2</v>
      </c>
      <c r="F1368" s="150"/>
      <c r="G1368" s="150"/>
      <c r="H1368" s="150"/>
      <c r="I1368" s="151">
        <f t="shared" si="91"/>
        <v>2</v>
      </c>
      <c r="J1368" s="180"/>
    </row>
    <row r="1369" spans="1:10" s="181" customFormat="1">
      <c r="A1369" s="276"/>
      <c r="B1369" s="148" t="s">
        <v>197</v>
      </c>
      <c r="C1369" s="149">
        <v>1</v>
      </c>
      <c r="D1369" s="149" t="s">
        <v>73</v>
      </c>
      <c r="E1369" s="149">
        <v>4</v>
      </c>
      <c r="F1369" s="150"/>
      <c r="G1369" s="150"/>
      <c r="H1369" s="150"/>
      <c r="I1369" s="151">
        <f t="shared" si="91"/>
        <v>4</v>
      </c>
      <c r="J1369" s="180"/>
    </row>
    <row r="1370" spans="1:10" s="181" customFormat="1">
      <c r="A1370" s="276"/>
      <c r="B1370" s="155" t="s">
        <v>157</v>
      </c>
      <c r="C1370" s="149"/>
      <c r="D1370" s="149"/>
      <c r="E1370" s="149"/>
      <c r="F1370" s="150"/>
      <c r="G1370" s="150"/>
      <c r="H1370" s="150"/>
      <c r="I1370" s="151">
        <f t="shared" si="91"/>
        <v>0</v>
      </c>
      <c r="J1370" s="180"/>
    </row>
    <row r="1371" spans="1:10" s="181" customFormat="1">
      <c r="A1371" s="276"/>
      <c r="B1371" s="148" t="s">
        <v>298</v>
      </c>
      <c r="C1371" s="149">
        <v>1</v>
      </c>
      <c r="D1371" s="149" t="s">
        <v>73</v>
      </c>
      <c r="E1371" s="149">
        <v>2</v>
      </c>
      <c r="F1371" s="150"/>
      <c r="G1371" s="150"/>
      <c r="H1371" s="150"/>
      <c r="I1371" s="151">
        <f t="shared" si="91"/>
        <v>2</v>
      </c>
      <c r="J1371" s="180"/>
    </row>
    <row r="1372" spans="1:10" s="181" customFormat="1">
      <c r="A1372" s="276"/>
      <c r="B1372" s="148" t="s">
        <v>460</v>
      </c>
      <c r="C1372" s="149">
        <v>1</v>
      </c>
      <c r="D1372" s="149" t="s">
        <v>73</v>
      </c>
      <c r="E1372" s="149">
        <v>2</v>
      </c>
      <c r="F1372" s="150"/>
      <c r="G1372" s="150"/>
      <c r="H1372" s="150"/>
      <c r="I1372" s="151">
        <f t="shared" si="91"/>
        <v>2</v>
      </c>
      <c r="J1372" s="180"/>
    </row>
    <row r="1373" spans="1:10" s="181" customFormat="1">
      <c r="A1373" s="276"/>
      <c r="B1373" s="148" t="s">
        <v>555</v>
      </c>
      <c r="C1373" s="149">
        <v>1</v>
      </c>
      <c r="D1373" s="149" t="s">
        <v>73</v>
      </c>
      <c r="E1373" s="149">
        <v>1</v>
      </c>
      <c r="F1373" s="150"/>
      <c r="G1373" s="150"/>
      <c r="H1373" s="150"/>
      <c r="I1373" s="151">
        <f t="shared" si="91"/>
        <v>1</v>
      </c>
      <c r="J1373" s="180"/>
    </row>
    <row r="1374" spans="1:10" s="181" customFormat="1">
      <c r="A1374" s="276"/>
      <c r="B1374" s="148" t="s">
        <v>556</v>
      </c>
      <c r="C1374" s="149">
        <v>1</v>
      </c>
      <c r="D1374" s="149" t="s">
        <v>73</v>
      </c>
      <c r="E1374" s="149">
        <v>2</v>
      </c>
      <c r="F1374" s="150"/>
      <c r="G1374" s="150"/>
      <c r="H1374" s="150"/>
      <c r="I1374" s="151">
        <f t="shared" si="91"/>
        <v>2</v>
      </c>
      <c r="J1374" s="180"/>
    </row>
    <row r="1375" spans="1:10" s="181" customFormat="1">
      <c r="A1375" s="276"/>
      <c r="B1375" s="148" t="s">
        <v>331</v>
      </c>
      <c r="C1375" s="149">
        <v>1</v>
      </c>
      <c r="D1375" s="149" t="s">
        <v>73</v>
      </c>
      <c r="E1375" s="149">
        <v>2</v>
      </c>
      <c r="F1375" s="150"/>
      <c r="G1375" s="150"/>
      <c r="H1375" s="150"/>
      <c r="I1375" s="151">
        <f t="shared" si="91"/>
        <v>2</v>
      </c>
      <c r="J1375" s="180"/>
    </row>
    <row r="1376" spans="1:10" s="181" customFormat="1">
      <c r="A1376" s="276"/>
      <c r="B1376" s="148" t="s">
        <v>197</v>
      </c>
      <c r="C1376" s="149">
        <v>1</v>
      </c>
      <c r="D1376" s="149" t="s">
        <v>73</v>
      </c>
      <c r="E1376" s="149">
        <v>4</v>
      </c>
      <c r="F1376" s="150"/>
      <c r="G1376" s="150"/>
      <c r="H1376" s="150"/>
      <c r="I1376" s="151">
        <f t="shared" si="91"/>
        <v>4</v>
      </c>
      <c r="J1376" s="180"/>
    </row>
    <row r="1377" spans="1:10" s="181" customFormat="1">
      <c r="A1377" s="276"/>
      <c r="B1377" s="155" t="s">
        <v>188</v>
      </c>
      <c r="C1377" s="149"/>
      <c r="D1377" s="149"/>
      <c r="E1377" s="149"/>
      <c r="F1377" s="150"/>
      <c r="G1377" s="150"/>
      <c r="H1377" s="150"/>
      <c r="I1377" s="151">
        <f t="shared" si="91"/>
        <v>0</v>
      </c>
      <c r="J1377" s="180"/>
    </row>
    <row r="1378" spans="1:10" s="181" customFormat="1">
      <c r="A1378" s="276"/>
      <c r="B1378" s="148" t="s">
        <v>557</v>
      </c>
      <c r="C1378" s="149">
        <v>2</v>
      </c>
      <c r="D1378" s="149" t="s">
        <v>73</v>
      </c>
      <c r="E1378" s="149">
        <v>4</v>
      </c>
      <c r="F1378" s="150"/>
      <c r="G1378" s="150"/>
      <c r="H1378" s="150"/>
      <c r="I1378" s="151">
        <f t="shared" si="91"/>
        <v>8</v>
      </c>
      <c r="J1378" s="180"/>
    </row>
    <row r="1379" spans="1:10" s="181" customFormat="1">
      <c r="A1379" s="276"/>
      <c r="B1379" s="148" t="s">
        <v>559</v>
      </c>
      <c r="C1379" s="149">
        <v>1</v>
      </c>
      <c r="D1379" s="149" t="s">
        <v>73</v>
      </c>
      <c r="E1379" s="149">
        <v>1</v>
      </c>
      <c r="F1379" s="150"/>
      <c r="G1379" s="150"/>
      <c r="H1379" s="150"/>
      <c r="I1379" s="151">
        <f t="shared" si="91"/>
        <v>1</v>
      </c>
      <c r="J1379" s="180"/>
    </row>
    <row r="1380" spans="1:10" s="181" customFormat="1">
      <c r="A1380" s="276"/>
      <c r="B1380" s="157" t="s">
        <v>1406</v>
      </c>
      <c r="C1380" s="149"/>
      <c r="D1380" s="149"/>
      <c r="E1380" s="149"/>
      <c r="F1380" s="150"/>
      <c r="G1380" s="150"/>
      <c r="H1380" s="150"/>
      <c r="I1380" s="151">
        <f>-excess!G136</f>
        <v>-30</v>
      </c>
      <c r="J1380" s="180"/>
    </row>
    <row r="1381" spans="1:10" s="181" customFormat="1">
      <c r="A1381" s="276"/>
      <c r="B1381" s="148"/>
      <c r="C1381" s="149"/>
      <c r="D1381" s="149"/>
      <c r="E1381" s="149"/>
      <c r="F1381" s="150"/>
      <c r="G1381" s="150"/>
      <c r="H1381" s="150"/>
      <c r="I1381" s="159">
        <f>SUM(I1353:I1380)</f>
        <v>30</v>
      </c>
      <c r="J1381" s="180" t="s">
        <v>128</v>
      </c>
    </row>
    <row r="1382" spans="1:10" s="181" customFormat="1">
      <c r="A1382" s="276"/>
      <c r="B1382" s="148"/>
      <c r="C1382" s="149"/>
      <c r="D1382" s="149"/>
      <c r="E1382" s="149"/>
      <c r="F1382" s="150"/>
      <c r="G1382" s="150"/>
      <c r="H1382" s="150"/>
      <c r="I1382" s="159"/>
      <c r="J1382" s="180"/>
    </row>
    <row r="1383" spans="1:10" s="181" customFormat="1">
      <c r="A1383" s="276"/>
      <c r="B1383" s="155" t="s">
        <v>561</v>
      </c>
      <c r="C1383" s="149"/>
      <c r="D1383" s="149"/>
      <c r="E1383" s="149"/>
      <c r="F1383" s="150"/>
      <c r="G1383" s="150"/>
      <c r="H1383" s="150"/>
      <c r="I1383" s="159"/>
      <c r="J1383" s="180"/>
    </row>
    <row r="1384" spans="1:10" s="181" customFormat="1">
      <c r="A1384" s="276"/>
      <c r="B1384" s="155" t="s">
        <v>562</v>
      </c>
      <c r="C1384" s="220"/>
      <c r="D1384" s="220"/>
      <c r="E1384" s="220"/>
      <c r="F1384" s="158"/>
      <c r="G1384" s="158"/>
      <c r="H1384" s="158"/>
      <c r="I1384" s="159"/>
      <c r="J1384" s="180"/>
    </row>
    <row r="1385" spans="1:10" s="181" customFormat="1">
      <c r="A1385" s="276"/>
      <c r="B1385" s="148" t="s">
        <v>563</v>
      </c>
      <c r="C1385" s="149">
        <v>1</v>
      </c>
      <c r="D1385" s="156" t="s">
        <v>73</v>
      </c>
      <c r="E1385" s="149">
        <v>2</v>
      </c>
      <c r="F1385" s="150"/>
      <c r="G1385" s="150" t="s">
        <v>512</v>
      </c>
      <c r="H1385" s="150"/>
      <c r="I1385" s="151">
        <f t="shared" ref="I1385:I1414" si="92">ROUND(PRODUCT(C1385:H1385),2)</f>
        <v>2</v>
      </c>
      <c r="J1385" s="180"/>
    </row>
    <row r="1386" spans="1:10" s="181" customFormat="1">
      <c r="A1386" s="276"/>
      <c r="B1386" s="148" t="s">
        <v>248</v>
      </c>
      <c r="C1386" s="149">
        <v>1</v>
      </c>
      <c r="D1386" s="156" t="s">
        <v>73</v>
      </c>
      <c r="E1386" s="149">
        <v>1</v>
      </c>
      <c r="F1386" s="150"/>
      <c r="G1386" s="150"/>
      <c r="H1386" s="150"/>
      <c r="I1386" s="151">
        <f t="shared" si="92"/>
        <v>1</v>
      </c>
      <c r="J1386" s="180"/>
    </row>
    <row r="1387" spans="1:10" s="181" customFormat="1">
      <c r="A1387" s="276"/>
      <c r="B1387" s="148" t="s">
        <v>1552</v>
      </c>
      <c r="C1387" s="149">
        <v>1</v>
      </c>
      <c r="D1387" s="156" t="s">
        <v>73</v>
      </c>
      <c r="E1387" s="149">
        <v>10</v>
      </c>
      <c r="F1387" s="150"/>
      <c r="G1387" s="150" t="s">
        <v>512</v>
      </c>
      <c r="H1387" s="150"/>
      <c r="I1387" s="151">
        <f t="shared" si="92"/>
        <v>10</v>
      </c>
      <c r="J1387" s="180"/>
    </row>
    <row r="1388" spans="1:10" s="181" customFormat="1">
      <c r="A1388" s="276"/>
      <c r="B1388" s="148" t="s">
        <v>560</v>
      </c>
      <c r="C1388" s="149">
        <v>1</v>
      </c>
      <c r="D1388" s="156" t="s">
        <v>73</v>
      </c>
      <c r="E1388" s="149">
        <v>8</v>
      </c>
      <c r="F1388" s="150"/>
      <c r="G1388" s="150" t="s">
        <v>512</v>
      </c>
      <c r="H1388" s="150"/>
      <c r="I1388" s="151">
        <f t="shared" si="92"/>
        <v>8</v>
      </c>
      <c r="J1388" s="180"/>
    </row>
    <row r="1389" spans="1:10" s="181" customFormat="1">
      <c r="A1389" s="276"/>
      <c r="B1389" s="148" t="s">
        <v>1555</v>
      </c>
      <c r="C1389" s="149">
        <v>1</v>
      </c>
      <c r="D1389" s="156" t="s">
        <v>73</v>
      </c>
      <c r="E1389" s="149">
        <v>1</v>
      </c>
      <c r="F1389" s="150"/>
      <c r="G1389" s="150"/>
      <c r="H1389" s="150"/>
      <c r="I1389" s="151">
        <f t="shared" si="92"/>
        <v>1</v>
      </c>
      <c r="J1389" s="180"/>
    </row>
    <row r="1390" spans="1:10" s="181" customFormat="1">
      <c r="A1390" s="276"/>
      <c r="B1390" s="155" t="s">
        <v>564</v>
      </c>
      <c r="C1390" s="149"/>
      <c r="D1390" s="149"/>
      <c r="E1390" s="149"/>
      <c r="F1390" s="150"/>
      <c r="G1390" s="150"/>
      <c r="H1390" s="150"/>
      <c r="I1390" s="151">
        <f t="shared" si="92"/>
        <v>0</v>
      </c>
      <c r="J1390" s="180"/>
    </row>
    <row r="1391" spans="1:10" s="181" customFormat="1">
      <c r="A1391" s="276"/>
      <c r="B1391" s="148" t="s">
        <v>298</v>
      </c>
      <c r="C1391" s="149">
        <v>1</v>
      </c>
      <c r="D1391" s="149" t="s">
        <v>73</v>
      </c>
      <c r="E1391" s="149">
        <v>1</v>
      </c>
      <c r="F1391" s="150"/>
      <c r="G1391" s="150"/>
      <c r="H1391" s="150"/>
      <c r="I1391" s="151">
        <f t="shared" si="92"/>
        <v>1</v>
      </c>
      <c r="J1391" s="180"/>
    </row>
    <row r="1392" spans="1:10" s="181" customFormat="1">
      <c r="A1392" s="276"/>
      <c r="B1392" s="148" t="s">
        <v>460</v>
      </c>
      <c r="C1392" s="149">
        <v>1</v>
      </c>
      <c r="D1392" s="149" t="s">
        <v>73</v>
      </c>
      <c r="E1392" s="149">
        <v>4</v>
      </c>
      <c r="F1392" s="150"/>
      <c r="G1392" s="150"/>
      <c r="H1392" s="150"/>
      <c r="I1392" s="151">
        <f t="shared" si="92"/>
        <v>4</v>
      </c>
      <c r="J1392" s="180"/>
    </row>
    <row r="1393" spans="1:10" s="181" customFormat="1">
      <c r="A1393" s="276"/>
      <c r="B1393" s="148" t="s">
        <v>553</v>
      </c>
      <c r="C1393" s="149">
        <v>1</v>
      </c>
      <c r="D1393" s="149" t="s">
        <v>73</v>
      </c>
      <c r="E1393" s="149">
        <v>1</v>
      </c>
      <c r="F1393" s="150"/>
      <c r="G1393" s="150"/>
      <c r="H1393" s="150"/>
      <c r="I1393" s="151">
        <f t="shared" si="92"/>
        <v>1</v>
      </c>
      <c r="J1393" s="180"/>
    </row>
    <row r="1394" spans="1:10" s="181" customFormat="1">
      <c r="A1394" s="276"/>
      <c r="B1394" s="148" t="s">
        <v>412</v>
      </c>
      <c r="C1394" s="149">
        <v>1</v>
      </c>
      <c r="D1394" s="149" t="s">
        <v>73</v>
      </c>
      <c r="E1394" s="149">
        <v>1</v>
      </c>
      <c r="F1394" s="150"/>
      <c r="G1394" s="150"/>
      <c r="H1394" s="150"/>
      <c r="I1394" s="151">
        <f t="shared" si="92"/>
        <v>1</v>
      </c>
      <c r="J1394" s="180"/>
    </row>
    <row r="1395" spans="1:10" s="181" customFormat="1">
      <c r="A1395" s="276"/>
      <c r="B1395" s="148" t="s">
        <v>191</v>
      </c>
      <c r="C1395" s="149">
        <v>1</v>
      </c>
      <c r="D1395" s="149" t="s">
        <v>73</v>
      </c>
      <c r="E1395" s="149">
        <v>1</v>
      </c>
      <c r="F1395" s="150"/>
      <c r="G1395" s="150"/>
      <c r="H1395" s="150"/>
      <c r="I1395" s="151">
        <f t="shared" si="92"/>
        <v>1</v>
      </c>
      <c r="J1395" s="180"/>
    </row>
    <row r="1396" spans="1:10" s="181" customFormat="1">
      <c r="A1396" s="276"/>
      <c r="B1396" s="148" t="s">
        <v>1202</v>
      </c>
      <c r="C1396" s="149">
        <v>1</v>
      </c>
      <c r="D1396" s="149" t="s">
        <v>73</v>
      </c>
      <c r="E1396" s="149">
        <v>1</v>
      </c>
      <c r="F1396" s="150"/>
      <c r="G1396" s="150"/>
      <c r="H1396" s="150"/>
      <c r="I1396" s="151">
        <f t="shared" si="92"/>
        <v>1</v>
      </c>
      <c r="J1396" s="180"/>
    </row>
    <row r="1397" spans="1:10" s="181" customFormat="1">
      <c r="A1397" s="276"/>
      <c r="B1397" s="148" t="s">
        <v>554</v>
      </c>
      <c r="C1397" s="149">
        <v>1</v>
      </c>
      <c r="D1397" s="149" t="s">
        <v>73</v>
      </c>
      <c r="E1397" s="149">
        <v>1</v>
      </c>
      <c r="F1397" s="150"/>
      <c r="G1397" s="150"/>
      <c r="H1397" s="150"/>
      <c r="I1397" s="151">
        <f t="shared" si="92"/>
        <v>1</v>
      </c>
      <c r="J1397" s="180"/>
    </row>
    <row r="1398" spans="1:10" s="181" customFormat="1">
      <c r="A1398" s="276"/>
      <c r="B1398" s="148" t="s">
        <v>565</v>
      </c>
      <c r="C1398" s="149">
        <v>1</v>
      </c>
      <c r="D1398" s="149" t="s">
        <v>73</v>
      </c>
      <c r="E1398" s="149">
        <v>2</v>
      </c>
      <c r="F1398" s="150"/>
      <c r="G1398" s="150"/>
      <c r="H1398" s="150"/>
      <c r="I1398" s="151">
        <f t="shared" si="92"/>
        <v>2</v>
      </c>
      <c r="J1398" s="180"/>
    </row>
    <row r="1399" spans="1:10" s="181" customFormat="1">
      <c r="A1399" s="276"/>
      <c r="B1399" s="148" t="s">
        <v>172</v>
      </c>
      <c r="C1399" s="149">
        <v>1</v>
      </c>
      <c r="D1399" s="149" t="s">
        <v>73</v>
      </c>
      <c r="E1399" s="149">
        <v>1</v>
      </c>
      <c r="F1399" s="150"/>
      <c r="G1399" s="150"/>
      <c r="H1399" s="150"/>
      <c r="I1399" s="151">
        <f t="shared" si="92"/>
        <v>1</v>
      </c>
      <c r="J1399" s="180"/>
    </row>
    <row r="1400" spans="1:10" s="181" customFormat="1">
      <c r="A1400" s="276"/>
      <c r="B1400" s="148" t="s">
        <v>422</v>
      </c>
      <c r="C1400" s="149">
        <v>1</v>
      </c>
      <c r="D1400" s="149" t="s">
        <v>73</v>
      </c>
      <c r="E1400" s="149">
        <v>1</v>
      </c>
      <c r="F1400" s="150"/>
      <c r="G1400" s="150"/>
      <c r="H1400" s="150"/>
      <c r="I1400" s="151">
        <f t="shared" si="92"/>
        <v>1</v>
      </c>
      <c r="J1400" s="180"/>
    </row>
    <row r="1401" spans="1:10" s="181" customFormat="1">
      <c r="A1401" s="276"/>
      <c r="B1401" s="155" t="s">
        <v>566</v>
      </c>
      <c r="C1401" s="149"/>
      <c r="D1401" s="149"/>
      <c r="E1401" s="149"/>
      <c r="F1401" s="150"/>
      <c r="G1401" s="150"/>
      <c r="H1401" s="150"/>
      <c r="I1401" s="151">
        <f t="shared" si="92"/>
        <v>0</v>
      </c>
      <c r="J1401" s="180"/>
    </row>
    <row r="1402" spans="1:10" s="181" customFormat="1">
      <c r="A1402" s="276"/>
      <c r="B1402" s="148" t="s">
        <v>298</v>
      </c>
      <c r="C1402" s="149">
        <v>1</v>
      </c>
      <c r="D1402" s="149" t="s">
        <v>73</v>
      </c>
      <c r="E1402" s="149">
        <v>1</v>
      </c>
      <c r="F1402" s="150"/>
      <c r="G1402" s="150"/>
      <c r="H1402" s="150"/>
      <c r="I1402" s="151">
        <f t="shared" si="92"/>
        <v>1</v>
      </c>
      <c r="J1402" s="180"/>
    </row>
    <row r="1403" spans="1:10" s="181" customFormat="1">
      <c r="A1403" s="276"/>
      <c r="B1403" s="148" t="s">
        <v>460</v>
      </c>
      <c r="C1403" s="149">
        <v>1</v>
      </c>
      <c r="D1403" s="149" t="s">
        <v>73</v>
      </c>
      <c r="E1403" s="149">
        <v>1</v>
      </c>
      <c r="F1403" s="150"/>
      <c r="G1403" s="150"/>
      <c r="H1403" s="150"/>
      <c r="I1403" s="151">
        <f t="shared" si="92"/>
        <v>1</v>
      </c>
      <c r="J1403" s="180"/>
    </row>
    <row r="1404" spans="1:10" s="181" customFormat="1">
      <c r="A1404" s="276"/>
      <c r="B1404" s="148" t="s">
        <v>567</v>
      </c>
      <c r="C1404" s="149">
        <v>1</v>
      </c>
      <c r="D1404" s="149" t="s">
        <v>73</v>
      </c>
      <c r="E1404" s="149">
        <v>3</v>
      </c>
      <c r="F1404" s="150"/>
      <c r="G1404" s="150"/>
      <c r="H1404" s="150"/>
      <c r="I1404" s="151">
        <f t="shared" si="92"/>
        <v>3</v>
      </c>
      <c r="J1404" s="180"/>
    </row>
    <row r="1405" spans="1:10" s="181" customFormat="1">
      <c r="A1405" s="276"/>
      <c r="B1405" s="148" t="s">
        <v>310</v>
      </c>
      <c r="C1405" s="149">
        <v>1</v>
      </c>
      <c r="D1405" s="149" t="s">
        <v>73</v>
      </c>
      <c r="E1405" s="149">
        <v>1</v>
      </c>
      <c r="F1405" s="150"/>
      <c r="G1405" s="150"/>
      <c r="H1405" s="150"/>
      <c r="I1405" s="151">
        <f t="shared" si="92"/>
        <v>1</v>
      </c>
      <c r="J1405" s="180"/>
    </row>
    <row r="1406" spans="1:10" s="181" customFormat="1">
      <c r="A1406" s="276"/>
      <c r="B1406" s="148" t="s">
        <v>191</v>
      </c>
      <c r="C1406" s="149">
        <v>1</v>
      </c>
      <c r="D1406" s="149" t="s">
        <v>73</v>
      </c>
      <c r="E1406" s="149">
        <v>1</v>
      </c>
      <c r="F1406" s="150"/>
      <c r="G1406" s="150"/>
      <c r="H1406" s="150"/>
      <c r="I1406" s="151">
        <f t="shared" si="92"/>
        <v>1</v>
      </c>
      <c r="J1406" s="180"/>
    </row>
    <row r="1407" spans="1:10" s="181" customFormat="1">
      <c r="A1407" s="276"/>
      <c r="B1407" s="148" t="s">
        <v>172</v>
      </c>
      <c r="C1407" s="149">
        <v>1</v>
      </c>
      <c r="D1407" s="149" t="s">
        <v>73</v>
      </c>
      <c r="E1407" s="149">
        <v>1</v>
      </c>
      <c r="F1407" s="150"/>
      <c r="G1407" s="150"/>
      <c r="H1407" s="150"/>
      <c r="I1407" s="151">
        <f t="shared" si="92"/>
        <v>1</v>
      </c>
      <c r="J1407" s="180"/>
    </row>
    <row r="1408" spans="1:10" s="181" customFormat="1">
      <c r="A1408" s="276"/>
      <c r="B1408" s="148" t="s">
        <v>156</v>
      </c>
      <c r="C1408" s="149">
        <v>1</v>
      </c>
      <c r="D1408" s="149" t="s">
        <v>73</v>
      </c>
      <c r="E1408" s="149">
        <v>1</v>
      </c>
      <c r="F1408" s="150"/>
      <c r="G1408" s="150"/>
      <c r="H1408" s="150"/>
      <c r="I1408" s="151">
        <f t="shared" si="92"/>
        <v>1</v>
      </c>
      <c r="J1408" s="180"/>
    </row>
    <row r="1409" spans="1:10" s="181" customFormat="1">
      <c r="A1409" s="276"/>
      <c r="B1409" s="148" t="s">
        <v>1550</v>
      </c>
      <c r="C1409" s="149">
        <v>1</v>
      </c>
      <c r="D1409" s="149" t="s">
        <v>73</v>
      </c>
      <c r="E1409" s="149">
        <v>1</v>
      </c>
      <c r="F1409" s="150"/>
      <c r="G1409" s="150"/>
      <c r="H1409" s="150"/>
      <c r="I1409" s="151">
        <f t="shared" si="92"/>
        <v>1</v>
      </c>
      <c r="J1409" s="180"/>
    </row>
    <row r="1410" spans="1:10" s="181" customFormat="1">
      <c r="A1410" s="276"/>
      <c r="B1410" s="155" t="s">
        <v>568</v>
      </c>
      <c r="C1410" s="149"/>
      <c r="D1410" s="149"/>
      <c r="E1410" s="149"/>
      <c r="F1410" s="150"/>
      <c r="G1410" s="150"/>
      <c r="H1410" s="150"/>
      <c r="I1410" s="151">
        <f t="shared" si="92"/>
        <v>0</v>
      </c>
      <c r="J1410" s="180"/>
    </row>
    <row r="1411" spans="1:10" s="181" customFormat="1">
      <c r="A1411" s="276"/>
      <c r="B1411" s="148" t="s">
        <v>569</v>
      </c>
      <c r="C1411" s="149">
        <v>2</v>
      </c>
      <c r="D1411" s="149" t="s">
        <v>73</v>
      </c>
      <c r="E1411" s="149">
        <v>2</v>
      </c>
      <c r="F1411" s="150"/>
      <c r="G1411" s="150"/>
      <c r="H1411" s="150"/>
      <c r="I1411" s="151">
        <f t="shared" si="92"/>
        <v>4</v>
      </c>
      <c r="J1411" s="180"/>
    </row>
    <row r="1412" spans="1:10" s="181" customFormat="1">
      <c r="A1412" s="276"/>
      <c r="B1412" s="148" t="s">
        <v>570</v>
      </c>
      <c r="C1412" s="149">
        <v>1</v>
      </c>
      <c r="D1412" s="149" t="s">
        <v>73</v>
      </c>
      <c r="E1412" s="149">
        <v>1</v>
      </c>
      <c r="F1412" s="150"/>
      <c r="G1412" s="150"/>
      <c r="H1412" s="150"/>
      <c r="I1412" s="151">
        <f t="shared" si="92"/>
        <v>1</v>
      </c>
      <c r="J1412" s="180"/>
    </row>
    <row r="1413" spans="1:10" s="181" customFormat="1">
      <c r="A1413" s="276"/>
      <c r="B1413" s="148" t="s">
        <v>160</v>
      </c>
      <c r="C1413" s="149">
        <v>1</v>
      </c>
      <c r="D1413" s="149" t="s">
        <v>73</v>
      </c>
      <c r="E1413" s="149">
        <v>2</v>
      </c>
      <c r="F1413" s="150"/>
      <c r="G1413" s="150"/>
      <c r="H1413" s="150"/>
      <c r="I1413" s="151">
        <f t="shared" si="92"/>
        <v>2</v>
      </c>
      <c r="J1413" s="180"/>
    </row>
    <row r="1414" spans="1:10" s="181" customFormat="1">
      <c r="A1414" s="276"/>
      <c r="B1414" s="148" t="s">
        <v>571</v>
      </c>
      <c r="C1414" s="149">
        <v>1</v>
      </c>
      <c r="D1414" s="149" t="s">
        <v>73</v>
      </c>
      <c r="E1414" s="149">
        <v>2</v>
      </c>
      <c r="F1414" s="150"/>
      <c r="G1414" s="150"/>
      <c r="H1414" s="150"/>
      <c r="I1414" s="151">
        <f t="shared" si="92"/>
        <v>2</v>
      </c>
      <c r="J1414" s="180"/>
    </row>
    <row r="1415" spans="1:10" s="181" customFormat="1">
      <c r="A1415" s="276"/>
      <c r="B1415" s="157" t="s">
        <v>1406</v>
      </c>
      <c r="C1415" s="149"/>
      <c r="D1415" s="149"/>
      <c r="E1415" s="149"/>
      <c r="F1415" s="150"/>
      <c r="G1415" s="150"/>
      <c r="H1415" s="150"/>
      <c r="I1415" s="151">
        <f>-excess!G137</f>
        <v>-14</v>
      </c>
      <c r="J1415" s="180"/>
    </row>
    <row r="1416" spans="1:10" s="181" customFormat="1">
      <c r="A1416" s="276"/>
      <c r="B1416" s="148"/>
      <c r="C1416" s="149"/>
      <c r="D1416" s="149"/>
      <c r="E1416" s="149"/>
      <c r="F1416" s="150"/>
      <c r="G1416" s="150"/>
      <c r="H1416" s="150"/>
      <c r="I1416" s="159">
        <f>SUM(I1385:I1415)</f>
        <v>41</v>
      </c>
      <c r="J1416" s="180" t="s">
        <v>128</v>
      </c>
    </row>
    <row r="1417" spans="1:10" s="181" customFormat="1">
      <c r="A1417" s="276"/>
      <c r="B1417" s="148"/>
      <c r="C1417" s="149"/>
      <c r="D1417" s="149"/>
      <c r="E1417" s="149"/>
      <c r="F1417" s="150"/>
      <c r="G1417" s="150"/>
      <c r="H1417" s="150"/>
      <c r="I1417" s="159"/>
      <c r="J1417" s="180"/>
    </row>
    <row r="1418" spans="1:10" s="181" customFormat="1">
      <c r="A1418" s="276"/>
      <c r="B1418" s="155" t="s">
        <v>572</v>
      </c>
      <c r="C1418" s="148"/>
      <c r="D1418" s="148"/>
      <c r="E1418" s="148"/>
      <c r="F1418" s="228"/>
      <c r="G1418" s="228"/>
      <c r="H1418" s="228"/>
      <c r="I1418" s="205"/>
      <c r="J1418" s="180"/>
    </row>
    <row r="1419" spans="1:10" s="181" customFormat="1">
      <c r="A1419" s="276"/>
      <c r="B1419" s="148" t="s">
        <v>573</v>
      </c>
      <c r="C1419" s="162">
        <v>1</v>
      </c>
      <c r="D1419" s="162" t="s">
        <v>73</v>
      </c>
      <c r="E1419" s="162">
        <v>1</v>
      </c>
      <c r="F1419" s="150"/>
      <c r="G1419" s="150"/>
      <c r="H1419" s="150"/>
      <c r="I1419" s="151">
        <f>ROUND(PRODUCT(C1419:H1419),2)</f>
        <v>1</v>
      </c>
      <c r="J1419" s="180"/>
    </row>
    <row r="1420" spans="1:10" s="181" customFormat="1">
      <c r="A1420" s="276"/>
      <c r="B1420" s="148" t="s">
        <v>575</v>
      </c>
      <c r="C1420" s="162">
        <v>1</v>
      </c>
      <c r="D1420" s="162" t="s">
        <v>73</v>
      </c>
      <c r="E1420" s="162">
        <v>1</v>
      </c>
      <c r="F1420" s="150"/>
      <c r="G1420" s="150"/>
      <c r="H1420" s="150"/>
      <c r="I1420" s="151">
        <f>ROUND(PRODUCT(C1420:H1420),2)</f>
        <v>1</v>
      </c>
      <c r="J1420" s="180"/>
    </row>
    <row r="1421" spans="1:10" s="181" customFormat="1">
      <c r="A1421" s="276"/>
      <c r="B1421" s="148"/>
      <c r="C1421" s="162"/>
      <c r="D1421" s="162"/>
      <c r="E1421" s="162"/>
      <c r="F1421" s="150"/>
      <c r="G1421" s="150"/>
      <c r="H1421" s="150"/>
      <c r="I1421" s="242">
        <f>SUM(I1419:I1420)</f>
        <v>2</v>
      </c>
      <c r="J1421" s="180" t="s">
        <v>128</v>
      </c>
    </row>
    <row r="1422" spans="1:10" s="181" customFormat="1">
      <c r="A1422" s="276"/>
      <c r="B1422" s="148"/>
      <c r="C1422" s="162"/>
      <c r="D1422" s="162"/>
      <c r="E1422" s="162"/>
      <c r="F1422" s="150"/>
      <c r="G1422" s="150"/>
      <c r="H1422" s="150"/>
      <c r="I1422" s="242"/>
      <c r="J1422" s="180"/>
    </row>
    <row r="1423" spans="1:10" s="181" customFormat="1" ht="115.5" customHeight="1">
      <c r="A1423" s="276">
        <v>65.099999999999994</v>
      </c>
      <c r="B1423" s="208" t="s">
        <v>577</v>
      </c>
      <c r="C1423" s="149"/>
      <c r="D1423" s="149"/>
      <c r="E1423" s="149"/>
      <c r="F1423" s="150"/>
      <c r="G1423" s="150"/>
      <c r="H1423" s="150"/>
      <c r="I1423" s="159"/>
      <c r="J1423" s="180"/>
    </row>
    <row r="1424" spans="1:10" s="181" customFormat="1" ht="115.5" customHeight="1">
      <c r="A1424" s="276">
        <v>66.099999999999994</v>
      </c>
      <c r="B1424" s="208" t="s">
        <v>577</v>
      </c>
      <c r="C1424" s="149"/>
      <c r="D1424" s="149"/>
      <c r="E1424" s="149"/>
      <c r="F1424" s="150"/>
      <c r="G1424" s="150"/>
      <c r="H1424" s="150"/>
      <c r="I1424" s="159"/>
      <c r="J1424" s="180"/>
    </row>
    <row r="1425" spans="1:10" s="181" customFormat="1">
      <c r="A1425" s="276"/>
      <c r="B1425" s="148" t="s">
        <v>418</v>
      </c>
      <c r="C1425" s="149">
        <v>1</v>
      </c>
      <c r="D1425" s="149" t="s">
        <v>73</v>
      </c>
      <c r="E1425" s="149">
        <v>1</v>
      </c>
      <c r="F1425" s="150"/>
      <c r="G1425" s="150"/>
      <c r="H1425" s="150"/>
      <c r="I1425" s="151">
        <f t="shared" ref="I1425:I1445" si="93">ROUND(PRODUCT(C1425:H1425),2)</f>
        <v>1</v>
      </c>
      <c r="J1425" s="180"/>
    </row>
    <row r="1426" spans="1:10" s="181" customFormat="1">
      <c r="A1426" s="276"/>
      <c r="B1426" s="155" t="s">
        <v>190</v>
      </c>
      <c r="C1426" s="149"/>
      <c r="D1426" s="149"/>
      <c r="E1426" s="149"/>
      <c r="F1426" s="150"/>
      <c r="G1426" s="150"/>
      <c r="H1426" s="150"/>
      <c r="I1426" s="151">
        <f t="shared" si="93"/>
        <v>0</v>
      </c>
      <c r="J1426" s="180"/>
    </row>
    <row r="1427" spans="1:10" s="181" customFormat="1">
      <c r="A1427" s="276"/>
      <c r="B1427" s="148" t="s">
        <v>419</v>
      </c>
      <c r="C1427" s="149">
        <v>1</v>
      </c>
      <c r="D1427" s="149" t="s">
        <v>73</v>
      </c>
      <c r="E1427" s="149">
        <v>2</v>
      </c>
      <c r="F1427" s="150"/>
      <c r="G1427" s="150"/>
      <c r="H1427" s="150"/>
      <c r="I1427" s="151">
        <f t="shared" si="93"/>
        <v>2</v>
      </c>
      <c r="J1427" s="180"/>
    </row>
    <row r="1428" spans="1:10" s="181" customFormat="1">
      <c r="A1428" s="276"/>
      <c r="B1428" s="148" t="s">
        <v>420</v>
      </c>
      <c r="C1428" s="149">
        <v>1</v>
      </c>
      <c r="D1428" s="149" t="s">
        <v>73</v>
      </c>
      <c r="E1428" s="149">
        <v>1</v>
      </c>
      <c r="F1428" s="150"/>
      <c r="G1428" s="150"/>
      <c r="H1428" s="150"/>
      <c r="I1428" s="151">
        <f t="shared" si="93"/>
        <v>1</v>
      </c>
      <c r="J1428" s="180"/>
    </row>
    <row r="1429" spans="1:10" s="181" customFormat="1">
      <c r="A1429" s="276"/>
      <c r="B1429" s="148" t="s">
        <v>421</v>
      </c>
      <c r="C1429" s="149">
        <v>1</v>
      </c>
      <c r="D1429" s="149" t="s">
        <v>73</v>
      </c>
      <c r="E1429" s="149">
        <v>2</v>
      </c>
      <c r="F1429" s="150"/>
      <c r="G1429" s="150"/>
      <c r="H1429" s="150"/>
      <c r="I1429" s="151">
        <f t="shared" si="93"/>
        <v>2</v>
      </c>
      <c r="J1429" s="180"/>
    </row>
    <row r="1430" spans="1:10" s="181" customFormat="1" ht="23.25" customHeight="1">
      <c r="B1430" s="148" t="s">
        <v>184</v>
      </c>
      <c r="C1430" s="149">
        <v>1</v>
      </c>
      <c r="D1430" s="149" t="s">
        <v>73</v>
      </c>
      <c r="E1430" s="149">
        <v>1</v>
      </c>
      <c r="F1430" s="150"/>
      <c r="G1430" s="150"/>
      <c r="H1430" s="150"/>
      <c r="I1430" s="151">
        <f t="shared" si="93"/>
        <v>1</v>
      </c>
      <c r="J1430" s="180"/>
    </row>
    <row r="1431" spans="1:10" s="181" customFormat="1">
      <c r="A1431" s="249"/>
      <c r="B1431" s="148" t="s">
        <v>191</v>
      </c>
      <c r="C1431" s="149">
        <v>1</v>
      </c>
      <c r="D1431" s="149" t="s">
        <v>73</v>
      </c>
      <c r="E1431" s="149">
        <v>1</v>
      </c>
      <c r="F1431" s="150"/>
      <c r="G1431" s="150"/>
      <c r="H1431" s="150"/>
      <c r="I1431" s="151">
        <f t="shared" si="93"/>
        <v>1</v>
      </c>
      <c r="J1431" s="180"/>
    </row>
    <row r="1432" spans="1:10" s="181" customFormat="1">
      <c r="A1432" s="276"/>
      <c r="B1432" s="148" t="s">
        <v>422</v>
      </c>
      <c r="C1432" s="149">
        <v>1</v>
      </c>
      <c r="D1432" s="149" t="s">
        <v>73</v>
      </c>
      <c r="E1432" s="149">
        <v>2</v>
      </c>
      <c r="F1432" s="150"/>
      <c r="G1432" s="150"/>
      <c r="H1432" s="150"/>
      <c r="I1432" s="151">
        <f t="shared" si="93"/>
        <v>2</v>
      </c>
      <c r="J1432" s="180"/>
    </row>
    <row r="1433" spans="1:10" s="181" customFormat="1">
      <c r="A1433" s="276"/>
      <c r="B1433" s="148" t="s">
        <v>423</v>
      </c>
      <c r="C1433" s="149">
        <v>1</v>
      </c>
      <c r="D1433" s="149" t="s">
        <v>73</v>
      </c>
      <c r="E1433" s="149">
        <v>2</v>
      </c>
      <c r="F1433" s="150"/>
      <c r="G1433" s="150"/>
      <c r="H1433" s="150"/>
      <c r="I1433" s="151">
        <f t="shared" si="93"/>
        <v>2</v>
      </c>
      <c r="J1433" s="180"/>
    </row>
    <row r="1434" spans="1:10" s="181" customFormat="1">
      <c r="A1434" s="276"/>
      <c r="B1434" s="148" t="s">
        <v>122</v>
      </c>
      <c r="C1434" s="149">
        <v>1</v>
      </c>
      <c r="D1434" s="149" t="s">
        <v>73</v>
      </c>
      <c r="E1434" s="149">
        <v>2</v>
      </c>
      <c r="F1434" s="150"/>
      <c r="G1434" s="150"/>
      <c r="H1434" s="150"/>
      <c r="I1434" s="151">
        <f t="shared" si="93"/>
        <v>2</v>
      </c>
      <c r="J1434" s="180"/>
    </row>
    <row r="1435" spans="1:10" s="181" customFormat="1">
      <c r="A1435" s="276"/>
      <c r="B1435" s="155" t="s">
        <v>189</v>
      </c>
      <c r="C1435" s="149"/>
      <c r="D1435" s="149"/>
      <c r="E1435" s="149"/>
      <c r="F1435" s="150"/>
      <c r="G1435" s="150"/>
      <c r="H1435" s="150"/>
      <c r="I1435" s="151">
        <f t="shared" si="93"/>
        <v>0</v>
      </c>
      <c r="J1435" s="180"/>
    </row>
    <row r="1436" spans="1:10" s="181" customFormat="1">
      <c r="A1436" s="276"/>
      <c r="B1436" s="148" t="s">
        <v>419</v>
      </c>
      <c r="C1436" s="149">
        <v>1</v>
      </c>
      <c r="D1436" s="149" t="s">
        <v>73</v>
      </c>
      <c r="E1436" s="149">
        <v>2</v>
      </c>
      <c r="F1436" s="150"/>
      <c r="G1436" s="150"/>
      <c r="H1436" s="150"/>
      <c r="I1436" s="151">
        <f t="shared" si="93"/>
        <v>2</v>
      </c>
      <c r="J1436" s="180"/>
    </row>
    <row r="1437" spans="1:10" s="181" customFormat="1">
      <c r="A1437" s="276"/>
      <c r="B1437" s="148" t="s">
        <v>426</v>
      </c>
      <c r="C1437" s="149">
        <v>1</v>
      </c>
      <c r="D1437" s="149" t="s">
        <v>73</v>
      </c>
      <c r="E1437" s="149">
        <v>1</v>
      </c>
      <c r="F1437" s="150"/>
      <c r="G1437" s="150"/>
      <c r="H1437" s="150"/>
      <c r="I1437" s="151">
        <f t="shared" si="93"/>
        <v>1</v>
      </c>
      <c r="J1437" s="180"/>
    </row>
    <row r="1438" spans="1:10" s="181" customFormat="1">
      <c r="A1438" s="276"/>
      <c r="B1438" s="148" t="s">
        <v>421</v>
      </c>
      <c r="C1438" s="149">
        <v>1</v>
      </c>
      <c r="D1438" s="149" t="s">
        <v>73</v>
      </c>
      <c r="E1438" s="149">
        <v>2</v>
      </c>
      <c r="F1438" s="150"/>
      <c r="G1438" s="150"/>
      <c r="H1438" s="150"/>
      <c r="I1438" s="151">
        <f t="shared" si="93"/>
        <v>2</v>
      </c>
      <c r="J1438" s="180"/>
    </row>
    <row r="1439" spans="1:10" s="181" customFormat="1">
      <c r="A1439" s="276"/>
      <c r="B1439" s="148" t="s">
        <v>192</v>
      </c>
      <c r="C1439" s="149">
        <v>1</v>
      </c>
      <c r="D1439" s="149" t="s">
        <v>73</v>
      </c>
      <c r="E1439" s="149">
        <v>1</v>
      </c>
      <c r="F1439" s="150"/>
      <c r="G1439" s="150"/>
      <c r="H1439" s="150"/>
      <c r="I1439" s="151">
        <f t="shared" si="93"/>
        <v>1</v>
      </c>
      <c r="J1439" s="180"/>
    </row>
    <row r="1440" spans="1:10" s="181" customFormat="1">
      <c r="A1440" s="276"/>
      <c r="B1440" s="148" t="s">
        <v>184</v>
      </c>
      <c r="C1440" s="149">
        <v>1</v>
      </c>
      <c r="D1440" s="149" t="s">
        <v>73</v>
      </c>
      <c r="E1440" s="149">
        <v>1</v>
      </c>
      <c r="F1440" s="150"/>
      <c r="G1440" s="150"/>
      <c r="H1440" s="150"/>
      <c r="I1440" s="151">
        <f t="shared" si="93"/>
        <v>1</v>
      </c>
      <c r="J1440" s="180"/>
    </row>
    <row r="1441" spans="1:10" s="181" customFormat="1">
      <c r="A1441" s="276"/>
      <c r="B1441" s="148" t="s">
        <v>422</v>
      </c>
      <c r="C1441" s="149">
        <v>1</v>
      </c>
      <c r="D1441" s="149" t="s">
        <v>73</v>
      </c>
      <c r="E1441" s="149">
        <v>2</v>
      </c>
      <c r="F1441" s="150"/>
      <c r="G1441" s="150"/>
      <c r="H1441" s="150"/>
      <c r="I1441" s="151">
        <f t="shared" si="93"/>
        <v>2</v>
      </c>
      <c r="J1441" s="180"/>
    </row>
    <row r="1442" spans="1:10" s="181" customFormat="1">
      <c r="A1442" s="276"/>
      <c r="B1442" s="148" t="s">
        <v>191</v>
      </c>
      <c r="C1442" s="149">
        <v>1</v>
      </c>
      <c r="D1442" s="149" t="s">
        <v>73</v>
      </c>
      <c r="E1442" s="149">
        <v>1</v>
      </c>
      <c r="F1442" s="150"/>
      <c r="G1442" s="150"/>
      <c r="H1442" s="150"/>
      <c r="I1442" s="151">
        <f t="shared" si="93"/>
        <v>1</v>
      </c>
      <c r="J1442" s="180"/>
    </row>
    <row r="1443" spans="1:10" s="181" customFormat="1">
      <c r="A1443" s="276"/>
      <c r="B1443" s="148" t="s">
        <v>122</v>
      </c>
      <c r="C1443" s="149">
        <v>1</v>
      </c>
      <c r="D1443" s="149" t="s">
        <v>73</v>
      </c>
      <c r="E1443" s="149">
        <v>2</v>
      </c>
      <c r="F1443" s="150"/>
      <c r="G1443" s="150"/>
      <c r="H1443" s="150"/>
      <c r="I1443" s="151">
        <f t="shared" si="93"/>
        <v>2</v>
      </c>
      <c r="J1443" s="180"/>
    </row>
    <row r="1444" spans="1:10" s="181" customFormat="1">
      <c r="A1444" s="276"/>
      <c r="B1444" s="155" t="s">
        <v>173</v>
      </c>
      <c r="C1444" s="149"/>
      <c r="D1444" s="149"/>
      <c r="E1444" s="149"/>
      <c r="F1444" s="150"/>
      <c r="G1444" s="150"/>
      <c r="H1444" s="150"/>
      <c r="I1444" s="151">
        <f t="shared" si="93"/>
        <v>0</v>
      </c>
      <c r="J1444" s="180"/>
    </row>
    <row r="1445" spans="1:10" s="181" customFormat="1">
      <c r="A1445" s="276"/>
      <c r="B1445" s="148" t="s">
        <v>424</v>
      </c>
      <c r="C1445" s="149">
        <v>1</v>
      </c>
      <c r="D1445" s="149" t="s">
        <v>73</v>
      </c>
      <c r="E1445" s="149">
        <v>4</v>
      </c>
      <c r="F1445" s="150"/>
      <c r="G1445" s="150"/>
      <c r="H1445" s="150"/>
      <c r="I1445" s="151">
        <f t="shared" si="93"/>
        <v>4</v>
      </c>
      <c r="J1445" s="180"/>
    </row>
    <row r="1446" spans="1:10" s="181" customFormat="1">
      <c r="A1446" s="276"/>
      <c r="B1446" s="157" t="s">
        <v>1406</v>
      </c>
      <c r="C1446" s="149"/>
      <c r="D1446" s="149"/>
      <c r="E1446" s="149"/>
      <c r="F1446" s="150"/>
      <c r="G1446" s="150"/>
      <c r="H1446" s="150"/>
      <c r="I1446" s="151">
        <f>-excess!G139</f>
        <v>-14</v>
      </c>
      <c r="J1446" s="180"/>
    </row>
    <row r="1447" spans="1:10" s="181" customFormat="1">
      <c r="A1447" s="276"/>
      <c r="B1447" s="157" t="s">
        <v>11</v>
      </c>
      <c r="C1447" s="149"/>
      <c r="D1447" s="149"/>
      <c r="E1447" s="149"/>
      <c r="F1447" s="150"/>
      <c r="G1447" s="150"/>
      <c r="H1447" s="150"/>
      <c r="I1447" s="159">
        <f>SUM(I1424:I1446)</f>
        <v>16</v>
      </c>
      <c r="J1447" s="180" t="s">
        <v>128</v>
      </c>
    </row>
    <row r="1448" spans="1:10" s="181" customFormat="1">
      <c r="A1448" s="276"/>
      <c r="B1448" s="157"/>
      <c r="C1448" s="149"/>
      <c r="D1448" s="149"/>
      <c r="E1448" s="149"/>
      <c r="F1448" s="150"/>
      <c r="G1448" s="150"/>
      <c r="H1448" s="150"/>
      <c r="I1448" s="160"/>
      <c r="J1448" s="180"/>
    </row>
    <row r="1449" spans="1:10" s="181" customFormat="1">
      <c r="A1449" s="276"/>
      <c r="B1449" s="157"/>
      <c r="C1449" s="149"/>
      <c r="D1449" s="149"/>
      <c r="E1449" s="149"/>
      <c r="F1449" s="150"/>
      <c r="G1449" s="150"/>
      <c r="H1449" s="150"/>
      <c r="I1449" s="160"/>
      <c r="J1449" s="180"/>
    </row>
    <row r="1450" spans="1:10" s="181" customFormat="1">
      <c r="A1450" s="276"/>
      <c r="B1450" s="157"/>
      <c r="C1450" s="149"/>
      <c r="D1450" s="149"/>
      <c r="E1450" s="149"/>
      <c r="F1450" s="150"/>
      <c r="G1450" s="150"/>
      <c r="H1450" s="150"/>
      <c r="I1450" s="160"/>
      <c r="J1450" s="180"/>
    </row>
    <row r="1451" spans="1:10" s="181" customFormat="1" ht="93" customHeight="1">
      <c r="A1451" s="276">
        <v>66.099999999999994</v>
      </c>
      <c r="B1451" s="178" t="s">
        <v>578</v>
      </c>
      <c r="C1451" s="149"/>
      <c r="D1451" s="149"/>
      <c r="E1451" s="149"/>
      <c r="F1451" s="150"/>
      <c r="G1451" s="150"/>
      <c r="H1451" s="150"/>
      <c r="I1451" s="159"/>
      <c r="J1451" s="180"/>
    </row>
    <row r="1452" spans="1:10" s="181" customFormat="1">
      <c r="A1452" s="276"/>
      <c r="B1452" s="148" t="s">
        <v>579</v>
      </c>
      <c r="C1452" s="149">
        <v>1</v>
      </c>
      <c r="D1452" s="149" t="s">
        <v>73</v>
      </c>
      <c r="E1452" s="149">
        <v>4</v>
      </c>
      <c r="F1452" s="150"/>
      <c r="G1452" s="150"/>
      <c r="H1452" s="150"/>
      <c r="I1452" s="159">
        <f>PRODUCT(C1452:H1452)</f>
        <v>4</v>
      </c>
      <c r="J1452" s="180" t="s">
        <v>128</v>
      </c>
    </row>
    <row r="1453" spans="1:10" s="181" customFormat="1">
      <c r="A1453" s="276"/>
      <c r="B1453" s="148"/>
      <c r="C1453" s="149"/>
      <c r="D1453" s="149"/>
      <c r="E1453" s="149"/>
      <c r="F1453" s="150"/>
      <c r="G1453" s="150"/>
      <c r="H1453" s="150"/>
      <c r="I1453" s="159"/>
      <c r="J1453" s="180"/>
    </row>
    <row r="1454" spans="1:10" s="181" customFormat="1" ht="71.25" customHeight="1">
      <c r="A1454" s="276">
        <v>67.099999999999994</v>
      </c>
      <c r="B1454" s="208" t="s">
        <v>580</v>
      </c>
      <c r="C1454" s="149"/>
      <c r="D1454" s="149"/>
      <c r="E1454" s="149"/>
      <c r="F1454" s="150"/>
      <c r="G1454" s="150"/>
      <c r="H1454" s="150"/>
      <c r="I1454" s="159"/>
      <c r="J1454" s="180"/>
    </row>
    <row r="1455" spans="1:10" s="181" customFormat="1">
      <c r="A1455" s="276"/>
      <c r="B1455" s="155" t="s">
        <v>581</v>
      </c>
      <c r="C1455" s="149"/>
      <c r="D1455" s="149"/>
      <c r="E1455" s="149"/>
      <c r="F1455" s="150"/>
      <c r="G1455" s="150"/>
      <c r="H1455" s="150"/>
      <c r="I1455" s="159"/>
      <c r="J1455" s="180"/>
    </row>
    <row r="1456" spans="1:10" s="181" customFormat="1">
      <c r="A1456" s="276"/>
      <c r="B1456" s="148" t="s">
        <v>582</v>
      </c>
      <c r="C1456" s="149">
        <v>1</v>
      </c>
      <c r="D1456" s="149" t="s">
        <v>73</v>
      </c>
      <c r="E1456" s="149">
        <v>2</v>
      </c>
      <c r="F1456" s="150"/>
      <c r="G1456" s="150"/>
      <c r="H1456" s="150"/>
      <c r="I1456" s="151">
        <f t="shared" ref="I1456:I1480" si="94">ROUND(PRODUCT(C1456:H1456),2)</f>
        <v>2</v>
      </c>
      <c r="J1456" s="180"/>
    </row>
    <row r="1457" spans="1:10" s="181" customFormat="1" ht="17.25" customHeight="1">
      <c r="A1457" s="276"/>
      <c r="B1457" s="148" t="s">
        <v>290</v>
      </c>
      <c r="C1457" s="149">
        <v>1</v>
      </c>
      <c r="D1457" s="149" t="s">
        <v>73</v>
      </c>
      <c r="E1457" s="149">
        <v>1</v>
      </c>
      <c r="F1457" s="150"/>
      <c r="G1457" s="150"/>
      <c r="H1457" s="150"/>
      <c r="I1457" s="151">
        <f t="shared" si="94"/>
        <v>1</v>
      </c>
      <c r="J1457" s="180"/>
    </row>
    <row r="1458" spans="1:10" s="181" customFormat="1">
      <c r="A1458" s="276"/>
      <c r="B1458" s="155" t="s">
        <v>564</v>
      </c>
      <c r="C1458" s="149"/>
      <c r="D1458" s="149"/>
      <c r="E1458" s="149"/>
      <c r="F1458" s="150"/>
      <c r="G1458" s="150"/>
      <c r="H1458" s="150"/>
      <c r="I1458" s="151">
        <f t="shared" si="94"/>
        <v>0</v>
      </c>
      <c r="J1458" s="221"/>
    </row>
    <row r="1459" spans="1:10" s="181" customFormat="1" ht="24" customHeight="1">
      <c r="B1459" s="148" t="s">
        <v>583</v>
      </c>
      <c r="C1459" s="149">
        <v>1</v>
      </c>
      <c r="D1459" s="149" t="s">
        <v>73</v>
      </c>
      <c r="E1459" s="149">
        <v>2</v>
      </c>
      <c r="F1459" s="150"/>
      <c r="G1459" s="150"/>
      <c r="H1459" s="150"/>
      <c r="I1459" s="151">
        <f t="shared" si="94"/>
        <v>2</v>
      </c>
      <c r="J1459" s="180"/>
    </row>
    <row r="1460" spans="1:10" s="181" customFormat="1">
      <c r="A1460" s="276"/>
      <c r="B1460" s="148" t="s">
        <v>584</v>
      </c>
      <c r="C1460" s="149">
        <v>1</v>
      </c>
      <c r="D1460" s="149" t="s">
        <v>73</v>
      </c>
      <c r="E1460" s="149">
        <v>1</v>
      </c>
      <c r="F1460" s="150"/>
      <c r="G1460" s="150"/>
      <c r="H1460" s="150"/>
      <c r="I1460" s="151">
        <f t="shared" si="94"/>
        <v>1</v>
      </c>
      <c r="J1460" s="180"/>
    </row>
    <row r="1461" spans="1:10" s="181" customFormat="1" ht="24" customHeight="1">
      <c r="B1461" s="148" t="s">
        <v>442</v>
      </c>
      <c r="C1461" s="149">
        <v>1</v>
      </c>
      <c r="D1461" s="149" t="s">
        <v>73</v>
      </c>
      <c r="E1461" s="149">
        <v>1</v>
      </c>
      <c r="F1461" s="150"/>
      <c r="G1461" s="150"/>
      <c r="H1461" s="150"/>
      <c r="I1461" s="151">
        <f t="shared" si="94"/>
        <v>1</v>
      </c>
      <c r="J1461" s="180"/>
    </row>
    <row r="1462" spans="1:10" s="181" customFormat="1">
      <c r="A1462" s="276"/>
      <c r="B1462" s="148" t="s">
        <v>412</v>
      </c>
      <c r="C1462" s="149">
        <v>1</v>
      </c>
      <c r="D1462" s="149" t="s">
        <v>73</v>
      </c>
      <c r="E1462" s="149">
        <v>1</v>
      </c>
      <c r="F1462" s="150"/>
      <c r="G1462" s="150"/>
      <c r="H1462" s="150"/>
      <c r="I1462" s="151">
        <f t="shared" si="94"/>
        <v>1</v>
      </c>
      <c r="J1462" s="180"/>
    </row>
    <row r="1463" spans="1:10" s="181" customFormat="1">
      <c r="A1463" s="276"/>
      <c r="B1463" s="148" t="s">
        <v>182</v>
      </c>
      <c r="C1463" s="149">
        <v>1</v>
      </c>
      <c r="D1463" s="149" t="s">
        <v>73</v>
      </c>
      <c r="E1463" s="149">
        <v>1</v>
      </c>
      <c r="F1463" s="150"/>
      <c r="G1463" s="150"/>
      <c r="H1463" s="150"/>
      <c r="I1463" s="151">
        <f t="shared" si="94"/>
        <v>1</v>
      </c>
      <c r="J1463" s="180"/>
    </row>
    <row r="1464" spans="1:10" s="181" customFormat="1">
      <c r="A1464" s="276"/>
      <c r="B1464" s="148" t="s">
        <v>197</v>
      </c>
      <c r="C1464" s="149">
        <v>1</v>
      </c>
      <c r="D1464" s="149" t="s">
        <v>73</v>
      </c>
      <c r="E1464" s="149">
        <v>1</v>
      </c>
      <c r="F1464" s="150"/>
      <c r="G1464" s="150"/>
      <c r="H1464" s="150"/>
      <c r="I1464" s="151">
        <f t="shared" si="94"/>
        <v>1</v>
      </c>
      <c r="J1464" s="180"/>
    </row>
    <row r="1465" spans="1:10" s="181" customFormat="1">
      <c r="A1465" s="276"/>
      <c r="B1465" s="148" t="s">
        <v>585</v>
      </c>
      <c r="C1465" s="149">
        <v>1</v>
      </c>
      <c r="D1465" s="149" t="s">
        <v>73</v>
      </c>
      <c r="E1465" s="149">
        <v>1</v>
      </c>
      <c r="F1465" s="150"/>
      <c r="G1465" s="150"/>
      <c r="H1465" s="150"/>
      <c r="I1465" s="151">
        <f t="shared" si="94"/>
        <v>1</v>
      </c>
      <c r="J1465" s="180"/>
    </row>
    <row r="1466" spans="1:10" s="181" customFormat="1">
      <c r="A1466" s="276"/>
      <c r="B1466" s="148" t="s">
        <v>586</v>
      </c>
      <c r="C1466" s="149">
        <v>1</v>
      </c>
      <c r="D1466" s="149" t="s">
        <v>73</v>
      </c>
      <c r="E1466" s="149">
        <v>1</v>
      </c>
      <c r="F1466" s="150"/>
      <c r="G1466" s="150"/>
      <c r="H1466" s="150"/>
      <c r="I1466" s="151">
        <f t="shared" si="94"/>
        <v>1</v>
      </c>
      <c r="J1466" s="180"/>
    </row>
    <row r="1467" spans="1:10" s="181" customFormat="1">
      <c r="A1467" s="276"/>
      <c r="B1467" s="148" t="s">
        <v>587</v>
      </c>
      <c r="C1467" s="149">
        <v>1</v>
      </c>
      <c r="D1467" s="149" t="s">
        <v>73</v>
      </c>
      <c r="E1467" s="149">
        <v>1</v>
      </c>
      <c r="F1467" s="150"/>
      <c r="G1467" s="150"/>
      <c r="H1467" s="150"/>
      <c r="I1467" s="151">
        <f t="shared" si="94"/>
        <v>1</v>
      </c>
      <c r="J1467" s="180"/>
    </row>
    <row r="1468" spans="1:10" s="181" customFormat="1">
      <c r="A1468" s="276"/>
      <c r="B1468" s="155" t="s">
        <v>566</v>
      </c>
      <c r="C1468" s="149"/>
      <c r="D1468" s="149"/>
      <c r="E1468" s="149"/>
      <c r="F1468" s="150"/>
      <c r="G1468" s="150"/>
      <c r="H1468" s="150"/>
      <c r="I1468" s="151">
        <f t="shared" si="94"/>
        <v>0</v>
      </c>
      <c r="J1468" s="180"/>
    </row>
    <row r="1469" spans="1:10" s="181" customFormat="1">
      <c r="A1469" s="276"/>
      <c r="B1469" s="148" t="s">
        <v>583</v>
      </c>
      <c r="C1469" s="149">
        <v>1</v>
      </c>
      <c r="D1469" s="149" t="s">
        <v>73</v>
      </c>
      <c r="E1469" s="149">
        <v>2</v>
      </c>
      <c r="F1469" s="150"/>
      <c r="G1469" s="150"/>
      <c r="H1469" s="150"/>
      <c r="I1469" s="151">
        <f t="shared" si="94"/>
        <v>2</v>
      </c>
      <c r="J1469" s="180"/>
    </row>
    <row r="1470" spans="1:10" s="181" customFormat="1">
      <c r="A1470" s="276"/>
      <c r="B1470" s="148" t="s">
        <v>584</v>
      </c>
      <c r="C1470" s="149">
        <v>1</v>
      </c>
      <c r="D1470" s="149" t="s">
        <v>73</v>
      </c>
      <c r="E1470" s="149">
        <v>1</v>
      </c>
      <c r="F1470" s="150"/>
      <c r="G1470" s="150"/>
      <c r="H1470" s="150"/>
      <c r="I1470" s="151">
        <f t="shared" si="94"/>
        <v>1</v>
      </c>
      <c r="J1470" s="180"/>
    </row>
    <row r="1471" spans="1:10" s="181" customFormat="1">
      <c r="A1471" s="276"/>
      <c r="B1471" s="148" t="s">
        <v>588</v>
      </c>
      <c r="C1471" s="149">
        <v>1</v>
      </c>
      <c r="D1471" s="149" t="s">
        <v>73</v>
      </c>
      <c r="E1471" s="149">
        <v>1</v>
      </c>
      <c r="F1471" s="150"/>
      <c r="G1471" s="150"/>
      <c r="H1471" s="150"/>
      <c r="I1471" s="151">
        <f t="shared" si="94"/>
        <v>1</v>
      </c>
      <c r="J1471" s="180"/>
    </row>
    <row r="1472" spans="1:10" s="181" customFormat="1">
      <c r="A1472" s="276"/>
      <c r="B1472" s="148" t="s">
        <v>182</v>
      </c>
      <c r="C1472" s="149">
        <v>1</v>
      </c>
      <c r="D1472" s="149" t="s">
        <v>73</v>
      </c>
      <c r="E1472" s="149">
        <v>1</v>
      </c>
      <c r="F1472" s="150"/>
      <c r="G1472" s="150"/>
      <c r="H1472" s="150"/>
      <c r="I1472" s="151">
        <f t="shared" si="94"/>
        <v>1</v>
      </c>
      <c r="J1472" s="180"/>
    </row>
    <row r="1473" spans="1:10" s="181" customFormat="1">
      <c r="A1473" s="276"/>
      <c r="B1473" s="148" t="s">
        <v>197</v>
      </c>
      <c r="C1473" s="149">
        <v>1</v>
      </c>
      <c r="D1473" s="149" t="s">
        <v>73</v>
      </c>
      <c r="E1473" s="149">
        <v>1</v>
      </c>
      <c r="F1473" s="150"/>
      <c r="G1473" s="150"/>
      <c r="H1473" s="150"/>
      <c r="I1473" s="151">
        <f t="shared" si="94"/>
        <v>1</v>
      </c>
      <c r="J1473" s="180"/>
    </row>
    <row r="1474" spans="1:10" s="181" customFormat="1">
      <c r="A1474" s="276"/>
      <c r="B1474" s="148" t="s">
        <v>586</v>
      </c>
      <c r="C1474" s="149">
        <v>1</v>
      </c>
      <c r="D1474" s="149" t="s">
        <v>73</v>
      </c>
      <c r="E1474" s="149">
        <v>1</v>
      </c>
      <c r="F1474" s="150"/>
      <c r="G1474" s="150"/>
      <c r="H1474" s="150"/>
      <c r="I1474" s="151">
        <f t="shared" si="94"/>
        <v>1</v>
      </c>
      <c r="J1474" s="180"/>
    </row>
    <row r="1475" spans="1:10" s="181" customFormat="1">
      <c r="A1475" s="276"/>
      <c r="B1475" s="148" t="s">
        <v>587</v>
      </c>
      <c r="C1475" s="149">
        <v>1</v>
      </c>
      <c r="D1475" s="149" t="s">
        <v>73</v>
      </c>
      <c r="E1475" s="149">
        <v>1</v>
      </c>
      <c r="F1475" s="150"/>
      <c r="G1475" s="150"/>
      <c r="H1475" s="150"/>
      <c r="I1475" s="151">
        <f t="shared" si="94"/>
        <v>1</v>
      </c>
      <c r="J1475" s="180"/>
    </row>
    <row r="1476" spans="1:10" s="181" customFormat="1">
      <c r="A1476" s="276"/>
      <c r="B1476" s="148" t="s">
        <v>412</v>
      </c>
      <c r="C1476" s="149">
        <v>1</v>
      </c>
      <c r="D1476" s="149" t="s">
        <v>73</v>
      </c>
      <c r="E1476" s="149">
        <v>1</v>
      </c>
      <c r="F1476" s="150"/>
      <c r="G1476" s="150"/>
      <c r="H1476" s="150"/>
      <c r="I1476" s="151">
        <f t="shared" si="94"/>
        <v>1</v>
      </c>
      <c r="J1476" s="180"/>
    </row>
    <row r="1477" spans="1:10" s="181" customFormat="1">
      <c r="A1477" s="276"/>
      <c r="B1477" s="148" t="s">
        <v>197</v>
      </c>
      <c r="C1477" s="149">
        <v>1</v>
      </c>
      <c r="D1477" s="149" t="s">
        <v>73</v>
      </c>
      <c r="E1477" s="149">
        <v>2</v>
      </c>
      <c r="F1477" s="150"/>
      <c r="G1477" s="150"/>
      <c r="H1477" s="150"/>
      <c r="I1477" s="151">
        <f t="shared" si="94"/>
        <v>2</v>
      </c>
      <c r="J1477" s="180"/>
    </row>
    <row r="1478" spans="1:10" s="181" customFormat="1">
      <c r="A1478" s="276"/>
      <c r="B1478" s="155" t="s">
        <v>568</v>
      </c>
      <c r="C1478" s="149"/>
      <c r="D1478" s="149"/>
      <c r="E1478" s="149"/>
      <c r="F1478" s="150"/>
      <c r="G1478" s="150"/>
      <c r="H1478" s="150"/>
      <c r="I1478" s="151">
        <f t="shared" si="94"/>
        <v>0</v>
      </c>
      <c r="J1478" s="180"/>
    </row>
    <row r="1479" spans="1:10" s="181" customFormat="1">
      <c r="A1479" s="276"/>
      <c r="B1479" s="148" t="s">
        <v>589</v>
      </c>
      <c r="C1479" s="149">
        <v>1</v>
      </c>
      <c r="D1479" s="149" t="s">
        <v>73</v>
      </c>
      <c r="E1479" s="149">
        <v>2</v>
      </c>
      <c r="F1479" s="150"/>
      <c r="G1479" s="150"/>
      <c r="H1479" s="150"/>
      <c r="I1479" s="151">
        <f t="shared" si="94"/>
        <v>2</v>
      </c>
      <c r="J1479" s="180"/>
    </row>
    <row r="1480" spans="1:10" s="181" customFormat="1">
      <c r="A1480" s="276"/>
      <c r="B1480" s="148" t="s">
        <v>590</v>
      </c>
      <c r="C1480" s="149">
        <v>1</v>
      </c>
      <c r="D1480" s="149" t="s">
        <v>73</v>
      </c>
      <c r="E1480" s="149">
        <v>2</v>
      </c>
      <c r="F1480" s="150"/>
      <c r="G1480" s="150"/>
      <c r="H1480" s="150"/>
      <c r="I1480" s="151">
        <f t="shared" si="94"/>
        <v>2</v>
      </c>
      <c r="J1480" s="180"/>
    </row>
    <row r="1481" spans="1:10" s="181" customFormat="1">
      <c r="A1481" s="276"/>
      <c r="B1481" s="148"/>
      <c r="C1481" s="149"/>
      <c r="D1481" s="149"/>
      <c r="E1481" s="149"/>
      <c r="F1481" s="150"/>
      <c r="G1481" s="150"/>
      <c r="H1481" s="150"/>
      <c r="I1481" s="159">
        <f>SUM(I1456:I1480)</f>
        <v>28</v>
      </c>
      <c r="J1481" s="180" t="s">
        <v>128</v>
      </c>
    </row>
    <row r="1482" spans="1:10" s="181" customFormat="1">
      <c r="A1482" s="276"/>
      <c r="B1482" s="148"/>
      <c r="C1482" s="149"/>
      <c r="D1482" s="149"/>
      <c r="E1482" s="149"/>
      <c r="F1482" s="150"/>
      <c r="G1482" s="150"/>
      <c r="H1482" s="150"/>
      <c r="I1482" s="159"/>
      <c r="J1482" s="180"/>
    </row>
    <row r="1483" spans="1:10" s="181" customFormat="1" ht="108.75" customHeight="1">
      <c r="A1483" s="276">
        <v>68.2</v>
      </c>
      <c r="B1483" s="208" t="s">
        <v>591</v>
      </c>
      <c r="C1483" s="149"/>
      <c r="D1483" s="149"/>
      <c r="E1483" s="149"/>
      <c r="F1483" s="150"/>
      <c r="G1483" s="150"/>
      <c r="H1483" s="150"/>
      <c r="I1483" s="159"/>
      <c r="J1483" s="180"/>
    </row>
    <row r="1484" spans="1:10" s="181" customFormat="1">
      <c r="A1484" s="276"/>
      <c r="B1484" s="155" t="s">
        <v>581</v>
      </c>
      <c r="C1484" s="149"/>
      <c r="D1484" s="149"/>
      <c r="E1484" s="149"/>
      <c r="F1484" s="150"/>
      <c r="G1484" s="150"/>
      <c r="H1484" s="150"/>
      <c r="I1484" s="151">
        <f>ROUND(PRODUCT(C1484:H1484),2)</f>
        <v>0</v>
      </c>
      <c r="J1484" s="180"/>
    </row>
    <row r="1485" spans="1:10" s="181" customFormat="1">
      <c r="A1485" s="276"/>
      <c r="B1485" s="178" t="s">
        <v>592</v>
      </c>
      <c r="C1485" s="149">
        <v>1</v>
      </c>
      <c r="D1485" s="149" t="s">
        <v>73</v>
      </c>
      <c r="E1485" s="149">
        <v>1</v>
      </c>
      <c r="F1485" s="150"/>
      <c r="G1485" s="150"/>
      <c r="H1485" s="150"/>
      <c r="I1485" s="151">
        <f t="shared" ref="I1485:I1501" si="95">ROUND(PRODUCT(C1485:H1485),2)</f>
        <v>1</v>
      </c>
      <c r="J1485" s="180"/>
    </row>
    <row r="1486" spans="1:10" s="181" customFormat="1" ht="19.5" customHeight="1">
      <c r="A1486" s="276"/>
      <c r="B1486" s="178" t="s">
        <v>593</v>
      </c>
      <c r="C1486" s="149">
        <v>1</v>
      </c>
      <c r="D1486" s="149" t="s">
        <v>73</v>
      </c>
      <c r="E1486" s="149">
        <v>2</v>
      </c>
      <c r="F1486" s="150"/>
      <c r="G1486" s="150"/>
      <c r="H1486" s="150"/>
      <c r="I1486" s="151">
        <f t="shared" si="95"/>
        <v>2</v>
      </c>
      <c r="J1486" s="180"/>
    </row>
    <row r="1487" spans="1:10" s="181" customFormat="1">
      <c r="A1487" s="276"/>
      <c r="B1487" s="155" t="s">
        <v>564</v>
      </c>
      <c r="C1487" s="149"/>
      <c r="D1487" s="149"/>
      <c r="E1487" s="149"/>
      <c r="F1487" s="150"/>
      <c r="G1487" s="150"/>
      <c r="H1487" s="150"/>
      <c r="I1487" s="151">
        <f t="shared" si="95"/>
        <v>0</v>
      </c>
      <c r="J1487" s="180"/>
    </row>
    <row r="1488" spans="1:10" s="181" customFormat="1">
      <c r="A1488" s="276"/>
      <c r="B1488" s="148" t="s">
        <v>298</v>
      </c>
      <c r="C1488" s="149">
        <v>1</v>
      </c>
      <c r="D1488" s="149" t="s">
        <v>73</v>
      </c>
      <c r="E1488" s="149">
        <v>3</v>
      </c>
      <c r="F1488" s="150"/>
      <c r="G1488" s="150"/>
      <c r="H1488" s="150"/>
      <c r="I1488" s="151">
        <f t="shared" si="95"/>
        <v>3</v>
      </c>
      <c r="J1488" s="180"/>
    </row>
    <row r="1489" spans="1:10" s="181" customFormat="1">
      <c r="A1489" s="276"/>
      <c r="B1489" s="148" t="s">
        <v>460</v>
      </c>
      <c r="C1489" s="149">
        <v>1</v>
      </c>
      <c r="D1489" s="149" t="s">
        <v>73</v>
      </c>
      <c r="E1489" s="149">
        <v>4</v>
      </c>
      <c r="F1489" s="150"/>
      <c r="G1489" s="150"/>
      <c r="H1489" s="150"/>
      <c r="I1489" s="151">
        <f t="shared" si="95"/>
        <v>4</v>
      </c>
      <c r="J1489" s="180"/>
    </row>
    <row r="1490" spans="1:10" s="181" customFormat="1" ht="16.5" customHeight="1">
      <c r="B1490" s="148" t="s">
        <v>412</v>
      </c>
      <c r="C1490" s="149">
        <v>1</v>
      </c>
      <c r="D1490" s="149" t="s">
        <v>73</v>
      </c>
      <c r="E1490" s="149">
        <v>5</v>
      </c>
      <c r="F1490" s="150"/>
      <c r="G1490" s="150"/>
      <c r="H1490" s="150"/>
      <c r="I1490" s="151">
        <f t="shared" si="95"/>
        <v>5</v>
      </c>
      <c r="J1490" s="180"/>
    </row>
    <row r="1491" spans="1:10" s="181" customFormat="1">
      <c r="A1491" s="276"/>
      <c r="B1491" s="148" t="s">
        <v>182</v>
      </c>
      <c r="C1491" s="149">
        <v>1</v>
      </c>
      <c r="D1491" s="149" t="s">
        <v>73</v>
      </c>
      <c r="E1491" s="149">
        <v>2</v>
      </c>
      <c r="F1491" s="150"/>
      <c r="G1491" s="150"/>
      <c r="H1491" s="150"/>
      <c r="I1491" s="151">
        <f t="shared" si="95"/>
        <v>2</v>
      </c>
      <c r="J1491" s="180"/>
    </row>
    <row r="1492" spans="1:10" s="181" customFormat="1" ht="16.5" customHeight="1">
      <c r="A1492" s="276"/>
      <c r="B1492" s="148" t="s">
        <v>594</v>
      </c>
      <c r="C1492" s="149">
        <v>1</v>
      </c>
      <c r="D1492" s="149" t="s">
        <v>73</v>
      </c>
      <c r="E1492" s="149">
        <v>2</v>
      </c>
      <c r="F1492" s="150"/>
      <c r="G1492" s="150"/>
      <c r="H1492" s="150"/>
      <c r="I1492" s="151">
        <f t="shared" si="95"/>
        <v>2</v>
      </c>
      <c r="J1492" s="180"/>
    </row>
    <row r="1493" spans="1:10" s="181" customFormat="1" ht="16.5" customHeight="1">
      <c r="A1493" s="276"/>
      <c r="B1493" s="155" t="s">
        <v>566</v>
      </c>
      <c r="C1493" s="149"/>
      <c r="D1493" s="149"/>
      <c r="E1493" s="149"/>
      <c r="F1493" s="150"/>
      <c r="G1493" s="150"/>
      <c r="H1493" s="150"/>
      <c r="I1493" s="151">
        <f t="shared" si="95"/>
        <v>0</v>
      </c>
      <c r="J1493" s="180"/>
    </row>
    <row r="1494" spans="1:10" s="181" customFormat="1">
      <c r="A1494" s="276"/>
      <c r="B1494" s="148" t="s">
        <v>298</v>
      </c>
      <c r="C1494" s="149">
        <v>1</v>
      </c>
      <c r="D1494" s="149" t="s">
        <v>73</v>
      </c>
      <c r="E1494" s="149">
        <v>3</v>
      </c>
      <c r="F1494" s="150"/>
      <c r="G1494" s="150"/>
      <c r="H1494" s="150"/>
      <c r="I1494" s="151">
        <f t="shared" si="95"/>
        <v>3</v>
      </c>
      <c r="J1494" s="180"/>
    </row>
    <row r="1495" spans="1:10" s="181" customFormat="1">
      <c r="A1495" s="276"/>
      <c r="B1495" s="148" t="s">
        <v>460</v>
      </c>
      <c r="C1495" s="149">
        <v>1</v>
      </c>
      <c r="D1495" s="149" t="s">
        <v>73</v>
      </c>
      <c r="E1495" s="149">
        <v>4</v>
      </c>
      <c r="F1495" s="150"/>
      <c r="G1495" s="150"/>
      <c r="H1495" s="150"/>
      <c r="I1495" s="151">
        <f t="shared" si="95"/>
        <v>4</v>
      </c>
      <c r="J1495" s="180"/>
    </row>
    <row r="1496" spans="1:10" s="181" customFormat="1">
      <c r="A1496" s="276"/>
      <c r="B1496" s="148" t="s">
        <v>412</v>
      </c>
      <c r="C1496" s="149">
        <v>1</v>
      </c>
      <c r="D1496" s="149" t="s">
        <v>73</v>
      </c>
      <c r="E1496" s="149">
        <v>5</v>
      </c>
      <c r="F1496" s="150"/>
      <c r="G1496" s="150"/>
      <c r="H1496" s="150"/>
      <c r="I1496" s="151">
        <f t="shared" si="95"/>
        <v>5</v>
      </c>
      <c r="J1496" s="180"/>
    </row>
    <row r="1497" spans="1:10" s="181" customFormat="1">
      <c r="A1497" s="276"/>
      <c r="B1497" s="148" t="s">
        <v>182</v>
      </c>
      <c r="C1497" s="149">
        <v>1</v>
      </c>
      <c r="D1497" s="149" t="s">
        <v>73</v>
      </c>
      <c r="E1497" s="149">
        <v>4</v>
      </c>
      <c r="F1497" s="150"/>
      <c r="G1497" s="150"/>
      <c r="H1497" s="150"/>
      <c r="I1497" s="151">
        <f t="shared" si="95"/>
        <v>4</v>
      </c>
      <c r="J1497" s="180"/>
    </row>
    <row r="1498" spans="1:10" s="181" customFormat="1">
      <c r="A1498" s="276"/>
      <c r="B1498" s="148" t="s">
        <v>310</v>
      </c>
      <c r="C1498" s="149">
        <v>1</v>
      </c>
      <c r="D1498" s="149" t="s">
        <v>73</v>
      </c>
      <c r="E1498" s="149">
        <v>2</v>
      </c>
      <c r="F1498" s="150"/>
      <c r="G1498" s="150"/>
      <c r="H1498" s="150"/>
      <c r="I1498" s="151">
        <f t="shared" si="95"/>
        <v>2</v>
      </c>
      <c r="J1498" s="180"/>
    </row>
    <row r="1499" spans="1:10" s="181" customFormat="1">
      <c r="A1499" s="276"/>
      <c r="B1499" s="148" t="s">
        <v>594</v>
      </c>
      <c r="C1499" s="149">
        <v>1</v>
      </c>
      <c r="D1499" s="149" t="s">
        <v>73</v>
      </c>
      <c r="E1499" s="149">
        <v>2</v>
      </c>
      <c r="F1499" s="150"/>
      <c r="G1499" s="150"/>
      <c r="H1499" s="150"/>
      <c r="I1499" s="151">
        <f t="shared" si="95"/>
        <v>2</v>
      </c>
      <c r="J1499" s="180"/>
    </row>
    <row r="1500" spans="1:10" s="181" customFormat="1">
      <c r="A1500" s="276"/>
      <c r="B1500" s="155" t="s">
        <v>595</v>
      </c>
      <c r="C1500" s="220"/>
      <c r="D1500" s="220"/>
      <c r="E1500" s="220"/>
      <c r="F1500" s="158"/>
      <c r="G1500" s="158"/>
      <c r="H1500" s="158"/>
      <c r="I1500" s="159">
        <f t="shared" si="95"/>
        <v>0</v>
      </c>
      <c r="J1500" s="180"/>
    </row>
    <row r="1501" spans="1:10" s="181" customFormat="1">
      <c r="A1501" s="276"/>
      <c r="B1501" s="148" t="s">
        <v>183</v>
      </c>
      <c r="C1501" s="149">
        <v>2</v>
      </c>
      <c r="D1501" s="149" t="s">
        <v>73</v>
      </c>
      <c r="E1501" s="149">
        <v>3</v>
      </c>
      <c r="F1501" s="150"/>
      <c r="G1501" s="150"/>
      <c r="H1501" s="150"/>
      <c r="I1501" s="151">
        <f t="shared" si="95"/>
        <v>6</v>
      </c>
      <c r="J1501" s="180"/>
    </row>
    <row r="1502" spans="1:10" s="181" customFormat="1">
      <c r="A1502" s="276"/>
      <c r="B1502" s="148"/>
      <c r="C1502" s="149"/>
      <c r="D1502" s="149"/>
      <c r="E1502" s="149"/>
      <c r="F1502" s="150"/>
      <c r="G1502" s="150"/>
      <c r="H1502" s="150"/>
      <c r="I1502" s="159">
        <f>SUM(I1485:I1501)</f>
        <v>45</v>
      </c>
      <c r="J1502" s="180" t="s">
        <v>128</v>
      </c>
    </row>
    <row r="1503" spans="1:10" s="181" customFormat="1">
      <c r="A1503" s="276"/>
      <c r="B1503" s="148"/>
      <c r="C1503" s="149"/>
      <c r="D1503" s="149"/>
      <c r="E1503" s="149"/>
      <c r="F1503" s="150"/>
      <c r="G1503" s="150"/>
      <c r="H1503" s="150"/>
      <c r="I1503" s="159"/>
      <c r="J1503" s="180"/>
    </row>
    <row r="1504" spans="1:10" s="181" customFormat="1" ht="103.5" customHeight="1">
      <c r="A1504" s="276">
        <v>75.2</v>
      </c>
      <c r="B1504" s="208" t="s">
        <v>596</v>
      </c>
      <c r="C1504" s="149"/>
      <c r="D1504" s="149"/>
      <c r="E1504" s="149"/>
      <c r="F1504" s="150"/>
      <c r="G1504" s="150"/>
      <c r="H1504" s="150"/>
      <c r="I1504" s="151"/>
      <c r="J1504" s="180"/>
    </row>
    <row r="1505" spans="1:10" s="181" customFormat="1">
      <c r="A1505" s="276"/>
      <c r="B1505" s="178" t="s">
        <v>597</v>
      </c>
      <c r="C1505" s="149"/>
      <c r="D1505" s="149"/>
      <c r="E1505" s="149"/>
      <c r="F1505" s="150"/>
      <c r="G1505" s="150"/>
      <c r="H1505" s="150"/>
      <c r="I1505" s="151"/>
      <c r="J1505" s="180"/>
    </row>
    <row r="1506" spans="1:10" s="181" customFormat="1">
      <c r="A1506" s="276"/>
      <c r="B1506" s="155" t="s">
        <v>408</v>
      </c>
      <c r="C1506" s="149"/>
      <c r="D1506" s="149"/>
      <c r="E1506" s="149"/>
      <c r="F1506" s="150"/>
      <c r="G1506" s="150"/>
      <c r="H1506" s="150"/>
      <c r="I1506" s="159"/>
      <c r="J1506" s="180"/>
    </row>
    <row r="1507" spans="1:10" s="181" customFormat="1">
      <c r="A1507" s="276"/>
      <c r="B1507" s="148" t="s">
        <v>418</v>
      </c>
      <c r="C1507" s="149">
        <v>1</v>
      </c>
      <c r="D1507" s="149" t="s">
        <v>73</v>
      </c>
      <c r="E1507" s="149">
        <v>1</v>
      </c>
      <c r="F1507" s="150"/>
      <c r="G1507" s="150"/>
      <c r="H1507" s="150"/>
      <c r="I1507" s="151">
        <f t="shared" ref="I1507:I1527" si="96">ROUND(PRODUCT(C1507:H1507),2)</f>
        <v>1</v>
      </c>
      <c r="J1507" s="180"/>
    </row>
    <row r="1508" spans="1:10" s="221" customFormat="1">
      <c r="A1508" s="276"/>
      <c r="B1508" s="155" t="s">
        <v>190</v>
      </c>
      <c r="C1508" s="149"/>
      <c r="D1508" s="149"/>
      <c r="E1508" s="149"/>
      <c r="F1508" s="150"/>
      <c r="G1508" s="150"/>
      <c r="H1508" s="150"/>
      <c r="I1508" s="151">
        <f t="shared" si="96"/>
        <v>0</v>
      </c>
      <c r="J1508" s="180"/>
    </row>
    <row r="1509" spans="1:10" s="181" customFormat="1">
      <c r="A1509" s="276"/>
      <c r="B1509" s="148" t="s">
        <v>419</v>
      </c>
      <c r="C1509" s="149">
        <v>1</v>
      </c>
      <c r="D1509" s="149" t="s">
        <v>73</v>
      </c>
      <c r="E1509" s="149">
        <v>2</v>
      </c>
      <c r="F1509" s="150"/>
      <c r="G1509" s="150"/>
      <c r="H1509" s="150"/>
      <c r="I1509" s="151">
        <f t="shared" si="96"/>
        <v>2</v>
      </c>
      <c r="J1509" s="180"/>
    </row>
    <row r="1510" spans="1:10" s="181" customFormat="1">
      <c r="A1510" s="276"/>
      <c r="B1510" s="148" t="s">
        <v>420</v>
      </c>
      <c r="C1510" s="149">
        <v>1</v>
      </c>
      <c r="D1510" s="149" t="s">
        <v>73</v>
      </c>
      <c r="E1510" s="149">
        <v>1</v>
      </c>
      <c r="F1510" s="150"/>
      <c r="G1510" s="150"/>
      <c r="H1510" s="150"/>
      <c r="I1510" s="151">
        <f t="shared" si="96"/>
        <v>1</v>
      </c>
      <c r="J1510" s="180"/>
    </row>
    <row r="1511" spans="1:10" s="181" customFormat="1" ht="19.5" customHeight="1">
      <c r="B1511" s="148" t="s">
        <v>421</v>
      </c>
      <c r="C1511" s="149">
        <v>1</v>
      </c>
      <c r="D1511" s="149" t="s">
        <v>73</v>
      </c>
      <c r="E1511" s="149">
        <v>2</v>
      </c>
      <c r="F1511" s="150"/>
      <c r="G1511" s="150"/>
      <c r="H1511" s="150"/>
      <c r="I1511" s="151">
        <f t="shared" si="96"/>
        <v>2</v>
      </c>
      <c r="J1511" s="180"/>
    </row>
    <row r="1512" spans="1:10" s="181" customFormat="1" ht="18.75" customHeight="1">
      <c r="A1512" s="276"/>
      <c r="B1512" s="148" t="s">
        <v>184</v>
      </c>
      <c r="C1512" s="149">
        <v>1</v>
      </c>
      <c r="D1512" s="149" t="s">
        <v>73</v>
      </c>
      <c r="E1512" s="149">
        <v>1</v>
      </c>
      <c r="F1512" s="150"/>
      <c r="G1512" s="150"/>
      <c r="H1512" s="150"/>
      <c r="I1512" s="151">
        <f t="shared" si="96"/>
        <v>1</v>
      </c>
      <c r="J1512" s="180"/>
    </row>
    <row r="1513" spans="1:10" s="181" customFormat="1">
      <c r="A1513" s="249"/>
      <c r="B1513" s="148" t="s">
        <v>191</v>
      </c>
      <c r="C1513" s="149">
        <v>1</v>
      </c>
      <c r="D1513" s="149" t="s">
        <v>73</v>
      </c>
      <c r="E1513" s="149">
        <v>1</v>
      </c>
      <c r="F1513" s="150"/>
      <c r="G1513" s="150"/>
      <c r="H1513" s="150"/>
      <c r="I1513" s="151">
        <f t="shared" si="96"/>
        <v>1</v>
      </c>
      <c r="J1513" s="180"/>
    </row>
    <row r="1514" spans="1:10" s="181" customFormat="1">
      <c r="A1514" s="276"/>
      <c r="B1514" s="148" t="s">
        <v>422</v>
      </c>
      <c r="C1514" s="149">
        <v>1</v>
      </c>
      <c r="D1514" s="149" t="s">
        <v>73</v>
      </c>
      <c r="E1514" s="149">
        <v>2</v>
      </c>
      <c r="F1514" s="150"/>
      <c r="G1514" s="150"/>
      <c r="H1514" s="150"/>
      <c r="I1514" s="151">
        <f t="shared" si="96"/>
        <v>2</v>
      </c>
      <c r="J1514" s="180"/>
    </row>
    <row r="1515" spans="1:10" s="181" customFormat="1">
      <c r="A1515" s="276"/>
      <c r="B1515" s="148" t="s">
        <v>423</v>
      </c>
      <c r="C1515" s="149">
        <v>1</v>
      </c>
      <c r="D1515" s="149" t="s">
        <v>73</v>
      </c>
      <c r="E1515" s="149">
        <v>2</v>
      </c>
      <c r="F1515" s="150"/>
      <c r="G1515" s="150"/>
      <c r="H1515" s="150"/>
      <c r="I1515" s="151">
        <f t="shared" si="96"/>
        <v>2</v>
      </c>
      <c r="J1515" s="180"/>
    </row>
    <row r="1516" spans="1:10" s="181" customFormat="1">
      <c r="A1516" s="276"/>
      <c r="B1516" s="148" t="s">
        <v>122</v>
      </c>
      <c r="C1516" s="149">
        <v>1</v>
      </c>
      <c r="D1516" s="149" t="s">
        <v>73</v>
      </c>
      <c r="E1516" s="149">
        <v>2</v>
      </c>
      <c r="F1516" s="150"/>
      <c r="G1516" s="150"/>
      <c r="H1516" s="150"/>
      <c r="I1516" s="151">
        <f t="shared" si="96"/>
        <v>2</v>
      </c>
      <c r="J1516" s="180"/>
    </row>
    <row r="1517" spans="1:10" s="181" customFormat="1">
      <c r="A1517" s="276"/>
      <c r="B1517" s="155" t="s">
        <v>189</v>
      </c>
      <c r="C1517" s="149"/>
      <c r="D1517" s="149"/>
      <c r="E1517" s="149"/>
      <c r="F1517" s="150"/>
      <c r="G1517" s="150"/>
      <c r="H1517" s="150"/>
      <c r="I1517" s="151">
        <f t="shared" si="96"/>
        <v>0</v>
      </c>
      <c r="J1517" s="180"/>
    </row>
    <row r="1518" spans="1:10" s="181" customFormat="1">
      <c r="A1518" s="276"/>
      <c r="B1518" s="148" t="s">
        <v>419</v>
      </c>
      <c r="C1518" s="149">
        <v>1</v>
      </c>
      <c r="D1518" s="149" t="s">
        <v>73</v>
      </c>
      <c r="E1518" s="149">
        <v>2</v>
      </c>
      <c r="F1518" s="150"/>
      <c r="G1518" s="150"/>
      <c r="H1518" s="150"/>
      <c r="I1518" s="151">
        <f t="shared" si="96"/>
        <v>2</v>
      </c>
      <c r="J1518" s="180"/>
    </row>
    <row r="1519" spans="1:10" s="181" customFormat="1">
      <c r="A1519" s="276"/>
      <c r="B1519" s="148" t="s">
        <v>426</v>
      </c>
      <c r="C1519" s="149">
        <v>1</v>
      </c>
      <c r="D1519" s="149" t="s">
        <v>73</v>
      </c>
      <c r="E1519" s="149">
        <v>1</v>
      </c>
      <c r="F1519" s="150"/>
      <c r="G1519" s="150"/>
      <c r="H1519" s="150"/>
      <c r="I1519" s="151">
        <f t="shared" si="96"/>
        <v>1</v>
      </c>
      <c r="J1519" s="180"/>
    </row>
    <row r="1520" spans="1:10" s="181" customFormat="1">
      <c r="A1520" s="276"/>
      <c r="B1520" s="148" t="s">
        <v>421</v>
      </c>
      <c r="C1520" s="149">
        <v>1</v>
      </c>
      <c r="D1520" s="149" t="s">
        <v>73</v>
      </c>
      <c r="E1520" s="149">
        <v>2</v>
      </c>
      <c r="F1520" s="150"/>
      <c r="G1520" s="150"/>
      <c r="H1520" s="150"/>
      <c r="I1520" s="151">
        <f t="shared" si="96"/>
        <v>2</v>
      </c>
      <c r="J1520" s="180"/>
    </row>
    <row r="1521" spans="1:10" s="181" customFormat="1">
      <c r="A1521" s="276"/>
      <c r="B1521" s="148" t="s">
        <v>192</v>
      </c>
      <c r="C1521" s="149">
        <v>1</v>
      </c>
      <c r="D1521" s="149" t="s">
        <v>73</v>
      </c>
      <c r="E1521" s="149">
        <v>1</v>
      </c>
      <c r="F1521" s="150"/>
      <c r="G1521" s="150"/>
      <c r="H1521" s="150"/>
      <c r="I1521" s="151">
        <f t="shared" si="96"/>
        <v>1</v>
      </c>
      <c r="J1521" s="180"/>
    </row>
    <row r="1522" spans="1:10" s="181" customFormat="1">
      <c r="A1522" s="276"/>
      <c r="B1522" s="148" t="s">
        <v>184</v>
      </c>
      <c r="C1522" s="149">
        <v>1</v>
      </c>
      <c r="D1522" s="149" t="s">
        <v>73</v>
      </c>
      <c r="E1522" s="149">
        <v>1</v>
      </c>
      <c r="F1522" s="150"/>
      <c r="G1522" s="150"/>
      <c r="H1522" s="150"/>
      <c r="I1522" s="151">
        <f t="shared" si="96"/>
        <v>1</v>
      </c>
      <c r="J1522" s="180"/>
    </row>
    <row r="1523" spans="1:10" s="181" customFormat="1">
      <c r="A1523" s="276"/>
      <c r="B1523" s="148" t="s">
        <v>422</v>
      </c>
      <c r="C1523" s="149">
        <v>1</v>
      </c>
      <c r="D1523" s="149" t="s">
        <v>73</v>
      </c>
      <c r="E1523" s="149">
        <v>2</v>
      </c>
      <c r="F1523" s="150"/>
      <c r="G1523" s="150"/>
      <c r="H1523" s="150"/>
      <c r="I1523" s="151">
        <f t="shared" si="96"/>
        <v>2</v>
      </c>
      <c r="J1523" s="180"/>
    </row>
    <row r="1524" spans="1:10" s="181" customFormat="1">
      <c r="A1524" s="276"/>
      <c r="B1524" s="148" t="s">
        <v>191</v>
      </c>
      <c r="C1524" s="149">
        <v>1</v>
      </c>
      <c r="D1524" s="149" t="s">
        <v>73</v>
      </c>
      <c r="E1524" s="149">
        <v>1</v>
      </c>
      <c r="F1524" s="150"/>
      <c r="G1524" s="150"/>
      <c r="H1524" s="150"/>
      <c r="I1524" s="151">
        <f t="shared" si="96"/>
        <v>1</v>
      </c>
      <c r="J1524" s="180"/>
    </row>
    <row r="1525" spans="1:10" s="181" customFormat="1">
      <c r="A1525" s="276"/>
      <c r="B1525" s="148" t="s">
        <v>122</v>
      </c>
      <c r="C1525" s="149">
        <v>1</v>
      </c>
      <c r="D1525" s="149" t="s">
        <v>73</v>
      </c>
      <c r="E1525" s="149">
        <v>2</v>
      </c>
      <c r="F1525" s="150"/>
      <c r="G1525" s="150"/>
      <c r="H1525" s="150"/>
      <c r="I1525" s="151">
        <f t="shared" si="96"/>
        <v>2</v>
      </c>
      <c r="J1525" s="180"/>
    </row>
    <row r="1526" spans="1:10" s="181" customFormat="1">
      <c r="A1526" s="276"/>
      <c r="B1526" s="155" t="s">
        <v>173</v>
      </c>
      <c r="C1526" s="149"/>
      <c r="D1526" s="149"/>
      <c r="E1526" s="149"/>
      <c r="F1526" s="150"/>
      <c r="G1526" s="150"/>
      <c r="H1526" s="150"/>
      <c r="I1526" s="151">
        <f t="shared" si="96"/>
        <v>0</v>
      </c>
      <c r="J1526" s="180"/>
    </row>
    <row r="1527" spans="1:10" s="181" customFormat="1">
      <c r="A1527" s="276"/>
      <c r="B1527" s="148" t="s">
        <v>424</v>
      </c>
      <c r="C1527" s="149">
        <v>1</v>
      </c>
      <c r="D1527" s="149" t="s">
        <v>73</v>
      </c>
      <c r="E1527" s="149">
        <v>4</v>
      </c>
      <c r="F1527" s="150"/>
      <c r="G1527" s="150"/>
      <c r="H1527" s="150"/>
      <c r="I1527" s="151">
        <f t="shared" si="96"/>
        <v>4</v>
      </c>
      <c r="J1527" s="180"/>
    </row>
    <row r="1528" spans="1:10" s="181" customFormat="1">
      <c r="A1528" s="276"/>
      <c r="B1528" s="157" t="s">
        <v>11</v>
      </c>
      <c r="C1528" s="149"/>
      <c r="D1528" s="149"/>
      <c r="E1528" s="149"/>
      <c r="F1528" s="150"/>
      <c r="G1528" s="150"/>
      <c r="H1528" s="150"/>
      <c r="I1528" s="159">
        <f>SUM(I1506:I1527)</f>
        <v>30</v>
      </c>
      <c r="J1528" s="180" t="s">
        <v>128</v>
      </c>
    </row>
    <row r="1529" spans="1:10" s="181" customFormat="1">
      <c r="A1529" s="276"/>
      <c r="B1529" s="157"/>
      <c r="C1529" s="149"/>
      <c r="D1529" s="149"/>
      <c r="E1529" s="149"/>
      <c r="F1529" s="150"/>
      <c r="G1529" s="150"/>
      <c r="H1529" s="150"/>
      <c r="I1529" s="159"/>
      <c r="J1529" s="180"/>
    </row>
    <row r="1530" spans="1:10" s="181" customFormat="1" ht="75">
      <c r="A1530" s="152">
        <v>77.7</v>
      </c>
      <c r="B1530" s="171" t="s">
        <v>604</v>
      </c>
      <c r="C1530" s="162"/>
      <c r="D1530" s="148"/>
      <c r="E1530" s="162"/>
      <c r="F1530" s="150"/>
      <c r="G1530" s="150"/>
      <c r="H1530" s="150"/>
      <c r="I1530" s="205"/>
      <c r="J1530" s="180"/>
    </row>
    <row r="1531" spans="1:10" s="181" customFormat="1">
      <c r="A1531" s="276"/>
      <c r="B1531" s="148" t="s">
        <v>598</v>
      </c>
      <c r="C1531" s="162">
        <v>1</v>
      </c>
      <c r="D1531" s="148" t="s">
        <v>73</v>
      </c>
      <c r="E1531" s="162">
        <v>4</v>
      </c>
      <c r="F1531" s="150">
        <v>15</v>
      </c>
      <c r="G1531" s="150"/>
      <c r="H1531" s="150"/>
      <c r="I1531" s="151">
        <f t="shared" ref="I1531:I1539" si="97">ROUND(PRODUCT(C1531:H1531),2)</f>
        <v>60</v>
      </c>
      <c r="J1531" s="180"/>
    </row>
    <row r="1532" spans="1:10" s="181" customFormat="1">
      <c r="A1532" s="276"/>
      <c r="B1532" s="148" t="s">
        <v>599</v>
      </c>
      <c r="C1532" s="162">
        <v>1</v>
      </c>
      <c r="D1532" s="148" t="s">
        <v>73</v>
      </c>
      <c r="E1532" s="162">
        <v>1</v>
      </c>
      <c r="F1532" s="150">
        <v>25</v>
      </c>
      <c r="G1532" s="150"/>
      <c r="H1532" s="150"/>
      <c r="I1532" s="151">
        <f t="shared" si="97"/>
        <v>25</v>
      </c>
      <c r="J1532" s="180"/>
    </row>
    <row r="1533" spans="1:10" s="181" customFormat="1">
      <c r="A1533" s="276"/>
      <c r="B1533" s="148" t="s">
        <v>600</v>
      </c>
      <c r="C1533" s="162">
        <v>1</v>
      </c>
      <c r="D1533" s="148" t="s">
        <v>73</v>
      </c>
      <c r="E1533" s="162">
        <v>1</v>
      </c>
      <c r="F1533" s="150">
        <v>15</v>
      </c>
      <c r="G1533" s="150"/>
      <c r="H1533" s="150"/>
      <c r="I1533" s="151">
        <f t="shared" si="97"/>
        <v>15</v>
      </c>
      <c r="J1533" s="180"/>
    </row>
    <row r="1534" spans="1:10" s="181" customFormat="1">
      <c r="A1534" s="276"/>
      <c r="B1534" s="148" t="s">
        <v>555</v>
      </c>
      <c r="C1534" s="162">
        <v>1</v>
      </c>
      <c r="D1534" s="148" t="s">
        <v>73</v>
      </c>
      <c r="E1534" s="162">
        <v>1</v>
      </c>
      <c r="F1534" s="150">
        <v>5</v>
      </c>
      <c r="G1534" s="150"/>
      <c r="H1534" s="150"/>
      <c r="I1534" s="151">
        <f t="shared" si="97"/>
        <v>5</v>
      </c>
      <c r="J1534" s="180"/>
    </row>
    <row r="1535" spans="1:10" s="181" customFormat="1">
      <c r="A1535" s="276"/>
      <c r="B1535" s="148" t="s">
        <v>601</v>
      </c>
      <c r="C1535" s="162">
        <v>1</v>
      </c>
      <c r="D1535" s="148" t="s">
        <v>73</v>
      </c>
      <c r="E1535" s="162">
        <v>1</v>
      </c>
      <c r="F1535" s="150">
        <v>10</v>
      </c>
      <c r="G1535" s="150"/>
      <c r="H1535" s="150"/>
      <c r="I1535" s="151">
        <f t="shared" si="97"/>
        <v>10</v>
      </c>
      <c r="J1535" s="180"/>
    </row>
    <row r="1536" spans="1:10" s="154" customFormat="1">
      <c r="A1536" s="276"/>
      <c r="B1536" s="148" t="s">
        <v>602</v>
      </c>
      <c r="C1536" s="162">
        <v>1</v>
      </c>
      <c r="D1536" s="148" t="s">
        <v>73</v>
      </c>
      <c r="E1536" s="162">
        <v>1</v>
      </c>
      <c r="F1536" s="150">
        <v>20</v>
      </c>
      <c r="G1536" s="150"/>
      <c r="H1536" s="150"/>
      <c r="I1536" s="151">
        <f t="shared" si="97"/>
        <v>20</v>
      </c>
      <c r="J1536" s="180"/>
    </row>
    <row r="1537" spans="1:10" s="154" customFormat="1">
      <c r="A1537" s="276"/>
      <c r="B1537" s="148" t="s">
        <v>555</v>
      </c>
      <c r="C1537" s="162">
        <v>1</v>
      </c>
      <c r="D1537" s="148" t="s">
        <v>73</v>
      </c>
      <c r="E1537" s="162">
        <v>1</v>
      </c>
      <c r="F1537" s="150">
        <v>7</v>
      </c>
      <c r="G1537" s="150"/>
      <c r="H1537" s="150"/>
      <c r="I1537" s="151">
        <f t="shared" si="97"/>
        <v>7</v>
      </c>
      <c r="J1537" s="180"/>
    </row>
    <row r="1538" spans="1:10" s="154" customFormat="1">
      <c r="A1538" s="276"/>
      <c r="B1538" s="148" t="s">
        <v>601</v>
      </c>
      <c r="C1538" s="162">
        <v>1</v>
      </c>
      <c r="D1538" s="148" t="s">
        <v>73</v>
      </c>
      <c r="E1538" s="162">
        <v>1</v>
      </c>
      <c r="F1538" s="150">
        <v>20</v>
      </c>
      <c r="G1538" s="150"/>
      <c r="H1538" s="150"/>
      <c r="I1538" s="151">
        <f t="shared" si="97"/>
        <v>20</v>
      </c>
      <c r="J1538" s="180"/>
    </row>
    <row r="1539" spans="1:10" s="154" customFormat="1">
      <c r="A1539" s="276"/>
      <c r="B1539" s="148" t="s">
        <v>603</v>
      </c>
      <c r="C1539" s="162">
        <v>1</v>
      </c>
      <c r="D1539" s="148" t="s">
        <v>73</v>
      </c>
      <c r="E1539" s="162">
        <v>1</v>
      </c>
      <c r="F1539" s="150">
        <v>15</v>
      </c>
      <c r="G1539" s="150"/>
      <c r="H1539" s="150"/>
      <c r="I1539" s="151">
        <f t="shared" si="97"/>
        <v>15</v>
      </c>
      <c r="J1539" s="180"/>
    </row>
    <row r="1540" spans="1:10" s="154" customFormat="1">
      <c r="A1540" s="276"/>
      <c r="B1540" s="155" t="s">
        <v>605</v>
      </c>
      <c r="C1540" s="162"/>
      <c r="D1540" s="148"/>
      <c r="E1540" s="162"/>
      <c r="F1540" s="150"/>
      <c r="G1540" s="150"/>
      <c r="H1540" s="150"/>
      <c r="I1540" s="243"/>
      <c r="J1540" s="180"/>
    </row>
    <row r="1541" spans="1:10" s="154" customFormat="1">
      <c r="A1541" s="276"/>
      <c r="B1541" s="148" t="s">
        <v>606</v>
      </c>
      <c r="C1541" s="162">
        <v>1</v>
      </c>
      <c r="D1541" s="148" t="s">
        <v>73</v>
      </c>
      <c r="E1541" s="162">
        <v>1</v>
      </c>
      <c r="F1541" s="150">
        <v>30</v>
      </c>
      <c r="G1541" s="150"/>
      <c r="H1541" s="150"/>
      <c r="I1541" s="151">
        <f t="shared" ref="I1541:I1546" si="98">ROUND(PRODUCT(C1541:H1541),2)</f>
        <v>30</v>
      </c>
      <c r="J1541" s="180"/>
    </row>
    <row r="1542" spans="1:10" s="154" customFormat="1">
      <c r="A1542" s="276"/>
      <c r="B1542" s="148" t="s">
        <v>607</v>
      </c>
      <c r="C1542" s="162">
        <v>1</v>
      </c>
      <c r="D1542" s="148" t="s">
        <v>73</v>
      </c>
      <c r="E1542" s="162">
        <v>1</v>
      </c>
      <c r="F1542" s="150">
        <v>90</v>
      </c>
      <c r="G1542" s="150"/>
      <c r="H1542" s="150"/>
      <c r="I1542" s="151">
        <f t="shared" si="98"/>
        <v>90</v>
      </c>
      <c r="J1542" s="180"/>
    </row>
    <row r="1543" spans="1:10" s="154" customFormat="1">
      <c r="A1543" s="276"/>
      <c r="B1543" s="148" t="s">
        <v>608</v>
      </c>
      <c r="C1543" s="162">
        <v>1</v>
      </c>
      <c r="D1543" s="148" t="s">
        <v>73</v>
      </c>
      <c r="E1543" s="162">
        <v>1</v>
      </c>
      <c r="F1543" s="150">
        <v>90</v>
      </c>
      <c r="G1543" s="150"/>
      <c r="H1543" s="150"/>
      <c r="I1543" s="151">
        <f t="shared" si="98"/>
        <v>90</v>
      </c>
      <c r="J1543" s="180"/>
    </row>
    <row r="1544" spans="1:10" s="154" customFormat="1">
      <c r="A1544" s="276"/>
      <c r="B1544" s="148" t="s">
        <v>609</v>
      </c>
      <c r="C1544" s="162">
        <v>1</v>
      </c>
      <c r="D1544" s="148" t="s">
        <v>73</v>
      </c>
      <c r="E1544" s="162">
        <v>1</v>
      </c>
      <c r="F1544" s="150">
        <v>45</v>
      </c>
      <c r="G1544" s="150"/>
      <c r="H1544" s="150"/>
      <c r="I1544" s="151">
        <f t="shared" si="98"/>
        <v>45</v>
      </c>
      <c r="J1544" s="180"/>
    </row>
    <row r="1545" spans="1:10" s="154" customFormat="1">
      <c r="A1545" s="276"/>
      <c r="B1545" s="148" t="s">
        <v>610</v>
      </c>
      <c r="C1545" s="162">
        <v>1</v>
      </c>
      <c r="D1545" s="148" t="s">
        <v>73</v>
      </c>
      <c r="E1545" s="162">
        <v>1</v>
      </c>
      <c r="F1545" s="150">
        <v>40</v>
      </c>
      <c r="G1545" s="150"/>
      <c r="H1545" s="150"/>
      <c r="I1545" s="151">
        <f t="shared" si="98"/>
        <v>40</v>
      </c>
      <c r="J1545" s="180"/>
    </row>
    <row r="1546" spans="1:10" s="154" customFormat="1">
      <c r="A1546" s="276"/>
      <c r="B1546" s="148" t="s">
        <v>611</v>
      </c>
      <c r="C1546" s="162">
        <v>1</v>
      </c>
      <c r="D1546" s="148" t="s">
        <v>73</v>
      </c>
      <c r="E1546" s="162">
        <v>3</v>
      </c>
      <c r="F1546" s="150">
        <v>30</v>
      </c>
      <c r="G1546" s="150"/>
      <c r="H1546" s="150"/>
      <c r="I1546" s="151">
        <f t="shared" si="98"/>
        <v>90</v>
      </c>
      <c r="J1546" s="180"/>
    </row>
    <row r="1547" spans="1:10" s="154" customFormat="1">
      <c r="A1547" s="276"/>
      <c r="B1547" s="148"/>
      <c r="C1547" s="162"/>
      <c r="D1547" s="148"/>
      <c r="E1547" s="162"/>
      <c r="F1547" s="150"/>
      <c r="G1547" s="150"/>
      <c r="H1547" s="150"/>
      <c r="I1547" s="242">
        <f>SUM(I1531:I1546)</f>
        <v>562</v>
      </c>
      <c r="J1547" s="180" t="s">
        <v>76</v>
      </c>
    </row>
    <row r="1548" spans="1:10" s="154" customFormat="1">
      <c r="A1548" s="276"/>
      <c r="B1548" s="148"/>
      <c r="C1548" s="162"/>
      <c r="D1548" s="148"/>
      <c r="E1548" s="162"/>
      <c r="F1548" s="150"/>
      <c r="G1548" s="150"/>
      <c r="H1548" s="150"/>
      <c r="I1548" s="242"/>
      <c r="J1548" s="180"/>
    </row>
    <row r="1549" spans="1:10" s="154" customFormat="1" ht="75">
      <c r="A1549" s="276">
        <v>80.2</v>
      </c>
      <c r="B1549" s="148" t="s">
        <v>612</v>
      </c>
      <c r="C1549" s="149"/>
      <c r="D1549" s="149"/>
      <c r="E1549" s="149"/>
      <c r="F1549" s="150"/>
      <c r="G1549" s="150"/>
      <c r="H1549" s="150"/>
      <c r="I1549" s="151"/>
      <c r="J1549" s="180"/>
    </row>
    <row r="1550" spans="1:10" s="154" customFormat="1">
      <c r="A1550" s="276"/>
      <c r="B1550" s="148" t="s">
        <v>613</v>
      </c>
      <c r="C1550" s="149">
        <v>1</v>
      </c>
      <c r="D1550" s="149" t="s">
        <v>73</v>
      </c>
      <c r="E1550" s="149">
        <v>1</v>
      </c>
      <c r="F1550" s="150"/>
      <c r="G1550" s="150"/>
      <c r="H1550" s="150"/>
      <c r="I1550" s="159">
        <f>PRODUCT(C1550:H1550)</f>
        <v>1</v>
      </c>
      <c r="J1550" s="180" t="s">
        <v>128</v>
      </c>
    </row>
    <row r="1551" spans="1:10" s="154" customFormat="1">
      <c r="A1551" s="276"/>
      <c r="B1551" s="148"/>
      <c r="C1551" s="149"/>
      <c r="D1551" s="149"/>
      <c r="E1551" s="149"/>
      <c r="F1551" s="150"/>
      <c r="G1551" s="150"/>
      <c r="H1551" s="150"/>
      <c r="I1551" s="159"/>
      <c r="J1551" s="180"/>
    </row>
    <row r="1552" spans="1:10" s="154" customFormat="1" ht="37.5">
      <c r="A1552" s="276">
        <v>82.3</v>
      </c>
      <c r="B1552" s="387" t="s">
        <v>1583</v>
      </c>
      <c r="C1552" s="149"/>
      <c r="D1552" s="149"/>
      <c r="E1552" s="149"/>
      <c r="F1552" s="150"/>
      <c r="G1552" s="150"/>
      <c r="H1552" s="150"/>
      <c r="I1552" s="159"/>
      <c r="J1552" s="180"/>
    </row>
    <row r="1553" spans="1:10" s="154" customFormat="1">
      <c r="A1553" s="276"/>
      <c r="B1553" s="148" t="s">
        <v>1584</v>
      </c>
      <c r="C1553" s="149">
        <v>1</v>
      </c>
      <c r="D1553" s="149" t="s">
        <v>73</v>
      </c>
      <c r="E1553" s="149">
        <v>1</v>
      </c>
      <c r="F1553" s="150">
        <v>8</v>
      </c>
      <c r="G1553" s="150"/>
      <c r="H1553" s="150"/>
      <c r="I1553" s="159">
        <f>PRODUCT(C1553:H1553)</f>
        <v>8</v>
      </c>
      <c r="J1553" s="180" t="s">
        <v>128</v>
      </c>
    </row>
    <row r="1554" spans="1:10" s="154" customFormat="1">
      <c r="A1554" s="276"/>
      <c r="B1554" s="148"/>
      <c r="C1554" s="149"/>
      <c r="D1554" s="149"/>
      <c r="E1554" s="149"/>
      <c r="F1554" s="150"/>
      <c r="G1554" s="150"/>
      <c r="H1554" s="150"/>
      <c r="I1554" s="159"/>
      <c r="J1554" s="180"/>
    </row>
    <row r="1555" spans="1:10" s="154" customFormat="1" ht="37.5">
      <c r="A1555" s="276">
        <v>84.3</v>
      </c>
      <c r="B1555" s="176" t="s">
        <v>614</v>
      </c>
      <c r="C1555" s="149"/>
      <c r="D1555" s="149"/>
      <c r="E1555" s="149"/>
      <c r="F1555" s="150"/>
      <c r="G1555" s="150"/>
      <c r="H1555" s="150"/>
      <c r="I1555" s="151"/>
      <c r="J1555" s="180"/>
    </row>
    <row r="1556" spans="1:10" s="154" customFormat="1">
      <c r="A1556" s="276"/>
      <c r="B1556" s="148" t="s">
        <v>615</v>
      </c>
      <c r="C1556" s="149">
        <v>1</v>
      </c>
      <c r="D1556" s="149" t="s">
        <v>73</v>
      </c>
      <c r="E1556" s="149">
        <v>2</v>
      </c>
      <c r="F1556" s="150">
        <v>35</v>
      </c>
      <c r="G1556" s="150"/>
      <c r="H1556" s="150"/>
      <c r="I1556" s="151">
        <f>ROUND(PRODUCT(C1556:H1556),2)</f>
        <v>70</v>
      </c>
      <c r="J1556" s="180"/>
    </row>
    <row r="1557" spans="1:10" s="154" customFormat="1">
      <c r="A1557" s="276"/>
      <c r="B1557" s="148" t="s">
        <v>616</v>
      </c>
      <c r="C1557" s="149"/>
      <c r="D1557" s="149"/>
      <c r="E1557" s="149"/>
      <c r="F1557" s="150"/>
      <c r="G1557" s="150"/>
      <c r="H1557" s="150"/>
      <c r="I1557" s="151"/>
      <c r="J1557" s="180"/>
    </row>
    <row r="1558" spans="1:10" s="154" customFormat="1">
      <c r="A1558" s="276"/>
      <c r="B1558" s="148" t="s">
        <v>617</v>
      </c>
      <c r="C1558" s="149">
        <v>1</v>
      </c>
      <c r="D1558" s="149" t="s">
        <v>73</v>
      </c>
      <c r="E1558" s="149">
        <v>1</v>
      </c>
      <c r="F1558" s="150">
        <v>30</v>
      </c>
      <c r="G1558" s="150"/>
      <c r="H1558" s="150"/>
      <c r="I1558" s="151">
        <f>ROUND(PRODUCT(C1558:H1558),2)</f>
        <v>30</v>
      </c>
      <c r="J1558" s="180"/>
    </row>
    <row r="1559" spans="1:10" s="154" customFormat="1">
      <c r="A1559" s="276"/>
      <c r="B1559" s="148" t="s">
        <v>618</v>
      </c>
      <c r="C1559" s="149">
        <v>1</v>
      </c>
      <c r="D1559" s="149" t="s">
        <v>73</v>
      </c>
      <c r="E1559" s="149">
        <v>1</v>
      </c>
      <c r="F1559" s="150">
        <v>30</v>
      </c>
      <c r="G1559" s="150"/>
      <c r="H1559" s="150"/>
      <c r="I1559" s="151">
        <f>ROUND(PRODUCT(C1559:H1559),2)</f>
        <v>30</v>
      </c>
      <c r="J1559" s="349"/>
    </row>
    <row r="1560" spans="1:10" s="181" customFormat="1">
      <c r="B1560" s="155"/>
      <c r="C1560" s="220"/>
      <c r="D1560" s="220"/>
      <c r="E1560" s="220"/>
      <c r="F1560" s="158"/>
      <c r="G1560" s="158"/>
      <c r="H1560" s="158"/>
      <c r="I1560" s="159">
        <f>SUM(I1556:I1559)</f>
        <v>130</v>
      </c>
      <c r="J1560" s="213" t="s">
        <v>76</v>
      </c>
    </row>
    <row r="1561" spans="1:10" s="181" customFormat="1">
      <c r="B1561" s="155"/>
      <c r="C1561" s="220"/>
      <c r="D1561" s="220"/>
      <c r="E1561" s="220"/>
      <c r="F1561" s="158"/>
      <c r="G1561" s="158"/>
      <c r="H1561" s="158"/>
      <c r="I1561" s="159"/>
      <c r="J1561" s="213"/>
    </row>
    <row r="1562" spans="1:10" s="181" customFormat="1" ht="42.75" customHeight="1">
      <c r="A1562" s="276">
        <v>85.1</v>
      </c>
      <c r="B1562" s="155" t="s">
        <v>619</v>
      </c>
      <c r="C1562" s="149"/>
      <c r="D1562" s="149"/>
      <c r="E1562" s="149"/>
      <c r="F1562" s="150"/>
      <c r="G1562" s="150"/>
      <c r="H1562" s="150"/>
      <c r="I1562" s="151"/>
      <c r="J1562" s="180"/>
    </row>
    <row r="1563" spans="1:10" s="181" customFormat="1" ht="39" customHeight="1">
      <c r="B1563" s="148" t="s">
        <v>620</v>
      </c>
      <c r="C1563" s="149">
        <v>1</v>
      </c>
      <c r="D1563" s="149" t="s">
        <v>73</v>
      </c>
      <c r="E1563" s="149">
        <v>1</v>
      </c>
      <c r="F1563" s="150">
        <v>10</v>
      </c>
      <c r="G1563" s="150"/>
      <c r="H1563" s="150"/>
      <c r="I1563" s="159">
        <f>PRODUCT(C1563:H1563)</f>
        <v>10</v>
      </c>
      <c r="J1563" s="212" t="s">
        <v>128</v>
      </c>
    </row>
    <row r="1564" spans="1:10" s="181" customFormat="1" ht="18" customHeight="1">
      <c r="B1564" s="148"/>
      <c r="C1564" s="149"/>
      <c r="D1564" s="149"/>
      <c r="E1564" s="149"/>
      <c r="F1564" s="150"/>
      <c r="G1564" s="150"/>
      <c r="H1564" s="150"/>
      <c r="I1564" s="159"/>
      <c r="J1564" s="212"/>
    </row>
    <row r="1565" spans="1:10" s="181" customFormat="1" ht="56.25">
      <c r="A1565" s="276">
        <v>93.1</v>
      </c>
      <c r="B1565" s="155" t="s">
        <v>334</v>
      </c>
      <c r="C1565" s="149"/>
      <c r="D1565" s="149"/>
      <c r="E1565" s="149"/>
      <c r="F1565" s="150"/>
      <c r="G1565" s="150"/>
      <c r="H1565" s="158"/>
      <c r="I1565" s="160"/>
      <c r="J1565" s="180"/>
    </row>
    <row r="1566" spans="1:10" s="181" customFormat="1">
      <c r="A1566" s="276"/>
      <c r="B1566" s="148" t="s">
        <v>335</v>
      </c>
      <c r="C1566" s="149">
        <v>1</v>
      </c>
      <c r="D1566" s="149" t="s">
        <v>73</v>
      </c>
      <c r="E1566" s="149">
        <v>2</v>
      </c>
      <c r="F1566" s="150">
        <f>2*(1.15+1.26)</f>
        <v>4.82</v>
      </c>
      <c r="G1566" s="150"/>
      <c r="H1566" s="150">
        <v>1.2</v>
      </c>
      <c r="I1566" s="151">
        <f>ROUND(PRODUCT(C1566:H1566),2)</f>
        <v>11.57</v>
      </c>
      <c r="J1566" s="180"/>
    </row>
    <row r="1567" spans="1:10" s="181" customFormat="1">
      <c r="A1567" s="276"/>
      <c r="B1567" s="148" t="s">
        <v>336</v>
      </c>
      <c r="C1567" s="149">
        <v>1</v>
      </c>
      <c r="D1567" s="149" t="s">
        <v>73</v>
      </c>
      <c r="E1567" s="149">
        <v>2</v>
      </c>
      <c r="F1567" s="150">
        <v>1.26</v>
      </c>
      <c r="G1567" s="150">
        <v>1.1499999999999999</v>
      </c>
      <c r="H1567" s="158"/>
      <c r="I1567" s="151">
        <f>ROUND(PRODUCT(C1567:H1567),2)</f>
        <v>2.9</v>
      </c>
      <c r="J1567" s="180"/>
    </row>
    <row r="1568" spans="1:10" s="181" customFormat="1">
      <c r="A1568" s="276"/>
      <c r="B1568" s="148"/>
      <c r="C1568" s="149"/>
      <c r="D1568" s="149"/>
      <c r="E1568" s="149"/>
      <c r="F1568" s="150"/>
      <c r="G1568" s="150"/>
      <c r="H1568" s="158" t="s">
        <v>245</v>
      </c>
      <c r="I1568" s="159">
        <f>SUM(I1566:I1567)</f>
        <v>14.47</v>
      </c>
      <c r="J1568" s="180" t="s">
        <v>75</v>
      </c>
    </row>
    <row r="1569" spans="1:10" s="181" customFormat="1">
      <c r="A1569" s="276"/>
      <c r="B1569" s="148"/>
      <c r="C1569" s="149"/>
      <c r="D1569" s="149"/>
      <c r="E1569" s="149"/>
      <c r="F1569" s="150"/>
      <c r="G1569" s="150"/>
      <c r="H1569" s="158"/>
      <c r="I1569" s="160"/>
      <c r="J1569" s="221"/>
    </row>
    <row r="1570" spans="1:10" s="181" customFormat="1" ht="56.25">
      <c r="A1570" s="276">
        <v>105.3</v>
      </c>
      <c r="B1570" s="155" t="s">
        <v>621</v>
      </c>
      <c r="C1570" s="149"/>
      <c r="D1570" s="149"/>
      <c r="E1570" s="149"/>
      <c r="F1570" s="150"/>
      <c r="G1570" s="150"/>
      <c r="H1570" s="158"/>
      <c r="I1570" s="159"/>
      <c r="J1570" s="212"/>
    </row>
    <row r="1571" spans="1:10" s="181" customFormat="1">
      <c r="A1571" s="276"/>
      <c r="B1571" s="148" t="s">
        <v>622</v>
      </c>
      <c r="C1571" s="149">
        <v>1</v>
      </c>
      <c r="D1571" s="149" t="s">
        <v>73</v>
      </c>
      <c r="E1571" s="149">
        <v>1</v>
      </c>
      <c r="F1571" s="150">
        <v>10</v>
      </c>
      <c r="G1571" s="150"/>
      <c r="H1571" s="150"/>
      <c r="I1571" s="151">
        <f>ROUND(PRODUCT(C1571:H1571),2)</f>
        <v>10</v>
      </c>
      <c r="J1571" s="212"/>
    </row>
    <row r="1572" spans="1:10" s="181" customFormat="1">
      <c r="A1572" s="276"/>
      <c r="B1572" s="148" t="s">
        <v>623</v>
      </c>
      <c r="C1572" s="149">
        <v>1</v>
      </c>
      <c r="D1572" s="149" t="s">
        <v>73</v>
      </c>
      <c r="E1572" s="149">
        <v>1</v>
      </c>
      <c r="F1572" s="150">
        <v>15</v>
      </c>
      <c r="G1572" s="150"/>
      <c r="H1572" s="150"/>
      <c r="I1572" s="151">
        <f>ROUND(PRODUCT(C1572:H1572),2)</f>
        <v>15</v>
      </c>
      <c r="J1572" s="212"/>
    </row>
    <row r="1573" spans="1:10" s="181" customFormat="1">
      <c r="A1573" s="276"/>
      <c r="B1573" s="148" t="s">
        <v>624</v>
      </c>
      <c r="C1573" s="149">
        <v>1</v>
      </c>
      <c r="D1573" s="149" t="s">
        <v>73</v>
      </c>
      <c r="E1573" s="149">
        <v>1</v>
      </c>
      <c r="F1573" s="150">
        <v>20</v>
      </c>
      <c r="G1573" s="150"/>
      <c r="H1573" s="150"/>
      <c r="I1573" s="151">
        <f>ROUND(PRODUCT(C1573:H1573),2)</f>
        <v>20</v>
      </c>
      <c r="J1573" s="212"/>
    </row>
    <row r="1574" spans="1:10" s="181" customFormat="1">
      <c r="A1574" s="276"/>
      <c r="B1574" s="148" t="s">
        <v>625</v>
      </c>
      <c r="C1574" s="149">
        <v>1</v>
      </c>
      <c r="D1574" s="149" t="s">
        <v>73</v>
      </c>
      <c r="E1574" s="149">
        <v>1</v>
      </c>
      <c r="F1574" s="150">
        <v>25</v>
      </c>
      <c r="G1574" s="150"/>
      <c r="H1574" s="150"/>
      <c r="I1574" s="151">
        <f>ROUND(PRODUCT(C1574:H1574),2)</f>
        <v>25</v>
      </c>
      <c r="J1574" s="180"/>
    </row>
    <row r="1575" spans="1:10" s="181" customFormat="1">
      <c r="A1575" s="276"/>
      <c r="B1575" s="148"/>
      <c r="C1575" s="149"/>
      <c r="D1575" s="149"/>
      <c r="E1575" s="149"/>
      <c r="F1575" s="150"/>
      <c r="G1575" s="150"/>
      <c r="H1575" s="150"/>
      <c r="I1575" s="159">
        <f>SUM(I1571:I1574)</f>
        <v>70</v>
      </c>
      <c r="J1575" s="180" t="s">
        <v>76</v>
      </c>
    </row>
    <row r="1576" spans="1:10" s="181" customFormat="1">
      <c r="A1576" s="276"/>
      <c r="B1576" s="148"/>
      <c r="C1576" s="149"/>
      <c r="D1576" s="149"/>
      <c r="E1576" s="149"/>
      <c r="F1576" s="150"/>
      <c r="G1576" s="150"/>
      <c r="H1576" s="150"/>
      <c r="I1576" s="159"/>
      <c r="J1576" s="180"/>
    </row>
    <row r="1577" spans="1:10" s="181" customFormat="1" ht="100.5" customHeight="1">
      <c r="A1577" s="276">
        <v>112.1</v>
      </c>
      <c r="B1577" s="208" t="s">
        <v>626</v>
      </c>
      <c r="C1577" s="149"/>
      <c r="D1577" s="149"/>
      <c r="E1577" s="149"/>
      <c r="F1577" s="150"/>
      <c r="G1577" s="150"/>
      <c r="H1577" s="150"/>
      <c r="I1577" s="151"/>
      <c r="J1577" s="180"/>
    </row>
    <row r="1578" spans="1:10" s="181" customFormat="1">
      <c r="B1578" s="148" t="s">
        <v>627</v>
      </c>
      <c r="C1578" s="149">
        <v>1</v>
      </c>
      <c r="D1578" s="149" t="s">
        <v>73</v>
      </c>
      <c r="E1578" s="149">
        <v>2</v>
      </c>
      <c r="F1578" s="150"/>
      <c r="G1578" s="150"/>
      <c r="H1578" s="150"/>
      <c r="I1578" s="151">
        <f>ROUND(PRODUCT(C1578:H1578),2)</f>
        <v>2</v>
      </c>
      <c r="J1578" s="180"/>
    </row>
    <row r="1579" spans="1:10" s="181" customFormat="1">
      <c r="A1579" s="276"/>
      <c r="B1579" s="148" t="s">
        <v>628</v>
      </c>
      <c r="C1579" s="149">
        <v>2</v>
      </c>
      <c r="D1579" s="149" t="s">
        <v>73</v>
      </c>
      <c r="E1579" s="149">
        <v>2</v>
      </c>
      <c r="F1579" s="150"/>
      <c r="G1579" s="150"/>
      <c r="H1579" s="150"/>
      <c r="I1579" s="151">
        <f>ROUND(PRODUCT(C1579:H1579),2)</f>
        <v>4</v>
      </c>
      <c r="J1579" s="180"/>
    </row>
    <row r="1580" spans="1:10" s="181" customFormat="1">
      <c r="A1580" s="276"/>
      <c r="B1580" s="148" t="s">
        <v>123</v>
      </c>
      <c r="C1580" s="149">
        <v>1</v>
      </c>
      <c r="D1580" s="149" t="s">
        <v>73</v>
      </c>
      <c r="E1580" s="149">
        <v>4</v>
      </c>
      <c r="F1580" s="150"/>
      <c r="G1580" s="150"/>
      <c r="H1580" s="150"/>
      <c r="I1580" s="151">
        <f>ROUND(PRODUCT(C1580:H1580),2)</f>
        <v>4</v>
      </c>
      <c r="J1580" s="180"/>
    </row>
    <row r="1581" spans="1:10" s="181" customFormat="1">
      <c r="A1581" s="276"/>
      <c r="B1581" s="148"/>
      <c r="C1581" s="149"/>
      <c r="D1581" s="149"/>
      <c r="E1581" s="149"/>
      <c r="F1581" s="150"/>
      <c r="G1581" s="150"/>
      <c r="H1581" s="150"/>
      <c r="I1581" s="159">
        <f>SUM(I1578:I1580)</f>
        <v>10</v>
      </c>
      <c r="J1581" s="180" t="s">
        <v>128</v>
      </c>
    </row>
    <row r="1582" spans="1:10" s="181" customFormat="1">
      <c r="A1582" s="276"/>
      <c r="B1582" s="148"/>
      <c r="C1582" s="149"/>
      <c r="D1582" s="149"/>
      <c r="E1582" s="149"/>
      <c r="F1582" s="150"/>
      <c r="G1582" s="150"/>
      <c r="H1582" s="150"/>
      <c r="I1582" s="159"/>
      <c r="J1582" s="180"/>
    </row>
    <row r="1583" spans="1:10" s="181" customFormat="1" ht="112.5">
      <c r="A1583" s="276" t="s">
        <v>1464</v>
      </c>
      <c r="B1583" s="253" t="s">
        <v>676</v>
      </c>
      <c r="C1583" s="149"/>
      <c r="D1583" s="149"/>
      <c r="E1583" s="149"/>
      <c r="F1583" s="150"/>
      <c r="G1583" s="150"/>
      <c r="H1583" s="158"/>
      <c r="I1583" s="159"/>
      <c r="J1583" s="180"/>
    </row>
    <row r="1584" spans="1:10" s="181" customFormat="1">
      <c r="A1584" s="276"/>
      <c r="B1584" s="148" t="s">
        <v>675</v>
      </c>
      <c r="C1584" s="149">
        <v>1</v>
      </c>
      <c r="D1584" s="149" t="s">
        <v>73</v>
      </c>
      <c r="E1584" s="149">
        <v>4</v>
      </c>
      <c r="F1584" s="158"/>
      <c r="G1584" s="158"/>
      <c r="H1584" s="158"/>
      <c r="I1584" s="159">
        <f>PRODUCT(C1584:H1584)</f>
        <v>4</v>
      </c>
      <c r="J1584" s="180" t="s">
        <v>382</v>
      </c>
    </row>
    <row r="1585" spans="1:10" s="181" customFormat="1" ht="17.25" customHeight="1">
      <c r="A1585" s="276"/>
      <c r="B1585" s="148"/>
      <c r="C1585" s="149"/>
      <c r="D1585" s="149"/>
      <c r="E1585" s="149"/>
      <c r="F1585" s="158"/>
      <c r="G1585" s="158"/>
      <c r="H1585" s="158"/>
      <c r="I1585" s="159"/>
      <c r="J1585" s="221"/>
    </row>
    <row r="1586" spans="1:10" s="154" customFormat="1" ht="47.25" customHeight="1">
      <c r="A1586" s="276" t="s">
        <v>1582</v>
      </c>
      <c r="B1586" s="389" t="s">
        <v>1581</v>
      </c>
      <c r="C1586" s="217"/>
      <c r="D1586" s="239"/>
      <c r="E1586" s="217"/>
      <c r="F1586" s="168"/>
      <c r="G1586" s="168"/>
      <c r="H1586" s="168"/>
      <c r="I1586" s="245"/>
      <c r="J1586" s="180"/>
    </row>
    <row r="1587" spans="1:10" s="154" customFormat="1">
      <c r="A1587" s="276"/>
      <c r="B1587" s="239" t="s">
        <v>1567</v>
      </c>
      <c r="C1587" s="217">
        <v>1</v>
      </c>
      <c r="D1587" s="239" t="s">
        <v>73</v>
      </c>
      <c r="E1587" s="217">
        <v>1</v>
      </c>
      <c r="F1587" s="168">
        <v>1</v>
      </c>
      <c r="G1587" s="168"/>
      <c r="H1587" s="168"/>
      <c r="I1587" s="151">
        <f>PRODUCT(C1587:H1587)</f>
        <v>1</v>
      </c>
      <c r="J1587" s="180" t="s">
        <v>128</v>
      </c>
    </row>
    <row r="1588" spans="1:10" s="154" customFormat="1" ht="18" customHeight="1">
      <c r="A1588" s="276"/>
      <c r="B1588" s="239"/>
      <c r="C1588" s="217"/>
      <c r="D1588" s="239"/>
      <c r="E1588" s="217"/>
      <c r="F1588" s="168"/>
      <c r="G1588" s="168"/>
      <c r="H1588" s="168"/>
      <c r="I1588" s="245"/>
      <c r="J1588" s="180"/>
    </row>
    <row r="1589" spans="1:10" s="154" customFormat="1" ht="48.75" customHeight="1">
      <c r="A1589" s="276" t="s">
        <v>1580</v>
      </c>
      <c r="B1589" s="387" t="s">
        <v>1579</v>
      </c>
      <c r="C1589" s="217"/>
      <c r="D1589" s="239"/>
      <c r="E1589" s="217"/>
      <c r="F1589" s="168"/>
      <c r="G1589" s="168"/>
      <c r="H1589" s="168"/>
      <c r="I1589" s="245"/>
      <c r="J1589" s="180"/>
    </row>
    <row r="1590" spans="1:10" s="154" customFormat="1">
      <c r="A1590" s="362"/>
      <c r="B1590" s="239" t="s">
        <v>1567</v>
      </c>
      <c r="C1590" s="217">
        <v>1</v>
      </c>
      <c r="D1590" s="239" t="s">
        <v>73</v>
      </c>
      <c r="E1590" s="217">
        <v>1</v>
      </c>
      <c r="F1590" s="168">
        <v>1</v>
      </c>
      <c r="G1590" s="168"/>
      <c r="H1590" s="168"/>
      <c r="I1590" s="151">
        <f>PRODUCT(C1590:H1590)</f>
        <v>1</v>
      </c>
      <c r="J1590" s="180" t="s">
        <v>128</v>
      </c>
    </row>
    <row r="1591" spans="1:10" s="154" customFormat="1" ht="18" customHeight="1">
      <c r="A1591" s="276"/>
      <c r="B1591" s="239"/>
      <c r="C1591" s="217"/>
      <c r="D1591" s="239"/>
      <c r="E1591" s="217"/>
      <c r="F1591" s="168"/>
      <c r="G1591" s="168"/>
      <c r="H1591" s="168"/>
      <c r="I1591" s="245"/>
      <c r="J1591" s="180"/>
    </row>
    <row r="1592" spans="1:10" s="154" customFormat="1" ht="103.5" customHeight="1">
      <c r="A1592" s="276" t="s">
        <v>1457</v>
      </c>
      <c r="B1592" s="223" t="s">
        <v>631</v>
      </c>
      <c r="C1592" s="217"/>
      <c r="D1592" s="239"/>
      <c r="E1592" s="217"/>
      <c r="F1592" s="168"/>
      <c r="G1592" s="168"/>
      <c r="H1592" s="168"/>
      <c r="I1592" s="245"/>
      <c r="J1592" s="180"/>
    </row>
    <row r="1593" spans="1:10" s="154" customFormat="1">
      <c r="A1593" s="276"/>
      <c r="B1593" s="239" t="s">
        <v>632</v>
      </c>
      <c r="C1593" s="217">
        <v>1</v>
      </c>
      <c r="D1593" s="239" t="s">
        <v>73</v>
      </c>
      <c r="E1593" s="217">
        <v>1</v>
      </c>
      <c r="F1593" s="168">
        <v>4</v>
      </c>
      <c r="G1593" s="168"/>
      <c r="H1593" s="168"/>
      <c r="I1593" s="151">
        <f>PRODUCT(C1593:H1593)</f>
        <v>4</v>
      </c>
      <c r="J1593" s="180" t="s">
        <v>128</v>
      </c>
    </row>
    <row r="1594" spans="1:10" s="154" customFormat="1">
      <c r="A1594" s="276"/>
      <c r="B1594" s="239"/>
      <c r="C1594" s="217"/>
      <c r="D1594" s="239"/>
      <c r="E1594" s="217"/>
      <c r="F1594" s="168"/>
      <c r="G1594" s="168"/>
      <c r="H1594" s="168"/>
      <c r="I1594" s="151"/>
      <c r="J1594" s="180"/>
    </row>
    <row r="1595" spans="1:10" s="154" customFormat="1" ht="37.5">
      <c r="A1595" s="276" t="s">
        <v>1574</v>
      </c>
      <c r="B1595" s="387" t="s">
        <v>1573</v>
      </c>
      <c r="C1595" s="217"/>
      <c r="D1595" s="239"/>
      <c r="E1595" s="217"/>
      <c r="F1595" s="168"/>
      <c r="G1595" s="168"/>
      <c r="H1595" s="168"/>
      <c r="I1595" s="151"/>
      <c r="J1595" s="180"/>
    </row>
    <row r="1596" spans="1:10" s="154" customFormat="1">
      <c r="A1596" s="276"/>
      <c r="B1596" s="239" t="s">
        <v>1578</v>
      </c>
      <c r="C1596" s="217">
        <v>1</v>
      </c>
      <c r="D1596" s="239" t="s">
        <v>73</v>
      </c>
      <c r="E1596" s="217">
        <v>1</v>
      </c>
      <c r="F1596" s="168">
        <v>8</v>
      </c>
      <c r="G1596" s="168"/>
      <c r="H1596" s="168"/>
      <c r="I1596" s="151">
        <f>PRODUCT(C1596:H1596)</f>
        <v>8</v>
      </c>
      <c r="J1596" s="180" t="s">
        <v>76</v>
      </c>
    </row>
    <row r="1597" spans="1:10" s="154" customFormat="1" ht="18" customHeight="1">
      <c r="A1597" s="276"/>
      <c r="B1597" s="387"/>
      <c r="C1597" s="217"/>
      <c r="D1597" s="239"/>
      <c r="E1597" s="217"/>
      <c r="F1597" s="168"/>
      <c r="G1597" s="168"/>
      <c r="H1597" s="168"/>
      <c r="I1597" s="151"/>
      <c r="J1597" s="180"/>
    </row>
    <row r="1598" spans="1:10" s="154" customFormat="1" ht="37.5">
      <c r="A1598" s="276" t="s">
        <v>1576</v>
      </c>
      <c r="B1598" s="387" t="s">
        <v>1575</v>
      </c>
      <c r="C1598" s="217"/>
      <c r="D1598" s="239"/>
      <c r="E1598" s="217"/>
      <c r="F1598" s="168"/>
      <c r="G1598" s="168"/>
      <c r="H1598" s="168"/>
      <c r="I1598" s="151"/>
      <c r="J1598" s="180"/>
    </row>
    <row r="1599" spans="1:10" s="154" customFormat="1">
      <c r="A1599" s="276"/>
      <c r="B1599" s="239" t="s">
        <v>1577</v>
      </c>
      <c r="C1599" s="217">
        <v>1</v>
      </c>
      <c r="D1599" s="239" t="s">
        <v>73</v>
      </c>
      <c r="E1599" s="217">
        <v>1</v>
      </c>
      <c r="F1599" s="168">
        <v>10</v>
      </c>
      <c r="G1599" s="168"/>
      <c r="H1599" s="168"/>
      <c r="I1599" s="151">
        <f>PRODUCT(C1599:H1599)</f>
        <v>10</v>
      </c>
      <c r="J1599" s="180" t="s">
        <v>76</v>
      </c>
    </row>
    <row r="1600" spans="1:10" s="154" customFormat="1">
      <c r="A1600" s="276"/>
      <c r="B1600" s="239"/>
      <c r="C1600" s="217"/>
      <c r="D1600" s="239"/>
      <c r="E1600" s="217"/>
      <c r="F1600" s="168"/>
      <c r="G1600" s="168"/>
      <c r="H1600" s="168"/>
      <c r="I1600" s="151"/>
      <c r="J1600" s="180"/>
    </row>
    <row r="1601" spans="1:10" s="154" customFormat="1">
      <c r="A1601" s="276"/>
      <c r="B1601" s="239"/>
      <c r="C1601" s="217"/>
      <c r="D1601" s="239"/>
      <c r="E1601" s="217"/>
      <c r="F1601" s="168"/>
      <c r="G1601" s="168"/>
      <c r="H1601" s="168"/>
      <c r="I1601" s="151"/>
      <c r="J1601" s="180"/>
    </row>
    <row r="1602" spans="1:10" s="154" customFormat="1">
      <c r="A1602" s="276"/>
      <c r="B1602" s="239"/>
      <c r="C1602" s="217"/>
      <c r="D1602" s="239"/>
      <c r="E1602" s="217"/>
      <c r="F1602" s="168"/>
      <c r="G1602" s="168"/>
      <c r="H1602" s="168"/>
      <c r="I1602" s="151"/>
      <c r="J1602" s="180"/>
    </row>
    <row r="1603" spans="1:10" s="154" customFormat="1" ht="37.5" customHeight="1">
      <c r="A1603" s="179" t="s">
        <v>57</v>
      </c>
      <c r="B1603" s="231" t="s">
        <v>633</v>
      </c>
      <c r="C1603" s="217"/>
      <c r="D1603" s="239"/>
      <c r="E1603" s="217"/>
      <c r="F1603" s="168"/>
      <c r="G1603" s="168"/>
      <c r="H1603" s="168"/>
      <c r="I1603" s="241"/>
      <c r="J1603" s="180"/>
    </row>
    <row r="1604" spans="1:10" s="154" customFormat="1">
      <c r="A1604" s="276"/>
      <c r="B1604" s="183" t="s">
        <v>315</v>
      </c>
      <c r="C1604" s="149"/>
      <c r="D1604" s="149"/>
      <c r="E1604" s="149"/>
      <c r="F1604" s="150"/>
      <c r="G1604" s="150"/>
      <c r="H1604" s="150"/>
      <c r="I1604" s="151">
        <f>I490</f>
        <v>882.50999999999976</v>
      </c>
      <c r="J1604" s="180"/>
    </row>
    <row r="1605" spans="1:10" s="181" customFormat="1">
      <c r="A1605" s="276"/>
      <c r="B1605" s="182" t="s">
        <v>1570</v>
      </c>
      <c r="C1605" s="149">
        <v>-1</v>
      </c>
      <c r="D1605" s="156" t="s">
        <v>73</v>
      </c>
      <c r="E1605" s="149">
        <v>1</v>
      </c>
      <c r="F1605" s="150">
        <f>2*(14.7+10.37)</f>
        <v>50.14</v>
      </c>
      <c r="G1605" s="150"/>
      <c r="H1605" s="150">
        <v>1.2</v>
      </c>
      <c r="I1605" s="151">
        <f t="shared" ref="I1605:I1620" si="99">ROUND(PRODUCT(C1605:H1605),2)</f>
        <v>-60.17</v>
      </c>
      <c r="J1605" s="180"/>
    </row>
    <row r="1606" spans="1:10" s="181" customFormat="1">
      <c r="A1606" s="276"/>
      <c r="B1606" s="182" t="s">
        <v>1571</v>
      </c>
      <c r="C1606" s="149">
        <v>-1</v>
      </c>
      <c r="D1606" s="156" t="s">
        <v>73</v>
      </c>
      <c r="E1606" s="149">
        <v>10</v>
      </c>
      <c r="F1606" s="150">
        <v>3.32</v>
      </c>
      <c r="G1606" s="150">
        <v>0.23</v>
      </c>
      <c r="H1606" s="150"/>
      <c r="I1606" s="151">
        <f t="shared" si="99"/>
        <v>-7.64</v>
      </c>
      <c r="J1606" s="180"/>
    </row>
    <row r="1607" spans="1:10" s="181" customFormat="1">
      <c r="A1607" s="276"/>
      <c r="B1607" s="182" t="s">
        <v>1572</v>
      </c>
      <c r="C1607" s="149">
        <v>-1</v>
      </c>
      <c r="D1607" s="156" t="s">
        <v>73</v>
      </c>
      <c r="E1607" s="149">
        <v>10</v>
      </c>
      <c r="F1607" s="150">
        <v>4.24</v>
      </c>
      <c r="G1607" s="150"/>
      <c r="H1607" s="150">
        <v>0.9</v>
      </c>
      <c r="I1607" s="151">
        <f t="shared" si="99"/>
        <v>-38.159999999999997</v>
      </c>
      <c r="J1607" s="180"/>
    </row>
    <row r="1608" spans="1:10" s="181" customFormat="1">
      <c r="A1608" s="276"/>
      <c r="B1608" s="182" t="s">
        <v>1309</v>
      </c>
      <c r="C1608" s="149">
        <v>1</v>
      </c>
      <c r="D1608" s="156" t="s">
        <v>73</v>
      </c>
      <c r="E1608" s="149">
        <v>32</v>
      </c>
      <c r="F1608" s="150">
        <v>1.81</v>
      </c>
      <c r="G1608" s="150">
        <v>0.6</v>
      </c>
      <c r="H1608" s="150"/>
      <c r="I1608" s="151">
        <f t="shared" si="99"/>
        <v>34.75</v>
      </c>
      <c r="J1608" s="180"/>
    </row>
    <row r="1609" spans="1:10" s="181" customFormat="1">
      <c r="A1609" s="276"/>
      <c r="B1609" s="182" t="s">
        <v>1310</v>
      </c>
      <c r="C1609" s="149">
        <v>1</v>
      </c>
      <c r="D1609" s="156" t="s">
        <v>73</v>
      </c>
      <c r="E1609" s="149">
        <v>7</v>
      </c>
      <c r="F1609" s="150">
        <v>1.36</v>
      </c>
      <c r="G1609" s="150">
        <v>0.6</v>
      </c>
      <c r="H1609" s="150"/>
      <c r="I1609" s="151">
        <f t="shared" si="99"/>
        <v>5.71</v>
      </c>
      <c r="J1609" s="180"/>
    </row>
    <row r="1610" spans="1:10" s="181" customFormat="1">
      <c r="A1610" s="276"/>
      <c r="B1610" s="182" t="s">
        <v>1312</v>
      </c>
      <c r="C1610" s="149">
        <v>1</v>
      </c>
      <c r="D1610" s="156" t="s">
        <v>73</v>
      </c>
      <c r="E1610" s="149">
        <v>1</v>
      </c>
      <c r="F1610" s="150">
        <v>1.46</v>
      </c>
      <c r="G1610" s="150">
        <v>0.6</v>
      </c>
      <c r="H1610" s="150"/>
      <c r="I1610" s="151">
        <f t="shared" si="99"/>
        <v>0.88</v>
      </c>
      <c r="J1610" s="180"/>
    </row>
    <row r="1611" spans="1:10" s="181" customFormat="1">
      <c r="A1611" s="276"/>
      <c r="B1611" s="182" t="s">
        <v>1311</v>
      </c>
      <c r="C1611" s="149">
        <v>2</v>
      </c>
      <c r="D1611" s="156" t="s">
        <v>73</v>
      </c>
      <c r="E1611" s="149">
        <v>40</v>
      </c>
      <c r="F1611" s="150">
        <v>0.6</v>
      </c>
      <c r="G1611" s="150"/>
      <c r="H1611" s="150">
        <v>0.08</v>
      </c>
      <c r="I1611" s="151">
        <f t="shared" si="99"/>
        <v>3.84</v>
      </c>
      <c r="J1611" s="180"/>
    </row>
    <row r="1612" spans="1:10" s="154" customFormat="1">
      <c r="A1612" s="152"/>
      <c r="B1612" s="148" t="s">
        <v>1424</v>
      </c>
      <c r="C1612" s="149">
        <v>1</v>
      </c>
      <c r="D1612" s="149" t="s">
        <v>73</v>
      </c>
      <c r="E1612" s="149">
        <v>6</v>
      </c>
      <c r="F1612" s="150">
        <v>1.22</v>
      </c>
      <c r="G1612" s="150"/>
      <c r="H1612" s="150">
        <v>2.92</v>
      </c>
      <c r="I1612" s="151">
        <f t="shared" si="99"/>
        <v>21.37</v>
      </c>
      <c r="J1612" s="213"/>
    </row>
    <row r="1613" spans="1:10" s="154" customFormat="1" ht="19.5" customHeight="1">
      <c r="B1613" s="148" t="s">
        <v>1424</v>
      </c>
      <c r="C1613" s="149">
        <v>1</v>
      </c>
      <c r="D1613" s="149" t="s">
        <v>73</v>
      </c>
      <c r="E1613" s="149">
        <v>2</v>
      </c>
      <c r="F1613" s="150">
        <v>1.06</v>
      </c>
      <c r="G1613" s="150"/>
      <c r="H1613" s="150">
        <v>2.92</v>
      </c>
      <c r="I1613" s="151">
        <f t="shared" si="99"/>
        <v>6.19</v>
      </c>
      <c r="J1613" s="213"/>
    </row>
    <row r="1614" spans="1:10" s="181" customFormat="1">
      <c r="A1614" s="276"/>
      <c r="B1614" s="148" t="s">
        <v>1425</v>
      </c>
      <c r="C1614" s="149">
        <v>1</v>
      </c>
      <c r="D1614" s="149" t="s">
        <v>73</v>
      </c>
      <c r="E1614" s="149">
        <v>1</v>
      </c>
      <c r="F1614" s="150">
        <v>3.45</v>
      </c>
      <c r="G1614" s="150"/>
      <c r="H1614" s="150">
        <v>3.1749999999999998</v>
      </c>
      <c r="I1614" s="151">
        <f t="shared" si="99"/>
        <v>10.95</v>
      </c>
      <c r="J1614" s="180"/>
    </row>
    <row r="1615" spans="1:10" s="181" customFormat="1">
      <c r="A1615" s="276"/>
      <c r="B1615" s="170" t="s">
        <v>1130</v>
      </c>
      <c r="C1615" s="149">
        <v>1</v>
      </c>
      <c r="D1615" s="149" t="s">
        <v>73</v>
      </c>
      <c r="E1615" s="149">
        <v>2</v>
      </c>
      <c r="F1615" s="150">
        <v>157.4</v>
      </c>
      <c r="G1615" s="150"/>
      <c r="H1615" s="150">
        <v>1.5</v>
      </c>
      <c r="I1615" s="151">
        <f t="shared" si="99"/>
        <v>472.2</v>
      </c>
      <c r="J1615" s="180"/>
    </row>
    <row r="1616" spans="1:10" s="181" customFormat="1">
      <c r="A1616" s="276"/>
      <c r="B1616" s="170" t="s">
        <v>1426</v>
      </c>
      <c r="C1616" s="149">
        <v>1</v>
      </c>
      <c r="D1616" s="149" t="s">
        <v>73</v>
      </c>
      <c r="E1616" s="149">
        <v>1</v>
      </c>
      <c r="F1616" s="150">
        <v>157.4</v>
      </c>
      <c r="G1616" s="150">
        <v>0.23</v>
      </c>
      <c r="H1616" s="150"/>
      <c r="I1616" s="151">
        <f t="shared" si="99"/>
        <v>36.200000000000003</v>
      </c>
      <c r="J1616" s="180"/>
    </row>
    <row r="1617" spans="1:11" s="181" customFormat="1">
      <c r="A1617" s="276"/>
      <c r="B1617" s="148" t="s">
        <v>1427</v>
      </c>
      <c r="C1617" s="149">
        <v>-2</v>
      </c>
      <c r="D1617" s="149" t="s">
        <v>73</v>
      </c>
      <c r="E1617" s="149">
        <v>2</v>
      </c>
      <c r="F1617" s="150">
        <v>4.5</v>
      </c>
      <c r="G1617" s="150"/>
      <c r="H1617" s="150">
        <v>1.5</v>
      </c>
      <c r="I1617" s="151">
        <f t="shared" si="99"/>
        <v>-27</v>
      </c>
      <c r="J1617" s="161"/>
    </row>
    <row r="1618" spans="1:11" s="181" customFormat="1">
      <c r="A1618" s="276"/>
      <c r="B1618" s="170" t="s">
        <v>1492</v>
      </c>
      <c r="C1618" s="149">
        <v>2</v>
      </c>
      <c r="D1618" s="149" t="s">
        <v>73</v>
      </c>
      <c r="E1618" s="149">
        <v>20</v>
      </c>
      <c r="F1618" s="150">
        <v>1.25</v>
      </c>
      <c r="G1618" s="150">
        <v>0.12</v>
      </c>
      <c r="H1618" s="150"/>
      <c r="I1618" s="151">
        <f t="shared" si="99"/>
        <v>6</v>
      </c>
      <c r="J1618" s="180"/>
      <c r="K1618" s="184">
        <f>SUM(I1559:I1609)</f>
        <v>1203.9399999999996</v>
      </c>
    </row>
    <row r="1619" spans="1:11" s="181" customFormat="1">
      <c r="A1619" s="276"/>
      <c r="B1619" s="170" t="s">
        <v>1493</v>
      </c>
      <c r="C1619" s="149">
        <v>1</v>
      </c>
      <c r="D1619" s="149" t="s">
        <v>73</v>
      </c>
      <c r="E1619" s="149">
        <v>20</v>
      </c>
      <c r="F1619" s="150">
        <v>2.54</v>
      </c>
      <c r="G1619" s="150">
        <v>0.12</v>
      </c>
      <c r="H1619" s="150"/>
      <c r="I1619" s="151">
        <f t="shared" si="99"/>
        <v>6.1</v>
      </c>
      <c r="J1619" s="180"/>
      <c r="K1619" s="184">
        <f>SUM(I1560:I1610)</f>
        <v>1174.8199999999997</v>
      </c>
    </row>
    <row r="1620" spans="1:11" s="181" customFormat="1">
      <c r="A1620" s="276"/>
      <c r="B1620" s="170" t="s">
        <v>1492</v>
      </c>
      <c r="C1620" s="149">
        <v>2</v>
      </c>
      <c r="D1620" s="149" t="s">
        <v>73</v>
      </c>
      <c r="E1620" s="149">
        <v>35</v>
      </c>
      <c r="F1620" s="150">
        <v>1.5</v>
      </c>
      <c r="G1620" s="150">
        <v>0.12</v>
      </c>
      <c r="H1620" s="150"/>
      <c r="I1620" s="151">
        <f t="shared" si="99"/>
        <v>12.6</v>
      </c>
      <c r="J1620" s="180"/>
      <c r="K1620" s="184">
        <f>SUM(I1561:I1611)</f>
        <v>1048.6599999999996</v>
      </c>
    </row>
    <row r="1621" spans="1:11" s="181" customFormat="1">
      <c r="A1621" s="362"/>
      <c r="B1621" s="157"/>
      <c r="C1621" s="149"/>
      <c r="D1621" s="149"/>
      <c r="E1621" s="149"/>
      <c r="F1621" s="150"/>
      <c r="G1621" s="158" t="s">
        <v>74</v>
      </c>
      <c r="H1621" s="150"/>
      <c r="I1621" s="159">
        <f>SUM(I1604:I1620)</f>
        <v>1366.33</v>
      </c>
      <c r="J1621" s="180" t="s">
        <v>75</v>
      </c>
    </row>
    <row r="1622" spans="1:11" s="181" customFormat="1">
      <c r="A1622" s="276"/>
      <c r="B1622" s="182"/>
      <c r="C1622" s="149"/>
      <c r="D1622" s="149"/>
      <c r="E1622" s="149"/>
      <c r="F1622" s="150"/>
      <c r="G1622" s="158"/>
      <c r="H1622" s="150"/>
      <c r="I1622" s="159"/>
      <c r="J1622" s="180"/>
    </row>
    <row r="1623" spans="1:11" s="181" customFormat="1" ht="16.5" customHeight="1">
      <c r="A1623" s="276">
        <v>59.2</v>
      </c>
      <c r="B1623" s="155" t="s">
        <v>396</v>
      </c>
      <c r="C1623" s="149"/>
      <c r="D1623" s="149"/>
      <c r="E1623" s="149"/>
      <c r="F1623" s="150"/>
      <c r="G1623" s="150"/>
      <c r="H1623" s="150"/>
      <c r="I1623" s="151"/>
      <c r="J1623" s="180"/>
    </row>
    <row r="1624" spans="1:11" s="181" customFormat="1">
      <c r="A1624" s="276"/>
      <c r="B1624" s="155" t="s">
        <v>397</v>
      </c>
      <c r="C1624" s="149"/>
      <c r="D1624" s="149"/>
      <c r="E1624" s="149"/>
      <c r="F1624" s="150"/>
      <c r="G1624" s="150"/>
      <c r="H1624" s="150"/>
      <c r="I1624" s="151"/>
      <c r="J1624" s="180"/>
    </row>
    <row r="1625" spans="1:11" s="181" customFormat="1">
      <c r="A1625" s="276"/>
      <c r="B1625" s="148" t="s">
        <v>398</v>
      </c>
      <c r="C1625" s="149">
        <v>1</v>
      </c>
      <c r="D1625" s="149" t="s">
        <v>73</v>
      </c>
      <c r="E1625" s="149">
        <v>1</v>
      </c>
      <c r="F1625" s="150">
        <v>10</v>
      </c>
      <c r="G1625" s="150"/>
      <c r="H1625" s="150"/>
      <c r="I1625" s="151">
        <f t="shared" ref="I1625:I1628" si="100">ROUND(PRODUCT(C1625:H1625),2)</f>
        <v>10</v>
      </c>
      <c r="J1625" s="180"/>
    </row>
    <row r="1626" spans="1:11" s="181" customFormat="1">
      <c r="A1626" s="276"/>
      <c r="B1626" s="148" t="s">
        <v>164</v>
      </c>
      <c r="C1626" s="149">
        <v>1</v>
      </c>
      <c r="D1626" s="149" t="s">
        <v>73</v>
      </c>
      <c r="E1626" s="149">
        <v>2</v>
      </c>
      <c r="F1626" s="150">
        <v>1</v>
      </c>
      <c r="G1626" s="150"/>
      <c r="H1626" s="150"/>
      <c r="I1626" s="151">
        <f t="shared" si="100"/>
        <v>2</v>
      </c>
      <c r="J1626" s="180"/>
    </row>
    <row r="1627" spans="1:11" s="181" customFormat="1">
      <c r="A1627" s="276"/>
      <c r="B1627" s="148" t="s">
        <v>1472</v>
      </c>
      <c r="C1627" s="149">
        <v>1</v>
      </c>
      <c r="D1627" s="149" t="s">
        <v>73</v>
      </c>
      <c r="E1627" s="149">
        <v>2</v>
      </c>
      <c r="F1627" s="150">
        <v>1</v>
      </c>
      <c r="G1627" s="150"/>
      <c r="H1627" s="150"/>
      <c r="I1627" s="151">
        <f t="shared" si="100"/>
        <v>2</v>
      </c>
      <c r="J1627" s="180"/>
    </row>
    <row r="1628" spans="1:11" s="181" customFormat="1">
      <c r="A1628" s="276"/>
      <c r="B1628" s="148" t="s">
        <v>1473</v>
      </c>
      <c r="C1628" s="149">
        <v>1</v>
      </c>
      <c r="D1628" s="149" t="s">
        <v>73</v>
      </c>
      <c r="E1628" s="149">
        <v>3</v>
      </c>
      <c r="F1628" s="150">
        <v>1</v>
      </c>
      <c r="G1628" s="150"/>
      <c r="H1628" s="150"/>
      <c r="I1628" s="151">
        <f t="shared" si="100"/>
        <v>3</v>
      </c>
      <c r="J1628" s="180"/>
    </row>
    <row r="1629" spans="1:11" s="181" customFormat="1" ht="24.75" customHeight="1">
      <c r="A1629" s="276"/>
      <c r="B1629" s="148"/>
      <c r="C1629" s="149"/>
      <c r="D1629" s="149"/>
      <c r="E1629" s="149"/>
      <c r="F1629" s="150"/>
      <c r="G1629" s="150"/>
      <c r="H1629" s="150"/>
      <c r="I1629" s="159">
        <f>SUM(I1625:I1628)</f>
        <v>17</v>
      </c>
      <c r="J1629" s="180" t="s">
        <v>77</v>
      </c>
    </row>
    <row r="1630" spans="1:11" s="181" customFormat="1" ht="18" customHeight="1">
      <c r="A1630" s="276"/>
      <c r="B1630" s="148"/>
      <c r="C1630" s="149"/>
      <c r="D1630" s="149"/>
      <c r="E1630" s="149"/>
      <c r="F1630" s="150"/>
      <c r="G1630" s="150"/>
      <c r="H1630" s="150"/>
      <c r="I1630" s="159"/>
      <c r="J1630" s="180"/>
    </row>
    <row r="1631" spans="1:11" s="181" customFormat="1">
      <c r="A1631" s="276"/>
      <c r="B1631" s="155" t="s">
        <v>399</v>
      </c>
      <c r="C1631" s="149"/>
      <c r="D1631" s="149"/>
      <c r="E1631" s="149"/>
      <c r="F1631" s="150"/>
      <c r="G1631" s="150"/>
      <c r="H1631" s="150"/>
      <c r="I1631" s="151"/>
      <c r="J1631" s="180"/>
    </row>
    <row r="1632" spans="1:11" s="181" customFormat="1">
      <c r="A1632" s="276"/>
      <c r="B1632" s="148" t="s">
        <v>400</v>
      </c>
      <c r="C1632" s="149">
        <v>1</v>
      </c>
      <c r="D1632" s="149" t="s">
        <v>73</v>
      </c>
      <c r="E1632" s="149">
        <v>1</v>
      </c>
      <c r="F1632" s="150">
        <v>13</v>
      </c>
      <c r="G1632" s="150"/>
      <c r="H1632" s="150"/>
      <c r="I1632" s="159">
        <f t="shared" ref="I1632" si="101">ROUND(PRODUCT(C1632:H1632),2)</f>
        <v>13</v>
      </c>
      <c r="J1632" s="180" t="s">
        <v>77</v>
      </c>
    </row>
    <row r="1633" spans="1:10" s="181" customFormat="1">
      <c r="A1633" s="276"/>
      <c r="B1633" s="148"/>
      <c r="C1633" s="149"/>
      <c r="D1633" s="149"/>
      <c r="E1633" s="149"/>
      <c r="F1633" s="150"/>
      <c r="G1633" s="150"/>
      <c r="H1633" s="150"/>
      <c r="I1633" s="151"/>
      <c r="J1633" s="180"/>
    </row>
    <row r="1634" spans="1:10" s="181" customFormat="1" ht="37.5">
      <c r="A1634" s="276" t="s">
        <v>1463</v>
      </c>
      <c r="B1634" s="176" t="s">
        <v>671</v>
      </c>
      <c r="C1634" s="220"/>
      <c r="D1634" s="220"/>
      <c r="E1634" s="220"/>
      <c r="F1634" s="158"/>
      <c r="G1634" s="158"/>
      <c r="H1634" s="158"/>
      <c r="I1634" s="159"/>
      <c r="J1634" s="180"/>
    </row>
    <row r="1635" spans="1:10" s="181" customFormat="1">
      <c r="A1635" s="276"/>
      <c r="B1635" s="148" t="s">
        <v>669</v>
      </c>
      <c r="C1635" s="149">
        <v>1</v>
      </c>
      <c r="D1635" s="149" t="s">
        <v>73</v>
      </c>
      <c r="E1635" s="149">
        <v>1</v>
      </c>
      <c r="F1635" s="150"/>
      <c r="G1635" s="150"/>
      <c r="H1635" s="150"/>
      <c r="I1635" s="151">
        <f>PRODUCT(C1635:H1635)</f>
        <v>1</v>
      </c>
      <c r="J1635" s="180"/>
    </row>
    <row r="1636" spans="1:10" s="181" customFormat="1">
      <c r="A1636" s="276"/>
      <c r="B1636" s="148" t="s">
        <v>670</v>
      </c>
      <c r="C1636" s="149">
        <v>1</v>
      </c>
      <c r="D1636" s="149" t="s">
        <v>73</v>
      </c>
      <c r="E1636" s="149">
        <v>4</v>
      </c>
      <c r="F1636" s="150"/>
      <c r="G1636" s="150"/>
      <c r="H1636" s="150"/>
      <c r="I1636" s="151">
        <f>PRODUCT(C1636:H1636)</f>
        <v>4</v>
      </c>
      <c r="J1636" s="221"/>
    </row>
    <row r="1637" spans="1:10" s="181" customFormat="1">
      <c r="A1637" s="276"/>
      <c r="B1637" s="148"/>
      <c r="C1637" s="149"/>
      <c r="D1637" s="149"/>
      <c r="E1637" s="149"/>
      <c r="F1637" s="158"/>
      <c r="G1637" s="158"/>
      <c r="H1637" s="158"/>
      <c r="I1637" s="159">
        <f>SUM(I1635:I1636)</f>
        <v>5</v>
      </c>
      <c r="J1637" s="180" t="s">
        <v>128</v>
      </c>
    </row>
    <row r="1638" spans="1:10" s="181" customFormat="1">
      <c r="A1638" s="276"/>
      <c r="B1638" s="148"/>
      <c r="C1638" s="149"/>
      <c r="D1638" s="149"/>
      <c r="E1638" s="149"/>
      <c r="F1638" s="158"/>
      <c r="G1638" s="158"/>
      <c r="H1638" s="158"/>
      <c r="I1638" s="159"/>
      <c r="J1638" s="180"/>
    </row>
    <row r="1639" spans="1:10" s="181" customFormat="1" ht="112.5">
      <c r="A1639" s="276" t="s">
        <v>1460</v>
      </c>
      <c r="B1639" s="251" t="s">
        <v>668</v>
      </c>
      <c r="C1639" s="162"/>
      <c r="D1639" s="162"/>
      <c r="E1639" s="162"/>
      <c r="F1639" s="228"/>
      <c r="G1639" s="228"/>
      <c r="H1639" s="228"/>
      <c r="I1639" s="159"/>
      <c r="J1639" s="180"/>
    </row>
    <row r="1640" spans="1:10" s="181" customFormat="1">
      <c r="A1640" s="276"/>
      <c r="B1640" s="252" t="s">
        <v>1461</v>
      </c>
      <c r="C1640" s="220"/>
      <c r="D1640" s="220"/>
      <c r="E1640" s="220"/>
      <c r="F1640" s="158"/>
      <c r="G1640" s="158"/>
      <c r="H1640" s="158"/>
      <c r="I1640" s="159"/>
      <c r="J1640" s="180"/>
    </row>
    <row r="1641" spans="1:10" s="181" customFormat="1">
      <c r="A1641" s="276"/>
      <c r="B1641" s="155" t="s">
        <v>562</v>
      </c>
      <c r="C1641" s="220"/>
      <c r="D1641" s="220"/>
      <c r="E1641" s="220"/>
      <c r="F1641" s="158"/>
      <c r="G1641" s="158"/>
      <c r="H1641" s="158"/>
      <c r="I1641" s="159"/>
      <c r="J1641" s="180"/>
    </row>
    <row r="1642" spans="1:10" s="181" customFormat="1">
      <c r="A1642" s="276"/>
      <c r="B1642" s="148" t="s">
        <v>563</v>
      </c>
      <c r="C1642" s="149">
        <v>1</v>
      </c>
      <c r="D1642" s="156" t="s">
        <v>73</v>
      </c>
      <c r="E1642" s="149">
        <v>2</v>
      </c>
      <c r="F1642" s="150"/>
      <c r="G1642" s="150" t="s">
        <v>512</v>
      </c>
      <c r="H1642" s="150"/>
      <c r="I1642" s="151">
        <f t="shared" ref="I1642:I1669" si="102">PRODUCT(C1642:H1642)</f>
        <v>2</v>
      </c>
      <c r="J1642" s="180"/>
    </row>
    <row r="1643" spans="1:10" s="181" customFormat="1">
      <c r="A1643" s="276"/>
      <c r="B1643" s="148" t="s">
        <v>248</v>
      </c>
      <c r="C1643" s="149">
        <v>1</v>
      </c>
      <c r="D1643" s="156" t="s">
        <v>73</v>
      </c>
      <c r="E1643" s="149">
        <v>2</v>
      </c>
      <c r="F1643" s="150"/>
      <c r="G1643" s="150"/>
      <c r="H1643" s="150"/>
      <c r="I1643" s="151">
        <f t="shared" si="102"/>
        <v>2</v>
      </c>
      <c r="J1643" s="180"/>
    </row>
    <row r="1644" spans="1:10" s="181" customFormat="1">
      <c r="A1644" s="276"/>
      <c r="B1644" s="155" t="s">
        <v>564</v>
      </c>
      <c r="C1644" s="149"/>
      <c r="D1644" s="149"/>
      <c r="E1644" s="149"/>
      <c r="F1644" s="150"/>
      <c r="G1644" s="150"/>
      <c r="H1644" s="150"/>
      <c r="I1644" s="151">
        <f t="shared" si="102"/>
        <v>0</v>
      </c>
      <c r="J1644" s="180"/>
    </row>
    <row r="1645" spans="1:10" s="181" customFormat="1">
      <c r="A1645" s="276"/>
      <c r="B1645" s="148" t="s">
        <v>298</v>
      </c>
      <c r="C1645" s="149">
        <v>1</v>
      </c>
      <c r="D1645" s="149" t="s">
        <v>73</v>
      </c>
      <c r="E1645" s="149">
        <v>2</v>
      </c>
      <c r="F1645" s="150"/>
      <c r="G1645" s="150"/>
      <c r="H1645" s="150"/>
      <c r="I1645" s="151">
        <f t="shared" si="102"/>
        <v>2</v>
      </c>
      <c r="J1645" s="180"/>
    </row>
    <row r="1646" spans="1:10" s="181" customFormat="1" ht="16.5" customHeight="1">
      <c r="A1646" s="276"/>
      <c r="B1646" s="148" t="s">
        <v>460</v>
      </c>
      <c r="C1646" s="149">
        <v>1</v>
      </c>
      <c r="D1646" s="149" t="s">
        <v>73</v>
      </c>
      <c r="E1646" s="149">
        <v>2</v>
      </c>
      <c r="F1646" s="150"/>
      <c r="G1646" s="150"/>
      <c r="H1646" s="150"/>
      <c r="I1646" s="151">
        <f t="shared" si="102"/>
        <v>2</v>
      </c>
      <c r="J1646" s="180"/>
    </row>
    <row r="1647" spans="1:10" s="181" customFormat="1">
      <c r="A1647" s="276"/>
      <c r="B1647" s="148" t="s">
        <v>553</v>
      </c>
      <c r="C1647" s="149">
        <v>1</v>
      </c>
      <c r="D1647" s="149" t="s">
        <v>73</v>
      </c>
      <c r="E1647" s="149">
        <v>1</v>
      </c>
      <c r="F1647" s="150"/>
      <c r="G1647" s="150"/>
      <c r="H1647" s="150"/>
      <c r="I1647" s="151">
        <f t="shared" si="102"/>
        <v>1</v>
      </c>
      <c r="J1647" s="180"/>
    </row>
    <row r="1648" spans="1:10" s="181" customFormat="1">
      <c r="A1648" s="276"/>
      <c r="B1648" s="148" t="s">
        <v>412</v>
      </c>
      <c r="C1648" s="149">
        <v>1</v>
      </c>
      <c r="D1648" s="149" t="s">
        <v>73</v>
      </c>
      <c r="E1648" s="149">
        <v>1</v>
      </c>
      <c r="F1648" s="150"/>
      <c r="G1648" s="150"/>
      <c r="H1648" s="150"/>
      <c r="I1648" s="151">
        <f t="shared" si="102"/>
        <v>1</v>
      </c>
      <c r="J1648" s="180"/>
    </row>
    <row r="1649" spans="1:10" s="181" customFormat="1">
      <c r="A1649" s="276"/>
      <c r="B1649" s="148" t="s">
        <v>191</v>
      </c>
      <c r="C1649" s="149">
        <v>1</v>
      </c>
      <c r="D1649" s="149" t="s">
        <v>73</v>
      </c>
      <c r="E1649" s="149">
        <v>1</v>
      </c>
      <c r="F1649" s="150"/>
      <c r="G1649" s="150"/>
      <c r="H1649" s="150"/>
      <c r="I1649" s="151">
        <f t="shared" si="102"/>
        <v>1</v>
      </c>
      <c r="J1649" s="180"/>
    </row>
    <row r="1650" spans="1:10" s="181" customFormat="1">
      <c r="A1650" s="276"/>
      <c r="B1650" s="148" t="s">
        <v>303</v>
      </c>
      <c r="C1650" s="149">
        <v>1</v>
      </c>
      <c r="D1650" s="149" t="s">
        <v>73</v>
      </c>
      <c r="E1650" s="149">
        <v>1</v>
      </c>
      <c r="F1650" s="150"/>
      <c r="G1650" s="150"/>
      <c r="H1650" s="150"/>
      <c r="I1650" s="151">
        <f t="shared" si="102"/>
        <v>1</v>
      </c>
      <c r="J1650" s="180"/>
    </row>
    <row r="1651" spans="1:10" s="181" customFormat="1">
      <c r="A1651" s="276"/>
      <c r="B1651" s="148" t="s">
        <v>554</v>
      </c>
      <c r="C1651" s="149">
        <v>1</v>
      </c>
      <c r="D1651" s="149" t="s">
        <v>73</v>
      </c>
      <c r="E1651" s="149">
        <v>1</v>
      </c>
      <c r="F1651" s="150"/>
      <c r="G1651" s="150"/>
      <c r="H1651" s="150"/>
      <c r="I1651" s="151">
        <f t="shared" si="102"/>
        <v>1</v>
      </c>
      <c r="J1651" s="180"/>
    </row>
    <row r="1652" spans="1:10" s="181" customFormat="1">
      <c r="A1652" s="276"/>
      <c r="B1652" s="148" t="s">
        <v>565</v>
      </c>
      <c r="C1652" s="149">
        <v>1</v>
      </c>
      <c r="D1652" s="149" t="s">
        <v>73</v>
      </c>
      <c r="E1652" s="149">
        <v>2</v>
      </c>
      <c r="F1652" s="150"/>
      <c r="G1652" s="150"/>
      <c r="H1652" s="150"/>
      <c r="I1652" s="151">
        <f t="shared" si="102"/>
        <v>2</v>
      </c>
      <c r="J1652" s="180"/>
    </row>
    <row r="1653" spans="1:10" s="181" customFormat="1">
      <c r="A1653" s="276"/>
      <c r="B1653" s="148" t="s">
        <v>555</v>
      </c>
      <c r="C1653" s="149">
        <v>1</v>
      </c>
      <c r="D1653" s="149" t="s">
        <v>73</v>
      </c>
      <c r="E1653" s="149">
        <v>1</v>
      </c>
      <c r="F1653" s="150"/>
      <c r="G1653" s="150"/>
      <c r="H1653" s="150"/>
      <c r="I1653" s="151">
        <f t="shared" si="102"/>
        <v>1</v>
      </c>
      <c r="J1653" s="180"/>
    </row>
    <row r="1654" spans="1:10" s="181" customFormat="1">
      <c r="A1654" s="276"/>
      <c r="B1654" s="148" t="s">
        <v>172</v>
      </c>
      <c r="C1654" s="149">
        <v>1</v>
      </c>
      <c r="D1654" s="149" t="s">
        <v>73</v>
      </c>
      <c r="E1654" s="149">
        <v>1</v>
      </c>
      <c r="F1654" s="150"/>
      <c r="G1654" s="150"/>
      <c r="H1654" s="150"/>
      <c r="I1654" s="151">
        <f t="shared" si="102"/>
        <v>1</v>
      </c>
      <c r="J1654" s="180"/>
    </row>
    <row r="1655" spans="1:10" s="181" customFormat="1">
      <c r="A1655" s="276"/>
      <c r="B1655" s="155" t="s">
        <v>566</v>
      </c>
      <c r="C1655" s="149"/>
      <c r="D1655" s="149"/>
      <c r="E1655" s="149"/>
      <c r="F1655" s="150"/>
      <c r="G1655" s="150"/>
      <c r="H1655" s="150"/>
      <c r="I1655" s="151">
        <f t="shared" si="102"/>
        <v>0</v>
      </c>
      <c r="J1655" s="180"/>
    </row>
    <row r="1656" spans="1:10" s="181" customFormat="1">
      <c r="A1656" s="276"/>
      <c r="B1656" s="148" t="s">
        <v>298</v>
      </c>
      <c r="C1656" s="149">
        <v>1</v>
      </c>
      <c r="D1656" s="149" t="s">
        <v>73</v>
      </c>
      <c r="E1656" s="149">
        <v>2</v>
      </c>
      <c r="F1656" s="150"/>
      <c r="G1656" s="150"/>
      <c r="H1656" s="150"/>
      <c r="I1656" s="151">
        <f t="shared" si="102"/>
        <v>2</v>
      </c>
      <c r="J1656" s="180"/>
    </row>
    <row r="1657" spans="1:10" s="181" customFormat="1">
      <c r="A1657" s="276"/>
      <c r="B1657" s="148" t="s">
        <v>460</v>
      </c>
      <c r="C1657" s="149">
        <v>1</v>
      </c>
      <c r="D1657" s="149" t="s">
        <v>73</v>
      </c>
      <c r="E1657" s="149">
        <v>2</v>
      </c>
      <c r="F1657" s="150"/>
      <c r="G1657" s="150"/>
      <c r="H1657" s="150"/>
      <c r="I1657" s="151">
        <f t="shared" si="102"/>
        <v>2</v>
      </c>
      <c r="J1657" s="180"/>
    </row>
    <row r="1658" spans="1:10" s="181" customFormat="1">
      <c r="A1658" s="276"/>
      <c r="B1658" s="148" t="s">
        <v>567</v>
      </c>
      <c r="C1658" s="149">
        <v>1</v>
      </c>
      <c r="D1658" s="149" t="s">
        <v>73</v>
      </c>
      <c r="E1658" s="149">
        <v>1</v>
      </c>
      <c r="F1658" s="150"/>
      <c r="G1658" s="150"/>
      <c r="H1658" s="150"/>
      <c r="I1658" s="151">
        <f t="shared" si="102"/>
        <v>1</v>
      </c>
      <c r="J1658" s="180"/>
    </row>
    <row r="1659" spans="1:10" s="181" customFormat="1">
      <c r="A1659" s="276"/>
      <c r="B1659" s="148" t="s">
        <v>310</v>
      </c>
      <c r="C1659" s="149">
        <v>1</v>
      </c>
      <c r="D1659" s="149" t="s">
        <v>73</v>
      </c>
      <c r="E1659" s="149">
        <v>2</v>
      </c>
      <c r="F1659" s="150"/>
      <c r="G1659" s="150"/>
      <c r="H1659" s="150"/>
      <c r="I1659" s="151">
        <f t="shared" si="102"/>
        <v>2</v>
      </c>
      <c r="J1659" s="180"/>
    </row>
    <row r="1660" spans="1:10" s="181" customFormat="1">
      <c r="A1660" s="276"/>
      <c r="B1660" s="148" t="s">
        <v>191</v>
      </c>
      <c r="C1660" s="149">
        <v>1</v>
      </c>
      <c r="D1660" s="149" t="s">
        <v>73</v>
      </c>
      <c r="E1660" s="149">
        <v>1</v>
      </c>
      <c r="F1660" s="150"/>
      <c r="G1660" s="150"/>
      <c r="H1660" s="150"/>
      <c r="I1660" s="151">
        <f t="shared" si="102"/>
        <v>1</v>
      </c>
      <c r="J1660" s="180"/>
    </row>
    <row r="1661" spans="1:10" s="181" customFormat="1">
      <c r="A1661" s="276"/>
      <c r="B1661" s="148"/>
      <c r="C1661" s="149"/>
      <c r="D1661" s="149"/>
      <c r="E1661" s="149"/>
      <c r="F1661" s="150"/>
      <c r="G1661" s="150"/>
      <c r="H1661" s="150"/>
      <c r="I1661" s="151"/>
      <c r="J1661" s="180"/>
    </row>
    <row r="1662" spans="1:10" s="181" customFormat="1">
      <c r="A1662" s="276"/>
      <c r="B1662" s="148" t="s">
        <v>412</v>
      </c>
      <c r="C1662" s="149">
        <v>1</v>
      </c>
      <c r="D1662" s="149" t="s">
        <v>73</v>
      </c>
      <c r="E1662" s="149">
        <v>1</v>
      </c>
      <c r="F1662" s="150"/>
      <c r="G1662" s="150"/>
      <c r="H1662" s="150"/>
      <c r="I1662" s="151">
        <f t="shared" si="102"/>
        <v>1</v>
      </c>
      <c r="J1662" s="180"/>
    </row>
    <row r="1663" spans="1:10" s="181" customFormat="1">
      <c r="A1663" s="276"/>
      <c r="B1663" s="148" t="s">
        <v>565</v>
      </c>
      <c r="C1663" s="149">
        <v>1</v>
      </c>
      <c r="D1663" s="149" t="s">
        <v>73</v>
      </c>
      <c r="E1663" s="149">
        <v>2</v>
      </c>
      <c r="F1663" s="150"/>
      <c r="G1663" s="150"/>
      <c r="H1663" s="150"/>
      <c r="I1663" s="151">
        <f t="shared" si="102"/>
        <v>2</v>
      </c>
      <c r="J1663" s="180"/>
    </row>
    <row r="1664" spans="1:10" s="181" customFormat="1">
      <c r="A1664" s="276"/>
      <c r="B1664" s="148" t="s">
        <v>172</v>
      </c>
      <c r="C1664" s="149">
        <v>1</v>
      </c>
      <c r="D1664" s="149" t="s">
        <v>73</v>
      </c>
      <c r="E1664" s="149">
        <v>1</v>
      </c>
      <c r="F1664" s="150"/>
      <c r="G1664" s="150"/>
      <c r="H1664" s="150"/>
      <c r="I1664" s="151">
        <f t="shared" si="102"/>
        <v>1</v>
      </c>
      <c r="J1664" s="180"/>
    </row>
    <row r="1665" spans="1:10" s="181" customFormat="1">
      <c r="A1665" s="276"/>
      <c r="B1665" s="155" t="s">
        <v>568</v>
      </c>
      <c r="C1665" s="149"/>
      <c r="D1665" s="149"/>
      <c r="E1665" s="149"/>
      <c r="F1665" s="150"/>
      <c r="G1665" s="150"/>
      <c r="H1665" s="150"/>
      <c r="I1665" s="151">
        <f t="shared" si="102"/>
        <v>0</v>
      </c>
      <c r="J1665" s="180"/>
    </row>
    <row r="1666" spans="1:10" s="181" customFormat="1">
      <c r="A1666" s="276"/>
      <c r="B1666" s="148" t="s">
        <v>569</v>
      </c>
      <c r="C1666" s="149">
        <v>2</v>
      </c>
      <c r="D1666" s="149" t="s">
        <v>73</v>
      </c>
      <c r="E1666" s="149">
        <v>2</v>
      </c>
      <c r="F1666" s="150"/>
      <c r="G1666" s="150"/>
      <c r="H1666" s="150"/>
      <c r="I1666" s="151">
        <f t="shared" si="102"/>
        <v>4</v>
      </c>
      <c r="J1666" s="180"/>
    </row>
    <row r="1667" spans="1:10" s="181" customFormat="1">
      <c r="A1667" s="276"/>
      <c r="B1667" s="148" t="s">
        <v>570</v>
      </c>
      <c r="C1667" s="149">
        <v>1</v>
      </c>
      <c r="D1667" s="149" t="s">
        <v>73</v>
      </c>
      <c r="E1667" s="149">
        <v>2</v>
      </c>
      <c r="F1667" s="150"/>
      <c r="G1667" s="150"/>
      <c r="H1667" s="150"/>
      <c r="I1667" s="151">
        <f t="shared" si="102"/>
        <v>2</v>
      </c>
      <c r="J1667" s="180"/>
    </row>
    <row r="1668" spans="1:10" s="181" customFormat="1">
      <c r="A1668" s="276"/>
      <c r="B1668" s="148" t="s">
        <v>160</v>
      </c>
      <c r="C1668" s="149">
        <v>1</v>
      </c>
      <c r="D1668" s="149" t="s">
        <v>73</v>
      </c>
      <c r="E1668" s="149">
        <v>2</v>
      </c>
      <c r="F1668" s="150"/>
      <c r="G1668" s="150"/>
      <c r="H1668" s="150"/>
      <c r="I1668" s="151">
        <f t="shared" si="102"/>
        <v>2</v>
      </c>
      <c r="J1668" s="180"/>
    </row>
    <row r="1669" spans="1:10" s="181" customFormat="1">
      <c r="A1669" s="276"/>
      <c r="B1669" s="148" t="s">
        <v>571</v>
      </c>
      <c r="C1669" s="149">
        <v>1</v>
      </c>
      <c r="D1669" s="149" t="s">
        <v>73</v>
      </c>
      <c r="E1669" s="149">
        <v>2</v>
      </c>
      <c r="F1669" s="150"/>
      <c r="G1669" s="150"/>
      <c r="H1669" s="150"/>
      <c r="I1669" s="151">
        <f t="shared" si="102"/>
        <v>2</v>
      </c>
      <c r="J1669" s="180"/>
    </row>
    <row r="1670" spans="1:10" s="181" customFormat="1">
      <c r="A1670" s="276"/>
      <c r="B1670" s="148"/>
      <c r="C1670" s="149"/>
      <c r="D1670" s="149"/>
      <c r="E1670" s="149"/>
      <c r="F1670" s="150"/>
      <c r="G1670" s="150"/>
      <c r="H1670" s="150"/>
      <c r="I1670" s="159">
        <f>SUM(I1642:I1669)</f>
        <v>39</v>
      </c>
      <c r="J1670" s="180" t="s">
        <v>128</v>
      </c>
    </row>
    <row r="1671" spans="1:10" s="181" customFormat="1">
      <c r="A1671" s="276"/>
      <c r="B1671" s="148"/>
      <c r="C1671" s="149"/>
      <c r="D1671" s="149"/>
      <c r="E1671" s="149"/>
      <c r="F1671" s="150"/>
      <c r="G1671" s="150"/>
      <c r="H1671" s="150"/>
      <c r="I1671" s="159"/>
      <c r="J1671" s="180"/>
    </row>
    <row r="1672" spans="1:10" s="181" customFormat="1">
      <c r="A1672" s="276"/>
      <c r="B1672" s="155" t="s">
        <v>1462</v>
      </c>
      <c r="C1672" s="149"/>
      <c r="D1672" s="149"/>
      <c r="E1672" s="149"/>
      <c r="F1672" s="150"/>
      <c r="G1672" s="150"/>
      <c r="H1672" s="150"/>
      <c r="I1672" s="159"/>
      <c r="J1672" s="180"/>
    </row>
    <row r="1673" spans="1:10" s="181" customFormat="1">
      <c r="A1673" s="276"/>
      <c r="B1673" s="148" t="s">
        <v>669</v>
      </c>
      <c r="C1673" s="149">
        <v>1</v>
      </c>
      <c r="D1673" s="149" t="s">
        <v>73</v>
      </c>
      <c r="E1673" s="149">
        <v>1</v>
      </c>
      <c r="F1673" s="150"/>
      <c r="G1673" s="150"/>
      <c r="H1673" s="150"/>
      <c r="I1673" s="151">
        <f>PRODUCT(C1673:H1673)</f>
        <v>1</v>
      </c>
      <c r="J1673" s="180"/>
    </row>
    <row r="1674" spans="1:10" s="181" customFormat="1">
      <c r="A1674" s="276"/>
      <c r="B1674" s="148" t="s">
        <v>670</v>
      </c>
      <c r="C1674" s="149">
        <v>1</v>
      </c>
      <c r="D1674" s="149" t="s">
        <v>73</v>
      </c>
      <c r="E1674" s="149">
        <v>4</v>
      </c>
      <c r="F1674" s="150"/>
      <c r="G1674" s="150"/>
      <c r="H1674" s="150"/>
      <c r="I1674" s="151">
        <f>PRODUCT(C1674:H1674)</f>
        <v>4</v>
      </c>
      <c r="J1674" s="180"/>
    </row>
    <row r="1675" spans="1:10" s="181" customFormat="1">
      <c r="A1675" s="276"/>
      <c r="B1675" s="148"/>
      <c r="C1675" s="149"/>
      <c r="D1675" s="149"/>
      <c r="E1675" s="149"/>
      <c r="F1675" s="158"/>
      <c r="G1675" s="158"/>
      <c r="H1675" s="158"/>
      <c r="I1675" s="159">
        <f>SUM(I1673:I1674)</f>
        <v>5</v>
      </c>
      <c r="J1675" s="180" t="s">
        <v>128</v>
      </c>
    </row>
    <row r="1676" spans="1:10" s="181" customFormat="1">
      <c r="A1676" s="276"/>
      <c r="B1676" s="148"/>
      <c r="C1676" s="149"/>
      <c r="D1676" s="149"/>
      <c r="E1676" s="149"/>
      <c r="F1676" s="158"/>
      <c r="G1676" s="158"/>
      <c r="H1676" s="158"/>
      <c r="I1676" s="159"/>
      <c r="J1676" s="180"/>
    </row>
    <row r="1677" spans="1:10" s="181" customFormat="1" ht="131.25">
      <c r="A1677" s="246">
        <v>344.2</v>
      </c>
      <c r="B1677" s="178" t="s">
        <v>634</v>
      </c>
      <c r="C1677" s="149"/>
      <c r="D1677" s="149"/>
      <c r="E1677" s="149"/>
      <c r="F1677" s="150"/>
      <c r="G1677" s="150"/>
      <c r="H1677" s="150"/>
      <c r="I1677" s="151"/>
      <c r="J1677" s="180"/>
    </row>
    <row r="1678" spans="1:10" s="181" customFormat="1">
      <c r="A1678" s="276"/>
      <c r="B1678" s="206" t="s">
        <v>635</v>
      </c>
      <c r="C1678" s="217">
        <v>1</v>
      </c>
      <c r="D1678" s="239" t="s">
        <v>73</v>
      </c>
      <c r="E1678" s="217">
        <v>10</v>
      </c>
      <c r="F1678" s="168"/>
      <c r="G1678" s="168"/>
      <c r="H1678" s="168"/>
      <c r="I1678" s="151">
        <f>ROUND(PRODUCT(C1678:H1678),2)</f>
        <v>10</v>
      </c>
      <c r="J1678" s="180"/>
    </row>
    <row r="1679" spans="1:10" s="181" customFormat="1">
      <c r="A1679" s="169"/>
      <c r="B1679" s="148"/>
      <c r="C1679" s="149"/>
      <c r="D1679" s="149"/>
      <c r="E1679" s="149"/>
      <c r="F1679" s="150"/>
      <c r="G1679" s="224" t="s">
        <v>11</v>
      </c>
      <c r="H1679" s="150"/>
      <c r="I1679" s="159">
        <f>I1678</f>
        <v>10</v>
      </c>
      <c r="J1679" s="180" t="s">
        <v>128</v>
      </c>
    </row>
    <row r="1680" spans="1:10" s="181" customFormat="1">
      <c r="A1680" s="169"/>
      <c r="B1680" s="148"/>
      <c r="C1680" s="149"/>
      <c r="D1680" s="149"/>
      <c r="E1680" s="149"/>
      <c r="F1680" s="150"/>
      <c r="G1680" s="224"/>
      <c r="H1680" s="150"/>
      <c r="I1680" s="159"/>
      <c r="J1680" s="180"/>
    </row>
    <row r="1681" spans="1:10" s="181" customFormat="1" ht="64.5" customHeight="1">
      <c r="A1681" s="276" t="s">
        <v>58</v>
      </c>
      <c r="B1681" s="183" t="s">
        <v>638</v>
      </c>
      <c r="C1681" s="149"/>
      <c r="D1681" s="149"/>
      <c r="E1681" s="149"/>
      <c r="F1681" s="150"/>
      <c r="G1681" s="158"/>
      <c r="H1681" s="150"/>
      <c r="I1681" s="159"/>
      <c r="J1681" s="180"/>
    </row>
    <row r="1682" spans="1:10" s="181" customFormat="1">
      <c r="A1682" s="179"/>
      <c r="B1682" s="148" t="s">
        <v>639</v>
      </c>
      <c r="C1682" s="149">
        <v>1</v>
      </c>
      <c r="D1682" s="149" t="s">
        <v>73</v>
      </c>
      <c r="E1682" s="149">
        <v>6</v>
      </c>
      <c r="F1682" s="150">
        <v>1.2</v>
      </c>
      <c r="G1682" s="150">
        <v>1.2</v>
      </c>
      <c r="H1682" s="150"/>
      <c r="I1682" s="151">
        <f>ROUND(PRODUCT(C1682:H1682),2)</f>
        <v>8.64</v>
      </c>
      <c r="J1682" s="180"/>
    </row>
    <row r="1683" spans="1:10" s="181" customFormat="1">
      <c r="A1683" s="276"/>
      <c r="B1683" s="148" t="s">
        <v>1366</v>
      </c>
      <c r="C1683" s="149">
        <v>3</v>
      </c>
      <c r="D1683" s="156" t="s">
        <v>73</v>
      </c>
      <c r="E1683" s="149">
        <v>22</v>
      </c>
      <c r="F1683" s="150">
        <v>1.2</v>
      </c>
      <c r="G1683" s="150">
        <v>0.3</v>
      </c>
      <c r="H1683" s="150"/>
      <c r="I1683" s="151">
        <f t="shared" ref="I1683:I1691" si="103">ROUND(PRODUCT(C1683:H1683),2)</f>
        <v>23.76</v>
      </c>
      <c r="J1683" s="180"/>
    </row>
    <row r="1684" spans="1:10" s="154" customFormat="1" ht="35.25" customHeight="1">
      <c r="B1684" s="148" t="s">
        <v>1367</v>
      </c>
      <c r="C1684" s="149">
        <v>3</v>
      </c>
      <c r="D1684" s="156" t="s">
        <v>73</v>
      </c>
      <c r="E1684" s="149">
        <v>22</v>
      </c>
      <c r="F1684" s="150">
        <v>1.2</v>
      </c>
      <c r="G1684" s="150"/>
      <c r="H1684" s="150">
        <v>0.15</v>
      </c>
      <c r="I1684" s="151">
        <f t="shared" si="103"/>
        <v>11.88</v>
      </c>
      <c r="J1684" s="213"/>
    </row>
    <row r="1685" spans="1:10" s="154" customFormat="1" ht="20.25" customHeight="1">
      <c r="A1685" s="179"/>
      <c r="B1685" s="148" t="s">
        <v>640</v>
      </c>
      <c r="C1685" s="149">
        <v>1</v>
      </c>
      <c r="D1685" s="156" t="s">
        <v>73</v>
      </c>
      <c r="E1685" s="149">
        <v>3</v>
      </c>
      <c r="F1685" s="150">
        <v>1.2</v>
      </c>
      <c r="G1685" s="150">
        <v>0.6</v>
      </c>
      <c r="H1685" s="150"/>
      <c r="I1685" s="151">
        <f t="shared" si="103"/>
        <v>2.16</v>
      </c>
      <c r="J1685" s="213"/>
    </row>
    <row r="1686" spans="1:10" s="154" customFormat="1">
      <c r="A1686" s="179"/>
      <c r="B1686" s="148" t="s">
        <v>640</v>
      </c>
      <c r="C1686" s="149">
        <v>1</v>
      </c>
      <c r="D1686" s="156" t="s">
        <v>73</v>
      </c>
      <c r="E1686" s="149">
        <v>3</v>
      </c>
      <c r="F1686" s="150">
        <v>1.2</v>
      </c>
      <c r="G1686" s="150">
        <v>0.23</v>
      </c>
      <c r="H1686" s="150"/>
      <c r="I1686" s="151">
        <f t="shared" si="103"/>
        <v>0.83</v>
      </c>
      <c r="J1686" s="349"/>
    </row>
    <row r="1687" spans="1:10" s="154" customFormat="1">
      <c r="A1687" s="179"/>
      <c r="B1687" s="148" t="s">
        <v>641</v>
      </c>
      <c r="C1687" s="149">
        <v>3</v>
      </c>
      <c r="D1687" s="156" t="s">
        <v>73</v>
      </c>
      <c r="E1687" s="149">
        <v>22</v>
      </c>
      <c r="F1687" s="150">
        <v>0.3</v>
      </c>
      <c r="G1687" s="150"/>
      <c r="H1687" s="150">
        <v>0.15</v>
      </c>
      <c r="I1687" s="151">
        <f>ROUND(PRODUCT(C1687:H1687),2)</f>
        <v>2.97</v>
      </c>
      <c r="J1687" s="349"/>
    </row>
    <row r="1688" spans="1:10" s="181" customFormat="1" ht="25.5" customHeight="1">
      <c r="B1688" s="148" t="s">
        <v>642</v>
      </c>
      <c r="C1688" s="149">
        <v>3</v>
      </c>
      <c r="D1688" s="156" t="s">
        <v>73</v>
      </c>
      <c r="E1688" s="149">
        <v>22</v>
      </c>
      <c r="F1688" s="150">
        <v>0.15</v>
      </c>
      <c r="G1688" s="150"/>
      <c r="H1688" s="150">
        <v>0.15</v>
      </c>
      <c r="I1688" s="151">
        <f t="shared" si="103"/>
        <v>1.49</v>
      </c>
      <c r="J1688" s="180"/>
    </row>
    <row r="1689" spans="1:10" s="181" customFormat="1" ht="17.25" customHeight="1">
      <c r="A1689" s="276"/>
      <c r="B1689" s="148" t="s">
        <v>643</v>
      </c>
      <c r="C1689" s="149">
        <v>1</v>
      </c>
      <c r="D1689" s="156" t="s">
        <v>73</v>
      </c>
      <c r="E1689" s="149">
        <v>6</v>
      </c>
      <c r="F1689" s="150">
        <v>2.7</v>
      </c>
      <c r="G1689" s="150"/>
      <c r="H1689" s="150">
        <v>0.15</v>
      </c>
      <c r="I1689" s="151">
        <f t="shared" si="103"/>
        <v>2.4300000000000002</v>
      </c>
      <c r="J1689" s="180"/>
    </row>
    <row r="1690" spans="1:10" s="181" customFormat="1" ht="18.75" customHeight="1">
      <c r="A1690" s="276"/>
      <c r="B1690" s="148" t="s">
        <v>644</v>
      </c>
      <c r="C1690" s="149">
        <v>2</v>
      </c>
      <c r="D1690" s="156" t="s">
        <v>73</v>
      </c>
      <c r="E1690" s="149">
        <v>3</v>
      </c>
      <c r="F1690" s="150">
        <v>0.6</v>
      </c>
      <c r="G1690" s="150"/>
      <c r="H1690" s="150">
        <v>0.15</v>
      </c>
      <c r="I1690" s="151">
        <f t="shared" si="103"/>
        <v>0.54</v>
      </c>
      <c r="J1690" s="180"/>
    </row>
    <row r="1691" spans="1:10" s="181" customFormat="1" ht="18" customHeight="1">
      <c r="A1691" s="276"/>
      <c r="B1691" s="148" t="s">
        <v>1368</v>
      </c>
      <c r="C1691" s="149">
        <v>2</v>
      </c>
      <c r="D1691" s="156" t="s">
        <v>73</v>
      </c>
      <c r="E1691" s="149">
        <v>3</v>
      </c>
      <c r="F1691" s="150">
        <v>3</v>
      </c>
      <c r="G1691" s="150">
        <v>0.45</v>
      </c>
      <c r="H1691" s="150"/>
      <c r="I1691" s="151">
        <f t="shared" si="103"/>
        <v>8.1</v>
      </c>
      <c r="J1691" s="180"/>
    </row>
    <row r="1692" spans="1:10" s="181" customFormat="1" ht="19.5" customHeight="1">
      <c r="A1692" s="276"/>
      <c r="B1692" s="148"/>
      <c r="C1692" s="149"/>
      <c r="D1692" s="156"/>
      <c r="E1692" s="149"/>
      <c r="F1692" s="150"/>
      <c r="G1692" s="224" t="s">
        <v>11</v>
      </c>
      <c r="H1692" s="150"/>
      <c r="I1692" s="159">
        <f>SUM(I1682:I1691)</f>
        <v>62.800000000000011</v>
      </c>
      <c r="J1692" s="180" t="s">
        <v>75</v>
      </c>
    </row>
    <row r="1693" spans="1:10" s="181" customFormat="1" ht="19.5" customHeight="1">
      <c r="A1693" s="276"/>
      <c r="B1693" s="148"/>
      <c r="C1693" s="149"/>
      <c r="D1693" s="156"/>
      <c r="E1693" s="149"/>
      <c r="F1693" s="150"/>
      <c r="G1693" s="228"/>
      <c r="H1693" s="224"/>
      <c r="I1693" s="159"/>
      <c r="J1693" s="180"/>
    </row>
    <row r="1694" spans="1:10" s="181" customFormat="1" ht="108.75" customHeight="1">
      <c r="A1694" s="362"/>
      <c r="B1694" s="455" t="s">
        <v>629</v>
      </c>
      <c r="C1694" s="456"/>
      <c r="D1694" s="456"/>
      <c r="E1694" s="456"/>
      <c r="F1694" s="457"/>
      <c r="G1694" s="457"/>
      <c r="H1694" s="457"/>
      <c r="I1694" s="458"/>
      <c r="J1694" s="459"/>
    </row>
    <row r="1695" spans="1:10" s="181" customFormat="1">
      <c r="A1695" s="460"/>
      <c r="B1695" s="461" t="s">
        <v>1752</v>
      </c>
      <c r="C1695" s="456">
        <v>1</v>
      </c>
      <c r="D1695" s="456" t="s">
        <v>73</v>
      </c>
      <c r="E1695" s="456">
        <v>2</v>
      </c>
      <c r="F1695" s="457"/>
      <c r="G1695" s="457"/>
      <c r="H1695" s="457"/>
      <c r="I1695" s="462">
        <f>PRODUCT(C1695:H1695)</f>
        <v>2</v>
      </c>
      <c r="J1695" s="459"/>
    </row>
    <row r="1696" spans="1:10" s="154" customFormat="1" ht="18" customHeight="1">
      <c r="A1696" s="362"/>
      <c r="B1696" s="463"/>
      <c r="C1696" s="464"/>
      <c r="D1696" s="463"/>
      <c r="E1696" s="464"/>
      <c r="F1696" s="465"/>
      <c r="G1696" s="465"/>
      <c r="H1696" s="465"/>
      <c r="I1696" s="466">
        <f>SUM(I1695:I1695)</f>
        <v>2</v>
      </c>
      <c r="J1696" s="459" t="s">
        <v>128</v>
      </c>
    </row>
    <row r="1697" spans="1:10" s="154" customFormat="1" ht="18" customHeight="1">
      <c r="A1697" s="362"/>
      <c r="B1697" s="463"/>
      <c r="C1697" s="464"/>
      <c r="D1697" s="463"/>
      <c r="E1697" s="464"/>
      <c r="F1697" s="465"/>
      <c r="G1697" s="465"/>
      <c r="H1697" s="465"/>
      <c r="I1697" s="466"/>
      <c r="J1697" s="459"/>
    </row>
    <row r="1698" spans="1:10" s="181" customFormat="1" ht="100.5" customHeight="1">
      <c r="A1698" s="350">
        <v>16.399999999999999</v>
      </c>
      <c r="B1698" s="188" t="s">
        <v>347</v>
      </c>
      <c r="C1698" s="189"/>
      <c r="D1698" s="189"/>
      <c r="E1698" s="189"/>
      <c r="F1698" s="190"/>
      <c r="G1698" s="190"/>
      <c r="H1698" s="190"/>
      <c r="I1698" s="191"/>
      <c r="J1698" s="195"/>
    </row>
    <row r="1699" spans="1:10" s="181" customFormat="1">
      <c r="A1699" s="350"/>
      <c r="B1699" s="188" t="s">
        <v>1500</v>
      </c>
      <c r="C1699" s="189">
        <v>1</v>
      </c>
      <c r="D1699" s="189" t="s">
        <v>73</v>
      </c>
      <c r="E1699" s="189">
        <v>10</v>
      </c>
      <c r="F1699" s="190">
        <v>1.2</v>
      </c>
      <c r="G1699" s="190"/>
      <c r="H1699" s="190">
        <v>0.6</v>
      </c>
      <c r="I1699" s="151">
        <f>ROUND(PRODUCT(C1699:H1699),2)</f>
        <v>7.2</v>
      </c>
      <c r="J1699" s="195" t="s">
        <v>75</v>
      </c>
    </row>
    <row r="1700" spans="1:10" s="181" customFormat="1">
      <c r="A1700" s="350"/>
      <c r="B1700" s="148"/>
      <c r="C1700" s="149"/>
      <c r="D1700" s="149"/>
      <c r="E1700" s="149"/>
      <c r="F1700" s="150"/>
      <c r="G1700" s="150"/>
      <c r="H1700" s="158"/>
      <c r="I1700" s="160"/>
      <c r="J1700" s="359"/>
    </row>
    <row r="1701" spans="1:10" s="181" customFormat="1" ht="16.5" customHeight="1">
      <c r="A1701" s="276">
        <v>46</v>
      </c>
      <c r="B1701" s="198" t="s">
        <v>360</v>
      </c>
      <c r="C1701" s="149"/>
      <c r="D1701" s="149"/>
      <c r="E1701" s="149"/>
      <c r="F1701" s="150"/>
      <c r="G1701" s="150"/>
      <c r="H1701" s="150"/>
      <c r="I1701" s="205"/>
      <c r="J1701" s="180"/>
    </row>
    <row r="1702" spans="1:10" s="181" customFormat="1" ht="16.5" customHeight="1">
      <c r="A1702" s="276"/>
      <c r="B1702" s="148"/>
      <c r="C1702" s="149"/>
      <c r="D1702" s="149"/>
      <c r="E1702" s="149"/>
      <c r="F1702" s="150"/>
      <c r="G1702" s="150"/>
      <c r="H1702" s="150"/>
      <c r="I1702" s="151"/>
      <c r="J1702" s="180"/>
    </row>
    <row r="1703" spans="1:10" s="181" customFormat="1">
      <c r="A1703" s="276"/>
      <c r="B1703" s="148"/>
      <c r="C1703" s="149"/>
      <c r="D1703" s="149"/>
      <c r="E1703" s="149"/>
      <c r="F1703" s="150"/>
      <c r="G1703" s="158" t="s">
        <v>11</v>
      </c>
      <c r="H1703" s="150"/>
      <c r="I1703" s="160">
        <f>SUM(I1702:I1702)</f>
        <v>0</v>
      </c>
      <c r="J1703" s="180" t="s">
        <v>76</v>
      </c>
    </row>
    <row r="1704" spans="1:10" s="181" customFormat="1">
      <c r="A1704" s="276"/>
      <c r="B1704" s="148"/>
      <c r="C1704" s="149"/>
      <c r="D1704" s="149"/>
      <c r="E1704" s="149"/>
      <c r="F1704" s="150"/>
      <c r="G1704" s="158"/>
      <c r="H1704" s="150"/>
      <c r="I1704" s="160"/>
      <c r="J1704" s="180"/>
    </row>
    <row r="1705" spans="1:10" s="181" customFormat="1" ht="17.25" customHeight="1">
      <c r="A1705" s="276" t="s">
        <v>61</v>
      </c>
      <c r="B1705" s="277"/>
      <c r="C1705" s="277"/>
      <c r="D1705" s="277"/>
      <c r="E1705" s="277"/>
      <c r="F1705" s="277"/>
      <c r="G1705" s="277"/>
      <c r="H1705" s="277"/>
      <c r="I1705" s="278"/>
      <c r="J1705" s="213"/>
    </row>
    <row r="1706" spans="1:10" s="181" customFormat="1" ht="15" customHeight="1">
      <c r="A1706" s="276"/>
      <c r="B1706" s="148"/>
      <c r="C1706" s="149"/>
      <c r="D1706" s="149"/>
      <c r="E1706" s="149"/>
      <c r="F1706" s="150"/>
      <c r="G1706" s="150"/>
      <c r="H1706" s="158"/>
      <c r="I1706" s="159"/>
      <c r="J1706" s="180"/>
    </row>
    <row r="1707" spans="1:10" s="181" customFormat="1">
      <c r="A1707" s="276"/>
      <c r="B1707" s="148"/>
      <c r="C1707" s="149"/>
      <c r="D1707" s="149"/>
      <c r="E1707" s="149"/>
      <c r="F1707" s="150"/>
      <c r="G1707" s="150"/>
      <c r="H1707" s="158"/>
      <c r="I1707" s="159"/>
      <c r="J1707" s="180"/>
    </row>
    <row r="1708" spans="1:10" s="181" customFormat="1" ht="56.25">
      <c r="A1708" s="362" t="s">
        <v>472</v>
      </c>
      <c r="B1708" s="467" t="s">
        <v>473</v>
      </c>
      <c r="C1708" s="377"/>
      <c r="D1708" s="377"/>
      <c r="E1708" s="377"/>
      <c r="F1708" s="378"/>
      <c r="G1708" s="468"/>
      <c r="H1708" s="378"/>
      <c r="I1708" s="379"/>
      <c r="J1708" s="459"/>
    </row>
    <row r="1709" spans="1:10" s="181" customFormat="1" ht="21" customHeight="1">
      <c r="A1709" s="469"/>
      <c r="B1709" s="467" t="s">
        <v>474</v>
      </c>
      <c r="C1709" s="377"/>
      <c r="D1709" s="377"/>
      <c r="E1709" s="377"/>
      <c r="F1709" s="378"/>
      <c r="G1709" s="468"/>
      <c r="H1709" s="378"/>
      <c r="I1709" s="379"/>
      <c r="J1709" s="459"/>
    </row>
    <row r="1710" spans="1:10" s="181" customFormat="1" ht="22.5" customHeight="1">
      <c r="A1710" s="460"/>
      <c r="B1710" s="470" t="s">
        <v>475</v>
      </c>
      <c r="C1710" s="377">
        <v>1</v>
      </c>
      <c r="D1710" s="377" t="s">
        <v>73</v>
      </c>
      <c r="E1710" s="377">
        <v>1</v>
      </c>
      <c r="F1710" s="378"/>
      <c r="G1710" s="468"/>
      <c r="H1710" s="378"/>
      <c r="I1710" s="462">
        <f>ROUND(PRODUCT(C1710:H1710),2)</f>
        <v>1</v>
      </c>
      <c r="J1710" s="459"/>
    </row>
    <row r="1711" spans="1:10" s="181" customFormat="1" ht="16.5" customHeight="1">
      <c r="A1711" s="362"/>
      <c r="B1711" s="470" t="s">
        <v>333</v>
      </c>
      <c r="C1711" s="377">
        <v>1</v>
      </c>
      <c r="D1711" s="377" t="s">
        <v>73</v>
      </c>
      <c r="E1711" s="377">
        <v>2</v>
      </c>
      <c r="F1711" s="378"/>
      <c r="G1711" s="468"/>
      <c r="H1711" s="378"/>
      <c r="I1711" s="462">
        <f>ROUND(PRODUCT(C1711:H1711),2)</f>
        <v>2</v>
      </c>
      <c r="J1711" s="459"/>
    </row>
    <row r="1712" spans="1:10" s="181" customFormat="1">
      <c r="A1712" s="362"/>
      <c r="B1712" s="467"/>
      <c r="C1712" s="377"/>
      <c r="D1712" s="377"/>
      <c r="E1712" s="377"/>
      <c r="F1712" s="378"/>
      <c r="G1712" s="468" t="s">
        <v>11</v>
      </c>
      <c r="H1712" s="378"/>
      <c r="I1712" s="379">
        <f>SUM(I1710:I1711)</f>
        <v>3</v>
      </c>
      <c r="J1712" s="459" t="s">
        <v>128</v>
      </c>
    </row>
    <row r="1713" spans="1:10" s="181" customFormat="1">
      <c r="A1713" s="362"/>
      <c r="B1713" s="467"/>
      <c r="C1713" s="377"/>
      <c r="D1713" s="377"/>
      <c r="E1713" s="377"/>
      <c r="F1713" s="378"/>
      <c r="G1713" s="468"/>
      <c r="H1713" s="378"/>
      <c r="I1713" s="379"/>
      <c r="J1713" s="459"/>
    </row>
    <row r="1714" spans="1:10" s="181" customFormat="1">
      <c r="A1714" s="362"/>
      <c r="B1714" s="467" t="s">
        <v>476</v>
      </c>
      <c r="C1714" s="377"/>
      <c r="D1714" s="377"/>
      <c r="E1714" s="377"/>
      <c r="F1714" s="378"/>
      <c r="G1714" s="468"/>
      <c r="H1714" s="378"/>
      <c r="I1714" s="379"/>
      <c r="J1714" s="459"/>
    </row>
    <row r="1715" spans="1:10" s="181" customFormat="1">
      <c r="A1715" s="362"/>
      <c r="B1715" s="470" t="s">
        <v>477</v>
      </c>
      <c r="C1715" s="377">
        <v>1</v>
      </c>
      <c r="D1715" s="377" t="s">
        <v>73</v>
      </c>
      <c r="E1715" s="377">
        <v>1</v>
      </c>
      <c r="F1715" s="378"/>
      <c r="G1715" s="468"/>
      <c r="H1715" s="378"/>
      <c r="I1715" s="462">
        <f>ROUND(PRODUCT(C1715:H1715),2)</f>
        <v>1</v>
      </c>
      <c r="J1715" s="459"/>
    </row>
    <row r="1716" spans="1:10" s="181" customFormat="1" ht="21.75" customHeight="1">
      <c r="A1716" s="469"/>
      <c r="B1716" s="470" t="s">
        <v>475</v>
      </c>
      <c r="C1716" s="377">
        <v>1</v>
      </c>
      <c r="D1716" s="377" t="s">
        <v>73</v>
      </c>
      <c r="E1716" s="377">
        <v>6</v>
      </c>
      <c r="F1716" s="378"/>
      <c r="G1716" s="468"/>
      <c r="H1716" s="378"/>
      <c r="I1716" s="462">
        <f>ROUND(PRODUCT(C1716:H1716),2)</f>
        <v>6</v>
      </c>
      <c r="J1716" s="459"/>
    </row>
    <row r="1717" spans="1:10" s="181" customFormat="1">
      <c r="A1717" s="362"/>
      <c r="B1717" s="470" t="s">
        <v>478</v>
      </c>
      <c r="C1717" s="377">
        <v>1</v>
      </c>
      <c r="D1717" s="377" t="s">
        <v>73</v>
      </c>
      <c r="E1717" s="377">
        <v>5</v>
      </c>
      <c r="F1717" s="378"/>
      <c r="G1717" s="468"/>
      <c r="H1717" s="378"/>
      <c r="I1717" s="462">
        <f>ROUND(PRODUCT(C1717:H1717),2)</f>
        <v>5</v>
      </c>
      <c r="J1717" s="459"/>
    </row>
    <row r="1718" spans="1:10" s="181" customFormat="1">
      <c r="A1718" s="362"/>
      <c r="B1718" s="470" t="s">
        <v>124</v>
      </c>
      <c r="C1718" s="377">
        <v>1</v>
      </c>
      <c r="D1718" s="377" t="s">
        <v>73</v>
      </c>
      <c r="E1718" s="377">
        <v>2</v>
      </c>
      <c r="F1718" s="378"/>
      <c r="G1718" s="468"/>
      <c r="H1718" s="378"/>
      <c r="I1718" s="462">
        <f>ROUND(PRODUCT(C1718:H1718),2)</f>
        <v>2</v>
      </c>
      <c r="J1718" s="459"/>
    </row>
    <row r="1719" spans="1:10" s="181" customFormat="1">
      <c r="A1719" s="362"/>
      <c r="B1719" s="471"/>
      <c r="C1719" s="377"/>
      <c r="D1719" s="377"/>
      <c r="E1719" s="377"/>
      <c r="F1719" s="378"/>
      <c r="G1719" s="468" t="s">
        <v>11</v>
      </c>
      <c r="H1719" s="378"/>
      <c r="I1719" s="379">
        <f>SUM(I1715:I1718)</f>
        <v>14</v>
      </c>
      <c r="J1719" s="459" t="s">
        <v>128</v>
      </c>
    </row>
    <row r="1720" spans="1:10" s="181" customFormat="1">
      <c r="A1720" s="362"/>
      <c r="B1720" s="471"/>
      <c r="C1720" s="377"/>
      <c r="D1720" s="377"/>
      <c r="E1720" s="377"/>
      <c r="F1720" s="378"/>
      <c r="G1720" s="468"/>
      <c r="H1720" s="378"/>
      <c r="I1720" s="379"/>
      <c r="J1720" s="459"/>
    </row>
    <row r="1721" spans="1:10" s="181" customFormat="1" ht="19.5" customHeight="1">
      <c r="A1721" s="276">
        <v>361.5</v>
      </c>
      <c r="B1721" s="155" t="s">
        <v>645</v>
      </c>
      <c r="C1721" s="149"/>
      <c r="D1721" s="149"/>
      <c r="E1721" s="149"/>
      <c r="F1721" s="150"/>
      <c r="G1721" s="150"/>
      <c r="H1721" s="158"/>
      <c r="I1721" s="159"/>
      <c r="J1721" s="180"/>
    </row>
    <row r="1722" spans="1:10" s="181" customFormat="1" ht="21.75" customHeight="1">
      <c r="A1722" s="276"/>
      <c r="B1722" s="155" t="s">
        <v>492</v>
      </c>
      <c r="C1722" s="149"/>
      <c r="D1722" s="149"/>
      <c r="E1722" s="149"/>
      <c r="F1722" s="150"/>
      <c r="G1722" s="150"/>
      <c r="H1722" s="158"/>
      <c r="I1722" s="159"/>
      <c r="J1722" s="180"/>
    </row>
    <row r="1723" spans="1:10" s="181" customFormat="1" ht="21.75" customHeight="1">
      <c r="A1723" s="276"/>
      <c r="B1723" s="148" t="s">
        <v>646</v>
      </c>
      <c r="C1723" s="149">
        <v>1</v>
      </c>
      <c r="D1723" s="149" t="s">
        <v>73</v>
      </c>
      <c r="E1723" s="149">
        <v>1</v>
      </c>
      <c r="F1723" s="150">
        <v>4.6100000000000003</v>
      </c>
      <c r="G1723" s="150">
        <v>3.07</v>
      </c>
      <c r="H1723" s="158"/>
      <c r="I1723" s="151">
        <f t="shared" ref="I1723:I1766" si="104">ROUND(PRODUCT(C1723:H1723),2)</f>
        <v>14.15</v>
      </c>
      <c r="J1723" s="180"/>
    </row>
    <row r="1724" spans="1:10" s="181" customFormat="1" ht="23.25" customHeight="1">
      <c r="A1724" s="276"/>
      <c r="B1724" s="148" t="s">
        <v>647</v>
      </c>
      <c r="C1724" s="149">
        <v>1</v>
      </c>
      <c r="D1724" s="149" t="s">
        <v>73</v>
      </c>
      <c r="E1724" s="149">
        <v>1</v>
      </c>
      <c r="F1724" s="150">
        <f>2*(4.61+3.07)</f>
        <v>15.36</v>
      </c>
      <c r="G1724" s="150"/>
      <c r="H1724" s="150">
        <v>0.1</v>
      </c>
      <c r="I1724" s="151">
        <f t="shared" si="104"/>
        <v>1.54</v>
      </c>
      <c r="J1724" s="180"/>
    </row>
    <row r="1725" spans="1:10" s="181" customFormat="1" ht="23.25" customHeight="1">
      <c r="A1725" s="276"/>
      <c r="B1725" s="148" t="s">
        <v>648</v>
      </c>
      <c r="C1725" s="149">
        <v>1</v>
      </c>
      <c r="D1725" s="149" t="s">
        <v>73</v>
      </c>
      <c r="E1725" s="149">
        <v>1</v>
      </c>
      <c r="F1725" s="150">
        <v>1</v>
      </c>
      <c r="G1725" s="150">
        <v>0.13</v>
      </c>
      <c r="H1725" s="158"/>
      <c r="I1725" s="151">
        <f t="shared" si="104"/>
        <v>0.13</v>
      </c>
      <c r="J1725" s="180"/>
    </row>
    <row r="1726" spans="1:10" s="181" customFormat="1">
      <c r="A1726" s="276"/>
      <c r="B1726" s="183" t="s">
        <v>171</v>
      </c>
      <c r="C1726" s="149"/>
      <c r="D1726" s="149"/>
      <c r="E1726" s="149"/>
      <c r="F1726" s="150"/>
      <c r="G1726" s="150"/>
      <c r="H1726" s="158"/>
      <c r="I1726" s="151">
        <f t="shared" si="104"/>
        <v>0</v>
      </c>
      <c r="J1726" s="180"/>
    </row>
    <row r="1727" spans="1:10" s="181" customFormat="1">
      <c r="A1727" s="276"/>
      <c r="B1727" s="148" t="s">
        <v>460</v>
      </c>
      <c r="C1727" s="149">
        <v>1</v>
      </c>
      <c r="D1727" s="149" t="s">
        <v>73</v>
      </c>
      <c r="E1727" s="149">
        <v>1</v>
      </c>
      <c r="F1727" s="150">
        <v>5.15</v>
      </c>
      <c r="G1727" s="150">
        <v>4.12</v>
      </c>
      <c r="H1727" s="150"/>
      <c r="I1727" s="151">
        <f t="shared" si="104"/>
        <v>21.22</v>
      </c>
      <c r="J1727" s="221"/>
    </row>
    <row r="1728" spans="1:10" s="181" customFormat="1" ht="23.25" customHeight="1">
      <c r="B1728" s="148" t="s">
        <v>647</v>
      </c>
      <c r="C1728" s="149">
        <v>1</v>
      </c>
      <c r="D1728" s="149" t="s">
        <v>73</v>
      </c>
      <c r="E1728" s="149">
        <v>1</v>
      </c>
      <c r="F1728" s="150">
        <f>2*(5.15+4.12)</f>
        <v>18.54</v>
      </c>
      <c r="G1728" s="150"/>
      <c r="H1728" s="150">
        <v>0.1</v>
      </c>
      <c r="I1728" s="151">
        <f t="shared" si="104"/>
        <v>1.85</v>
      </c>
      <c r="J1728" s="180"/>
    </row>
    <row r="1729" spans="1:10" s="181" customFormat="1">
      <c r="A1729" s="276"/>
      <c r="B1729" s="148" t="s">
        <v>648</v>
      </c>
      <c r="C1729" s="149">
        <v>1</v>
      </c>
      <c r="D1729" s="149" t="s">
        <v>73</v>
      </c>
      <c r="E1729" s="149">
        <v>2</v>
      </c>
      <c r="F1729" s="150">
        <v>1</v>
      </c>
      <c r="G1729" s="150">
        <v>0.13</v>
      </c>
      <c r="H1729" s="150"/>
      <c r="I1729" s="151">
        <f t="shared" si="104"/>
        <v>0.26</v>
      </c>
      <c r="J1729" s="180"/>
    </row>
    <row r="1730" spans="1:10" s="181" customFormat="1">
      <c r="A1730" s="276"/>
      <c r="B1730" s="148" t="s">
        <v>555</v>
      </c>
      <c r="C1730" s="149">
        <v>1</v>
      </c>
      <c r="D1730" s="149" t="s">
        <v>73</v>
      </c>
      <c r="E1730" s="149">
        <v>1</v>
      </c>
      <c r="F1730" s="150">
        <v>2.0750000000000002</v>
      </c>
      <c r="G1730" s="150">
        <v>2.6850000000000001</v>
      </c>
      <c r="H1730" s="150"/>
      <c r="I1730" s="151">
        <f t="shared" si="104"/>
        <v>5.57</v>
      </c>
      <c r="J1730" s="180"/>
    </row>
    <row r="1731" spans="1:10" s="181" customFormat="1">
      <c r="A1731" s="276"/>
      <c r="B1731" s="148" t="s">
        <v>647</v>
      </c>
      <c r="C1731" s="149">
        <v>1</v>
      </c>
      <c r="D1731" s="149" t="s">
        <v>73</v>
      </c>
      <c r="E1731" s="149">
        <v>1</v>
      </c>
      <c r="F1731" s="150">
        <f>2*(2.075+2.685)</f>
        <v>9.52</v>
      </c>
      <c r="G1731" s="150"/>
      <c r="H1731" s="150">
        <v>0.1</v>
      </c>
      <c r="I1731" s="151">
        <f t="shared" si="104"/>
        <v>0.95</v>
      </c>
      <c r="J1731" s="180"/>
    </row>
    <row r="1732" spans="1:10" s="181" customFormat="1">
      <c r="A1732" s="276"/>
      <c r="B1732" s="148" t="s">
        <v>648</v>
      </c>
      <c r="C1732" s="149">
        <v>1</v>
      </c>
      <c r="D1732" s="149" t="s">
        <v>73</v>
      </c>
      <c r="E1732" s="149">
        <v>1</v>
      </c>
      <c r="F1732" s="150">
        <v>0.75</v>
      </c>
      <c r="G1732" s="150">
        <v>0.12</v>
      </c>
      <c r="H1732" s="150"/>
      <c r="I1732" s="151">
        <f>ROUND(PRODUCT(C1732:H1732),2)</f>
        <v>0.09</v>
      </c>
      <c r="J1732" s="180"/>
    </row>
    <row r="1733" spans="1:10" s="181" customFormat="1">
      <c r="A1733" s="276"/>
      <c r="B1733" s="148" t="s">
        <v>649</v>
      </c>
      <c r="C1733" s="149">
        <v>1</v>
      </c>
      <c r="D1733" s="149" t="s">
        <v>73</v>
      </c>
      <c r="E1733" s="149">
        <v>1</v>
      </c>
      <c r="F1733" s="150">
        <v>6.67</v>
      </c>
      <c r="G1733" s="150">
        <v>3.5649999999999999</v>
      </c>
      <c r="H1733" s="150"/>
      <c r="I1733" s="151">
        <f t="shared" si="104"/>
        <v>23.78</v>
      </c>
      <c r="J1733" s="180"/>
    </row>
    <row r="1734" spans="1:10" s="181" customFormat="1">
      <c r="A1734" s="276"/>
      <c r="B1734" s="148" t="s">
        <v>650</v>
      </c>
      <c r="C1734" s="149">
        <v>1</v>
      </c>
      <c r="D1734" s="149" t="s">
        <v>73</v>
      </c>
      <c r="E1734" s="149">
        <v>1</v>
      </c>
      <c r="F1734" s="150">
        <f>2*(6.67+3.565)</f>
        <v>20.47</v>
      </c>
      <c r="G1734" s="150"/>
      <c r="H1734" s="150">
        <v>0.1</v>
      </c>
      <c r="I1734" s="151">
        <f t="shared" si="104"/>
        <v>2.0499999999999998</v>
      </c>
      <c r="J1734" s="180"/>
    </row>
    <row r="1735" spans="1:10" s="181" customFormat="1">
      <c r="A1735" s="276"/>
      <c r="B1735" s="148" t="s">
        <v>648</v>
      </c>
      <c r="C1735" s="149">
        <v>1</v>
      </c>
      <c r="D1735" s="149" t="s">
        <v>73</v>
      </c>
      <c r="E1735" s="149">
        <v>1</v>
      </c>
      <c r="F1735" s="150">
        <v>1</v>
      </c>
      <c r="G1735" s="150">
        <v>0.13</v>
      </c>
      <c r="H1735" s="150"/>
      <c r="I1735" s="151">
        <f t="shared" si="104"/>
        <v>0.13</v>
      </c>
      <c r="J1735" s="180"/>
    </row>
    <row r="1736" spans="1:10" s="181" customFormat="1">
      <c r="A1736" s="276"/>
      <c r="B1736" s="148" t="s">
        <v>184</v>
      </c>
      <c r="C1736" s="149">
        <v>1</v>
      </c>
      <c r="D1736" s="149" t="s">
        <v>73</v>
      </c>
      <c r="E1736" s="149">
        <v>1</v>
      </c>
      <c r="F1736" s="150">
        <v>2.645</v>
      </c>
      <c r="G1736" s="150">
        <v>1.91</v>
      </c>
      <c r="H1736" s="150"/>
      <c r="I1736" s="151">
        <f t="shared" si="104"/>
        <v>5.05</v>
      </c>
      <c r="J1736" s="180"/>
    </row>
    <row r="1737" spans="1:10" s="181" customFormat="1">
      <c r="A1737" s="276"/>
      <c r="B1737" s="148" t="s">
        <v>647</v>
      </c>
      <c r="C1737" s="149">
        <v>1</v>
      </c>
      <c r="D1737" s="149" t="s">
        <v>73</v>
      </c>
      <c r="E1737" s="149">
        <v>1</v>
      </c>
      <c r="F1737" s="150">
        <f>2*(2.645+1.91)</f>
        <v>9.11</v>
      </c>
      <c r="G1737" s="150"/>
      <c r="H1737" s="150">
        <v>0.1</v>
      </c>
      <c r="I1737" s="151">
        <f t="shared" si="104"/>
        <v>0.91</v>
      </c>
      <c r="J1737" s="180"/>
    </row>
    <row r="1738" spans="1:10" s="181" customFormat="1">
      <c r="A1738" s="276"/>
      <c r="B1738" s="148" t="s">
        <v>648</v>
      </c>
      <c r="C1738" s="149">
        <v>1</v>
      </c>
      <c r="D1738" s="149" t="s">
        <v>73</v>
      </c>
      <c r="E1738" s="149">
        <v>1</v>
      </c>
      <c r="F1738" s="150">
        <v>1</v>
      </c>
      <c r="G1738" s="150">
        <v>0.13</v>
      </c>
      <c r="H1738" s="150"/>
      <c r="I1738" s="151">
        <f t="shared" si="104"/>
        <v>0.13</v>
      </c>
      <c r="J1738" s="180"/>
    </row>
    <row r="1739" spans="1:10" s="181" customFormat="1">
      <c r="A1739" s="276"/>
      <c r="B1739" s="148" t="s">
        <v>331</v>
      </c>
      <c r="C1739" s="149">
        <v>1</v>
      </c>
      <c r="D1739" s="149" t="s">
        <v>73</v>
      </c>
      <c r="E1739" s="149">
        <v>1</v>
      </c>
      <c r="F1739" s="150">
        <v>1.835</v>
      </c>
      <c r="G1739" s="150">
        <v>3.1850000000000001</v>
      </c>
      <c r="H1739" s="150"/>
      <c r="I1739" s="151">
        <f t="shared" si="104"/>
        <v>5.84</v>
      </c>
      <c r="J1739" s="180"/>
    </row>
    <row r="1740" spans="1:10" s="181" customFormat="1">
      <c r="A1740" s="276"/>
      <c r="B1740" s="148" t="s">
        <v>647</v>
      </c>
      <c r="C1740" s="149">
        <v>1</v>
      </c>
      <c r="D1740" s="149" t="s">
        <v>73</v>
      </c>
      <c r="E1740" s="149">
        <v>1</v>
      </c>
      <c r="F1740" s="150">
        <f>2*(1.835+3.185)</f>
        <v>10.039999999999999</v>
      </c>
      <c r="G1740" s="150"/>
      <c r="H1740" s="150">
        <v>0.1</v>
      </c>
      <c r="I1740" s="151">
        <f t="shared" si="104"/>
        <v>1</v>
      </c>
      <c r="J1740" s="180"/>
    </row>
    <row r="1741" spans="1:10" s="181" customFormat="1">
      <c r="A1741" s="276"/>
      <c r="B1741" s="148" t="s">
        <v>648</v>
      </c>
      <c r="C1741" s="149">
        <v>1</v>
      </c>
      <c r="D1741" s="149" t="s">
        <v>73</v>
      </c>
      <c r="E1741" s="149">
        <v>1</v>
      </c>
      <c r="F1741" s="150">
        <v>1</v>
      </c>
      <c r="G1741" s="150">
        <v>0.12</v>
      </c>
      <c r="H1741" s="150"/>
      <c r="I1741" s="151">
        <f t="shared" si="104"/>
        <v>0.12</v>
      </c>
      <c r="J1741" s="180"/>
    </row>
    <row r="1742" spans="1:10" s="181" customFormat="1">
      <c r="A1742" s="276"/>
      <c r="B1742" s="148" t="s">
        <v>651</v>
      </c>
      <c r="C1742" s="149">
        <v>1</v>
      </c>
      <c r="D1742" s="149" t="s">
        <v>73</v>
      </c>
      <c r="E1742" s="149">
        <v>1</v>
      </c>
      <c r="F1742" s="150">
        <v>2.645</v>
      </c>
      <c r="G1742" s="150">
        <v>2.1800000000000002</v>
      </c>
      <c r="H1742" s="150"/>
      <c r="I1742" s="151">
        <f t="shared" si="104"/>
        <v>5.77</v>
      </c>
      <c r="J1742" s="180"/>
    </row>
    <row r="1743" spans="1:10" s="181" customFormat="1">
      <c r="A1743" s="276"/>
      <c r="B1743" s="148" t="s">
        <v>647</v>
      </c>
      <c r="C1743" s="149">
        <v>1</v>
      </c>
      <c r="D1743" s="149" t="s">
        <v>73</v>
      </c>
      <c r="E1743" s="149">
        <v>1</v>
      </c>
      <c r="F1743" s="150">
        <f>2*(2.645+2.18)</f>
        <v>9.65</v>
      </c>
      <c r="G1743" s="150"/>
      <c r="H1743" s="150">
        <v>0.1</v>
      </c>
      <c r="I1743" s="151">
        <f t="shared" si="104"/>
        <v>0.97</v>
      </c>
      <c r="J1743" s="180"/>
    </row>
    <row r="1744" spans="1:10" s="181" customFormat="1">
      <c r="A1744" s="276"/>
      <c r="B1744" s="148" t="s">
        <v>648</v>
      </c>
      <c r="C1744" s="149">
        <v>1</v>
      </c>
      <c r="D1744" s="149" t="s">
        <v>73</v>
      </c>
      <c r="E1744" s="149">
        <v>1</v>
      </c>
      <c r="F1744" s="150">
        <v>1</v>
      </c>
      <c r="G1744" s="150">
        <v>0.12</v>
      </c>
      <c r="H1744" s="150"/>
      <c r="I1744" s="151">
        <f t="shared" si="104"/>
        <v>0.12</v>
      </c>
      <c r="J1744" s="180"/>
    </row>
    <row r="1745" spans="1:10" s="181" customFormat="1">
      <c r="A1745" s="276"/>
      <c r="B1745" s="148" t="s">
        <v>1342</v>
      </c>
      <c r="C1745" s="149">
        <v>1</v>
      </c>
      <c r="D1745" s="149" t="s">
        <v>73</v>
      </c>
      <c r="E1745" s="149">
        <v>1</v>
      </c>
      <c r="F1745" s="150">
        <v>2.66</v>
      </c>
      <c r="G1745" s="150">
        <v>2</v>
      </c>
      <c r="H1745" s="150"/>
      <c r="I1745" s="151">
        <f t="shared" si="104"/>
        <v>5.32</v>
      </c>
      <c r="J1745" s="180"/>
    </row>
    <row r="1746" spans="1:10" s="181" customFormat="1">
      <c r="A1746" s="276"/>
      <c r="B1746" s="148" t="s">
        <v>647</v>
      </c>
      <c r="C1746" s="149">
        <v>1</v>
      </c>
      <c r="D1746" s="149" t="s">
        <v>73</v>
      </c>
      <c r="E1746" s="149">
        <v>1</v>
      </c>
      <c r="F1746" s="150">
        <f>2*(2.66+2)</f>
        <v>9.32</v>
      </c>
      <c r="G1746" s="150"/>
      <c r="H1746" s="150">
        <v>0.1</v>
      </c>
      <c r="I1746" s="151">
        <f t="shared" si="104"/>
        <v>0.93</v>
      </c>
      <c r="J1746" s="180"/>
    </row>
    <row r="1747" spans="1:10" s="181" customFormat="1">
      <c r="A1747" s="276"/>
      <c r="B1747" s="148" t="s">
        <v>648</v>
      </c>
      <c r="C1747" s="149">
        <v>1</v>
      </c>
      <c r="D1747" s="149" t="s">
        <v>73</v>
      </c>
      <c r="E1747" s="149">
        <v>1</v>
      </c>
      <c r="F1747" s="150">
        <v>1</v>
      </c>
      <c r="G1747" s="150">
        <v>0.13</v>
      </c>
      <c r="H1747" s="150"/>
      <c r="I1747" s="151">
        <f t="shared" si="104"/>
        <v>0.13</v>
      </c>
      <c r="J1747" s="180"/>
    </row>
    <row r="1748" spans="1:10" s="181" customFormat="1">
      <c r="A1748" s="276"/>
      <c r="B1748" s="155" t="s">
        <v>189</v>
      </c>
      <c r="C1748" s="149"/>
      <c r="D1748" s="149"/>
      <c r="E1748" s="149"/>
      <c r="F1748" s="150"/>
      <c r="G1748" s="150"/>
      <c r="H1748" s="150"/>
      <c r="I1748" s="151">
        <f t="shared" si="104"/>
        <v>0</v>
      </c>
      <c r="J1748" s="180"/>
    </row>
    <row r="1749" spans="1:10" s="181" customFormat="1">
      <c r="A1749" s="276"/>
      <c r="B1749" s="148" t="s">
        <v>460</v>
      </c>
      <c r="C1749" s="149">
        <v>1</v>
      </c>
      <c r="D1749" s="149" t="s">
        <v>73</v>
      </c>
      <c r="E1749" s="149">
        <v>1</v>
      </c>
      <c r="F1749" s="150">
        <v>5.15</v>
      </c>
      <c r="G1749" s="150">
        <v>4.12</v>
      </c>
      <c r="H1749" s="150"/>
      <c r="I1749" s="151">
        <f t="shared" si="104"/>
        <v>21.22</v>
      </c>
      <c r="J1749" s="180"/>
    </row>
    <row r="1750" spans="1:10" s="181" customFormat="1">
      <c r="A1750" s="276"/>
      <c r="B1750" s="148" t="s">
        <v>647</v>
      </c>
      <c r="C1750" s="149">
        <v>1</v>
      </c>
      <c r="D1750" s="149" t="s">
        <v>73</v>
      </c>
      <c r="E1750" s="149">
        <v>1</v>
      </c>
      <c r="F1750" s="150">
        <f>2*(5.15+4.12)</f>
        <v>18.54</v>
      </c>
      <c r="G1750" s="150"/>
      <c r="H1750" s="150">
        <v>0.1</v>
      </c>
      <c r="I1750" s="151">
        <f t="shared" si="104"/>
        <v>1.85</v>
      </c>
      <c r="J1750" s="180"/>
    </row>
    <row r="1751" spans="1:10" s="181" customFormat="1">
      <c r="A1751" s="276"/>
      <c r="B1751" s="148" t="s">
        <v>648</v>
      </c>
      <c r="C1751" s="149">
        <v>1</v>
      </c>
      <c r="D1751" s="149" t="s">
        <v>73</v>
      </c>
      <c r="E1751" s="149">
        <v>2</v>
      </c>
      <c r="F1751" s="150">
        <v>1</v>
      </c>
      <c r="G1751" s="150">
        <v>0.13</v>
      </c>
      <c r="H1751" s="150"/>
      <c r="I1751" s="151">
        <f t="shared" si="104"/>
        <v>0.26</v>
      </c>
      <c r="J1751" s="180"/>
    </row>
    <row r="1752" spans="1:10" s="181" customFormat="1">
      <c r="A1752" s="276"/>
      <c r="B1752" s="148" t="s">
        <v>555</v>
      </c>
      <c r="C1752" s="149">
        <v>1</v>
      </c>
      <c r="D1752" s="149" t="s">
        <v>73</v>
      </c>
      <c r="E1752" s="149">
        <v>1</v>
      </c>
      <c r="F1752" s="150">
        <v>2.0750000000000002</v>
      </c>
      <c r="G1752" s="150">
        <v>2.6850000000000001</v>
      </c>
      <c r="H1752" s="150"/>
      <c r="I1752" s="151">
        <f t="shared" si="104"/>
        <v>5.57</v>
      </c>
      <c r="J1752" s="180"/>
    </row>
    <row r="1753" spans="1:10" s="181" customFormat="1">
      <c r="A1753" s="276"/>
      <c r="B1753" s="148" t="s">
        <v>647</v>
      </c>
      <c r="C1753" s="149">
        <v>1</v>
      </c>
      <c r="D1753" s="149" t="s">
        <v>73</v>
      </c>
      <c r="E1753" s="149">
        <v>1</v>
      </c>
      <c r="F1753" s="150">
        <f>2*(2.075+2.685)</f>
        <v>9.52</v>
      </c>
      <c r="G1753" s="150"/>
      <c r="H1753" s="150">
        <v>0.1</v>
      </c>
      <c r="I1753" s="151">
        <f t="shared" si="104"/>
        <v>0.95</v>
      </c>
      <c r="J1753" s="180"/>
    </row>
    <row r="1754" spans="1:10" s="181" customFormat="1">
      <c r="A1754" s="276"/>
      <c r="B1754" s="148" t="s">
        <v>648</v>
      </c>
      <c r="C1754" s="149">
        <v>1</v>
      </c>
      <c r="D1754" s="149" t="s">
        <v>73</v>
      </c>
      <c r="E1754" s="149">
        <v>1</v>
      </c>
      <c r="F1754" s="150">
        <v>0.75</v>
      </c>
      <c r="G1754" s="150">
        <v>0.12</v>
      </c>
      <c r="H1754" s="150"/>
      <c r="I1754" s="151">
        <f>ROUND(PRODUCT(C1754:H1754),2)</f>
        <v>0.09</v>
      </c>
      <c r="J1754" s="180"/>
    </row>
    <row r="1755" spans="1:10" s="181" customFormat="1">
      <c r="A1755" s="276"/>
      <c r="B1755" s="148" t="s">
        <v>649</v>
      </c>
      <c r="C1755" s="149">
        <v>1</v>
      </c>
      <c r="D1755" s="149" t="s">
        <v>73</v>
      </c>
      <c r="E1755" s="149">
        <v>1</v>
      </c>
      <c r="F1755" s="150">
        <v>6.67</v>
      </c>
      <c r="G1755" s="150">
        <v>3.5649999999999999</v>
      </c>
      <c r="H1755" s="150"/>
      <c r="I1755" s="151">
        <f t="shared" ref="I1755:I1757" si="105">ROUND(PRODUCT(C1755:H1755),2)</f>
        <v>23.78</v>
      </c>
      <c r="J1755" s="180"/>
    </row>
    <row r="1756" spans="1:10" s="181" customFormat="1">
      <c r="A1756" s="276"/>
      <c r="B1756" s="148" t="s">
        <v>650</v>
      </c>
      <c r="C1756" s="149">
        <v>1</v>
      </c>
      <c r="D1756" s="149" t="s">
        <v>73</v>
      </c>
      <c r="E1756" s="149">
        <v>1</v>
      </c>
      <c r="F1756" s="150">
        <f>2*(6.67+3.565)</f>
        <v>20.47</v>
      </c>
      <c r="G1756" s="150"/>
      <c r="H1756" s="150">
        <v>0.1</v>
      </c>
      <c r="I1756" s="151">
        <f t="shared" si="105"/>
        <v>2.0499999999999998</v>
      </c>
      <c r="J1756" s="180"/>
    </row>
    <row r="1757" spans="1:10" s="181" customFormat="1">
      <c r="A1757" s="276"/>
      <c r="B1757" s="148" t="s">
        <v>648</v>
      </c>
      <c r="C1757" s="149">
        <v>1</v>
      </c>
      <c r="D1757" s="149" t="s">
        <v>73</v>
      </c>
      <c r="E1757" s="149">
        <v>1</v>
      </c>
      <c r="F1757" s="150">
        <v>1</v>
      </c>
      <c r="G1757" s="150">
        <v>0.13</v>
      </c>
      <c r="H1757" s="150"/>
      <c r="I1757" s="151">
        <f t="shared" si="105"/>
        <v>0.13</v>
      </c>
      <c r="J1757" s="180"/>
    </row>
    <row r="1758" spans="1:10" s="181" customFormat="1">
      <c r="A1758" s="276"/>
      <c r="B1758" s="148" t="s">
        <v>1369</v>
      </c>
      <c r="C1758" s="149">
        <v>1</v>
      </c>
      <c r="D1758" s="149" t="s">
        <v>73</v>
      </c>
      <c r="E1758" s="149">
        <v>1</v>
      </c>
      <c r="F1758" s="150">
        <v>4.6100000000000003</v>
      </c>
      <c r="G1758" s="150">
        <v>6.23</v>
      </c>
      <c r="H1758" s="150"/>
      <c r="I1758" s="151">
        <f t="shared" si="104"/>
        <v>28.72</v>
      </c>
      <c r="J1758" s="180"/>
    </row>
    <row r="1759" spans="1:10" s="181" customFormat="1">
      <c r="A1759" s="276"/>
      <c r="B1759" s="148" t="s">
        <v>647</v>
      </c>
      <c r="C1759" s="149">
        <v>1</v>
      </c>
      <c r="D1759" s="149" t="s">
        <v>73</v>
      </c>
      <c r="E1759" s="149">
        <v>1</v>
      </c>
      <c r="F1759" s="150">
        <f>2*(4.61+6.23)</f>
        <v>21.68</v>
      </c>
      <c r="G1759" s="150"/>
      <c r="H1759" s="150">
        <v>0.1</v>
      </c>
      <c r="I1759" s="151">
        <f t="shared" si="104"/>
        <v>2.17</v>
      </c>
      <c r="J1759" s="180"/>
    </row>
    <row r="1760" spans="1:10" s="181" customFormat="1">
      <c r="A1760" s="276"/>
      <c r="B1760" s="148" t="s">
        <v>652</v>
      </c>
      <c r="C1760" s="149">
        <v>1</v>
      </c>
      <c r="D1760" s="149" t="s">
        <v>73</v>
      </c>
      <c r="E1760" s="149">
        <v>1</v>
      </c>
      <c r="F1760" s="150">
        <v>1</v>
      </c>
      <c r="G1760" s="150">
        <v>0.13</v>
      </c>
      <c r="H1760" s="150"/>
      <c r="I1760" s="151">
        <f t="shared" si="104"/>
        <v>0.13</v>
      </c>
      <c r="J1760" s="180"/>
    </row>
    <row r="1761" spans="1:10" s="181" customFormat="1">
      <c r="A1761" s="276"/>
      <c r="B1761" s="148" t="s">
        <v>331</v>
      </c>
      <c r="C1761" s="149">
        <v>1</v>
      </c>
      <c r="D1761" s="149" t="s">
        <v>73</v>
      </c>
      <c r="E1761" s="149">
        <v>1</v>
      </c>
      <c r="F1761" s="150">
        <v>1.835</v>
      </c>
      <c r="G1761" s="150">
        <v>3.1850000000000001</v>
      </c>
      <c r="H1761" s="150"/>
      <c r="I1761" s="151">
        <f t="shared" si="104"/>
        <v>5.84</v>
      </c>
      <c r="J1761" s="180"/>
    </row>
    <row r="1762" spans="1:10" s="181" customFormat="1">
      <c r="A1762" s="276"/>
      <c r="B1762" s="148" t="s">
        <v>647</v>
      </c>
      <c r="C1762" s="149">
        <v>1</v>
      </c>
      <c r="D1762" s="149" t="s">
        <v>73</v>
      </c>
      <c r="E1762" s="149">
        <v>1</v>
      </c>
      <c r="F1762" s="150">
        <f>2*(1.835+3.185)</f>
        <v>10.039999999999999</v>
      </c>
      <c r="G1762" s="150"/>
      <c r="H1762" s="150">
        <v>0.1</v>
      </c>
      <c r="I1762" s="151">
        <f t="shared" si="104"/>
        <v>1</v>
      </c>
      <c r="J1762" s="180"/>
    </row>
    <row r="1763" spans="1:10" s="181" customFormat="1">
      <c r="A1763" s="276"/>
      <c r="B1763" s="148" t="s">
        <v>648</v>
      </c>
      <c r="C1763" s="149">
        <v>1</v>
      </c>
      <c r="D1763" s="149" t="s">
        <v>73</v>
      </c>
      <c r="E1763" s="149">
        <v>1</v>
      </c>
      <c r="F1763" s="150">
        <v>1</v>
      </c>
      <c r="G1763" s="150">
        <v>0.12</v>
      </c>
      <c r="H1763" s="150"/>
      <c r="I1763" s="151">
        <f t="shared" si="104"/>
        <v>0.12</v>
      </c>
      <c r="J1763" s="180"/>
    </row>
    <row r="1764" spans="1:10" s="181" customFormat="1">
      <c r="A1764" s="276"/>
      <c r="B1764" s="148" t="s">
        <v>1342</v>
      </c>
      <c r="C1764" s="149">
        <v>1</v>
      </c>
      <c r="D1764" s="149" t="s">
        <v>73</v>
      </c>
      <c r="E1764" s="149">
        <v>1</v>
      </c>
      <c r="F1764" s="150">
        <v>2.66</v>
      </c>
      <c r="G1764" s="150">
        <v>2</v>
      </c>
      <c r="H1764" s="150"/>
      <c r="I1764" s="151">
        <f t="shared" si="104"/>
        <v>5.32</v>
      </c>
      <c r="J1764" s="180"/>
    </row>
    <row r="1765" spans="1:10" s="181" customFormat="1">
      <c r="A1765" s="276"/>
      <c r="B1765" s="148" t="s">
        <v>647</v>
      </c>
      <c r="C1765" s="149">
        <v>1</v>
      </c>
      <c r="D1765" s="149" t="s">
        <v>73</v>
      </c>
      <c r="E1765" s="149">
        <v>1</v>
      </c>
      <c r="F1765" s="150">
        <f>2*(2.66+2)</f>
        <v>9.32</v>
      </c>
      <c r="G1765" s="150"/>
      <c r="H1765" s="150">
        <v>0.1</v>
      </c>
      <c r="I1765" s="151">
        <f t="shared" si="104"/>
        <v>0.93</v>
      </c>
      <c r="J1765" s="180"/>
    </row>
    <row r="1766" spans="1:10" s="181" customFormat="1">
      <c r="A1766" s="276"/>
      <c r="B1766" s="148" t="s">
        <v>648</v>
      </c>
      <c r="C1766" s="149">
        <v>1</v>
      </c>
      <c r="D1766" s="149" t="s">
        <v>73</v>
      </c>
      <c r="E1766" s="149">
        <v>1</v>
      </c>
      <c r="F1766" s="150">
        <v>1</v>
      </c>
      <c r="G1766" s="150">
        <v>0.13</v>
      </c>
      <c r="H1766" s="150"/>
      <c r="I1766" s="151">
        <f t="shared" si="104"/>
        <v>0.13</v>
      </c>
      <c r="J1766" s="180"/>
    </row>
    <row r="1767" spans="1:10" s="181" customFormat="1">
      <c r="A1767" s="276"/>
      <c r="B1767" s="155" t="s">
        <v>188</v>
      </c>
      <c r="C1767" s="149"/>
      <c r="D1767" s="149"/>
      <c r="E1767" s="149"/>
      <c r="F1767" s="150"/>
      <c r="G1767" s="150"/>
      <c r="H1767" s="150"/>
      <c r="I1767" s="151"/>
      <c r="J1767" s="180"/>
    </row>
    <row r="1768" spans="1:10" s="181" customFormat="1">
      <c r="A1768" s="276"/>
      <c r="B1768" s="148" t="s">
        <v>653</v>
      </c>
      <c r="C1768" s="149">
        <v>1</v>
      </c>
      <c r="D1768" s="149" t="s">
        <v>73</v>
      </c>
      <c r="E1768" s="149">
        <v>1</v>
      </c>
      <c r="F1768" s="150">
        <v>4.6100000000000003</v>
      </c>
      <c r="G1768" s="150">
        <v>3.0449999999999999</v>
      </c>
      <c r="H1768" s="150"/>
      <c r="I1768" s="151">
        <f t="shared" ref="I1768:I1774" si="106">ROUND(PRODUCT(C1768:H1768),2)</f>
        <v>14.04</v>
      </c>
      <c r="J1768" s="180"/>
    </row>
    <row r="1769" spans="1:10" s="181" customFormat="1">
      <c r="A1769" s="276"/>
      <c r="B1769" s="148" t="s">
        <v>647</v>
      </c>
      <c r="C1769" s="149">
        <v>1</v>
      </c>
      <c r="D1769" s="149" t="s">
        <v>73</v>
      </c>
      <c r="E1769" s="149">
        <v>1</v>
      </c>
      <c r="F1769" s="150">
        <f>2*(4.61+3.045)</f>
        <v>15.31</v>
      </c>
      <c r="G1769" s="158"/>
      <c r="H1769" s="150">
        <v>0.1</v>
      </c>
      <c r="I1769" s="151">
        <f t="shared" si="106"/>
        <v>1.53</v>
      </c>
      <c r="J1769" s="180"/>
    </row>
    <row r="1770" spans="1:10" s="181" customFormat="1">
      <c r="A1770" s="276"/>
      <c r="B1770" s="148" t="s">
        <v>652</v>
      </c>
      <c r="C1770" s="149">
        <v>1</v>
      </c>
      <c r="D1770" s="149" t="s">
        <v>73</v>
      </c>
      <c r="E1770" s="149">
        <v>1</v>
      </c>
      <c r="F1770" s="150">
        <v>1</v>
      </c>
      <c r="G1770" s="150">
        <v>0.13</v>
      </c>
      <c r="H1770" s="150"/>
      <c r="I1770" s="151">
        <f t="shared" si="106"/>
        <v>0.13</v>
      </c>
      <c r="J1770" s="180"/>
    </row>
    <row r="1771" spans="1:10" s="181" customFormat="1">
      <c r="A1771" s="276"/>
      <c r="B1771" s="148" t="s">
        <v>654</v>
      </c>
      <c r="C1771" s="149">
        <v>1</v>
      </c>
      <c r="D1771" s="149" t="s">
        <v>73</v>
      </c>
      <c r="E1771" s="149">
        <v>1</v>
      </c>
      <c r="F1771" s="150">
        <v>4.6100000000000003</v>
      </c>
      <c r="G1771" s="150">
        <v>3.0449999999999999</v>
      </c>
      <c r="H1771" s="150"/>
      <c r="I1771" s="151">
        <f t="shared" si="106"/>
        <v>14.04</v>
      </c>
      <c r="J1771" s="180"/>
    </row>
    <row r="1772" spans="1:10" s="181" customFormat="1">
      <c r="A1772" s="276"/>
      <c r="B1772" s="148" t="s">
        <v>647</v>
      </c>
      <c r="C1772" s="149">
        <v>1</v>
      </c>
      <c r="D1772" s="149" t="s">
        <v>73</v>
      </c>
      <c r="E1772" s="149">
        <v>1</v>
      </c>
      <c r="F1772" s="150">
        <f>2*(4.61+3.045)</f>
        <v>15.31</v>
      </c>
      <c r="G1772" s="158"/>
      <c r="H1772" s="150">
        <v>0.1</v>
      </c>
      <c r="I1772" s="151">
        <f t="shared" si="106"/>
        <v>1.53</v>
      </c>
      <c r="J1772" s="180"/>
    </row>
    <row r="1773" spans="1:10" s="181" customFormat="1">
      <c r="A1773" s="276"/>
      <c r="B1773" s="148" t="s">
        <v>652</v>
      </c>
      <c r="C1773" s="149">
        <v>1</v>
      </c>
      <c r="D1773" s="149" t="s">
        <v>73</v>
      </c>
      <c r="E1773" s="149">
        <v>1</v>
      </c>
      <c r="F1773" s="150">
        <v>1</v>
      </c>
      <c r="G1773" s="150">
        <v>0.13</v>
      </c>
      <c r="H1773" s="150"/>
      <c r="I1773" s="151">
        <f t="shared" si="106"/>
        <v>0.13</v>
      </c>
      <c r="J1773" s="180"/>
    </row>
    <row r="1774" spans="1:10" s="181" customFormat="1">
      <c r="A1774" s="276"/>
      <c r="B1774" s="148" t="s">
        <v>652</v>
      </c>
      <c r="C1774" s="149">
        <v>1</v>
      </c>
      <c r="D1774" s="149" t="s">
        <v>73</v>
      </c>
      <c r="E1774" s="149">
        <v>2</v>
      </c>
      <c r="F1774" s="150">
        <v>0.9</v>
      </c>
      <c r="G1774" s="150">
        <v>0.13</v>
      </c>
      <c r="H1774" s="150"/>
      <c r="I1774" s="151">
        <f t="shared" si="106"/>
        <v>0.23</v>
      </c>
      <c r="J1774" s="180"/>
    </row>
    <row r="1775" spans="1:10" s="181" customFormat="1">
      <c r="A1775" s="276"/>
      <c r="B1775" s="148"/>
      <c r="C1775" s="162"/>
      <c r="D1775" s="162"/>
      <c r="E1775" s="162"/>
      <c r="F1775" s="150"/>
      <c r="G1775" s="158" t="s">
        <v>11</v>
      </c>
      <c r="H1775" s="158"/>
      <c r="I1775" s="379">
        <f>SUM(I1723:I1774)</f>
        <v>229.89999999999998</v>
      </c>
      <c r="J1775" s="180" t="s">
        <v>176</v>
      </c>
    </row>
    <row r="1776" spans="1:10" s="181" customFormat="1">
      <c r="A1776" s="276"/>
      <c r="B1776" s="148"/>
      <c r="C1776" s="162"/>
      <c r="D1776" s="162"/>
      <c r="E1776" s="162"/>
      <c r="F1776" s="150"/>
      <c r="G1776" s="158"/>
      <c r="H1776" s="158"/>
      <c r="I1776" s="159"/>
      <c r="J1776" s="180"/>
    </row>
    <row r="1777" spans="1:10" s="181" customFormat="1" ht="16.5" customHeight="1">
      <c r="A1777" s="276" t="s">
        <v>1465</v>
      </c>
      <c r="B1777" s="254" t="s">
        <v>677</v>
      </c>
      <c r="C1777" s="255"/>
      <c r="D1777" s="255"/>
      <c r="E1777" s="256"/>
      <c r="F1777" s="256"/>
      <c r="G1777" s="257"/>
      <c r="H1777" s="258"/>
      <c r="I1777" s="259"/>
      <c r="J1777" s="221"/>
    </row>
    <row r="1778" spans="1:10" s="154" customFormat="1" ht="15" customHeight="1">
      <c r="A1778" s="276"/>
      <c r="B1778" s="255" t="s">
        <v>678</v>
      </c>
      <c r="C1778" s="260">
        <v>1</v>
      </c>
      <c r="D1778" s="255" t="s">
        <v>73</v>
      </c>
      <c r="E1778" s="255">
        <v>3</v>
      </c>
      <c r="F1778" s="256">
        <v>1.5</v>
      </c>
      <c r="G1778" s="257"/>
      <c r="H1778" s="256"/>
      <c r="I1778" s="151">
        <f>ROUND(PRODUCT(C1778:H1778),2)</f>
        <v>4.5</v>
      </c>
      <c r="J1778" s="213"/>
    </row>
    <row r="1779" spans="1:10" s="154" customFormat="1">
      <c r="A1779" s="179"/>
      <c r="B1779" s="255" t="s">
        <v>679</v>
      </c>
      <c r="C1779" s="260">
        <v>1</v>
      </c>
      <c r="D1779" s="255" t="s">
        <v>73</v>
      </c>
      <c r="E1779" s="255">
        <v>2</v>
      </c>
      <c r="F1779" s="256">
        <v>2.1</v>
      </c>
      <c r="G1779" s="257"/>
      <c r="H1779" s="256"/>
      <c r="I1779" s="151">
        <f>ROUND(PRODUCT(C1779:H1779),2)</f>
        <v>4.2</v>
      </c>
      <c r="J1779" s="221"/>
    </row>
    <row r="1780" spans="1:10" s="181" customFormat="1" ht="15.75" customHeight="1">
      <c r="A1780" s="276"/>
      <c r="B1780" s="255" t="s">
        <v>680</v>
      </c>
      <c r="C1780" s="260">
        <v>1</v>
      </c>
      <c r="D1780" s="255" t="s">
        <v>73</v>
      </c>
      <c r="E1780" s="255">
        <v>2</v>
      </c>
      <c r="F1780" s="256">
        <v>2.1</v>
      </c>
      <c r="G1780" s="257"/>
      <c r="H1780" s="256"/>
      <c r="I1780" s="151">
        <f>ROUND(PRODUCT(C1780:H1780),2)</f>
        <v>4.2</v>
      </c>
      <c r="J1780" s="180"/>
    </row>
    <row r="1781" spans="1:10" s="181" customFormat="1">
      <c r="A1781" s="276"/>
      <c r="B1781" s="255" t="s">
        <v>1569</v>
      </c>
      <c r="C1781" s="260">
        <v>1</v>
      </c>
      <c r="D1781" s="255" t="s">
        <v>73</v>
      </c>
      <c r="E1781" s="255">
        <v>2</v>
      </c>
      <c r="F1781" s="256">
        <v>1.5</v>
      </c>
      <c r="G1781" s="257"/>
      <c r="H1781" s="256"/>
      <c r="I1781" s="151">
        <f>ROUND(PRODUCT(C1781:H1781),2)</f>
        <v>3</v>
      </c>
      <c r="J1781" s="349"/>
    </row>
    <row r="1782" spans="1:10" s="181" customFormat="1" ht="21.75" customHeight="1">
      <c r="A1782" s="276"/>
      <c r="B1782" s="255" t="s">
        <v>127</v>
      </c>
      <c r="C1782" s="260">
        <v>1</v>
      </c>
      <c r="D1782" s="255" t="s">
        <v>73</v>
      </c>
      <c r="E1782" s="255">
        <v>6</v>
      </c>
      <c r="F1782" s="256">
        <v>1.5</v>
      </c>
      <c r="G1782" s="257"/>
      <c r="H1782" s="256"/>
      <c r="I1782" s="151">
        <f>ROUND(PRODUCT(C1782:H1782),2)</f>
        <v>9</v>
      </c>
      <c r="J1782" s="180"/>
    </row>
    <row r="1783" spans="1:10" s="181" customFormat="1" ht="21.75" customHeight="1">
      <c r="A1783" s="276"/>
      <c r="B1783" s="255"/>
      <c r="C1783" s="255"/>
      <c r="D1783" s="255"/>
      <c r="E1783" s="256"/>
      <c r="F1783" s="256"/>
      <c r="G1783" s="257"/>
      <c r="H1783" s="257" t="s">
        <v>74</v>
      </c>
      <c r="I1783" s="261">
        <f>SUM(I1778:I1782)</f>
        <v>24.9</v>
      </c>
      <c r="J1783" s="180" t="s">
        <v>76</v>
      </c>
    </row>
    <row r="1784" spans="1:10" s="181" customFormat="1">
      <c r="A1784" s="351"/>
      <c r="B1784" s="255"/>
      <c r="C1784" s="255"/>
      <c r="D1784" s="255"/>
      <c r="E1784" s="256"/>
      <c r="F1784" s="256"/>
      <c r="G1784" s="262"/>
      <c r="I1784" s="263"/>
    </row>
    <row r="1785" spans="1:10" s="181" customFormat="1" ht="37.5">
      <c r="A1785" s="249" t="s">
        <v>59</v>
      </c>
      <c r="B1785" s="155" t="s">
        <v>656</v>
      </c>
      <c r="C1785" s="149"/>
      <c r="D1785" s="149"/>
      <c r="E1785" s="149"/>
      <c r="F1785" s="150"/>
      <c r="G1785" s="158"/>
      <c r="H1785" s="150"/>
      <c r="I1785" s="159"/>
      <c r="J1785" s="180"/>
    </row>
    <row r="1786" spans="1:10" s="181" customFormat="1">
      <c r="A1786" s="276"/>
      <c r="B1786" s="155" t="s">
        <v>492</v>
      </c>
      <c r="C1786" s="149"/>
      <c r="D1786" s="149"/>
      <c r="E1786" s="149"/>
      <c r="F1786" s="150"/>
      <c r="G1786" s="158"/>
      <c r="H1786" s="150"/>
      <c r="I1786" s="159"/>
      <c r="J1786" s="180"/>
    </row>
    <row r="1787" spans="1:10" s="181" customFormat="1">
      <c r="A1787" s="276"/>
      <c r="B1787" s="148" t="s">
        <v>1374</v>
      </c>
      <c r="C1787" s="149">
        <v>1</v>
      </c>
      <c r="D1787" s="149" t="s">
        <v>73</v>
      </c>
      <c r="E1787" s="149">
        <v>1</v>
      </c>
      <c r="F1787" s="150">
        <v>2.16</v>
      </c>
      <c r="G1787" s="150">
        <v>1.2</v>
      </c>
      <c r="H1787" s="150"/>
      <c r="I1787" s="151">
        <f t="shared" ref="I1787:I1795" si="107">ROUND(PRODUCT(C1787:H1787),2)</f>
        <v>2.59</v>
      </c>
      <c r="J1787" s="180"/>
    </row>
    <row r="1788" spans="1:10" s="181" customFormat="1">
      <c r="A1788" s="276"/>
      <c r="B1788" s="148" t="s">
        <v>1374</v>
      </c>
      <c r="C1788" s="149">
        <v>1</v>
      </c>
      <c r="D1788" s="149" t="s">
        <v>73</v>
      </c>
      <c r="E1788" s="149">
        <v>1</v>
      </c>
      <c r="F1788" s="150">
        <v>3.56</v>
      </c>
      <c r="G1788" s="150">
        <v>1.2</v>
      </c>
      <c r="H1788" s="150"/>
      <c r="I1788" s="151">
        <f t="shared" si="107"/>
        <v>4.2699999999999996</v>
      </c>
      <c r="J1788" s="180"/>
    </row>
    <row r="1789" spans="1:10" s="181" customFormat="1">
      <c r="A1789" s="276"/>
      <c r="B1789" s="155" t="s">
        <v>171</v>
      </c>
      <c r="C1789" s="149"/>
      <c r="D1789" s="149"/>
      <c r="E1789" s="149"/>
      <c r="F1789" s="150"/>
      <c r="G1789" s="158"/>
      <c r="H1789" s="150"/>
      <c r="I1789" s="151">
        <f t="shared" si="107"/>
        <v>0</v>
      </c>
      <c r="J1789" s="180"/>
    </row>
    <row r="1790" spans="1:10" s="181" customFormat="1">
      <c r="A1790" s="276"/>
      <c r="B1790" s="148" t="s">
        <v>657</v>
      </c>
      <c r="C1790" s="149">
        <v>1</v>
      </c>
      <c r="D1790" s="149" t="s">
        <v>73</v>
      </c>
      <c r="E1790" s="149">
        <v>1</v>
      </c>
      <c r="F1790" s="150">
        <v>4.68</v>
      </c>
      <c r="G1790" s="150">
        <v>2</v>
      </c>
      <c r="H1790" s="150"/>
      <c r="I1790" s="151">
        <f t="shared" si="107"/>
        <v>9.36</v>
      </c>
      <c r="J1790" s="180"/>
    </row>
    <row r="1791" spans="1:10" s="181" customFormat="1">
      <c r="A1791" s="276"/>
      <c r="B1791" s="148" t="s">
        <v>650</v>
      </c>
      <c r="C1791" s="149">
        <v>1</v>
      </c>
      <c r="D1791" s="149" t="s">
        <v>73</v>
      </c>
      <c r="E1791" s="149">
        <v>1</v>
      </c>
      <c r="F1791" s="150">
        <f>2*(4.68+2)</f>
        <v>13.36</v>
      </c>
      <c r="G1791" s="150"/>
      <c r="H1791" s="150">
        <v>0.1</v>
      </c>
      <c r="I1791" s="151">
        <f t="shared" si="107"/>
        <v>1.34</v>
      </c>
      <c r="J1791" s="221"/>
    </row>
    <row r="1792" spans="1:10" s="181" customFormat="1">
      <c r="B1792" s="148" t="s">
        <v>658</v>
      </c>
      <c r="C1792" s="149">
        <v>1</v>
      </c>
      <c r="D1792" s="149" t="s">
        <v>73</v>
      </c>
      <c r="E1792" s="149">
        <v>1</v>
      </c>
      <c r="F1792" s="150">
        <v>3.91</v>
      </c>
      <c r="G1792" s="150">
        <v>2.67</v>
      </c>
      <c r="H1792" s="150"/>
      <c r="I1792" s="151">
        <f t="shared" si="107"/>
        <v>10.44</v>
      </c>
      <c r="J1792" s="180"/>
    </row>
    <row r="1793" spans="1:10" s="181" customFormat="1">
      <c r="A1793" s="276"/>
      <c r="B1793" s="148" t="s">
        <v>647</v>
      </c>
      <c r="C1793" s="149">
        <v>1</v>
      </c>
      <c r="D1793" s="149" t="s">
        <v>73</v>
      </c>
      <c r="E1793" s="149">
        <v>1</v>
      </c>
      <c r="F1793" s="150">
        <f>2*(3.91+2.67)</f>
        <v>13.16</v>
      </c>
      <c r="G1793" s="150"/>
      <c r="H1793" s="150">
        <v>0.1</v>
      </c>
      <c r="I1793" s="151">
        <f t="shared" si="107"/>
        <v>1.32</v>
      </c>
      <c r="J1793" s="180"/>
    </row>
    <row r="1794" spans="1:10" s="181" customFormat="1">
      <c r="A1794" s="276"/>
      <c r="B1794" s="148" t="s">
        <v>659</v>
      </c>
      <c r="C1794" s="149">
        <v>1</v>
      </c>
      <c r="D1794" s="149" t="s">
        <v>73</v>
      </c>
      <c r="E1794" s="149">
        <v>1</v>
      </c>
      <c r="F1794" s="150">
        <v>2.3050000000000002</v>
      </c>
      <c r="G1794" s="150">
        <v>1.85</v>
      </c>
      <c r="H1794" s="150"/>
      <c r="I1794" s="151">
        <f t="shared" si="107"/>
        <v>4.26</v>
      </c>
      <c r="J1794" s="180"/>
    </row>
    <row r="1795" spans="1:10" s="181" customFormat="1">
      <c r="A1795" s="276"/>
      <c r="B1795" s="148" t="s">
        <v>650</v>
      </c>
      <c r="C1795" s="149">
        <v>1</v>
      </c>
      <c r="D1795" s="149" t="s">
        <v>73</v>
      </c>
      <c r="E1795" s="149">
        <v>1</v>
      </c>
      <c r="F1795" s="150">
        <f>2*(2.31+1.85)</f>
        <v>8.32</v>
      </c>
      <c r="G1795" s="150"/>
      <c r="H1795" s="150">
        <v>0.1</v>
      </c>
      <c r="I1795" s="151">
        <f t="shared" si="107"/>
        <v>0.83</v>
      </c>
      <c r="J1795" s="180"/>
    </row>
    <row r="1796" spans="1:10" s="181" customFormat="1">
      <c r="A1796" s="276"/>
      <c r="B1796" s="155" t="s">
        <v>660</v>
      </c>
      <c r="C1796" s="149"/>
      <c r="D1796" s="149"/>
      <c r="E1796" s="149"/>
      <c r="F1796" s="150"/>
      <c r="G1796" s="158"/>
      <c r="H1796" s="150"/>
      <c r="I1796" s="151">
        <f>ROUND(PRODUCT(C1796:H1796),2)</f>
        <v>0</v>
      </c>
      <c r="J1796" s="180"/>
    </row>
    <row r="1797" spans="1:10" s="181" customFormat="1">
      <c r="A1797" s="276"/>
      <c r="B1797" s="148" t="s">
        <v>657</v>
      </c>
      <c r="C1797" s="149">
        <v>1</v>
      </c>
      <c r="D1797" s="149" t="s">
        <v>73</v>
      </c>
      <c r="E1797" s="149">
        <v>1</v>
      </c>
      <c r="F1797" s="150">
        <v>4.68</v>
      </c>
      <c r="G1797" s="150">
        <v>2</v>
      </c>
      <c r="H1797" s="150"/>
      <c r="I1797" s="151">
        <f t="shared" ref="I1797:I1802" si="108">ROUND(PRODUCT(C1797:H1797),2)</f>
        <v>9.36</v>
      </c>
      <c r="J1797" s="180"/>
    </row>
    <row r="1798" spans="1:10" s="181" customFormat="1">
      <c r="A1798" s="276"/>
      <c r="B1798" s="148" t="s">
        <v>650</v>
      </c>
      <c r="C1798" s="149">
        <v>1</v>
      </c>
      <c r="D1798" s="149" t="s">
        <v>73</v>
      </c>
      <c r="E1798" s="149">
        <v>1</v>
      </c>
      <c r="F1798" s="150">
        <f>2*(4.68+2)</f>
        <v>13.36</v>
      </c>
      <c r="G1798" s="150"/>
      <c r="H1798" s="150">
        <v>0.1</v>
      </c>
      <c r="I1798" s="151">
        <f t="shared" si="108"/>
        <v>1.34</v>
      </c>
      <c r="J1798" s="180"/>
    </row>
    <row r="1799" spans="1:10" s="181" customFormat="1">
      <c r="A1799" s="276"/>
      <c r="B1799" s="148" t="s">
        <v>658</v>
      </c>
      <c r="C1799" s="149">
        <v>1</v>
      </c>
      <c r="D1799" s="149" t="s">
        <v>73</v>
      </c>
      <c r="E1799" s="149">
        <v>1</v>
      </c>
      <c r="F1799" s="150">
        <v>3.91</v>
      </c>
      <c r="G1799" s="150">
        <v>2.67</v>
      </c>
      <c r="H1799" s="150"/>
      <c r="I1799" s="151">
        <f t="shared" si="108"/>
        <v>10.44</v>
      </c>
      <c r="J1799" s="180"/>
    </row>
    <row r="1800" spans="1:10" s="181" customFormat="1">
      <c r="A1800" s="276"/>
      <c r="B1800" s="148" t="s">
        <v>647</v>
      </c>
      <c r="C1800" s="149">
        <v>1</v>
      </c>
      <c r="D1800" s="149" t="s">
        <v>73</v>
      </c>
      <c r="E1800" s="149">
        <v>1</v>
      </c>
      <c r="F1800" s="150">
        <f>2*(3.91+2.67)</f>
        <v>13.16</v>
      </c>
      <c r="G1800" s="150"/>
      <c r="H1800" s="150">
        <v>0.1</v>
      </c>
      <c r="I1800" s="151">
        <f t="shared" si="108"/>
        <v>1.32</v>
      </c>
      <c r="J1800" s="180"/>
    </row>
    <row r="1801" spans="1:10" s="181" customFormat="1">
      <c r="A1801" s="276"/>
      <c r="B1801" s="148" t="s">
        <v>659</v>
      </c>
      <c r="C1801" s="149">
        <v>1</v>
      </c>
      <c r="D1801" s="149" t="s">
        <v>73</v>
      </c>
      <c r="E1801" s="149">
        <v>1</v>
      </c>
      <c r="F1801" s="150">
        <v>2.3050000000000002</v>
      </c>
      <c r="G1801" s="150">
        <v>1.85</v>
      </c>
      <c r="H1801" s="150"/>
      <c r="I1801" s="151">
        <f t="shared" si="108"/>
        <v>4.26</v>
      </c>
      <c r="J1801" s="180"/>
    </row>
    <row r="1802" spans="1:10" s="181" customFormat="1">
      <c r="A1802" s="276"/>
      <c r="B1802" s="148" t="s">
        <v>650</v>
      </c>
      <c r="C1802" s="149">
        <v>1</v>
      </c>
      <c r="D1802" s="149" t="s">
        <v>73</v>
      </c>
      <c r="E1802" s="149">
        <v>1</v>
      </c>
      <c r="F1802" s="150">
        <f>2*(2.31+1.85)</f>
        <v>8.32</v>
      </c>
      <c r="G1802" s="150"/>
      <c r="H1802" s="150">
        <v>0.1</v>
      </c>
      <c r="I1802" s="151">
        <f t="shared" si="108"/>
        <v>0.83</v>
      </c>
      <c r="J1802" s="180"/>
    </row>
    <row r="1803" spans="1:10" s="181" customFormat="1" ht="17.25" customHeight="1">
      <c r="A1803" s="276"/>
      <c r="B1803" s="155" t="s">
        <v>1371</v>
      </c>
      <c r="C1803" s="149"/>
      <c r="D1803" s="149"/>
      <c r="E1803" s="149"/>
      <c r="F1803" s="150"/>
      <c r="G1803" s="158"/>
      <c r="H1803" s="150"/>
      <c r="I1803" s="151">
        <f>ROUND(PRODUCT(C1803:H1803),2)</f>
        <v>0</v>
      </c>
      <c r="J1803" s="180"/>
    </row>
    <row r="1804" spans="1:10" s="181" customFormat="1">
      <c r="A1804" s="276"/>
      <c r="B1804" s="148" t="s">
        <v>1372</v>
      </c>
      <c r="C1804" s="149">
        <v>1</v>
      </c>
      <c r="D1804" s="149" t="s">
        <v>73</v>
      </c>
      <c r="E1804" s="149">
        <v>1</v>
      </c>
      <c r="F1804" s="150">
        <v>4.5599999999999996</v>
      </c>
      <c r="G1804" s="150">
        <v>2.67</v>
      </c>
      <c r="H1804" s="150"/>
      <c r="I1804" s="151">
        <f>ROUND(PRODUCT(C1804:H1804),2)</f>
        <v>12.18</v>
      </c>
      <c r="J1804" s="180"/>
    </row>
    <row r="1805" spans="1:10" s="181" customFormat="1">
      <c r="A1805" s="276"/>
      <c r="B1805" s="148" t="s">
        <v>650</v>
      </c>
      <c r="C1805" s="149">
        <v>1</v>
      </c>
      <c r="D1805" s="149" t="s">
        <v>73</v>
      </c>
      <c r="E1805" s="149">
        <v>1</v>
      </c>
      <c r="F1805" s="150">
        <f>2*(4.56+2.67)</f>
        <v>14.459999999999999</v>
      </c>
      <c r="G1805" s="150"/>
      <c r="H1805" s="150">
        <v>0.1</v>
      </c>
      <c r="I1805" s="151">
        <f>ROUND(PRODUCT(C1805:H1805),2)</f>
        <v>1.45</v>
      </c>
      <c r="J1805" s="180"/>
    </row>
    <row r="1806" spans="1:10" s="181" customFormat="1">
      <c r="A1806" s="276"/>
      <c r="B1806" s="148" t="s">
        <v>1373</v>
      </c>
      <c r="C1806" s="149">
        <v>2</v>
      </c>
      <c r="D1806" s="149" t="s">
        <v>73</v>
      </c>
      <c r="E1806" s="149">
        <v>3</v>
      </c>
      <c r="F1806" s="150">
        <v>1.2</v>
      </c>
      <c r="G1806" s="150">
        <v>0.6</v>
      </c>
      <c r="H1806" s="150"/>
      <c r="I1806" s="151">
        <f>ROUND(PRODUCT(C1806:H1806),2)</f>
        <v>4.32</v>
      </c>
      <c r="J1806" s="180"/>
    </row>
    <row r="1807" spans="1:10" s="181" customFormat="1">
      <c r="A1807" s="276"/>
      <c r="B1807" s="148"/>
      <c r="C1807" s="149"/>
      <c r="D1807" s="149"/>
      <c r="E1807" s="149"/>
      <c r="F1807" s="150"/>
      <c r="G1807" s="150"/>
      <c r="H1807" s="158" t="s">
        <v>74</v>
      </c>
      <c r="I1807" s="159">
        <f>SUM(I1787:I1806)</f>
        <v>79.91</v>
      </c>
      <c r="J1807" s="180" t="s">
        <v>75</v>
      </c>
    </row>
    <row r="1808" spans="1:10" s="181" customFormat="1">
      <c r="A1808" s="276"/>
      <c r="B1808" s="182"/>
      <c r="C1808" s="149"/>
      <c r="D1808" s="149"/>
      <c r="E1808" s="149"/>
      <c r="F1808" s="150"/>
      <c r="G1808" s="150"/>
      <c r="I1808" s="159"/>
    </row>
    <row r="1809" spans="1:10" s="181" customFormat="1" ht="75">
      <c r="A1809" s="179">
        <v>448.2</v>
      </c>
      <c r="B1809" s="231" t="s">
        <v>661</v>
      </c>
      <c r="C1809" s="217"/>
      <c r="D1809" s="239"/>
      <c r="E1809" s="217"/>
      <c r="F1809" s="168"/>
      <c r="G1809" s="168"/>
      <c r="H1809" s="168"/>
      <c r="I1809" s="241"/>
      <c r="J1809" s="180"/>
    </row>
    <row r="1810" spans="1:10" s="181" customFormat="1" ht="17.25" customHeight="1">
      <c r="A1810" s="276"/>
      <c r="B1810" s="206" t="s">
        <v>635</v>
      </c>
      <c r="C1810" s="217">
        <v>1</v>
      </c>
      <c r="D1810" s="239" t="s">
        <v>73</v>
      </c>
      <c r="E1810" s="217">
        <v>10</v>
      </c>
      <c r="F1810" s="168"/>
      <c r="G1810" s="168"/>
      <c r="H1810" s="168"/>
      <c r="I1810" s="159">
        <f>ROUND(PRODUCT(C1810:H1810),2)</f>
        <v>10</v>
      </c>
      <c r="J1810" s="180" t="s">
        <v>128</v>
      </c>
    </row>
    <row r="1811" spans="1:10" s="181" customFormat="1" ht="17.25" customHeight="1">
      <c r="A1811" s="276"/>
      <c r="B1811" s="206"/>
      <c r="C1811" s="217"/>
      <c r="D1811" s="239"/>
      <c r="E1811" s="217"/>
      <c r="F1811" s="168"/>
      <c r="G1811" s="168"/>
      <c r="H1811" s="168"/>
      <c r="I1811" s="159"/>
      <c r="J1811" s="180"/>
    </row>
    <row r="1812" spans="1:10" s="181" customFormat="1">
      <c r="A1812" s="388">
        <v>504</v>
      </c>
      <c r="B1812" s="387" t="s">
        <v>1568</v>
      </c>
      <c r="C1812" s="149"/>
      <c r="D1812" s="149"/>
      <c r="E1812" s="149"/>
      <c r="F1812" s="158"/>
      <c r="G1812" s="158"/>
      <c r="H1812" s="158"/>
      <c r="I1812" s="159"/>
      <c r="J1812" s="180"/>
    </row>
    <row r="1813" spans="1:10" s="181" customFormat="1">
      <c r="A1813" s="390"/>
      <c r="B1813" s="391" t="s">
        <v>1567</v>
      </c>
      <c r="C1813" s="217">
        <v>1</v>
      </c>
      <c r="D1813" s="156" t="s">
        <v>73</v>
      </c>
      <c r="E1813" s="217">
        <v>1</v>
      </c>
      <c r="F1813" s="168">
        <v>62</v>
      </c>
      <c r="G1813" s="168"/>
      <c r="H1813" s="168"/>
      <c r="I1813" s="241">
        <f>PRODUCT(C1813:H1813)</f>
        <v>62</v>
      </c>
      <c r="J1813" s="180" t="s">
        <v>76</v>
      </c>
    </row>
    <row r="1814" spans="1:10" s="181" customFormat="1">
      <c r="A1814" s="276"/>
      <c r="B1814" s="148"/>
      <c r="C1814" s="149"/>
      <c r="D1814" s="149"/>
      <c r="E1814" s="149"/>
      <c r="F1814" s="158"/>
      <c r="G1814" s="158"/>
      <c r="H1814" s="158"/>
      <c r="I1814" s="159"/>
      <c r="J1814" s="180"/>
    </row>
    <row r="1815" spans="1:10" s="181" customFormat="1" ht="37.5">
      <c r="A1815" s="276" t="s">
        <v>1565</v>
      </c>
      <c r="B1815" s="387" t="s">
        <v>1564</v>
      </c>
      <c r="C1815" s="149"/>
      <c r="D1815" s="149"/>
      <c r="E1815" s="149"/>
      <c r="F1815" s="158"/>
      <c r="G1815" s="158"/>
      <c r="H1815" s="158"/>
      <c r="I1815" s="159"/>
      <c r="J1815" s="180"/>
    </row>
    <row r="1816" spans="1:10" s="181" customFormat="1">
      <c r="A1816" s="276"/>
      <c r="B1816" s="148" t="s">
        <v>1567</v>
      </c>
      <c r="C1816" s="217">
        <v>1</v>
      </c>
      <c r="D1816" s="156" t="s">
        <v>73</v>
      </c>
      <c r="E1816" s="217">
        <v>1</v>
      </c>
      <c r="F1816" s="168">
        <v>1</v>
      </c>
      <c r="G1816" s="168"/>
      <c r="H1816" s="168"/>
      <c r="I1816" s="241">
        <f>PRODUCT(C1816:H1816)</f>
        <v>1</v>
      </c>
      <c r="J1816" s="180" t="s">
        <v>128</v>
      </c>
    </row>
    <row r="1817" spans="1:10" s="181" customFormat="1">
      <c r="A1817" s="276"/>
      <c r="B1817" s="148"/>
      <c r="C1817" s="149"/>
      <c r="D1817" s="149"/>
      <c r="E1817" s="149"/>
      <c r="F1817" s="158"/>
      <c r="G1817" s="158"/>
      <c r="H1817" s="158"/>
      <c r="I1817" s="159"/>
      <c r="J1817" s="180"/>
    </row>
    <row r="1818" spans="1:10" s="181" customFormat="1" ht="37.5">
      <c r="A1818" s="276" t="s">
        <v>1562</v>
      </c>
      <c r="B1818" s="387" t="s">
        <v>1563</v>
      </c>
      <c r="C1818" s="149"/>
      <c r="D1818" s="149"/>
      <c r="E1818" s="149"/>
      <c r="F1818" s="158"/>
      <c r="G1818" s="158"/>
      <c r="H1818" s="158"/>
      <c r="I1818" s="159"/>
      <c r="J1818" s="180"/>
    </row>
    <row r="1819" spans="1:10" s="181" customFormat="1">
      <c r="A1819" s="276"/>
      <c r="B1819" s="148" t="s">
        <v>1566</v>
      </c>
      <c r="C1819" s="217">
        <v>1</v>
      </c>
      <c r="D1819" s="156" t="s">
        <v>73</v>
      </c>
      <c r="E1819" s="217">
        <v>1</v>
      </c>
      <c r="F1819" s="168">
        <v>50</v>
      </c>
      <c r="G1819" s="168"/>
      <c r="H1819" s="168"/>
      <c r="I1819" s="241">
        <f>PRODUCT(C1819:H1819)</f>
        <v>50</v>
      </c>
      <c r="J1819" s="180" t="s">
        <v>76</v>
      </c>
    </row>
    <row r="1820" spans="1:10" s="181" customFormat="1">
      <c r="A1820" s="276"/>
      <c r="B1820" s="148"/>
      <c r="C1820" s="149"/>
      <c r="D1820" s="149"/>
      <c r="E1820" s="149"/>
      <c r="F1820" s="158"/>
      <c r="G1820" s="158"/>
      <c r="H1820" s="158"/>
      <c r="I1820" s="159"/>
      <c r="J1820" s="180"/>
    </row>
    <row r="1821" spans="1:10" s="181" customFormat="1" ht="56.25">
      <c r="A1821" s="388">
        <v>619</v>
      </c>
      <c r="B1821" s="387" t="s">
        <v>1560</v>
      </c>
      <c r="C1821" s="149"/>
      <c r="D1821" s="149"/>
      <c r="E1821" s="149"/>
      <c r="F1821" s="158"/>
      <c r="G1821" s="158"/>
      <c r="H1821" s="158"/>
      <c r="I1821" s="159"/>
      <c r="J1821" s="180"/>
    </row>
    <row r="1822" spans="1:10" s="181" customFormat="1">
      <c r="A1822" s="276"/>
      <c r="B1822" s="239" t="s">
        <v>1561</v>
      </c>
      <c r="C1822" s="217">
        <v>1</v>
      </c>
      <c r="D1822" s="156" t="s">
        <v>73</v>
      </c>
      <c r="E1822" s="217">
        <v>1</v>
      </c>
      <c r="F1822" s="168">
        <v>1</v>
      </c>
      <c r="G1822" s="168"/>
      <c r="H1822" s="168"/>
      <c r="I1822" s="241">
        <f>PRODUCT(C1822:H1822)</f>
        <v>1</v>
      </c>
      <c r="J1822" s="180" t="s">
        <v>128</v>
      </c>
    </row>
    <row r="1823" spans="1:10" s="181" customFormat="1">
      <c r="A1823" s="276"/>
      <c r="B1823" s="148"/>
      <c r="C1823" s="149"/>
      <c r="D1823" s="149"/>
      <c r="E1823" s="149"/>
      <c r="F1823" s="158"/>
      <c r="G1823" s="158"/>
      <c r="H1823" s="158"/>
      <c r="I1823" s="159"/>
      <c r="J1823" s="180"/>
    </row>
    <row r="1824" spans="1:10" s="181" customFormat="1" ht="37.5">
      <c r="A1824" s="388" t="s">
        <v>1558</v>
      </c>
      <c r="B1824" s="387" t="s">
        <v>1559</v>
      </c>
      <c r="C1824" s="149"/>
      <c r="D1824" s="149"/>
      <c r="E1824" s="149"/>
      <c r="F1824" s="158"/>
      <c r="G1824" s="158"/>
      <c r="H1824" s="158"/>
      <c r="I1824" s="159"/>
      <c r="J1824" s="180"/>
    </row>
    <row r="1825" spans="1:10" s="181" customFormat="1">
      <c r="A1825" s="276"/>
      <c r="B1825" s="239" t="s">
        <v>1753</v>
      </c>
      <c r="C1825" s="217">
        <v>1</v>
      </c>
      <c r="D1825" s="156" t="s">
        <v>73</v>
      </c>
      <c r="E1825" s="217">
        <v>1</v>
      </c>
      <c r="F1825" s="168">
        <v>75</v>
      </c>
      <c r="G1825" s="168"/>
      <c r="H1825" s="168"/>
      <c r="I1825" s="241">
        <f>PRODUCT(C1825:H1825)</f>
        <v>75</v>
      </c>
      <c r="J1825" s="213" t="s">
        <v>76</v>
      </c>
    </row>
    <row r="1826" spans="1:10" s="181" customFormat="1" ht="20.25" customHeight="1">
      <c r="A1826" s="276"/>
      <c r="B1826" s="148" t="s">
        <v>1754</v>
      </c>
      <c r="C1826" s="149">
        <v>1</v>
      </c>
      <c r="D1826" s="149" t="s">
        <v>73</v>
      </c>
      <c r="E1826" s="149">
        <v>1</v>
      </c>
      <c r="F1826" s="158">
        <v>20</v>
      </c>
      <c r="G1826" s="158"/>
      <c r="H1826" s="158"/>
      <c r="I1826" s="159">
        <v>20</v>
      </c>
      <c r="J1826" s="213" t="s">
        <v>76</v>
      </c>
    </row>
    <row r="1827" spans="1:10" s="181" customFormat="1" ht="20.25" customHeight="1">
      <c r="A1827" s="276"/>
      <c r="B1827" s="148"/>
      <c r="C1827" s="149"/>
      <c r="D1827" s="149"/>
      <c r="E1827" s="149"/>
      <c r="F1827" s="158"/>
      <c r="G1827" s="158"/>
      <c r="H1827" s="158"/>
      <c r="I1827" s="159">
        <f>SUM(I1825:I1826)</f>
        <v>95</v>
      </c>
      <c r="J1827" s="213" t="s">
        <v>76</v>
      </c>
    </row>
    <row r="1828" spans="1:10" s="181" customFormat="1" ht="37.5">
      <c r="A1828" s="276">
        <v>724.1</v>
      </c>
      <c r="B1828" s="198" t="s">
        <v>672</v>
      </c>
      <c r="C1828" s="217"/>
      <c r="D1828" s="239"/>
      <c r="E1828" s="217"/>
      <c r="F1828" s="168"/>
      <c r="G1828" s="168"/>
      <c r="H1828" s="168" t="s">
        <v>512</v>
      </c>
      <c r="I1828" s="240"/>
      <c r="J1828" s="180"/>
    </row>
    <row r="1829" spans="1:10" s="181" customFormat="1">
      <c r="A1829" s="276"/>
      <c r="B1829" s="239" t="s">
        <v>673</v>
      </c>
      <c r="C1829" s="217">
        <v>1</v>
      </c>
      <c r="D1829" s="156" t="s">
        <v>73</v>
      </c>
      <c r="E1829" s="217">
        <v>1</v>
      </c>
      <c r="F1829" s="168">
        <v>75</v>
      </c>
      <c r="G1829" s="168"/>
      <c r="H1829" s="168"/>
      <c r="I1829" s="241">
        <f>PRODUCT(C1829:H1829)</f>
        <v>75</v>
      </c>
      <c r="J1829" s="213" t="s">
        <v>76</v>
      </c>
    </row>
    <row r="1830" spans="1:10" s="181" customFormat="1" ht="36" customHeight="1">
      <c r="A1830" s="276"/>
      <c r="B1830" s="239"/>
      <c r="C1830" s="217"/>
      <c r="D1830" s="156"/>
      <c r="E1830" s="217"/>
      <c r="F1830" s="168"/>
      <c r="G1830" s="168"/>
      <c r="H1830" s="168"/>
      <c r="I1830" s="241"/>
      <c r="J1830" s="213"/>
    </row>
    <row r="1831" spans="1:10" s="181" customFormat="1" ht="33.75" customHeight="1">
      <c r="A1831" s="276" t="s">
        <v>1458</v>
      </c>
      <c r="B1831" s="176" t="s">
        <v>662</v>
      </c>
      <c r="C1831" s="220"/>
      <c r="D1831" s="220"/>
      <c r="E1831" s="220"/>
      <c r="F1831" s="158"/>
      <c r="G1831" s="158"/>
      <c r="H1831" s="158"/>
      <c r="I1831" s="159"/>
      <c r="J1831" s="180"/>
    </row>
    <row r="1832" spans="1:10" s="181" customFormat="1" ht="17.25" customHeight="1">
      <c r="A1832" s="276"/>
      <c r="B1832" s="155" t="s">
        <v>1755</v>
      </c>
      <c r="C1832" s="220">
        <v>1</v>
      </c>
      <c r="D1832" s="156" t="s">
        <v>73</v>
      </c>
      <c r="E1832" s="220">
        <v>4</v>
      </c>
      <c r="F1832" s="158"/>
      <c r="G1832" s="158"/>
      <c r="H1832" s="158"/>
      <c r="I1832" s="159">
        <f>ROUND(PRODUCT(C1832:H1832),2)</f>
        <v>4</v>
      </c>
      <c r="J1832" s="180" t="s">
        <v>346</v>
      </c>
    </row>
    <row r="1833" spans="1:10" s="181" customFormat="1" ht="17.25" customHeight="1">
      <c r="A1833" s="276"/>
      <c r="B1833" s="155"/>
      <c r="C1833" s="220"/>
      <c r="D1833" s="156"/>
      <c r="E1833" s="220"/>
      <c r="F1833" s="158"/>
      <c r="G1833" s="158"/>
      <c r="H1833" s="158"/>
      <c r="I1833" s="159"/>
      <c r="J1833" s="180"/>
    </row>
    <row r="1834" spans="1:10" s="181" customFormat="1" ht="17.25" customHeight="1">
      <c r="A1834" s="276">
        <v>912</v>
      </c>
      <c r="B1834" s="153" t="s">
        <v>663</v>
      </c>
      <c r="C1834" s="172"/>
      <c r="D1834" s="172"/>
      <c r="E1834" s="172"/>
      <c r="F1834" s="173"/>
      <c r="G1834" s="173"/>
      <c r="H1834" s="173"/>
      <c r="I1834" s="241"/>
      <c r="J1834" s="180"/>
    </row>
    <row r="1835" spans="1:10" s="181" customFormat="1" ht="18" customHeight="1">
      <c r="A1835" s="276"/>
      <c r="B1835" s="171" t="s">
        <v>664</v>
      </c>
      <c r="C1835" s="172">
        <v>1</v>
      </c>
      <c r="D1835" s="156" t="s">
        <v>73</v>
      </c>
      <c r="E1835" s="172">
        <v>1</v>
      </c>
      <c r="F1835" s="173"/>
      <c r="G1835" s="173"/>
      <c r="H1835" s="173"/>
      <c r="I1835" s="159">
        <f>ROUND(PRODUCT(C1835:H1835),2)</f>
        <v>1</v>
      </c>
      <c r="J1835" s="180" t="s">
        <v>346</v>
      </c>
    </row>
    <row r="1836" spans="1:10" s="181" customFormat="1">
      <c r="A1836" s="276"/>
      <c r="B1836" s="155" t="s">
        <v>665</v>
      </c>
      <c r="C1836" s="149"/>
      <c r="D1836" s="149"/>
      <c r="E1836" s="149"/>
      <c r="F1836" s="150"/>
      <c r="G1836" s="158"/>
      <c r="H1836" s="158"/>
      <c r="I1836" s="159"/>
      <c r="J1836" s="180"/>
    </row>
    <row r="1837" spans="1:10" s="181" customFormat="1">
      <c r="A1837" s="360"/>
      <c r="B1837" s="155"/>
      <c r="C1837" s="149"/>
      <c r="D1837" s="149"/>
      <c r="E1837" s="149"/>
      <c r="F1837" s="150"/>
      <c r="G1837" s="158"/>
      <c r="H1837" s="158"/>
      <c r="I1837" s="159"/>
      <c r="J1837" s="180"/>
    </row>
    <row r="1838" spans="1:10" s="154" customFormat="1" ht="75.75" customHeight="1">
      <c r="A1838" s="169" t="s">
        <v>1470</v>
      </c>
      <c r="B1838" s="266" t="s">
        <v>690</v>
      </c>
      <c r="C1838" s="149">
        <v>1</v>
      </c>
      <c r="D1838" s="149" t="s">
        <v>73</v>
      </c>
      <c r="E1838" s="149">
        <v>3</v>
      </c>
      <c r="F1838" s="158"/>
      <c r="G1838" s="158"/>
      <c r="H1838" s="158"/>
      <c r="I1838" s="159">
        <f>PRODUCT(C1838:H1838)</f>
        <v>3</v>
      </c>
      <c r="J1838" s="180" t="s">
        <v>382</v>
      </c>
    </row>
    <row r="1839" spans="1:10" s="154" customFormat="1">
      <c r="A1839" s="169"/>
      <c r="B1839" s="266"/>
      <c r="C1839" s="149"/>
      <c r="D1839" s="149"/>
      <c r="E1839" s="149"/>
      <c r="F1839" s="158"/>
      <c r="G1839" s="158"/>
      <c r="H1839" s="158"/>
      <c r="I1839" s="159"/>
      <c r="J1839" s="180"/>
    </row>
    <row r="1840" spans="1:10" s="154" customFormat="1" ht="88.5" customHeight="1">
      <c r="A1840" s="200">
        <v>944</v>
      </c>
      <c r="B1840" s="267" t="s">
        <v>691</v>
      </c>
      <c r="C1840" s="149">
        <v>1</v>
      </c>
      <c r="D1840" s="149" t="s">
        <v>73</v>
      </c>
      <c r="E1840" s="149">
        <v>2</v>
      </c>
      <c r="F1840" s="158"/>
      <c r="G1840" s="158"/>
      <c r="H1840" s="158"/>
      <c r="I1840" s="159">
        <f>PRODUCT(C1840:H1840)</f>
        <v>2</v>
      </c>
      <c r="J1840" s="180" t="s">
        <v>382</v>
      </c>
    </row>
    <row r="1841" spans="1:10">
      <c r="A1841" s="169"/>
      <c r="B1841" s="154"/>
      <c r="C1841" s="235"/>
      <c r="D1841" s="154"/>
      <c r="E1841" s="235"/>
      <c r="F1841" s="236"/>
      <c r="G1841" s="236"/>
      <c r="H1841" s="236"/>
      <c r="I1841" s="237"/>
      <c r="J1841" s="180"/>
    </row>
    <row r="1842" spans="1:10" s="154" customFormat="1" ht="88.5" customHeight="1">
      <c r="A1842" s="349" t="s">
        <v>1459</v>
      </c>
      <c r="B1842" s="250" t="s">
        <v>666</v>
      </c>
      <c r="C1842" s="220"/>
      <c r="D1842" s="220"/>
      <c r="E1842" s="220"/>
      <c r="F1842" s="158"/>
      <c r="G1842" s="158"/>
      <c r="H1842" s="158"/>
      <c r="I1842" s="159"/>
      <c r="J1842" s="213"/>
    </row>
    <row r="1843" spans="1:10" s="154" customFormat="1">
      <c r="A1843" s="179"/>
      <c r="B1843" s="148" t="s">
        <v>408</v>
      </c>
      <c r="C1843" s="149">
        <v>1</v>
      </c>
      <c r="D1843" s="149" t="s">
        <v>73</v>
      </c>
      <c r="E1843" s="149">
        <v>10</v>
      </c>
      <c r="F1843" s="150"/>
      <c r="G1843" s="150"/>
      <c r="H1843" s="150"/>
      <c r="I1843" s="151">
        <f t="shared" ref="I1843:I1868" si="109">PRODUCT(C1843:H1843)</f>
        <v>10</v>
      </c>
      <c r="J1843" s="213"/>
    </row>
    <row r="1844" spans="1:10" s="181" customFormat="1">
      <c r="A1844" s="276"/>
      <c r="B1844" s="148" t="s">
        <v>248</v>
      </c>
      <c r="C1844" s="149">
        <v>1</v>
      </c>
      <c r="D1844" s="149" t="s">
        <v>73</v>
      </c>
      <c r="E1844" s="149">
        <v>2</v>
      </c>
      <c r="F1844" s="150"/>
      <c r="G1844" s="150"/>
      <c r="H1844" s="150"/>
      <c r="I1844" s="151">
        <f t="shared" si="109"/>
        <v>2</v>
      </c>
      <c r="J1844" s="180"/>
    </row>
    <row r="1845" spans="1:10" s="181" customFormat="1">
      <c r="A1845" s="276"/>
      <c r="B1845" s="148" t="s">
        <v>667</v>
      </c>
      <c r="C1845" s="149">
        <v>1</v>
      </c>
      <c r="D1845" s="149" t="s">
        <v>73</v>
      </c>
      <c r="E1845" s="149">
        <v>1</v>
      </c>
      <c r="F1845" s="150"/>
      <c r="G1845" s="150"/>
      <c r="H1845" s="150"/>
      <c r="I1845" s="151">
        <f t="shared" si="109"/>
        <v>1</v>
      </c>
      <c r="J1845" s="180"/>
    </row>
    <row r="1846" spans="1:10" s="154" customFormat="1" ht="13.5" customHeight="1">
      <c r="A1846" s="179"/>
      <c r="B1846" s="155" t="s">
        <v>171</v>
      </c>
      <c r="C1846" s="149"/>
      <c r="D1846" s="149"/>
      <c r="E1846" s="149"/>
      <c r="F1846" s="150"/>
      <c r="G1846" s="150"/>
      <c r="H1846" s="150"/>
      <c r="I1846" s="151">
        <f t="shared" si="109"/>
        <v>0</v>
      </c>
      <c r="J1846" s="244"/>
    </row>
    <row r="1847" spans="1:10" s="154" customFormat="1">
      <c r="A1847" s="179"/>
      <c r="B1847" s="148" t="s">
        <v>298</v>
      </c>
      <c r="C1847" s="149">
        <v>1</v>
      </c>
      <c r="D1847" s="149" t="s">
        <v>73</v>
      </c>
      <c r="E1847" s="149">
        <v>3</v>
      </c>
      <c r="F1847" s="150"/>
      <c r="G1847" s="150"/>
      <c r="H1847" s="150"/>
      <c r="I1847" s="151">
        <f t="shared" si="109"/>
        <v>3</v>
      </c>
      <c r="J1847" s="213"/>
    </row>
    <row r="1848" spans="1:10" s="181" customFormat="1">
      <c r="A1848" s="276"/>
      <c r="B1848" s="148" t="s">
        <v>460</v>
      </c>
      <c r="C1848" s="149">
        <v>1</v>
      </c>
      <c r="D1848" s="149" t="s">
        <v>73</v>
      </c>
      <c r="E1848" s="149">
        <v>3</v>
      </c>
      <c r="F1848" s="150"/>
      <c r="G1848" s="150"/>
      <c r="H1848" s="150"/>
      <c r="I1848" s="151">
        <f t="shared" si="109"/>
        <v>3</v>
      </c>
      <c r="J1848" s="180"/>
    </row>
    <row r="1849" spans="1:10" s="181" customFormat="1" ht="16.5" customHeight="1">
      <c r="A1849" s="276"/>
      <c r="B1849" s="148" t="s">
        <v>553</v>
      </c>
      <c r="C1849" s="149">
        <v>1</v>
      </c>
      <c r="D1849" s="149" t="s">
        <v>73</v>
      </c>
      <c r="E1849" s="149">
        <v>2</v>
      </c>
      <c r="F1849" s="150"/>
      <c r="G1849" s="150"/>
      <c r="H1849" s="150"/>
      <c r="I1849" s="151">
        <f t="shared" si="109"/>
        <v>2</v>
      </c>
      <c r="J1849" s="180"/>
    </row>
    <row r="1850" spans="1:10" s="181" customFormat="1">
      <c r="A1850" s="249"/>
      <c r="B1850" s="148" t="s">
        <v>412</v>
      </c>
      <c r="C1850" s="149">
        <v>1</v>
      </c>
      <c r="D1850" s="149" t="s">
        <v>73</v>
      </c>
      <c r="E1850" s="149">
        <v>3</v>
      </c>
      <c r="F1850" s="150"/>
      <c r="G1850" s="150"/>
      <c r="H1850" s="150"/>
      <c r="I1850" s="151">
        <f t="shared" si="109"/>
        <v>3</v>
      </c>
      <c r="J1850" s="180"/>
    </row>
    <row r="1851" spans="1:10" s="181" customFormat="1">
      <c r="A1851" s="276"/>
      <c r="B1851" s="148" t="s">
        <v>191</v>
      </c>
      <c r="C1851" s="149">
        <v>1</v>
      </c>
      <c r="D1851" s="149" t="s">
        <v>73</v>
      </c>
      <c r="E1851" s="149">
        <v>2</v>
      </c>
      <c r="F1851" s="150"/>
      <c r="G1851" s="150"/>
      <c r="H1851" s="150"/>
      <c r="I1851" s="151">
        <f t="shared" si="109"/>
        <v>2</v>
      </c>
      <c r="J1851" s="180"/>
    </row>
    <row r="1852" spans="1:10" s="181" customFormat="1">
      <c r="A1852" s="276"/>
      <c r="B1852" s="148" t="s">
        <v>303</v>
      </c>
      <c r="C1852" s="149">
        <v>1</v>
      </c>
      <c r="D1852" s="149" t="s">
        <v>73</v>
      </c>
      <c r="E1852" s="149">
        <v>2</v>
      </c>
      <c r="F1852" s="150"/>
      <c r="G1852" s="150"/>
      <c r="H1852" s="150"/>
      <c r="I1852" s="151">
        <f t="shared" si="109"/>
        <v>2</v>
      </c>
      <c r="J1852" s="180"/>
    </row>
    <row r="1853" spans="1:10" s="181" customFormat="1">
      <c r="A1853" s="276"/>
      <c r="B1853" s="148" t="s">
        <v>554</v>
      </c>
      <c r="C1853" s="149">
        <v>1</v>
      </c>
      <c r="D1853" s="149" t="s">
        <v>73</v>
      </c>
      <c r="E1853" s="149">
        <v>2</v>
      </c>
      <c r="F1853" s="150"/>
      <c r="G1853" s="150"/>
      <c r="H1853" s="150"/>
      <c r="I1853" s="151">
        <f t="shared" si="109"/>
        <v>2</v>
      </c>
      <c r="J1853" s="180"/>
    </row>
    <row r="1854" spans="1:10" s="181" customFormat="1">
      <c r="A1854" s="276"/>
      <c r="B1854" s="148" t="s">
        <v>197</v>
      </c>
      <c r="C1854" s="149">
        <v>1</v>
      </c>
      <c r="D1854" s="149" t="s">
        <v>73</v>
      </c>
      <c r="E1854" s="149">
        <v>3</v>
      </c>
      <c r="F1854" s="150"/>
      <c r="G1854" s="150"/>
      <c r="H1854" s="150"/>
      <c r="I1854" s="151">
        <f t="shared" si="109"/>
        <v>3</v>
      </c>
      <c r="J1854" s="180"/>
    </row>
    <row r="1855" spans="1:10" s="181" customFormat="1">
      <c r="A1855" s="276"/>
      <c r="B1855" s="148" t="s">
        <v>667</v>
      </c>
      <c r="C1855" s="149">
        <v>1</v>
      </c>
      <c r="D1855" s="149" t="s">
        <v>73</v>
      </c>
      <c r="E1855" s="149">
        <v>1</v>
      </c>
      <c r="F1855" s="150"/>
      <c r="G1855" s="150"/>
      <c r="H1855" s="150"/>
      <c r="I1855" s="151">
        <f t="shared" si="109"/>
        <v>1</v>
      </c>
      <c r="J1855" s="180"/>
    </row>
    <row r="1856" spans="1:10" s="181" customFormat="1">
      <c r="A1856" s="276"/>
      <c r="B1856" s="155" t="s">
        <v>157</v>
      </c>
      <c r="C1856" s="149"/>
      <c r="D1856" s="149"/>
      <c r="E1856" s="149"/>
      <c r="F1856" s="150"/>
      <c r="G1856" s="150"/>
      <c r="H1856" s="150"/>
      <c r="I1856" s="151">
        <f t="shared" si="109"/>
        <v>0</v>
      </c>
      <c r="J1856" s="180"/>
    </row>
    <row r="1857" spans="1:10" s="181" customFormat="1">
      <c r="A1857" s="276"/>
      <c r="B1857" s="148" t="s">
        <v>298</v>
      </c>
      <c r="C1857" s="149">
        <v>1</v>
      </c>
      <c r="D1857" s="149" t="s">
        <v>73</v>
      </c>
      <c r="E1857" s="149">
        <v>3</v>
      </c>
      <c r="F1857" s="150"/>
      <c r="G1857" s="150"/>
      <c r="H1857" s="150"/>
      <c r="I1857" s="151">
        <f t="shared" si="109"/>
        <v>3</v>
      </c>
      <c r="J1857" s="180"/>
    </row>
    <row r="1858" spans="1:10" s="181" customFormat="1">
      <c r="A1858" s="276"/>
      <c r="B1858" s="148" t="s">
        <v>460</v>
      </c>
      <c r="C1858" s="149">
        <v>1</v>
      </c>
      <c r="D1858" s="149" t="s">
        <v>73</v>
      </c>
      <c r="E1858" s="149">
        <v>3</v>
      </c>
      <c r="F1858" s="150"/>
      <c r="G1858" s="150"/>
      <c r="H1858" s="150"/>
      <c r="I1858" s="151">
        <f t="shared" si="109"/>
        <v>3</v>
      </c>
      <c r="J1858" s="180"/>
    </row>
    <row r="1859" spans="1:10" s="181" customFormat="1">
      <c r="A1859" s="276"/>
      <c r="B1859" s="148" t="s">
        <v>556</v>
      </c>
      <c r="C1859" s="149">
        <v>1</v>
      </c>
      <c r="D1859" s="149" t="s">
        <v>73</v>
      </c>
      <c r="E1859" s="149">
        <v>2</v>
      </c>
      <c r="F1859" s="150"/>
      <c r="G1859" s="150"/>
      <c r="H1859" s="150"/>
      <c r="I1859" s="151">
        <f t="shared" si="109"/>
        <v>2</v>
      </c>
      <c r="J1859" s="180"/>
    </row>
    <row r="1860" spans="1:10" s="181" customFormat="1">
      <c r="A1860" s="276"/>
      <c r="B1860" s="148" t="s">
        <v>331</v>
      </c>
      <c r="C1860" s="149">
        <v>1</v>
      </c>
      <c r="D1860" s="149" t="s">
        <v>73</v>
      </c>
      <c r="E1860" s="149">
        <v>2</v>
      </c>
      <c r="F1860" s="150"/>
      <c r="G1860" s="150"/>
      <c r="H1860" s="150"/>
      <c r="I1860" s="151">
        <f t="shared" si="109"/>
        <v>2</v>
      </c>
      <c r="J1860" s="180"/>
    </row>
    <row r="1861" spans="1:10" s="181" customFormat="1">
      <c r="A1861" s="276"/>
      <c r="B1861" s="148" t="s">
        <v>554</v>
      </c>
      <c r="C1861" s="149">
        <v>1</v>
      </c>
      <c r="D1861" s="149" t="s">
        <v>73</v>
      </c>
      <c r="E1861" s="149">
        <v>2</v>
      </c>
      <c r="F1861" s="150"/>
      <c r="G1861" s="150"/>
      <c r="H1861" s="150"/>
      <c r="I1861" s="151">
        <f t="shared" si="109"/>
        <v>2</v>
      </c>
      <c r="J1861" s="180"/>
    </row>
    <row r="1862" spans="1:10" s="181" customFormat="1">
      <c r="A1862" s="276"/>
      <c r="B1862" s="148" t="s">
        <v>412</v>
      </c>
      <c r="C1862" s="149">
        <v>1</v>
      </c>
      <c r="D1862" s="149" t="s">
        <v>73</v>
      </c>
      <c r="E1862" s="149">
        <v>3</v>
      </c>
      <c r="F1862" s="150"/>
      <c r="G1862" s="150"/>
      <c r="H1862" s="150"/>
      <c r="I1862" s="151">
        <f t="shared" si="109"/>
        <v>3</v>
      </c>
      <c r="J1862" s="180"/>
    </row>
    <row r="1863" spans="1:10" s="181" customFormat="1">
      <c r="A1863" s="276"/>
      <c r="B1863" s="148" t="s">
        <v>197</v>
      </c>
      <c r="C1863" s="149">
        <v>1</v>
      </c>
      <c r="D1863" s="149" t="s">
        <v>73</v>
      </c>
      <c r="E1863" s="149">
        <v>3</v>
      </c>
      <c r="F1863" s="150"/>
      <c r="G1863" s="150"/>
      <c r="H1863" s="150"/>
      <c r="I1863" s="151">
        <f t="shared" si="109"/>
        <v>3</v>
      </c>
      <c r="J1863" s="180"/>
    </row>
    <row r="1864" spans="1:10" s="181" customFormat="1">
      <c r="A1864" s="276"/>
      <c r="B1864" s="148" t="s">
        <v>667</v>
      </c>
      <c r="C1864" s="149">
        <v>1</v>
      </c>
      <c r="D1864" s="149" t="s">
        <v>73</v>
      </c>
      <c r="E1864" s="149">
        <v>1</v>
      </c>
      <c r="F1864" s="150"/>
      <c r="G1864" s="150"/>
      <c r="H1864" s="150"/>
      <c r="I1864" s="151">
        <f t="shared" si="109"/>
        <v>1</v>
      </c>
      <c r="J1864" s="180"/>
    </row>
    <row r="1865" spans="1:10" s="181" customFormat="1">
      <c r="A1865" s="276"/>
      <c r="B1865" s="155" t="s">
        <v>188</v>
      </c>
      <c r="C1865" s="149"/>
      <c r="D1865" s="149"/>
      <c r="E1865" s="149"/>
      <c r="F1865" s="150"/>
      <c r="G1865" s="150"/>
      <c r="H1865" s="150"/>
      <c r="I1865" s="151">
        <f t="shared" si="109"/>
        <v>0</v>
      </c>
      <c r="J1865" s="180"/>
    </row>
    <row r="1866" spans="1:10" s="181" customFormat="1">
      <c r="A1866" s="276"/>
      <c r="B1866" s="148" t="s">
        <v>557</v>
      </c>
      <c r="C1866" s="149">
        <v>2</v>
      </c>
      <c r="D1866" s="149" t="s">
        <v>73</v>
      </c>
      <c r="E1866" s="149">
        <v>2</v>
      </c>
      <c r="F1866" s="150"/>
      <c r="G1866" s="150"/>
      <c r="H1866" s="150"/>
      <c r="I1866" s="151">
        <f t="shared" si="109"/>
        <v>4</v>
      </c>
      <c r="J1866" s="180"/>
    </row>
    <row r="1867" spans="1:10" s="181" customFormat="1">
      <c r="A1867" s="276"/>
      <c r="B1867" s="148" t="s">
        <v>667</v>
      </c>
      <c r="C1867" s="149">
        <v>2</v>
      </c>
      <c r="D1867" s="149" t="s">
        <v>73</v>
      </c>
      <c r="E1867" s="149">
        <v>1</v>
      </c>
      <c r="F1867" s="150"/>
      <c r="G1867" s="150"/>
      <c r="H1867" s="150"/>
      <c r="I1867" s="151">
        <f>PRODUCT(C1867:H1867)</f>
        <v>2</v>
      </c>
      <c r="J1867" s="180"/>
    </row>
    <row r="1868" spans="1:10" s="181" customFormat="1">
      <c r="A1868" s="276"/>
      <c r="B1868" s="148" t="s">
        <v>558</v>
      </c>
      <c r="C1868" s="149">
        <v>1</v>
      </c>
      <c r="D1868" s="149" t="s">
        <v>73</v>
      </c>
      <c r="E1868" s="149">
        <v>1</v>
      </c>
      <c r="F1868" s="150"/>
      <c r="G1868" s="150"/>
      <c r="H1868" s="150"/>
      <c r="I1868" s="151">
        <f t="shared" si="109"/>
        <v>1</v>
      </c>
      <c r="J1868" s="180"/>
    </row>
    <row r="1869" spans="1:10" s="181" customFormat="1">
      <c r="A1869" s="276"/>
      <c r="B1869" s="148"/>
      <c r="C1869" s="149"/>
      <c r="D1869" s="149"/>
      <c r="E1869" s="149"/>
      <c r="F1869" s="150"/>
      <c r="G1869" s="150"/>
      <c r="H1869" s="158" t="s">
        <v>246</v>
      </c>
      <c r="I1869" s="159">
        <f>SUM(I1843:I1868)</f>
        <v>60</v>
      </c>
      <c r="J1869" s="180" t="s">
        <v>128</v>
      </c>
    </row>
    <row r="1870" spans="1:10" s="181" customFormat="1">
      <c r="A1870" s="276"/>
      <c r="B1870" s="148"/>
      <c r="C1870" s="149"/>
      <c r="D1870" s="149"/>
      <c r="E1870" s="149"/>
      <c r="F1870" s="150"/>
      <c r="G1870" s="150"/>
      <c r="H1870" s="150"/>
      <c r="I1870" s="159"/>
      <c r="J1870" s="180"/>
    </row>
    <row r="1871" spans="1:10" s="181" customFormat="1" ht="131.25">
      <c r="A1871" s="351">
        <v>961</v>
      </c>
      <c r="B1871" s="223" t="s">
        <v>681</v>
      </c>
      <c r="C1871" s="264"/>
      <c r="D1871" s="170"/>
      <c r="E1871" s="264"/>
      <c r="F1871" s="168"/>
      <c r="G1871" s="168"/>
      <c r="H1871" s="168"/>
      <c r="I1871" s="265"/>
      <c r="J1871" s="180"/>
    </row>
    <row r="1872" spans="1:10" s="181" customFormat="1">
      <c r="A1872" s="351"/>
      <c r="B1872" s="223" t="s">
        <v>682</v>
      </c>
      <c r="C1872" s="166">
        <v>1</v>
      </c>
      <c r="D1872" s="167" t="s">
        <v>73</v>
      </c>
      <c r="E1872" s="166">
        <v>1</v>
      </c>
      <c r="F1872" s="168"/>
      <c r="G1872" s="168"/>
      <c r="H1872" s="168"/>
      <c r="I1872" s="159">
        <f>ROUND(PRODUCT(C1872:H1872),2)</f>
        <v>1</v>
      </c>
      <c r="J1872" s="180" t="s">
        <v>382</v>
      </c>
    </row>
    <row r="1873" spans="1:10" s="181" customFormat="1">
      <c r="A1873" s="351"/>
      <c r="B1873" s="223"/>
      <c r="C1873" s="166"/>
      <c r="D1873" s="167"/>
      <c r="E1873" s="166"/>
      <c r="F1873" s="168"/>
      <c r="G1873" s="168"/>
      <c r="H1873" s="168"/>
      <c r="I1873" s="159"/>
      <c r="J1873" s="180"/>
    </row>
    <row r="1874" spans="1:10" s="181" customFormat="1" ht="131.25">
      <c r="A1874" s="351" t="s">
        <v>1466</v>
      </c>
      <c r="B1874" s="223" t="s">
        <v>683</v>
      </c>
      <c r="C1874" s="264"/>
      <c r="D1874" s="170"/>
      <c r="E1874" s="264"/>
      <c r="F1874" s="168"/>
      <c r="G1874" s="168"/>
      <c r="H1874" s="168"/>
      <c r="I1874" s="265"/>
      <c r="J1874" s="180"/>
    </row>
    <row r="1875" spans="1:10" s="154" customFormat="1">
      <c r="A1875" s="351"/>
      <c r="B1875" s="223" t="s">
        <v>684</v>
      </c>
      <c r="C1875" s="166">
        <v>1</v>
      </c>
      <c r="D1875" s="170" t="s">
        <v>73</v>
      </c>
      <c r="E1875" s="167">
        <v>20</v>
      </c>
      <c r="F1875" s="168"/>
      <c r="G1875" s="168"/>
      <c r="H1875" s="168"/>
      <c r="I1875" s="159">
        <f>ROUND(PRODUCT(C1875:H1875),2)</f>
        <v>20</v>
      </c>
      <c r="J1875" s="180" t="s">
        <v>382</v>
      </c>
    </row>
    <row r="1876" spans="1:10" s="154" customFormat="1">
      <c r="A1876" s="351"/>
      <c r="B1876" s="223"/>
      <c r="C1876" s="166"/>
      <c r="D1876" s="170"/>
      <c r="E1876" s="167"/>
      <c r="F1876" s="168"/>
      <c r="G1876" s="168"/>
      <c r="H1876" s="168"/>
      <c r="I1876" s="159"/>
      <c r="J1876" s="180"/>
    </row>
    <row r="1877" spans="1:10" s="154" customFormat="1" ht="131.25">
      <c r="A1877" s="351" t="s">
        <v>1467</v>
      </c>
      <c r="B1877" s="223" t="s">
        <v>685</v>
      </c>
      <c r="C1877" s="264"/>
      <c r="D1877" s="170"/>
      <c r="E1877" s="264"/>
      <c r="F1877" s="168"/>
      <c r="G1877" s="168"/>
      <c r="H1877" s="168"/>
      <c r="I1877" s="265"/>
      <c r="J1877" s="180"/>
    </row>
    <row r="1878" spans="1:10" s="154" customFormat="1">
      <c r="A1878" s="351"/>
      <c r="B1878" s="223" t="s">
        <v>686</v>
      </c>
      <c r="C1878" s="166">
        <v>1</v>
      </c>
      <c r="D1878" s="170" t="s">
        <v>73</v>
      </c>
      <c r="E1878" s="166">
        <v>15</v>
      </c>
      <c r="F1878" s="168"/>
      <c r="G1878" s="168"/>
      <c r="H1878" s="168"/>
      <c r="I1878" s="159">
        <f>ROUND(PRODUCT(C1878:H1878),2)</f>
        <v>15</v>
      </c>
      <c r="J1878" s="180" t="s">
        <v>382</v>
      </c>
    </row>
    <row r="1879" spans="1:10" s="154" customFormat="1" ht="21" customHeight="1">
      <c r="A1879" s="351"/>
      <c r="B1879" s="223"/>
      <c r="C1879" s="166"/>
      <c r="D1879" s="170"/>
      <c r="E1879" s="166"/>
      <c r="F1879" s="168"/>
      <c r="G1879" s="168"/>
      <c r="H1879" s="168"/>
      <c r="I1879" s="159"/>
      <c r="J1879" s="221"/>
    </row>
    <row r="1880" spans="1:10" s="154" customFormat="1" ht="75">
      <c r="A1880" s="351" t="s">
        <v>1468</v>
      </c>
      <c r="B1880" s="223" t="s">
        <v>687</v>
      </c>
      <c r="C1880" s="264"/>
      <c r="D1880" s="170"/>
      <c r="E1880" s="264"/>
      <c r="F1880" s="168"/>
      <c r="G1880" s="168"/>
      <c r="H1880" s="168"/>
      <c r="I1880" s="265"/>
      <c r="J1880" s="349"/>
    </row>
    <row r="1881" spans="1:10" s="154" customFormat="1" ht="21.75" customHeight="1">
      <c r="A1881" s="169"/>
      <c r="B1881" s="223" t="s">
        <v>492</v>
      </c>
      <c r="C1881" s="166">
        <v>1</v>
      </c>
      <c r="D1881" s="170" t="s">
        <v>73</v>
      </c>
      <c r="E1881" s="166">
        <v>3</v>
      </c>
      <c r="F1881" s="168"/>
      <c r="G1881" s="168"/>
      <c r="H1881" s="168"/>
      <c r="I1881" s="151">
        <f>ROUND(PRODUCT(C1881:H1881),2)</f>
        <v>3</v>
      </c>
      <c r="J1881" s="180"/>
    </row>
    <row r="1882" spans="1:10" s="154" customFormat="1" ht="15.75" customHeight="1">
      <c r="A1882" s="169"/>
      <c r="B1882" s="223" t="s">
        <v>171</v>
      </c>
      <c r="C1882" s="166">
        <v>1</v>
      </c>
      <c r="D1882" s="170" t="s">
        <v>73</v>
      </c>
      <c r="E1882" s="166">
        <v>10</v>
      </c>
      <c r="F1882" s="168"/>
      <c r="G1882" s="168"/>
      <c r="H1882" s="168"/>
      <c r="I1882" s="151">
        <f>ROUND(PRODUCT(C1882:H1882),2)</f>
        <v>10</v>
      </c>
      <c r="J1882" s="349"/>
    </row>
    <row r="1883" spans="1:10" s="154" customFormat="1" ht="20.25" customHeight="1">
      <c r="A1883" s="169"/>
      <c r="B1883" s="223" t="s">
        <v>157</v>
      </c>
      <c r="C1883" s="166">
        <v>1</v>
      </c>
      <c r="D1883" s="170" t="s">
        <v>73</v>
      </c>
      <c r="E1883" s="166">
        <v>10</v>
      </c>
      <c r="F1883" s="168"/>
      <c r="G1883" s="168"/>
      <c r="H1883" s="168"/>
      <c r="I1883" s="151">
        <f>ROUND(PRODUCT(C1883:H1883),2)</f>
        <v>10</v>
      </c>
      <c r="J1883" s="180"/>
    </row>
    <row r="1884" spans="1:10" s="154" customFormat="1" ht="20.25" customHeight="1">
      <c r="A1884" s="169"/>
      <c r="B1884" s="223" t="s">
        <v>123</v>
      </c>
      <c r="C1884" s="166">
        <v>1</v>
      </c>
      <c r="D1884" s="170" t="s">
        <v>73</v>
      </c>
      <c r="E1884" s="166">
        <v>6</v>
      </c>
      <c r="F1884" s="168"/>
      <c r="G1884" s="168"/>
      <c r="H1884" s="168"/>
      <c r="I1884" s="151">
        <f>ROUND(PRODUCT(C1884:H1884),2)</f>
        <v>6</v>
      </c>
      <c r="J1884" s="349"/>
    </row>
    <row r="1885" spans="1:10" s="154" customFormat="1" ht="52.5" customHeight="1">
      <c r="A1885" s="169"/>
      <c r="B1885" s="223"/>
      <c r="C1885" s="264"/>
      <c r="D1885" s="170"/>
      <c r="E1885" s="264"/>
      <c r="F1885" s="168"/>
      <c r="G1885" s="168"/>
      <c r="H1885" s="168"/>
      <c r="I1885" s="159">
        <f>SUM(I1881:I1884)</f>
        <v>29</v>
      </c>
      <c r="J1885" s="180" t="s">
        <v>382</v>
      </c>
    </row>
    <row r="1886" spans="1:10" s="154" customFormat="1">
      <c r="A1886" s="169"/>
      <c r="B1886" s="223"/>
      <c r="C1886" s="264"/>
      <c r="D1886" s="170"/>
      <c r="E1886" s="264"/>
      <c r="F1886" s="168"/>
      <c r="G1886" s="168"/>
      <c r="H1886" s="168"/>
      <c r="I1886" s="159"/>
      <c r="J1886" s="221"/>
    </row>
    <row r="1887" spans="1:10" s="154" customFormat="1" ht="75">
      <c r="A1887" s="169" t="s">
        <v>1469</v>
      </c>
      <c r="B1887" s="223" t="s">
        <v>688</v>
      </c>
      <c r="C1887" s="264"/>
      <c r="D1887" s="170"/>
      <c r="E1887" s="264"/>
      <c r="F1887" s="168"/>
      <c r="G1887" s="168"/>
      <c r="H1887" s="168"/>
      <c r="I1887" s="265"/>
      <c r="J1887" s="349"/>
    </row>
    <row r="1888" spans="1:10" s="154" customFormat="1" ht="97.5" customHeight="1">
      <c r="A1888" s="169"/>
      <c r="B1888" s="223" t="s">
        <v>689</v>
      </c>
      <c r="C1888" s="166">
        <v>1</v>
      </c>
      <c r="D1888" s="167" t="s">
        <v>73</v>
      </c>
      <c r="E1888" s="166">
        <v>1</v>
      </c>
      <c r="F1888" s="168"/>
      <c r="G1888" s="168"/>
      <c r="H1888" s="168"/>
      <c r="I1888" s="159">
        <f>ROUND(PRODUCT(C1888:H1888),2)</f>
        <v>1</v>
      </c>
      <c r="J1888" s="180" t="s">
        <v>382</v>
      </c>
    </row>
    <row r="1889" spans="1:10" s="154" customFormat="1" ht="15.75" customHeight="1">
      <c r="A1889" s="169"/>
      <c r="B1889" s="223"/>
      <c r="C1889" s="166"/>
      <c r="D1889" s="167"/>
      <c r="E1889" s="166"/>
      <c r="F1889" s="168"/>
      <c r="G1889" s="168"/>
      <c r="H1889" s="168"/>
      <c r="I1889" s="159"/>
      <c r="J1889" s="180"/>
    </row>
    <row r="1890" spans="1:10" s="181" customFormat="1" ht="93.75">
      <c r="A1890" s="276">
        <v>961.3</v>
      </c>
      <c r="B1890" s="188" t="s">
        <v>343</v>
      </c>
      <c r="C1890" s="189"/>
      <c r="D1890" s="189"/>
      <c r="E1890" s="189"/>
      <c r="F1890" s="190"/>
      <c r="G1890" s="190"/>
      <c r="H1890" s="190"/>
      <c r="I1890" s="191"/>
      <c r="J1890" s="180"/>
    </row>
    <row r="1891" spans="1:10" s="181" customFormat="1">
      <c r="A1891" s="276"/>
      <c r="B1891" s="188" t="s">
        <v>1496</v>
      </c>
      <c r="C1891" s="192">
        <v>1</v>
      </c>
      <c r="D1891" s="192" t="s">
        <v>73</v>
      </c>
      <c r="E1891" s="192">
        <v>2</v>
      </c>
      <c r="F1891" s="193">
        <v>0.6</v>
      </c>
      <c r="G1891" s="193"/>
      <c r="H1891" s="193">
        <v>8.18</v>
      </c>
      <c r="I1891" s="151">
        <f t="shared" ref="I1891:I1895" si="110">ROUND(PRODUCT(C1891:H1891),2)</f>
        <v>9.82</v>
      </c>
      <c r="J1891" s="180"/>
    </row>
    <row r="1892" spans="1:10" s="181" customFormat="1" ht="21" customHeight="1">
      <c r="A1892" s="276"/>
      <c r="B1892" s="188" t="s">
        <v>1497</v>
      </c>
      <c r="C1892" s="192">
        <v>1</v>
      </c>
      <c r="D1892" s="192" t="s">
        <v>73</v>
      </c>
      <c r="E1892" s="192">
        <v>2</v>
      </c>
      <c r="F1892" s="193">
        <v>0.6</v>
      </c>
      <c r="G1892" s="193"/>
      <c r="H1892" s="193">
        <v>2.5499999999999998</v>
      </c>
      <c r="I1892" s="151">
        <f t="shared" si="110"/>
        <v>3.06</v>
      </c>
      <c r="J1892" s="180"/>
    </row>
    <row r="1893" spans="1:10" s="181" customFormat="1">
      <c r="A1893" s="276"/>
      <c r="B1893" s="188" t="s">
        <v>1498</v>
      </c>
      <c r="C1893" s="192">
        <v>1</v>
      </c>
      <c r="D1893" s="192" t="s">
        <v>73</v>
      </c>
      <c r="E1893" s="192">
        <v>2</v>
      </c>
      <c r="F1893" s="193">
        <v>0.6</v>
      </c>
      <c r="G1893" s="193"/>
      <c r="H1893" s="193">
        <v>14.4</v>
      </c>
      <c r="I1893" s="151">
        <f t="shared" si="110"/>
        <v>17.28</v>
      </c>
      <c r="J1893" s="180"/>
    </row>
    <row r="1894" spans="1:10" s="181" customFormat="1">
      <c r="A1894" s="276"/>
      <c r="B1894" s="188" t="s">
        <v>1499</v>
      </c>
      <c r="C1894" s="383">
        <v>0.5</v>
      </c>
      <c r="D1894" s="192" t="s">
        <v>73</v>
      </c>
      <c r="E1894" s="192">
        <v>25</v>
      </c>
      <c r="F1894" s="193">
        <f>(3.14*1.81)</f>
        <v>5.6834000000000007</v>
      </c>
      <c r="G1894" s="193"/>
      <c r="H1894" s="193">
        <v>0.45</v>
      </c>
      <c r="I1894" s="151">
        <f t="shared" si="110"/>
        <v>31.97</v>
      </c>
      <c r="J1894" s="180"/>
    </row>
    <row r="1895" spans="1:10" s="181" customFormat="1">
      <c r="A1895" s="276"/>
      <c r="B1895" s="188" t="s">
        <v>1441</v>
      </c>
      <c r="C1895" s="192">
        <v>1</v>
      </c>
      <c r="D1895" s="192" t="s">
        <v>73</v>
      </c>
      <c r="E1895" s="192">
        <v>4</v>
      </c>
      <c r="F1895" s="193">
        <v>0.84</v>
      </c>
      <c r="G1895" s="193"/>
      <c r="H1895" s="193">
        <v>2.92</v>
      </c>
      <c r="I1895" s="151">
        <f t="shared" si="110"/>
        <v>9.81</v>
      </c>
      <c r="J1895" s="180"/>
    </row>
    <row r="1896" spans="1:10" s="181" customFormat="1">
      <c r="A1896" s="276"/>
      <c r="B1896" s="188"/>
      <c r="C1896" s="192"/>
      <c r="D1896" s="192"/>
      <c r="E1896" s="192"/>
      <c r="F1896" s="193"/>
      <c r="G1896" s="193"/>
      <c r="H1896" s="193"/>
      <c r="I1896" s="194">
        <f>SUM(I1891:I1895)</f>
        <v>71.94</v>
      </c>
      <c r="J1896" s="180" t="s">
        <v>75</v>
      </c>
    </row>
    <row r="1897" spans="1:10" s="181" customFormat="1" ht="19.5" customHeight="1">
      <c r="A1897" s="350"/>
      <c r="B1897" s="188"/>
      <c r="C1897" s="192"/>
      <c r="D1897" s="192"/>
      <c r="E1897" s="192"/>
      <c r="F1897" s="193"/>
      <c r="G1897" s="193"/>
      <c r="H1897" s="193"/>
      <c r="I1897" s="160"/>
      <c r="J1897" s="180"/>
    </row>
    <row r="1898" spans="1:10" s="181" customFormat="1" ht="112.5">
      <c r="A1898" s="350">
        <v>961.4</v>
      </c>
      <c r="B1898" s="188" t="s">
        <v>344</v>
      </c>
      <c r="C1898" s="189"/>
      <c r="D1898" s="189"/>
      <c r="E1898" s="189"/>
      <c r="F1898" s="190"/>
      <c r="G1898" s="190"/>
      <c r="H1898" s="190"/>
      <c r="I1898" s="191"/>
      <c r="J1898" s="195"/>
    </row>
    <row r="1899" spans="1:10" s="181" customFormat="1">
      <c r="A1899" s="350"/>
      <c r="B1899" s="188" t="s">
        <v>345</v>
      </c>
      <c r="C1899" s="189">
        <v>1</v>
      </c>
      <c r="D1899" s="189" t="s">
        <v>73</v>
      </c>
      <c r="E1899" s="189">
        <v>20</v>
      </c>
      <c r="F1899" s="190"/>
      <c r="G1899" s="190"/>
      <c r="H1899" s="190"/>
      <c r="I1899" s="151">
        <f>ROUND(PRODUCT(C1899:H1899),2)</f>
        <v>20</v>
      </c>
      <c r="J1899" s="195" t="s">
        <v>128</v>
      </c>
    </row>
    <row r="1900" spans="1:10" s="181" customFormat="1">
      <c r="A1900" s="350"/>
      <c r="B1900" s="188"/>
      <c r="C1900" s="189"/>
      <c r="D1900" s="189"/>
      <c r="E1900" s="189"/>
      <c r="F1900" s="190"/>
      <c r="G1900" s="190"/>
      <c r="H1900" s="190"/>
      <c r="I1900" s="196"/>
      <c r="J1900" s="195"/>
    </row>
    <row r="1901" spans="1:10">
      <c r="A1901" s="419"/>
      <c r="B1901" s="420" t="s">
        <v>1675</v>
      </c>
      <c r="C1901" s="421"/>
      <c r="D1901" s="154"/>
      <c r="E1901" s="421"/>
      <c r="F1901" s="421"/>
      <c r="G1901" s="422"/>
      <c r="H1901" s="422"/>
      <c r="I1901" s="423"/>
      <c r="J1901" s="418"/>
    </row>
    <row r="1902" spans="1:10">
      <c r="A1902" s="419">
        <v>1</v>
      </c>
      <c r="B1902" s="420" t="s">
        <v>1676</v>
      </c>
      <c r="C1902" s="421"/>
      <c r="D1902" s="154"/>
      <c r="E1902" s="421"/>
      <c r="F1902" s="421"/>
      <c r="G1902" s="422"/>
      <c r="H1902" s="422"/>
      <c r="I1902" s="423"/>
      <c r="J1902" s="418"/>
    </row>
    <row r="1903" spans="1:10">
      <c r="A1903" s="347"/>
      <c r="B1903" s="347" t="s">
        <v>1677</v>
      </c>
      <c r="C1903" s="430"/>
      <c r="D1903" s="154"/>
      <c r="E1903" s="421"/>
      <c r="F1903" s="421"/>
      <c r="G1903" s="422"/>
      <c r="H1903" s="422"/>
      <c r="I1903" s="423"/>
      <c r="J1903" s="418"/>
    </row>
    <row r="1904" spans="1:10">
      <c r="A1904" s="347"/>
      <c r="B1904" s="347" t="s">
        <v>1678</v>
      </c>
      <c r="C1904" s="424">
        <v>1</v>
      </c>
      <c r="D1904" s="235" t="s">
        <v>73</v>
      </c>
      <c r="E1904" s="424">
        <v>2</v>
      </c>
      <c r="F1904" s="424">
        <v>1.35</v>
      </c>
      <c r="G1904" s="424"/>
      <c r="H1904" s="424">
        <v>1.35</v>
      </c>
      <c r="I1904" s="425">
        <f t="shared" ref="I1904:I1908" si="111">PRODUCT(D1904:H1904)</f>
        <v>3.6450000000000005</v>
      </c>
      <c r="J1904" s="417"/>
    </row>
    <row r="1905" spans="1:10">
      <c r="A1905" s="347"/>
      <c r="B1905" s="347" t="s">
        <v>171</v>
      </c>
      <c r="C1905" s="424">
        <v>1</v>
      </c>
      <c r="D1905" s="235" t="s">
        <v>73</v>
      </c>
      <c r="E1905" s="424">
        <v>11</v>
      </c>
      <c r="F1905" s="424">
        <v>1.35</v>
      </c>
      <c r="G1905" s="424"/>
      <c r="H1905" s="424">
        <v>1.35</v>
      </c>
      <c r="I1905" s="425">
        <f t="shared" si="111"/>
        <v>20.047500000000003</v>
      </c>
      <c r="J1905" s="417"/>
    </row>
    <row r="1906" spans="1:10">
      <c r="A1906" s="347"/>
      <c r="B1906" s="347" t="s">
        <v>157</v>
      </c>
      <c r="C1906" s="424">
        <v>1</v>
      </c>
      <c r="D1906" s="235" t="s">
        <v>73</v>
      </c>
      <c r="E1906" s="424">
        <v>12</v>
      </c>
      <c r="F1906" s="424">
        <v>1.35</v>
      </c>
      <c r="G1906" s="424"/>
      <c r="H1906" s="424">
        <v>1.35</v>
      </c>
      <c r="I1906" s="425">
        <f t="shared" si="111"/>
        <v>21.870000000000005</v>
      </c>
      <c r="J1906" s="417"/>
    </row>
    <row r="1907" spans="1:10">
      <c r="A1907" s="347"/>
      <c r="B1907" s="347" t="s">
        <v>123</v>
      </c>
      <c r="C1907" s="424">
        <v>1</v>
      </c>
      <c r="D1907" s="235" t="s">
        <v>73</v>
      </c>
      <c r="E1907" s="424">
        <v>4</v>
      </c>
      <c r="F1907" s="424">
        <v>1.35</v>
      </c>
      <c r="G1907" s="424"/>
      <c r="H1907" s="424">
        <v>1.35</v>
      </c>
      <c r="I1907" s="425">
        <f t="shared" si="111"/>
        <v>7.2900000000000009</v>
      </c>
      <c r="J1907" s="417"/>
    </row>
    <row r="1908" spans="1:10">
      <c r="A1908" s="347"/>
      <c r="B1908" s="347" t="s">
        <v>1679</v>
      </c>
      <c r="C1908" s="424">
        <v>1</v>
      </c>
      <c r="D1908" s="235" t="s">
        <v>73</v>
      </c>
      <c r="E1908" s="424">
        <v>7</v>
      </c>
      <c r="F1908" s="425">
        <v>0.9</v>
      </c>
      <c r="G1908" s="424"/>
      <c r="H1908" s="425">
        <v>0.9</v>
      </c>
      <c r="I1908" s="425">
        <f t="shared" si="111"/>
        <v>5.67</v>
      </c>
      <c r="J1908" s="417"/>
    </row>
    <row r="1909" spans="1:10">
      <c r="A1909" s="419"/>
      <c r="B1909" s="420"/>
      <c r="C1909" s="424"/>
      <c r="D1909" s="235"/>
      <c r="E1909" s="424"/>
      <c r="F1909" s="424"/>
      <c r="G1909" s="424"/>
      <c r="H1909" s="424"/>
      <c r="I1909" s="426">
        <f>SUM(I1904:I1908)</f>
        <v>58.522500000000008</v>
      </c>
      <c r="J1909" s="431" t="s">
        <v>75</v>
      </c>
    </row>
    <row r="1910" spans="1:10">
      <c r="A1910" s="419"/>
      <c r="B1910" s="420"/>
      <c r="C1910" s="421"/>
      <c r="D1910" s="235"/>
      <c r="E1910" s="421"/>
      <c r="F1910" s="421"/>
      <c r="G1910" s="422"/>
      <c r="H1910" s="422"/>
      <c r="I1910" s="423"/>
      <c r="J1910" s="418"/>
    </row>
    <row r="1911" spans="1:10" ht="37.5">
      <c r="A1911" s="419">
        <v>2</v>
      </c>
      <c r="B1911" s="420" t="s">
        <v>1680</v>
      </c>
      <c r="C1911" s="421"/>
      <c r="D1911" s="235"/>
      <c r="E1911" s="421"/>
      <c r="F1911" s="421"/>
      <c r="G1911" s="422"/>
      <c r="H1911" s="422"/>
      <c r="I1911" s="423"/>
      <c r="J1911" s="418"/>
    </row>
    <row r="1912" spans="1:10">
      <c r="A1912" s="427"/>
      <c r="B1912" s="428" t="s">
        <v>1681</v>
      </c>
      <c r="C1912" s="430"/>
      <c r="D1912" s="235"/>
      <c r="E1912" s="421"/>
      <c r="F1912" s="421"/>
      <c r="G1912" s="422"/>
      <c r="H1912" s="422"/>
      <c r="I1912" s="423"/>
      <c r="J1912" s="418"/>
    </row>
    <row r="1913" spans="1:10">
      <c r="A1913" s="427"/>
      <c r="B1913" s="429" t="s">
        <v>1678</v>
      </c>
      <c r="C1913" s="424">
        <v>1</v>
      </c>
      <c r="D1913" s="235" t="s">
        <v>73</v>
      </c>
      <c r="E1913" s="424">
        <v>2</v>
      </c>
      <c r="F1913" s="424">
        <v>0.75</v>
      </c>
      <c r="G1913" s="424"/>
      <c r="H1913" s="425">
        <v>0.6</v>
      </c>
      <c r="I1913" s="425">
        <f t="shared" ref="I1913:I1916" si="112">PRODUCT(D1913:H1913)</f>
        <v>0.89999999999999991</v>
      </c>
      <c r="J1913" s="417"/>
    </row>
    <row r="1914" spans="1:10">
      <c r="A1914" s="427"/>
      <c r="B1914" s="429" t="s">
        <v>171</v>
      </c>
      <c r="C1914" s="424">
        <v>1</v>
      </c>
      <c r="D1914" s="235" t="s">
        <v>73</v>
      </c>
      <c r="E1914" s="424">
        <v>3</v>
      </c>
      <c r="F1914" s="424">
        <v>0.75</v>
      </c>
      <c r="G1914" s="424"/>
      <c r="H1914" s="425">
        <v>0.6</v>
      </c>
      <c r="I1914" s="425">
        <f>PRODUCT(D1914:H1914)</f>
        <v>1.3499999999999999</v>
      </c>
      <c r="J1914" s="417"/>
    </row>
    <row r="1915" spans="1:10">
      <c r="A1915" s="427"/>
      <c r="B1915" s="429" t="s">
        <v>157</v>
      </c>
      <c r="C1915" s="424">
        <v>1</v>
      </c>
      <c r="D1915" s="235" t="s">
        <v>73</v>
      </c>
      <c r="E1915" s="424">
        <v>3</v>
      </c>
      <c r="F1915" s="424">
        <v>0.75</v>
      </c>
      <c r="G1915" s="424"/>
      <c r="H1915" s="425">
        <v>0.6</v>
      </c>
      <c r="I1915" s="425">
        <f t="shared" si="112"/>
        <v>1.3499999999999999</v>
      </c>
      <c r="J1915" s="417"/>
    </row>
    <row r="1916" spans="1:10">
      <c r="A1916" s="427"/>
      <c r="B1916" s="429" t="s">
        <v>123</v>
      </c>
      <c r="C1916" s="424">
        <v>1</v>
      </c>
      <c r="D1916" s="235" t="s">
        <v>73</v>
      </c>
      <c r="E1916" s="424">
        <v>8</v>
      </c>
      <c r="F1916" s="424">
        <v>0.75</v>
      </c>
      <c r="G1916" s="424"/>
      <c r="H1916" s="425">
        <v>0.6</v>
      </c>
      <c r="I1916" s="425">
        <f t="shared" si="112"/>
        <v>3.5999999999999996</v>
      </c>
      <c r="J1916" s="418"/>
    </row>
    <row r="1917" spans="1:10">
      <c r="A1917" s="419"/>
      <c r="B1917" s="420"/>
      <c r="C1917" s="421"/>
      <c r="D1917" s="235"/>
      <c r="E1917" s="421"/>
      <c r="F1917" s="421"/>
      <c r="G1917" s="422"/>
      <c r="H1917" s="422"/>
      <c r="I1917" s="423">
        <f>SUM(I1913:I1916)</f>
        <v>7.1999999999999993</v>
      </c>
      <c r="J1917" s="431" t="s">
        <v>75</v>
      </c>
    </row>
    <row r="1918" spans="1:10">
      <c r="A1918" s="419"/>
      <c r="B1918" s="420"/>
      <c r="C1918" s="421"/>
      <c r="D1918" s="235"/>
      <c r="E1918" s="421"/>
      <c r="F1918" s="421"/>
      <c r="G1918" s="422"/>
      <c r="H1918" s="422"/>
      <c r="I1918" s="423"/>
      <c r="J1918" s="418"/>
    </row>
    <row r="1919" spans="1:10">
      <c r="A1919" s="419">
        <v>3</v>
      </c>
      <c r="B1919" s="420" t="s">
        <v>1682</v>
      </c>
      <c r="C1919" s="421"/>
      <c r="D1919" s="235"/>
      <c r="E1919" s="421"/>
      <c r="F1919" s="421"/>
      <c r="G1919" s="422"/>
      <c r="H1919" s="422"/>
      <c r="I1919" s="423"/>
      <c r="J1919" s="418"/>
    </row>
    <row r="1920" spans="1:10">
      <c r="A1920" s="427"/>
      <c r="B1920" s="429" t="s">
        <v>1683</v>
      </c>
      <c r="C1920" s="424">
        <v>1</v>
      </c>
      <c r="D1920" s="235" t="s">
        <v>73</v>
      </c>
      <c r="E1920" s="424">
        <v>1</v>
      </c>
      <c r="F1920" s="424">
        <v>1052.25</v>
      </c>
      <c r="G1920" s="424"/>
      <c r="H1920" s="424">
        <v>0.9</v>
      </c>
      <c r="I1920" s="425">
        <f>PRODUCT(C1920:H1920)</f>
        <v>947.02499999999998</v>
      </c>
      <c r="J1920" s="417"/>
    </row>
    <row r="1921" spans="1:10">
      <c r="A1921" s="427"/>
      <c r="B1921" s="429" t="s">
        <v>1684</v>
      </c>
      <c r="C1921" s="424">
        <v>-1</v>
      </c>
      <c r="D1921" s="235" t="s">
        <v>73</v>
      </c>
      <c r="E1921" s="424">
        <v>1</v>
      </c>
      <c r="F1921" s="424">
        <v>14.7</v>
      </c>
      <c r="G1921" s="424">
        <v>10.37</v>
      </c>
      <c r="H1921" s="424">
        <v>0.9</v>
      </c>
      <c r="I1921" s="425">
        <f>PRODUCT(C1921:H1921)</f>
        <v>-137.1951</v>
      </c>
      <c r="J1921" s="417"/>
    </row>
    <row r="1922" spans="1:10">
      <c r="A1922" s="427"/>
      <c r="B1922" s="429" t="s">
        <v>1685</v>
      </c>
      <c r="C1922" s="424">
        <v>-0.25</v>
      </c>
      <c r="D1922" s="235" t="s">
        <v>73</v>
      </c>
      <c r="E1922" s="424">
        <v>3.14</v>
      </c>
      <c r="F1922" s="424">
        <v>3.96</v>
      </c>
      <c r="G1922" s="424">
        <v>3.96</v>
      </c>
      <c r="H1922" s="424">
        <v>0.9</v>
      </c>
      <c r="I1922" s="425">
        <f>PRODUCT(C1922:H1922)</f>
        <v>-11.0790504</v>
      </c>
      <c r="J1922" s="417"/>
    </row>
    <row r="1923" spans="1:10">
      <c r="A1923" s="427"/>
      <c r="B1923" s="429" t="s">
        <v>1686</v>
      </c>
      <c r="C1923" s="424">
        <v>-1</v>
      </c>
      <c r="D1923" s="235" t="s">
        <v>73</v>
      </c>
      <c r="E1923" s="424">
        <v>1</v>
      </c>
      <c r="F1923" s="424">
        <v>4.8600000000000003</v>
      </c>
      <c r="G1923" s="424">
        <v>2.2599999999999998</v>
      </c>
      <c r="H1923" s="424">
        <v>0.9</v>
      </c>
      <c r="I1923" s="425">
        <f>PRODUCT(C1923:H1923)</f>
        <v>-9.8852399999999996</v>
      </c>
      <c r="J1923" s="418"/>
    </row>
    <row r="1924" spans="1:10">
      <c r="A1924" s="419"/>
      <c r="B1924" s="420"/>
      <c r="C1924" s="421"/>
      <c r="D1924" s="154"/>
      <c r="E1924" s="421"/>
      <c r="F1924" s="421"/>
      <c r="G1924" s="422"/>
      <c r="H1924" s="422"/>
      <c r="I1924" s="423">
        <f>SUM(I1920:I1923)</f>
        <v>788.86560959999997</v>
      </c>
      <c r="J1924" s="421" t="s">
        <v>12</v>
      </c>
    </row>
    <row r="1925" spans="1:10">
      <c r="A1925" s="129"/>
      <c r="B1925" s="131"/>
      <c r="C1925" s="129"/>
    </row>
  </sheetData>
  <autoFilter ref="B1:B1929"/>
  <mergeCells count="7">
    <mergeCell ref="J3:J4"/>
    <mergeCell ref="A2:I2"/>
    <mergeCell ref="A3:A4"/>
    <mergeCell ref="B3:B4"/>
    <mergeCell ref="C3:E4"/>
    <mergeCell ref="F3:H3"/>
    <mergeCell ref="I3:I4"/>
  </mergeCells>
  <printOptions horizontalCentered="1"/>
  <pageMargins left="0.78740157480314998" right="0.25" top="0.41" bottom="0.46" header="0.47" footer="0.23"/>
  <pageSetup paperSize="9" scale="64" fitToHeight="0" orientation="portrait" verticalDpi="300"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dimension ref="A1:AF528"/>
  <sheetViews>
    <sheetView showZeros="0" view="pageBreakPreview" zoomScale="50" zoomScaleNormal="50" zoomScaleSheetLayoutView="50" workbookViewId="0">
      <pane xSplit="2" ySplit="6" topLeftCell="C7" activePane="bottomRight" state="frozen"/>
      <selection pane="topRight" activeCell="D1" sqref="D1"/>
      <selection pane="bottomLeft" activeCell="A7" sqref="A7"/>
      <selection pane="bottomRight" activeCell="I14" sqref="I14"/>
    </sheetView>
  </sheetViews>
  <sheetFormatPr defaultColWidth="9.140625" defaultRowHeight="21.75"/>
  <cols>
    <col min="1" max="1" width="11.140625" style="316" customWidth="1"/>
    <col min="2" max="2" width="55.5703125" style="295" customWidth="1"/>
    <col min="3" max="3" width="19" style="436" bestFit="1" customWidth="1"/>
    <col min="4" max="4" width="14.5703125" style="436" customWidth="1"/>
    <col min="5" max="5" width="19" style="436" bestFit="1" customWidth="1"/>
    <col min="6" max="6" width="26" style="436" customWidth="1"/>
    <col min="7" max="7" width="20.140625" style="335" customWidth="1"/>
    <col min="8" max="8" width="25.42578125" style="436" customWidth="1"/>
    <col min="9" max="9" width="17.5703125" style="436" customWidth="1"/>
    <col min="10" max="10" width="22.42578125" style="436" customWidth="1"/>
    <col min="11" max="11" width="19.85546875" style="436" customWidth="1"/>
    <col min="12" max="12" width="26.42578125" style="436" customWidth="1"/>
    <col min="13" max="13" width="24.42578125" style="436" customWidth="1"/>
    <col min="14" max="14" width="24.140625" style="436" customWidth="1"/>
    <col min="15" max="15" width="22.5703125" style="327" hidden="1" customWidth="1"/>
    <col min="16" max="16" width="21.5703125" style="298" hidden="1" customWidth="1"/>
    <col min="17" max="17" width="18.7109375" style="327" hidden="1" customWidth="1"/>
    <col min="18" max="18" width="23.42578125" style="298" hidden="1" customWidth="1"/>
    <col min="19" max="19" width="17.5703125" style="328" hidden="1" customWidth="1"/>
    <col min="20" max="20" width="17" style="328" hidden="1" customWidth="1"/>
    <col min="21" max="21" width="66.85546875" style="302" customWidth="1"/>
    <col min="22" max="22" width="14" style="329" customWidth="1"/>
    <col min="23" max="23" width="15.85546875" style="295" customWidth="1"/>
    <col min="24" max="26" width="9.140625" style="295"/>
    <col min="27" max="27" width="13.42578125" style="295" bestFit="1" customWidth="1"/>
    <col min="28" max="16384" width="9.140625" style="295"/>
  </cols>
  <sheetData>
    <row r="1" spans="1:32" s="282" customFormat="1" ht="27.75" customHeight="1">
      <c r="A1" s="519" t="s">
        <v>1442</v>
      </c>
      <c r="B1" s="519"/>
      <c r="C1" s="519"/>
      <c r="D1" s="519"/>
      <c r="E1" s="519"/>
      <c r="F1" s="519"/>
      <c r="G1" s="519"/>
      <c r="H1" s="519"/>
      <c r="I1" s="519"/>
      <c r="J1" s="519"/>
      <c r="K1" s="519"/>
      <c r="L1" s="519"/>
      <c r="M1" s="519"/>
      <c r="N1" s="519"/>
      <c r="O1" s="519"/>
      <c r="P1" s="519"/>
      <c r="Q1" s="519"/>
      <c r="R1" s="519"/>
      <c r="S1" s="519"/>
      <c r="T1" s="519"/>
      <c r="U1" s="519"/>
      <c r="V1" s="519"/>
      <c r="W1" s="519"/>
      <c r="X1" s="519"/>
      <c r="Y1" s="519"/>
      <c r="Z1" s="519"/>
      <c r="AA1" s="519"/>
      <c r="AB1" s="519"/>
      <c r="AC1" s="519"/>
      <c r="AD1" s="519"/>
      <c r="AE1" s="519"/>
      <c r="AF1" s="519"/>
    </row>
    <row r="2" spans="1:32" s="282" customFormat="1" ht="27.75" customHeight="1">
      <c r="A2" s="519" t="s">
        <v>1378</v>
      </c>
      <c r="B2" s="519"/>
      <c r="C2" s="519"/>
      <c r="D2" s="519"/>
      <c r="E2" s="519"/>
      <c r="F2" s="519"/>
      <c r="G2" s="519"/>
      <c r="H2" s="519"/>
      <c r="I2" s="519"/>
      <c r="J2" s="519"/>
      <c r="K2" s="519"/>
      <c r="L2" s="519"/>
      <c r="M2" s="519"/>
      <c r="N2" s="519"/>
      <c r="O2" s="519"/>
      <c r="P2" s="519"/>
      <c r="Q2" s="519"/>
      <c r="R2" s="519"/>
      <c r="S2" s="519"/>
      <c r="T2" s="519"/>
      <c r="U2" s="519"/>
      <c r="V2" s="519"/>
      <c r="W2" s="519"/>
      <c r="X2" s="519"/>
      <c r="Y2" s="519"/>
      <c r="Z2" s="519"/>
      <c r="AA2" s="519"/>
      <c r="AB2" s="519"/>
      <c r="AC2" s="519"/>
      <c r="AD2" s="519"/>
      <c r="AE2" s="519"/>
      <c r="AF2" s="519"/>
    </row>
    <row r="3" spans="1:32" s="282" customFormat="1" ht="27.75" customHeight="1">
      <c r="A3" s="519" t="s">
        <v>1379</v>
      </c>
      <c r="B3" s="519"/>
      <c r="C3" s="519"/>
      <c r="D3" s="519"/>
      <c r="E3" s="519"/>
      <c r="F3" s="519"/>
      <c r="G3" s="519"/>
      <c r="H3" s="519"/>
      <c r="I3" s="519"/>
      <c r="J3" s="519"/>
      <c r="K3" s="519"/>
      <c r="L3" s="519"/>
      <c r="M3" s="519"/>
      <c r="N3" s="519"/>
      <c r="O3" s="519"/>
      <c r="P3" s="519"/>
      <c r="Q3" s="519"/>
      <c r="R3" s="519"/>
      <c r="S3" s="519"/>
      <c r="T3" s="519"/>
      <c r="U3" s="519"/>
      <c r="V3" s="519"/>
      <c r="W3" s="519"/>
      <c r="X3" s="519"/>
      <c r="Y3" s="519"/>
      <c r="Z3" s="519"/>
      <c r="AA3" s="519"/>
      <c r="AB3" s="519"/>
      <c r="AC3" s="519"/>
      <c r="AD3" s="519"/>
      <c r="AE3" s="519"/>
      <c r="AF3" s="519"/>
    </row>
    <row r="4" spans="1:32" s="282" customFormat="1" ht="27.75" customHeight="1">
      <c r="A4" s="519"/>
      <c r="B4" s="519"/>
      <c r="C4" s="519" t="s">
        <v>1380</v>
      </c>
      <c r="D4" s="519"/>
      <c r="E4" s="519"/>
      <c r="F4" s="519"/>
      <c r="G4" s="519" t="s">
        <v>1381</v>
      </c>
      <c r="H4" s="519"/>
      <c r="I4" s="519"/>
      <c r="J4" s="519"/>
      <c r="K4" s="519" t="s">
        <v>1382</v>
      </c>
      <c r="L4" s="519"/>
      <c r="M4" s="519"/>
      <c r="N4" s="519"/>
      <c r="O4" s="283"/>
      <c r="P4" s="283"/>
      <c r="Q4" s="283"/>
      <c r="R4" s="283"/>
      <c r="S4" s="283"/>
      <c r="T4" s="283"/>
      <c r="U4" s="519" t="s">
        <v>1383</v>
      </c>
      <c r="V4" s="519"/>
    </row>
    <row r="5" spans="1:32" s="286" customFormat="1" ht="23.25" customHeight="1">
      <c r="A5" s="520" t="s">
        <v>121</v>
      </c>
      <c r="B5" s="521" t="s">
        <v>23</v>
      </c>
      <c r="C5" s="521" t="s">
        <v>1384</v>
      </c>
      <c r="D5" s="521" t="s">
        <v>18</v>
      </c>
      <c r="E5" s="521" t="s">
        <v>1385</v>
      </c>
      <c r="F5" s="521"/>
      <c r="G5" s="521" t="s">
        <v>1386</v>
      </c>
      <c r="H5" s="521"/>
      <c r="I5" s="521" t="s">
        <v>1387</v>
      </c>
      <c r="J5" s="521"/>
      <c r="K5" s="521" t="s">
        <v>1377</v>
      </c>
      <c r="L5" s="521"/>
      <c r="M5" s="435" t="s">
        <v>15</v>
      </c>
      <c r="N5" s="435" t="s">
        <v>14</v>
      </c>
      <c r="O5" s="521" t="s">
        <v>15</v>
      </c>
      <c r="P5" s="521"/>
      <c r="Q5" s="521" t="s">
        <v>14</v>
      </c>
      <c r="R5" s="521"/>
      <c r="S5" s="435"/>
      <c r="T5" s="435"/>
      <c r="U5" s="522" t="s">
        <v>1388</v>
      </c>
      <c r="V5" s="285"/>
    </row>
    <row r="6" spans="1:32" s="286" customFormat="1" ht="65.25" customHeight="1">
      <c r="A6" s="520"/>
      <c r="B6" s="521"/>
      <c r="C6" s="521"/>
      <c r="D6" s="521"/>
      <c r="E6" s="435" t="s">
        <v>1376</v>
      </c>
      <c r="F6" s="435" t="s">
        <v>21</v>
      </c>
      <c r="G6" s="331" t="s">
        <v>1376</v>
      </c>
      <c r="H6" s="435" t="s">
        <v>21</v>
      </c>
      <c r="I6" s="435" t="s">
        <v>1376</v>
      </c>
      <c r="J6" s="435" t="s">
        <v>21</v>
      </c>
      <c r="K6" s="435" t="s">
        <v>1376</v>
      </c>
      <c r="L6" s="435" t="s">
        <v>21</v>
      </c>
      <c r="M6" s="435" t="s">
        <v>21</v>
      </c>
      <c r="N6" s="435" t="s">
        <v>21</v>
      </c>
      <c r="O6" s="287" t="s">
        <v>1376</v>
      </c>
      <c r="P6" s="435" t="s">
        <v>21</v>
      </c>
      <c r="Q6" s="287" t="s">
        <v>1376</v>
      </c>
      <c r="R6" s="435" t="s">
        <v>21</v>
      </c>
      <c r="S6" s="435"/>
      <c r="T6" s="435"/>
      <c r="U6" s="522"/>
      <c r="V6" s="285" t="s">
        <v>1389</v>
      </c>
    </row>
    <row r="7" spans="1:32" ht="38.450000000000003" customHeight="1">
      <c r="A7" s="288"/>
      <c r="B7" s="289"/>
      <c r="C7" s="290"/>
      <c r="D7" s="290"/>
      <c r="E7" s="290"/>
      <c r="F7" s="290"/>
      <c r="G7" s="332"/>
      <c r="H7" s="290">
        <f>ROUND(C7*G7,2)</f>
        <v>0</v>
      </c>
      <c r="I7" s="291"/>
      <c r="J7" s="291">
        <f>ROUND(C7*I7,2)</f>
        <v>0</v>
      </c>
      <c r="K7" s="291">
        <f>ROUND(G7+I7,2)</f>
        <v>0</v>
      </c>
      <c r="L7" s="291">
        <f>ROUND(C7*K7,2)</f>
        <v>0</v>
      </c>
      <c r="M7" s="291"/>
      <c r="N7" s="291"/>
      <c r="O7" s="292">
        <f>ROUND(K7-E7,2)</f>
        <v>0</v>
      </c>
      <c r="P7" s="290">
        <f>ROUND(O7*C7,2)</f>
        <v>0</v>
      </c>
      <c r="Q7" s="292">
        <f>ROUND(E7-K7,2)</f>
        <v>0</v>
      </c>
      <c r="R7" s="290">
        <f>ROUND(C7*Q7,2)</f>
        <v>0</v>
      </c>
      <c r="S7" s="290"/>
      <c r="T7" s="290"/>
      <c r="U7" s="293"/>
      <c r="V7" s="294"/>
    </row>
    <row r="8" spans="1:32" ht="65.25">
      <c r="A8" s="288">
        <v>1</v>
      </c>
      <c r="B8" s="289" t="s">
        <v>692</v>
      </c>
      <c r="C8" s="290" t="s">
        <v>946</v>
      </c>
      <c r="D8" s="290" t="s">
        <v>966</v>
      </c>
      <c r="E8" s="290" t="s">
        <v>853</v>
      </c>
      <c r="F8" s="290">
        <f t="shared" ref="F8:F71" si="0">ROUND(C8*E8,2)</f>
        <v>45539</v>
      </c>
      <c r="G8" s="330">
        <f>'Ex 2'!I9</f>
        <v>161.5</v>
      </c>
      <c r="H8" s="290">
        <f t="shared" ref="H8:H71" si="1">ROUND(C8*G8,2)</f>
        <v>20995</v>
      </c>
      <c r="I8" s="291">
        <f>'DETAILED (2)'!I20</f>
        <v>151.25000000000003</v>
      </c>
      <c r="J8" s="291">
        <f>C8*I8</f>
        <v>19662.500000000004</v>
      </c>
      <c r="K8" s="291">
        <f>G8+I8</f>
        <v>312.75</v>
      </c>
      <c r="L8" s="291">
        <f>C8*K8</f>
        <v>40657.5</v>
      </c>
      <c r="M8" s="297">
        <f t="shared" ref="M8:M71" si="2">IF(L8&gt;F8,L8-F8,0)</f>
        <v>0</v>
      </c>
      <c r="N8" s="297">
        <f t="shared" ref="N8:N71" si="3">IF(F8&gt;L8,F8-L8,0)</f>
        <v>4881.5</v>
      </c>
      <c r="O8" s="292"/>
      <c r="P8" s="290">
        <f t="shared" ref="P8:P70" si="4">ROUND(O8*C8,2)</f>
        <v>0</v>
      </c>
      <c r="Q8" s="292">
        <f t="shared" ref="Q8:Q59" si="5">ROUND(E8-K8,2)</f>
        <v>37.549999999999997</v>
      </c>
      <c r="R8" s="290">
        <f t="shared" ref="R8:R59" si="6">ROUND(C8*Q8,2)</f>
        <v>4881.5</v>
      </c>
      <c r="S8" s="290">
        <f>P8-M8</f>
        <v>0</v>
      </c>
      <c r="T8" s="290">
        <f>N8-R8</f>
        <v>0</v>
      </c>
      <c r="U8" s="293"/>
      <c r="V8" s="294">
        <v>-33.517438887184205</v>
      </c>
    </row>
    <row r="9" spans="1:32">
      <c r="A9" s="288">
        <v>2</v>
      </c>
      <c r="B9" s="289" t="s">
        <v>693</v>
      </c>
      <c r="C9" s="290" t="s">
        <v>974</v>
      </c>
      <c r="D9" s="290" t="s">
        <v>966</v>
      </c>
      <c r="E9" s="290" t="s">
        <v>854</v>
      </c>
      <c r="F9" s="290">
        <f>ROUND(C9*E9,2)</f>
        <v>1523.2</v>
      </c>
      <c r="G9" s="333">
        <f>'Ex 2'!I10</f>
        <v>77.5</v>
      </c>
      <c r="H9" s="290">
        <f>ROUND(C9*G9,2)</f>
        <v>10540</v>
      </c>
      <c r="I9" s="291"/>
      <c r="J9" s="291">
        <f t="shared" ref="J9:J72" si="7">C9*I9</f>
        <v>0</v>
      </c>
      <c r="K9" s="296">
        <f t="shared" ref="K9:K72" si="8">G9+I9</f>
        <v>77.5</v>
      </c>
      <c r="L9" s="291">
        <f t="shared" ref="L9:L72" si="9">C9*K9</f>
        <v>10540</v>
      </c>
      <c r="M9" s="297">
        <f t="shared" si="2"/>
        <v>9016.7999999999993</v>
      </c>
      <c r="N9" s="297">
        <f t="shared" si="3"/>
        <v>0</v>
      </c>
      <c r="O9" s="292">
        <f t="shared" ref="O9:O57" si="10">ROUND(K9-E9,2)</f>
        <v>66.3</v>
      </c>
      <c r="P9" s="290">
        <f t="shared" si="4"/>
        <v>9016.7999999999993</v>
      </c>
      <c r="Q9" s="292">
        <f t="shared" si="5"/>
        <v>-66.3</v>
      </c>
      <c r="R9" s="290">
        <f t="shared" si="6"/>
        <v>-9016.7999999999993</v>
      </c>
      <c r="S9" s="290">
        <f t="shared" ref="S9:S72" si="11">P9-M9</f>
        <v>0</v>
      </c>
      <c r="T9" s="290">
        <f t="shared" ref="T9:T72" si="12">N9-R9</f>
        <v>9016.7999999999993</v>
      </c>
      <c r="U9" s="293"/>
      <c r="V9" s="294">
        <v>-33.215478295030444</v>
      </c>
    </row>
    <row r="10" spans="1:32" ht="87">
      <c r="A10" s="288">
        <v>3</v>
      </c>
      <c r="B10" s="289" t="s">
        <v>694</v>
      </c>
      <c r="C10" s="290" t="s">
        <v>975</v>
      </c>
      <c r="D10" s="290" t="s">
        <v>966</v>
      </c>
      <c r="E10" s="290" t="s">
        <v>855</v>
      </c>
      <c r="F10" s="290">
        <f t="shared" si="0"/>
        <v>5032.5</v>
      </c>
      <c r="G10" s="333">
        <f>'Ex 2'!I11</f>
        <v>74.209999999999994</v>
      </c>
      <c r="H10" s="290">
        <f t="shared" si="1"/>
        <v>4526.8100000000004</v>
      </c>
      <c r="I10" s="291"/>
      <c r="J10" s="291">
        <f t="shared" si="7"/>
        <v>0</v>
      </c>
      <c r="K10" s="296">
        <f t="shared" si="8"/>
        <v>74.209999999999994</v>
      </c>
      <c r="L10" s="291">
        <f t="shared" si="9"/>
        <v>4526.8099999999995</v>
      </c>
      <c r="M10" s="297">
        <f t="shared" si="2"/>
        <v>0</v>
      </c>
      <c r="N10" s="297">
        <f t="shared" si="3"/>
        <v>505.69000000000051</v>
      </c>
      <c r="O10" s="292">
        <f t="shared" si="10"/>
        <v>-8.2899999999999991</v>
      </c>
      <c r="P10" s="290">
        <f t="shared" si="4"/>
        <v>-505.69</v>
      </c>
      <c r="Q10" s="292"/>
      <c r="R10" s="290">
        <f t="shared" si="6"/>
        <v>0</v>
      </c>
      <c r="S10" s="290">
        <f t="shared" si="11"/>
        <v>-505.69</v>
      </c>
      <c r="T10" s="290">
        <f t="shared" si="12"/>
        <v>505.69000000000051</v>
      </c>
      <c r="U10" s="293"/>
      <c r="V10" s="294">
        <v>-34.054054054054056</v>
      </c>
    </row>
    <row r="11" spans="1:32">
      <c r="A11" s="288">
        <v>4</v>
      </c>
      <c r="B11" s="289" t="s">
        <v>693</v>
      </c>
      <c r="C11" s="290" t="s">
        <v>976</v>
      </c>
      <c r="D11" s="290" t="s">
        <v>966</v>
      </c>
      <c r="E11" s="290" t="s">
        <v>856</v>
      </c>
      <c r="F11" s="290">
        <f t="shared" si="0"/>
        <v>1092.0999999999999</v>
      </c>
      <c r="G11" s="333">
        <f>'Ex 2'!I12</f>
        <v>5.84</v>
      </c>
      <c r="H11" s="290">
        <f t="shared" si="1"/>
        <v>391.28</v>
      </c>
      <c r="I11" s="291"/>
      <c r="J11" s="291">
        <f t="shared" si="7"/>
        <v>0</v>
      </c>
      <c r="K11" s="296">
        <f t="shared" si="8"/>
        <v>5.84</v>
      </c>
      <c r="L11" s="291">
        <f t="shared" si="9"/>
        <v>391.28</v>
      </c>
      <c r="M11" s="297">
        <f t="shared" si="2"/>
        <v>0</v>
      </c>
      <c r="N11" s="297">
        <f t="shared" si="3"/>
        <v>700.81999999999994</v>
      </c>
      <c r="O11" s="292">
        <f t="shared" si="10"/>
        <v>-10.46</v>
      </c>
      <c r="P11" s="290">
        <f t="shared" si="4"/>
        <v>-700.82</v>
      </c>
      <c r="Q11" s="292"/>
      <c r="R11" s="290"/>
      <c r="S11" s="290">
        <f t="shared" si="11"/>
        <v>-700.82</v>
      </c>
      <c r="T11" s="290">
        <f t="shared" si="12"/>
        <v>700.81999999999994</v>
      </c>
      <c r="U11" s="293"/>
      <c r="V11" s="294">
        <v>-33.333333333333329</v>
      </c>
    </row>
    <row r="12" spans="1:32" ht="43.5">
      <c r="A12" s="288">
        <v>5</v>
      </c>
      <c r="B12" s="289" t="s">
        <v>695</v>
      </c>
      <c r="C12" s="290" t="s">
        <v>977</v>
      </c>
      <c r="D12" s="290" t="s">
        <v>966</v>
      </c>
      <c r="E12" s="290" t="s">
        <v>857</v>
      </c>
      <c r="F12" s="290">
        <f t="shared" si="0"/>
        <v>2913.6</v>
      </c>
      <c r="G12" s="333"/>
      <c r="H12" s="290">
        <f t="shared" si="1"/>
        <v>0</v>
      </c>
      <c r="I12" s="291">
        <f>'DETAILED (2)'!I23</f>
        <v>4.8</v>
      </c>
      <c r="J12" s="291">
        <f t="shared" si="7"/>
        <v>2913.6</v>
      </c>
      <c r="K12" s="296">
        <f t="shared" si="8"/>
        <v>4.8</v>
      </c>
      <c r="L12" s="291">
        <f t="shared" si="9"/>
        <v>2913.6</v>
      </c>
      <c r="M12" s="297">
        <f t="shared" si="2"/>
        <v>0</v>
      </c>
      <c r="N12" s="297">
        <f t="shared" si="3"/>
        <v>0</v>
      </c>
      <c r="O12" s="292"/>
      <c r="P12" s="290">
        <f t="shared" si="4"/>
        <v>0</v>
      </c>
      <c r="Q12" s="292">
        <f t="shared" si="5"/>
        <v>0</v>
      </c>
      <c r="R12" s="290">
        <f t="shared" si="6"/>
        <v>0</v>
      </c>
      <c r="S12" s="290">
        <f t="shared" si="11"/>
        <v>0</v>
      </c>
      <c r="T12" s="290">
        <f t="shared" si="12"/>
        <v>0</v>
      </c>
      <c r="U12" s="293"/>
      <c r="V12" s="294">
        <v>-24.711310668171617</v>
      </c>
    </row>
    <row r="13" spans="1:32" ht="43.5">
      <c r="A13" s="288">
        <v>6</v>
      </c>
      <c r="B13" s="289" t="s">
        <v>696</v>
      </c>
      <c r="C13" s="290" t="s">
        <v>978</v>
      </c>
      <c r="D13" s="290" t="s">
        <v>966</v>
      </c>
      <c r="E13" s="290" t="s">
        <v>858</v>
      </c>
      <c r="F13" s="290">
        <f t="shared" si="0"/>
        <v>1064</v>
      </c>
      <c r="G13" s="333"/>
      <c r="H13" s="290">
        <f t="shared" si="1"/>
        <v>0</v>
      </c>
      <c r="I13" s="291">
        <f>'DETAILED (2)'!I26</f>
        <v>1.6</v>
      </c>
      <c r="J13" s="291">
        <f t="shared" si="7"/>
        <v>1064</v>
      </c>
      <c r="K13" s="296">
        <f t="shared" si="8"/>
        <v>1.6</v>
      </c>
      <c r="L13" s="291">
        <f t="shared" si="9"/>
        <v>1064</v>
      </c>
      <c r="M13" s="297">
        <f t="shared" si="2"/>
        <v>0</v>
      </c>
      <c r="N13" s="297">
        <f t="shared" si="3"/>
        <v>0</v>
      </c>
      <c r="O13" s="292"/>
      <c r="P13" s="290">
        <f t="shared" si="4"/>
        <v>0</v>
      </c>
      <c r="Q13" s="292">
        <f t="shared" si="5"/>
        <v>0</v>
      </c>
      <c r="R13" s="290">
        <f t="shared" si="6"/>
        <v>0</v>
      </c>
      <c r="S13" s="290">
        <f t="shared" si="11"/>
        <v>0</v>
      </c>
      <c r="T13" s="290">
        <f t="shared" si="12"/>
        <v>0</v>
      </c>
      <c r="U13" s="293"/>
      <c r="V13" s="294">
        <v>-24.708173408964822</v>
      </c>
    </row>
    <row r="14" spans="1:32" ht="43.5">
      <c r="A14" s="288">
        <v>7</v>
      </c>
      <c r="B14" s="289" t="s">
        <v>697</v>
      </c>
      <c r="C14" s="290" t="s">
        <v>979</v>
      </c>
      <c r="D14" s="290" t="s">
        <v>966</v>
      </c>
      <c r="E14" s="290" t="s">
        <v>859</v>
      </c>
      <c r="F14" s="290">
        <f t="shared" si="0"/>
        <v>149354</v>
      </c>
      <c r="G14" s="333">
        <f>'Ex 2'!I15</f>
        <v>6.62</v>
      </c>
      <c r="H14" s="290">
        <f t="shared" si="1"/>
        <v>18655.16</v>
      </c>
      <c r="I14" s="291">
        <f>'DETAILED (2)'!I50</f>
        <v>55.830000000000005</v>
      </c>
      <c r="J14" s="291">
        <f t="shared" si="7"/>
        <v>157328.94</v>
      </c>
      <c r="K14" s="296">
        <f t="shared" si="8"/>
        <v>62.45</v>
      </c>
      <c r="L14" s="291">
        <f t="shared" si="9"/>
        <v>175984.1</v>
      </c>
      <c r="M14" s="297">
        <f t="shared" si="2"/>
        <v>26630.100000000006</v>
      </c>
      <c r="N14" s="297">
        <f t="shared" si="3"/>
        <v>0</v>
      </c>
      <c r="O14" s="292">
        <f t="shared" ref="O14:O15" si="13">ROUND(K14-E14,2)</f>
        <v>9.4499999999999993</v>
      </c>
      <c r="P14" s="290">
        <f t="shared" si="4"/>
        <v>26630.1</v>
      </c>
      <c r="Q14" s="292"/>
      <c r="R14" s="290">
        <f t="shared" si="6"/>
        <v>0</v>
      </c>
      <c r="S14" s="290">
        <f t="shared" si="11"/>
        <v>0</v>
      </c>
      <c r="T14" s="290">
        <f t="shared" si="12"/>
        <v>0</v>
      </c>
      <c r="U14" s="293"/>
      <c r="V14" s="294">
        <v>-28.908936333386308</v>
      </c>
    </row>
    <row r="15" spans="1:32" ht="65.25">
      <c r="A15" s="288">
        <v>8</v>
      </c>
      <c r="B15" s="289" t="s">
        <v>698</v>
      </c>
      <c r="C15" s="290" t="s">
        <v>980</v>
      </c>
      <c r="D15" s="290" t="s">
        <v>966</v>
      </c>
      <c r="E15" s="290" t="s">
        <v>860</v>
      </c>
      <c r="F15" s="290">
        <f t="shared" si="0"/>
        <v>157480</v>
      </c>
      <c r="G15" s="333">
        <f>'Ex 2'!I16</f>
        <v>2.92</v>
      </c>
      <c r="H15" s="290">
        <f t="shared" si="1"/>
        <v>11496.04</v>
      </c>
      <c r="I15" s="291">
        <f>'DETAILED (2)'!I66</f>
        <v>32.33</v>
      </c>
      <c r="J15" s="291">
        <f t="shared" si="7"/>
        <v>127283.20999999999</v>
      </c>
      <c r="K15" s="296">
        <f t="shared" si="8"/>
        <v>35.25</v>
      </c>
      <c r="L15" s="291">
        <f t="shared" si="9"/>
        <v>138779.25</v>
      </c>
      <c r="M15" s="297">
        <f t="shared" si="2"/>
        <v>0</v>
      </c>
      <c r="N15" s="297">
        <f t="shared" si="3"/>
        <v>18700.75</v>
      </c>
      <c r="O15" s="292">
        <f t="shared" si="13"/>
        <v>-4.75</v>
      </c>
      <c r="P15" s="290">
        <f t="shared" si="4"/>
        <v>-18700.75</v>
      </c>
      <c r="Q15" s="292"/>
      <c r="R15" s="290"/>
      <c r="S15" s="290">
        <f t="shared" si="11"/>
        <v>-18700.75</v>
      </c>
      <c r="T15" s="290">
        <f t="shared" si="12"/>
        <v>18700.75</v>
      </c>
      <c r="U15" s="293"/>
      <c r="V15" s="294">
        <v>-27.709073548718798</v>
      </c>
    </row>
    <row r="16" spans="1:32" ht="43.5">
      <c r="A16" s="288">
        <v>9</v>
      </c>
      <c r="B16" s="289" t="s">
        <v>699</v>
      </c>
      <c r="C16" s="290" t="s">
        <v>981</v>
      </c>
      <c r="D16" s="290" t="s">
        <v>966</v>
      </c>
      <c r="E16" s="290">
        <v>0.2</v>
      </c>
      <c r="F16" s="290">
        <f t="shared" si="0"/>
        <v>484.4</v>
      </c>
      <c r="G16" s="333"/>
      <c r="H16" s="290">
        <f t="shared" si="1"/>
        <v>0</v>
      </c>
      <c r="I16" s="291">
        <f>'DETAILED (2)'!I69</f>
        <v>0.2</v>
      </c>
      <c r="J16" s="291">
        <f t="shared" si="7"/>
        <v>484.40000000000003</v>
      </c>
      <c r="K16" s="296">
        <f t="shared" si="8"/>
        <v>0.2</v>
      </c>
      <c r="L16" s="291">
        <f t="shared" si="9"/>
        <v>484.40000000000003</v>
      </c>
      <c r="M16" s="297">
        <f t="shared" si="2"/>
        <v>0</v>
      </c>
      <c r="N16" s="297">
        <f t="shared" si="3"/>
        <v>0</v>
      </c>
      <c r="O16" s="292">
        <f t="shared" si="10"/>
        <v>0</v>
      </c>
      <c r="P16" s="290">
        <f t="shared" si="4"/>
        <v>0</v>
      </c>
      <c r="Q16" s="292"/>
      <c r="R16" s="290">
        <f t="shared" si="6"/>
        <v>0</v>
      </c>
      <c r="S16" s="290">
        <f t="shared" si="11"/>
        <v>0</v>
      </c>
      <c r="T16" s="290">
        <f t="shared" si="12"/>
        <v>0</v>
      </c>
      <c r="U16" s="293"/>
      <c r="V16" s="294">
        <v>-29.320166223093803</v>
      </c>
      <c r="W16" s="299"/>
    </row>
    <row r="17" spans="1:23" ht="87">
      <c r="A17" s="288">
        <v>10</v>
      </c>
      <c r="B17" s="289" t="s">
        <v>700</v>
      </c>
      <c r="C17" s="290" t="s">
        <v>982</v>
      </c>
      <c r="D17" s="290" t="s">
        <v>966</v>
      </c>
      <c r="E17" s="290" t="s">
        <v>861</v>
      </c>
      <c r="F17" s="290">
        <f t="shared" si="0"/>
        <v>273699</v>
      </c>
      <c r="G17" s="333">
        <f>'Ex 2'!I18</f>
        <v>35.68</v>
      </c>
      <c r="H17" s="290">
        <f t="shared" si="1"/>
        <v>149320.79999999999</v>
      </c>
      <c r="I17" s="291">
        <f>'DETAILED (2)'!I78</f>
        <v>23.280000000000005</v>
      </c>
      <c r="J17" s="291">
        <f t="shared" si="7"/>
        <v>97426.800000000017</v>
      </c>
      <c r="K17" s="296">
        <f t="shared" si="8"/>
        <v>58.960000000000008</v>
      </c>
      <c r="L17" s="291">
        <f t="shared" si="9"/>
        <v>246747.60000000003</v>
      </c>
      <c r="M17" s="297">
        <f t="shared" si="2"/>
        <v>0</v>
      </c>
      <c r="N17" s="297">
        <f t="shared" si="3"/>
        <v>26951.399999999965</v>
      </c>
      <c r="O17" s="292">
        <f t="shared" si="10"/>
        <v>-6.44</v>
      </c>
      <c r="P17" s="290">
        <f t="shared" si="4"/>
        <v>-26951.4</v>
      </c>
      <c r="Q17" s="292">
        <f t="shared" si="5"/>
        <v>6.44</v>
      </c>
      <c r="R17" s="290">
        <f t="shared" si="6"/>
        <v>26951.4</v>
      </c>
      <c r="S17" s="290">
        <f t="shared" si="11"/>
        <v>-26951.4</v>
      </c>
      <c r="T17" s="290">
        <f t="shared" si="12"/>
        <v>-3.637978807091713E-11</v>
      </c>
      <c r="U17" s="293"/>
      <c r="V17" s="294">
        <v>-28.385271836502813</v>
      </c>
      <c r="W17" s="299"/>
    </row>
    <row r="18" spans="1:23" ht="65.25">
      <c r="A18" s="288">
        <v>11</v>
      </c>
      <c r="B18" s="289" t="s">
        <v>701</v>
      </c>
      <c r="C18" s="290" t="s">
        <v>983</v>
      </c>
      <c r="D18" s="290" t="s">
        <v>967</v>
      </c>
      <c r="E18" s="290" t="s">
        <v>862</v>
      </c>
      <c r="F18" s="290">
        <f t="shared" si="0"/>
        <v>9451.7999999999993</v>
      </c>
      <c r="G18" s="333"/>
      <c r="H18" s="290">
        <f t="shared" si="1"/>
        <v>0</v>
      </c>
      <c r="I18" s="291">
        <f>'DETAILED (2)'!I86</f>
        <v>15.790000000000001</v>
      </c>
      <c r="J18" s="291">
        <f t="shared" si="7"/>
        <v>8431.86</v>
      </c>
      <c r="K18" s="296">
        <f t="shared" si="8"/>
        <v>15.790000000000001</v>
      </c>
      <c r="L18" s="291">
        <f t="shared" si="9"/>
        <v>8431.86</v>
      </c>
      <c r="M18" s="297">
        <f t="shared" si="2"/>
        <v>0</v>
      </c>
      <c r="N18" s="297">
        <f t="shared" si="3"/>
        <v>1019.9399999999987</v>
      </c>
      <c r="O18" s="292">
        <f t="shared" si="10"/>
        <v>-1.91</v>
      </c>
      <c r="P18" s="290">
        <f t="shared" si="4"/>
        <v>-1019.94</v>
      </c>
      <c r="Q18" s="292"/>
      <c r="R18" s="290">
        <f t="shared" si="6"/>
        <v>0</v>
      </c>
      <c r="S18" s="290">
        <f t="shared" si="11"/>
        <v>-1019.94</v>
      </c>
      <c r="T18" s="290">
        <f t="shared" si="12"/>
        <v>1019.9399999999987</v>
      </c>
      <c r="U18" s="293"/>
      <c r="V18" s="294">
        <v>-24.25531914893617</v>
      </c>
      <c r="W18" s="299"/>
    </row>
    <row r="19" spans="1:23" ht="108.75">
      <c r="A19" s="288">
        <v>12</v>
      </c>
      <c r="B19" s="289" t="s">
        <v>702</v>
      </c>
      <c r="C19" s="290" t="s">
        <v>984</v>
      </c>
      <c r="D19" s="290" t="s">
        <v>966</v>
      </c>
      <c r="E19" s="290" t="s">
        <v>863</v>
      </c>
      <c r="F19" s="290">
        <f t="shared" si="0"/>
        <v>65301.599999999999</v>
      </c>
      <c r="G19" s="333">
        <v>24.94</v>
      </c>
      <c r="H19" s="290">
        <f t="shared" si="1"/>
        <v>104398.84</v>
      </c>
      <c r="I19" s="291">
        <f>'DETAILED (2)'!I105</f>
        <v>14.389999999999999</v>
      </c>
      <c r="J19" s="291">
        <f t="shared" si="7"/>
        <v>60236.539999999994</v>
      </c>
      <c r="K19" s="296">
        <f>G19+I19</f>
        <v>39.33</v>
      </c>
      <c r="L19" s="291">
        <f t="shared" si="9"/>
        <v>164635.38</v>
      </c>
      <c r="M19" s="297">
        <f t="shared" si="2"/>
        <v>99333.78</v>
      </c>
      <c r="N19" s="297">
        <f t="shared" si="3"/>
        <v>0</v>
      </c>
      <c r="O19" s="292">
        <f t="shared" si="10"/>
        <v>23.73</v>
      </c>
      <c r="P19" s="290">
        <f t="shared" si="4"/>
        <v>99333.78</v>
      </c>
      <c r="Q19" s="292"/>
      <c r="R19" s="290">
        <f t="shared" si="6"/>
        <v>0</v>
      </c>
      <c r="S19" s="290">
        <f t="shared" si="11"/>
        <v>0</v>
      </c>
      <c r="T19" s="290">
        <f t="shared" si="12"/>
        <v>0</v>
      </c>
      <c r="U19" s="293"/>
      <c r="V19" s="294">
        <v>-28.48368672916229</v>
      </c>
      <c r="W19" s="299"/>
    </row>
    <row r="20" spans="1:23">
      <c r="A20" s="288">
        <v>13</v>
      </c>
      <c r="B20" s="289" t="s">
        <v>36</v>
      </c>
      <c r="C20" s="290" t="s">
        <v>985</v>
      </c>
      <c r="D20" s="290" t="s">
        <v>966</v>
      </c>
      <c r="E20" s="290" t="s">
        <v>864</v>
      </c>
      <c r="F20" s="290">
        <f t="shared" si="0"/>
        <v>136308.70000000001</v>
      </c>
      <c r="G20" s="333">
        <v>48.45</v>
      </c>
      <c r="H20" s="290">
        <f t="shared" si="1"/>
        <v>207026.85</v>
      </c>
      <c r="I20" s="291">
        <f>'DETAILED (2)'!I111</f>
        <v>0.54</v>
      </c>
      <c r="J20" s="291">
        <f t="shared" si="7"/>
        <v>2307.42</v>
      </c>
      <c r="K20" s="296">
        <f>G20+I20</f>
        <v>48.99</v>
      </c>
      <c r="L20" s="291">
        <f t="shared" si="9"/>
        <v>209334.27000000002</v>
      </c>
      <c r="M20" s="297">
        <f t="shared" si="2"/>
        <v>73025.570000000007</v>
      </c>
      <c r="N20" s="297">
        <f t="shared" si="3"/>
        <v>0</v>
      </c>
      <c r="O20" s="292">
        <f t="shared" si="10"/>
        <v>17.09</v>
      </c>
      <c r="P20" s="290">
        <f t="shared" si="4"/>
        <v>73025.570000000007</v>
      </c>
      <c r="Q20" s="292"/>
      <c r="R20" s="290">
        <f t="shared" si="6"/>
        <v>0</v>
      </c>
      <c r="S20" s="290">
        <f t="shared" si="11"/>
        <v>0</v>
      </c>
      <c r="T20" s="290">
        <f t="shared" si="12"/>
        <v>0</v>
      </c>
      <c r="U20" s="293"/>
      <c r="V20" s="294">
        <v>-28.598164573460505</v>
      </c>
      <c r="W20" s="299"/>
    </row>
    <row r="21" spans="1:23">
      <c r="A21" s="288">
        <v>14</v>
      </c>
      <c r="B21" s="289" t="s">
        <v>37</v>
      </c>
      <c r="C21" s="290" t="s">
        <v>986</v>
      </c>
      <c r="D21" s="290" t="s">
        <v>966</v>
      </c>
      <c r="E21" s="290" t="s">
        <v>865</v>
      </c>
      <c r="F21" s="290">
        <f t="shared" si="0"/>
        <v>203176</v>
      </c>
      <c r="G21" s="333">
        <v>42.85</v>
      </c>
      <c r="H21" s="290">
        <f t="shared" si="1"/>
        <v>186826</v>
      </c>
      <c r="I21" s="291">
        <f>'DETAILED (2)'!I126</f>
        <v>5.5100000000000007</v>
      </c>
      <c r="J21" s="291">
        <f t="shared" si="7"/>
        <v>24023.600000000002</v>
      </c>
      <c r="K21" s="296">
        <f t="shared" si="8"/>
        <v>48.36</v>
      </c>
      <c r="L21" s="291">
        <f t="shared" si="9"/>
        <v>210849.6</v>
      </c>
      <c r="M21" s="297">
        <f t="shared" si="2"/>
        <v>7673.6000000000058</v>
      </c>
      <c r="N21" s="297">
        <f t="shared" si="3"/>
        <v>0</v>
      </c>
      <c r="O21" s="292">
        <f t="shared" si="10"/>
        <v>1.76</v>
      </c>
      <c r="P21" s="290">
        <f t="shared" si="4"/>
        <v>7673.6</v>
      </c>
      <c r="Q21" s="292"/>
      <c r="R21" s="290">
        <f t="shared" si="6"/>
        <v>0</v>
      </c>
      <c r="S21" s="290">
        <f t="shared" si="11"/>
        <v>0</v>
      </c>
      <c r="T21" s="290">
        <f t="shared" si="12"/>
        <v>0</v>
      </c>
      <c r="U21" s="293"/>
      <c r="V21" s="294">
        <v>-28.707729488347152</v>
      </c>
      <c r="W21" s="299"/>
    </row>
    <row r="22" spans="1:23">
      <c r="A22" s="288">
        <v>15</v>
      </c>
      <c r="B22" s="289" t="s">
        <v>38</v>
      </c>
      <c r="C22" s="290" t="s">
        <v>987</v>
      </c>
      <c r="D22" s="290" t="s">
        <v>966</v>
      </c>
      <c r="E22" s="290" t="s">
        <v>866</v>
      </c>
      <c r="F22" s="290">
        <f t="shared" si="0"/>
        <v>174361.60000000001</v>
      </c>
      <c r="G22" s="333">
        <v>23.59</v>
      </c>
      <c r="H22" s="290">
        <f t="shared" si="1"/>
        <v>104928.32000000001</v>
      </c>
      <c r="I22" s="291">
        <f>'DETAILED (2)'!I154</f>
        <v>17.070000000000011</v>
      </c>
      <c r="J22" s="291">
        <f t="shared" si="7"/>
        <v>75927.360000000044</v>
      </c>
      <c r="K22" s="296">
        <f t="shared" si="8"/>
        <v>40.660000000000011</v>
      </c>
      <c r="L22" s="291">
        <f t="shared" si="9"/>
        <v>180855.68000000005</v>
      </c>
      <c r="M22" s="297">
        <f t="shared" si="2"/>
        <v>6494.0800000000454</v>
      </c>
      <c r="N22" s="297">
        <f t="shared" si="3"/>
        <v>0</v>
      </c>
      <c r="O22" s="292">
        <f t="shared" si="10"/>
        <v>1.46</v>
      </c>
      <c r="P22" s="290">
        <f t="shared" si="4"/>
        <v>6494.08</v>
      </c>
      <c r="Q22" s="292"/>
      <c r="R22" s="290">
        <f t="shared" si="6"/>
        <v>0</v>
      </c>
      <c r="S22" s="290">
        <f t="shared" si="11"/>
        <v>-4.5474735088646412E-11</v>
      </c>
      <c r="T22" s="290">
        <f t="shared" si="12"/>
        <v>0</v>
      </c>
      <c r="U22" s="293"/>
      <c r="V22" s="294">
        <v>-28.7966831548448</v>
      </c>
      <c r="W22" s="299"/>
    </row>
    <row r="23" spans="1:23" ht="130.5">
      <c r="A23" s="300">
        <v>16</v>
      </c>
      <c r="B23" s="289" t="s">
        <v>703</v>
      </c>
      <c r="C23" s="290" t="s">
        <v>988</v>
      </c>
      <c r="D23" s="290" t="s">
        <v>967</v>
      </c>
      <c r="E23" s="290" t="s">
        <v>867</v>
      </c>
      <c r="F23" s="290">
        <f t="shared" si="0"/>
        <v>4376.3999999999996</v>
      </c>
      <c r="G23" s="333"/>
      <c r="H23" s="290">
        <f t="shared" si="1"/>
        <v>0</v>
      </c>
      <c r="I23" s="291">
        <f>'DETAILED (2)'!I158</f>
        <v>8.35</v>
      </c>
      <c r="J23" s="291">
        <f t="shared" si="7"/>
        <v>4350.3499999999995</v>
      </c>
      <c r="K23" s="296">
        <f t="shared" si="8"/>
        <v>8.35</v>
      </c>
      <c r="L23" s="291">
        <f t="shared" si="9"/>
        <v>4350.3499999999995</v>
      </c>
      <c r="M23" s="297">
        <f t="shared" si="2"/>
        <v>0</v>
      </c>
      <c r="N23" s="297">
        <f t="shared" si="3"/>
        <v>26.050000000000182</v>
      </c>
      <c r="O23" s="292">
        <f t="shared" si="10"/>
        <v>-0.05</v>
      </c>
      <c r="P23" s="290">
        <f t="shared" si="4"/>
        <v>-26.05</v>
      </c>
      <c r="Q23" s="292">
        <f t="shared" si="5"/>
        <v>0.05</v>
      </c>
      <c r="R23" s="290">
        <f t="shared" si="6"/>
        <v>26.05</v>
      </c>
      <c r="S23" s="290">
        <f t="shared" si="11"/>
        <v>-26.05</v>
      </c>
      <c r="T23" s="290">
        <f t="shared" si="12"/>
        <v>1.8118839761882555E-13</v>
      </c>
      <c r="U23" s="293"/>
      <c r="V23" s="294">
        <v>-29.324307825874623</v>
      </c>
      <c r="W23" s="299"/>
    </row>
    <row r="24" spans="1:23">
      <c r="A24" s="300">
        <v>17</v>
      </c>
      <c r="B24" s="289" t="s">
        <v>704</v>
      </c>
      <c r="C24" s="290" t="s">
        <v>989</v>
      </c>
      <c r="D24" s="290" t="s">
        <v>967</v>
      </c>
      <c r="E24" s="290" t="s">
        <v>868</v>
      </c>
      <c r="F24" s="290">
        <f t="shared" si="0"/>
        <v>61384.2</v>
      </c>
      <c r="G24" s="333">
        <f>'Ex 2'!I25</f>
        <v>1.26</v>
      </c>
      <c r="H24" s="290">
        <f t="shared" si="1"/>
        <v>662.76</v>
      </c>
      <c r="I24" s="291">
        <f>'DETAILED (2)'!I170</f>
        <v>194.07</v>
      </c>
      <c r="J24" s="291">
        <f t="shared" si="7"/>
        <v>102080.81999999999</v>
      </c>
      <c r="K24" s="296">
        <f t="shared" si="8"/>
        <v>195.32999999999998</v>
      </c>
      <c r="L24" s="291">
        <f t="shared" si="9"/>
        <v>102743.57999999999</v>
      </c>
      <c r="M24" s="297">
        <f t="shared" si="2"/>
        <v>41359.37999999999</v>
      </c>
      <c r="N24" s="297">
        <f t="shared" si="3"/>
        <v>0</v>
      </c>
      <c r="O24" s="292"/>
      <c r="P24" s="290">
        <f t="shared" si="4"/>
        <v>0</v>
      </c>
      <c r="Q24" s="292">
        <f t="shared" si="5"/>
        <v>-78.63</v>
      </c>
      <c r="R24" s="290">
        <f t="shared" si="6"/>
        <v>-41359.379999999997</v>
      </c>
      <c r="S24" s="290">
        <f t="shared" si="11"/>
        <v>-41359.37999999999</v>
      </c>
      <c r="T24" s="290">
        <f t="shared" si="12"/>
        <v>41359.379999999997</v>
      </c>
      <c r="U24" s="293"/>
      <c r="V24" s="294">
        <v>-29.357095851408161</v>
      </c>
      <c r="W24" s="299"/>
    </row>
    <row r="25" spans="1:23">
      <c r="A25" s="288">
        <v>18</v>
      </c>
      <c r="B25" s="289" t="s">
        <v>39</v>
      </c>
      <c r="C25" s="290" t="s">
        <v>990</v>
      </c>
      <c r="D25" s="290" t="s">
        <v>967</v>
      </c>
      <c r="E25" s="290" t="s">
        <v>869</v>
      </c>
      <c r="F25" s="290">
        <f t="shared" si="0"/>
        <v>52260</v>
      </c>
      <c r="G25" s="333">
        <f>'Ex 2'!I26</f>
        <v>31.69</v>
      </c>
      <c r="H25" s="290">
        <f t="shared" si="1"/>
        <v>16985.84</v>
      </c>
      <c r="I25" s="291">
        <f>'DETAILED (2)'!I191</f>
        <v>11.852849999999986</v>
      </c>
      <c r="J25" s="291">
        <f t="shared" si="7"/>
        <v>6353.1275999999925</v>
      </c>
      <c r="K25" s="296">
        <f t="shared" si="8"/>
        <v>43.542849999999987</v>
      </c>
      <c r="L25" s="291">
        <f t="shared" si="9"/>
        <v>23338.967599999993</v>
      </c>
      <c r="M25" s="297">
        <f t="shared" si="2"/>
        <v>0</v>
      </c>
      <c r="N25" s="297">
        <f t="shared" si="3"/>
        <v>28921.032400000007</v>
      </c>
      <c r="O25" s="292"/>
      <c r="P25" s="290">
        <f t="shared" si="4"/>
        <v>0</v>
      </c>
      <c r="Q25" s="292">
        <f t="shared" si="5"/>
        <v>53.96</v>
      </c>
      <c r="R25" s="290">
        <f t="shared" si="6"/>
        <v>28922.560000000001</v>
      </c>
      <c r="S25" s="290">
        <f t="shared" si="11"/>
        <v>0</v>
      </c>
      <c r="T25" s="290">
        <f t="shared" si="12"/>
        <v>-1.5275999999939813</v>
      </c>
      <c r="U25" s="293"/>
      <c r="V25" s="294">
        <v>-29.431900467382</v>
      </c>
      <c r="W25" s="299"/>
    </row>
    <row r="26" spans="1:23">
      <c r="A26" s="288">
        <v>19</v>
      </c>
      <c r="B26" s="289" t="s">
        <v>40</v>
      </c>
      <c r="C26" s="290" t="s">
        <v>991</v>
      </c>
      <c r="D26" s="290" t="s">
        <v>967</v>
      </c>
      <c r="E26" s="290" t="s">
        <v>870</v>
      </c>
      <c r="F26" s="290">
        <f t="shared" si="0"/>
        <v>42042</v>
      </c>
      <c r="G26" s="333">
        <v>34</v>
      </c>
      <c r="H26" s="290">
        <f t="shared" si="1"/>
        <v>18564</v>
      </c>
      <c r="I26" s="291">
        <f>'DETAILED (2)'!I211</f>
        <v>1.5854249999999723</v>
      </c>
      <c r="J26" s="291">
        <f t="shared" si="7"/>
        <v>865.64204999998492</v>
      </c>
      <c r="K26" s="296">
        <f t="shared" si="8"/>
        <v>35.585424999999972</v>
      </c>
      <c r="L26" s="291">
        <f t="shared" si="9"/>
        <v>19429.642049999984</v>
      </c>
      <c r="M26" s="297">
        <f t="shared" si="2"/>
        <v>0</v>
      </c>
      <c r="N26" s="297">
        <f t="shared" si="3"/>
        <v>22612.357950000016</v>
      </c>
      <c r="O26" s="292"/>
      <c r="P26" s="290">
        <f t="shared" si="4"/>
        <v>0</v>
      </c>
      <c r="Q26" s="292">
        <f t="shared" si="5"/>
        <v>41.41</v>
      </c>
      <c r="R26" s="290">
        <f t="shared" si="6"/>
        <v>22609.86</v>
      </c>
      <c r="S26" s="290">
        <f t="shared" si="11"/>
        <v>0</v>
      </c>
      <c r="T26" s="290">
        <f t="shared" si="12"/>
        <v>2.4979500000154076</v>
      </c>
      <c r="U26" s="293"/>
      <c r="V26" s="294">
        <v>-29.503815315489796</v>
      </c>
      <c r="W26" s="299"/>
    </row>
    <row r="27" spans="1:23">
      <c r="A27" s="288">
        <v>20</v>
      </c>
      <c r="B27" s="289" t="s">
        <v>41</v>
      </c>
      <c r="C27" s="290" t="s">
        <v>992</v>
      </c>
      <c r="D27" s="290" t="s">
        <v>967</v>
      </c>
      <c r="E27" s="290" t="s">
        <v>871</v>
      </c>
      <c r="F27" s="290">
        <f t="shared" si="0"/>
        <v>17291.599999999999</v>
      </c>
      <c r="G27" s="333"/>
      <c r="H27" s="290">
        <f t="shared" si="1"/>
        <v>0</v>
      </c>
      <c r="I27" s="291">
        <f>'DETAILED (2)'!I225</f>
        <v>74.295899999999989</v>
      </c>
      <c r="J27" s="291">
        <f t="shared" si="7"/>
        <v>41308.520399999994</v>
      </c>
      <c r="K27" s="296">
        <f t="shared" si="8"/>
        <v>74.295899999999989</v>
      </c>
      <c r="L27" s="291">
        <f t="shared" si="9"/>
        <v>41308.520399999994</v>
      </c>
      <c r="M27" s="297">
        <f t="shared" si="2"/>
        <v>24016.920399999995</v>
      </c>
      <c r="N27" s="297">
        <f t="shared" si="3"/>
        <v>0</v>
      </c>
      <c r="O27" s="292"/>
      <c r="P27" s="290">
        <f t="shared" si="4"/>
        <v>0</v>
      </c>
      <c r="Q27" s="292">
        <f t="shared" si="5"/>
        <v>-43.2</v>
      </c>
      <c r="R27" s="290">
        <f t="shared" si="6"/>
        <v>-24019.200000000001</v>
      </c>
      <c r="S27" s="290">
        <f t="shared" si="11"/>
        <v>-24016.920399999995</v>
      </c>
      <c r="T27" s="290">
        <f t="shared" si="12"/>
        <v>24019.200000000001</v>
      </c>
      <c r="U27" s="293"/>
      <c r="V27" s="294">
        <v>-29.573004674021814</v>
      </c>
      <c r="W27" s="299"/>
    </row>
    <row r="28" spans="1:23" ht="108.75">
      <c r="A28" s="288">
        <v>21</v>
      </c>
      <c r="B28" s="289" t="s">
        <v>705</v>
      </c>
      <c r="C28" s="290" t="s">
        <v>993</v>
      </c>
      <c r="D28" s="290" t="s">
        <v>967</v>
      </c>
      <c r="E28" s="290" t="s">
        <v>872</v>
      </c>
      <c r="F28" s="290">
        <f t="shared" si="0"/>
        <v>949</v>
      </c>
      <c r="G28" s="333">
        <v>1.89</v>
      </c>
      <c r="H28" s="290">
        <f t="shared" si="1"/>
        <v>689.85</v>
      </c>
      <c r="I28" s="291"/>
      <c r="J28" s="291">
        <f t="shared" si="7"/>
        <v>0</v>
      </c>
      <c r="K28" s="296">
        <f t="shared" si="8"/>
        <v>1.89</v>
      </c>
      <c r="L28" s="291">
        <f t="shared" si="9"/>
        <v>689.84999999999991</v>
      </c>
      <c r="M28" s="297">
        <f t="shared" si="2"/>
        <v>0</v>
      </c>
      <c r="N28" s="297">
        <f t="shared" si="3"/>
        <v>259.15000000000009</v>
      </c>
      <c r="O28" s="292"/>
      <c r="P28" s="290">
        <f t="shared" si="4"/>
        <v>0</v>
      </c>
      <c r="Q28" s="292">
        <f t="shared" si="5"/>
        <v>0.71</v>
      </c>
      <c r="R28" s="290">
        <f t="shared" si="6"/>
        <v>259.14999999999998</v>
      </c>
      <c r="S28" s="290">
        <f t="shared" si="11"/>
        <v>0</v>
      </c>
      <c r="T28" s="290">
        <f t="shared" si="12"/>
        <v>0</v>
      </c>
      <c r="U28" s="293"/>
      <c r="V28" s="294">
        <v>-29.645335389360056</v>
      </c>
      <c r="W28" s="299"/>
    </row>
    <row r="29" spans="1:23">
      <c r="A29" s="288">
        <v>22</v>
      </c>
      <c r="B29" s="289" t="s">
        <v>36</v>
      </c>
      <c r="C29" s="290" t="s">
        <v>221</v>
      </c>
      <c r="D29" s="290" t="s">
        <v>967</v>
      </c>
      <c r="E29" s="290" t="s">
        <v>873</v>
      </c>
      <c r="F29" s="290">
        <f t="shared" si="0"/>
        <v>6696</v>
      </c>
      <c r="G29" s="333">
        <v>12.29</v>
      </c>
      <c r="H29" s="290">
        <f t="shared" si="1"/>
        <v>4571.88</v>
      </c>
      <c r="I29" s="291"/>
      <c r="J29" s="291">
        <f t="shared" si="7"/>
        <v>0</v>
      </c>
      <c r="K29" s="296">
        <f t="shared" si="8"/>
        <v>12.29</v>
      </c>
      <c r="L29" s="291">
        <f t="shared" si="9"/>
        <v>4571.88</v>
      </c>
      <c r="M29" s="297">
        <f t="shared" si="2"/>
        <v>0</v>
      </c>
      <c r="N29" s="297">
        <f t="shared" si="3"/>
        <v>2124.12</v>
      </c>
      <c r="O29" s="292"/>
      <c r="P29" s="290">
        <f t="shared" si="4"/>
        <v>0</v>
      </c>
      <c r="Q29" s="292">
        <f t="shared" si="5"/>
        <v>5.71</v>
      </c>
      <c r="R29" s="290">
        <f t="shared" si="6"/>
        <v>2124.12</v>
      </c>
      <c r="S29" s="290">
        <f t="shared" si="11"/>
        <v>0</v>
      </c>
      <c r="T29" s="290">
        <f t="shared" si="12"/>
        <v>0</v>
      </c>
      <c r="U29" s="293"/>
      <c r="V29" s="294">
        <v>-29.630750605326874</v>
      </c>
      <c r="W29" s="299"/>
    </row>
    <row r="30" spans="1:23">
      <c r="A30" s="288">
        <v>23</v>
      </c>
      <c r="B30" s="289" t="s">
        <v>37</v>
      </c>
      <c r="C30" s="290" t="s">
        <v>994</v>
      </c>
      <c r="D30" s="290" t="s">
        <v>967</v>
      </c>
      <c r="E30" s="290" t="s">
        <v>874</v>
      </c>
      <c r="F30" s="290">
        <f t="shared" si="0"/>
        <v>7635.6</v>
      </c>
      <c r="G30" s="333"/>
      <c r="H30" s="290">
        <f>ROUND(C30*G30,2)</f>
        <v>0</v>
      </c>
      <c r="I30" s="291">
        <f>'DETAILED (2)'!I232</f>
        <v>10.4</v>
      </c>
      <c r="J30" s="291">
        <f t="shared" si="7"/>
        <v>3931.2000000000003</v>
      </c>
      <c r="K30" s="296">
        <f t="shared" si="8"/>
        <v>10.4</v>
      </c>
      <c r="L30" s="291">
        <f t="shared" si="9"/>
        <v>3931.2000000000003</v>
      </c>
      <c r="M30" s="297">
        <f t="shared" si="2"/>
        <v>0</v>
      </c>
      <c r="N30" s="297">
        <f t="shared" si="3"/>
        <v>3704.4</v>
      </c>
      <c r="O30" s="292"/>
      <c r="P30" s="290">
        <f>ROUND(O30*C30,2)</f>
        <v>0</v>
      </c>
      <c r="Q30" s="292">
        <f t="shared" si="5"/>
        <v>9.8000000000000007</v>
      </c>
      <c r="R30" s="290">
        <f t="shared" si="6"/>
        <v>3704.4</v>
      </c>
      <c r="S30" s="290">
        <f t="shared" si="11"/>
        <v>0</v>
      </c>
      <c r="T30" s="290">
        <f t="shared" si="12"/>
        <v>0</v>
      </c>
      <c r="U30" s="293"/>
      <c r="V30" s="294">
        <v>-29.802406774624874</v>
      </c>
      <c r="W30" s="299"/>
    </row>
    <row r="31" spans="1:23">
      <c r="A31" s="288">
        <v>24</v>
      </c>
      <c r="B31" s="289" t="s">
        <v>38</v>
      </c>
      <c r="C31" s="290" t="s">
        <v>995</v>
      </c>
      <c r="D31" s="290" t="s">
        <v>967</v>
      </c>
      <c r="E31" s="290" t="s">
        <v>875</v>
      </c>
      <c r="F31" s="290">
        <f t="shared" si="0"/>
        <v>3888.5</v>
      </c>
      <c r="G31" s="333"/>
      <c r="H31" s="290">
        <f t="shared" ref="H31" si="14">ROUND(C31*G31,2)</f>
        <v>0</v>
      </c>
      <c r="I31" s="291">
        <f>'DETAILED (2)'!I236</f>
        <v>12.6</v>
      </c>
      <c r="J31" s="291">
        <f t="shared" si="7"/>
        <v>4851</v>
      </c>
      <c r="K31" s="296">
        <f t="shared" si="8"/>
        <v>12.6</v>
      </c>
      <c r="L31" s="291">
        <f t="shared" si="9"/>
        <v>4851</v>
      </c>
      <c r="M31" s="297">
        <f t="shared" si="2"/>
        <v>962.5</v>
      </c>
      <c r="N31" s="297">
        <f t="shared" si="3"/>
        <v>0</v>
      </c>
      <c r="O31" s="292"/>
      <c r="P31" s="290">
        <f t="shared" si="4"/>
        <v>0</v>
      </c>
      <c r="Q31" s="292">
        <f t="shared" si="5"/>
        <v>-2.5</v>
      </c>
      <c r="R31" s="290">
        <f t="shared" si="6"/>
        <v>-962.5</v>
      </c>
      <c r="S31" s="290">
        <f t="shared" si="11"/>
        <v>-962.5</v>
      </c>
      <c r="T31" s="290">
        <f t="shared" si="12"/>
        <v>962.5</v>
      </c>
      <c r="U31" s="293"/>
      <c r="V31" s="294">
        <v>-29.785526699737385</v>
      </c>
      <c r="W31" s="299"/>
    </row>
    <row r="32" spans="1:23" ht="43.5">
      <c r="A32" s="288">
        <v>25</v>
      </c>
      <c r="B32" s="289" t="s">
        <v>706</v>
      </c>
      <c r="C32" s="290" t="s">
        <v>935</v>
      </c>
      <c r="D32" s="290" t="s">
        <v>966</v>
      </c>
      <c r="E32" s="290" t="s">
        <v>876</v>
      </c>
      <c r="F32" s="290">
        <f t="shared" si="0"/>
        <v>1717.8</v>
      </c>
      <c r="G32" s="333">
        <f>'Ex 2'!I33</f>
        <v>36.69</v>
      </c>
      <c r="H32" s="290">
        <f t="shared" si="1"/>
        <v>770.49</v>
      </c>
      <c r="I32" s="291"/>
      <c r="J32" s="291">
        <f t="shared" si="7"/>
        <v>0</v>
      </c>
      <c r="K32" s="296">
        <f t="shared" si="8"/>
        <v>36.69</v>
      </c>
      <c r="L32" s="291">
        <f t="shared" si="9"/>
        <v>770.49</v>
      </c>
      <c r="M32" s="297">
        <f t="shared" si="2"/>
        <v>0</v>
      </c>
      <c r="N32" s="297">
        <f t="shared" si="3"/>
        <v>947.31</v>
      </c>
      <c r="O32" s="292"/>
      <c r="P32" s="290">
        <f t="shared" si="4"/>
        <v>0</v>
      </c>
      <c r="Q32" s="292">
        <f t="shared" si="5"/>
        <v>45.11</v>
      </c>
      <c r="R32" s="290">
        <f t="shared" si="6"/>
        <v>947.31</v>
      </c>
      <c r="S32" s="290">
        <f t="shared" si="11"/>
        <v>0</v>
      </c>
      <c r="T32" s="290">
        <f t="shared" si="12"/>
        <v>0</v>
      </c>
      <c r="U32" s="293"/>
      <c r="V32" s="294">
        <v>-34.843313682904117</v>
      </c>
      <c r="W32" s="299"/>
    </row>
    <row r="33" spans="1:23" ht="43.5">
      <c r="A33" s="288">
        <v>26</v>
      </c>
      <c r="B33" s="289" t="s">
        <v>707</v>
      </c>
      <c r="C33" s="290" t="s">
        <v>860</v>
      </c>
      <c r="D33" s="290" t="s">
        <v>64</v>
      </c>
      <c r="E33" s="290" t="s">
        <v>877</v>
      </c>
      <c r="F33" s="290">
        <f t="shared" si="0"/>
        <v>760</v>
      </c>
      <c r="G33" s="333"/>
      <c r="H33" s="290">
        <f t="shared" si="1"/>
        <v>0</v>
      </c>
      <c r="I33" s="291"/>
      <c r="J33" s="291">
        <f t="shared" si="7"/>
        <v>0</v>
      </c>
      <c r="K33" s="296">
        <f t="shared" si="8"/>
        <v>0</v>
      </c>
      <c r="L33" s="291">
        <f t="shared" si="9"/>
        <v>0</v>
      </c>
      <c r="M33" s="297">
        <f t="shared" si="2"/>
        <v>0</v>
      </c>
      <c r="N33" s="297">
        <f t="shared" si="3"/>
        <v>760</v>
      </c>
      <c r="O33" s="292"/>
      <c r="P33" s="290">
        <f t="shared" si="4"/>
        <v>0</v>
      </c>
      <c r="Q33" s="292">
        <f t="shared" si="5"/>
        <v>19</v>
      </c>
      <c r="R33" s="290">
        <f t="shared" si="6"/>
        <v>760</v>
      </c>
      <c r="S33" s="290">
        <f t="shared" si="11"/>
        <v>0</v>
      </c>
      <c r="T33" s="290">
        <f t="shared" si="12"/>
        <v>0</v>
      </c>
      <c r="U33" s="293"/>
      <c r="V33" s="294">
        <v>-23.076923076923077</v>
      </c>
      <c r="W33" s="299"/>
    </row>
    <row r="34" spans="1:23" ht="43.5">
      <c r="A34" s="288">
        <v>27</v>
      </c>
      <c r="B34" s="289" t="s">
        <v>708</v>
      </c>
      <c r="C34" s="290" t="s">
        <v>996</v>
      </c>
      <c r="D34" s="290" t="s">
        <v>968</v>
      </c>
      <c r="E34" s="290" t="s">
        <v>878</v>
      </c>
      <c r="F34" s="290">
        <f t="shared" si="0"/>
        <v>95880</v>
      </c>
      <c r="G34" s="333"/>
      <c r="H34" s="290">
        <f t="shared" si="1"/>
        <v>0</v>
      </c>
      <c r="I34" s="291"/>
      <c r="J34" s="291">
        <f t="shared" si="7"/>
        <v>0</v>
      </c>
      <c r="K34" s="296">
        <f t="shared" si="8"/>
        <v>0</v>
      </c>
      <c r="L34" s="291">
        <f t="shared" si="9"/>
        <v>0</v>
      </c>
      <c r="M34" s="297">
        <f t="shared" si="2"/>
        <v>0</v>
      </c>
      <c r="N34" s="297">
        <f t="shared" si="3"/>
        <v>95880</v>
      </c>
      <c r="O34" s="292"/>
      <c r="P34" s="290">
        <f t="shared" si="4"/>
        <v>0</v>
      </c>
      <c r="Q34" s="292">
        <f t="shared" si="5"/>
        <v>2040</v>
      </c>
      <c r="R34" s="290">
        <f t="shared" si="6"/>
        <v>95880</v>
      </c>
      <c r="S34" s="290">
        <f t="shared" si="11"/>
        <v>0</v>
      </c>
      <c r="T34" s="290">
        <f t="shared" si="12"/>
        <v>0</v>
      </c>
      <c r="U34" s="293"/>
      <c r="V34" s="294">
        <v>-23.577235772357724</v>
      </c>
      <c r="W34" s="299"/>
    </row>
    <row r="35" spans="1:23">
      <c r="A35" s="288">
        <v>28</v>
      </c>
      <c r="B35" s="289" t="s">
        <v>709</v>
      </c>
      <c r="C35" s="290" t="s">
        <v>934</v>
      </c>
      <c r="D35" s="290" t="s">
        <v>64</v>
      </c>
      <c r="E35" s="290" t="s">
        <v>879</v>
      </c>
      <c r="F35" s="290">
        <f t="shared" si="0"/>
        <v>798</v>
      </c>
      <c r="G35" s="333"/>
      <c r="H35" s="290">
        <f t="shared" si="1"/>
        <v>0</v>
      </c>
      <c r="I35" s="291">
        <f>'DETAILED (2)'!I243</f>
        <v>102</v>
      </c>
      <c r="J35" s="291">
        <f t="shared" si="7"/>
        <v>714</v>
      </c>
      <c r="K35" s="296">
        <f t="shared" si="8"/>
        <v>102</v>
      </c>
      <c r="L35" s="291">
        <f t="shared" si="9"/>
        <v>714</v>
      </c>
      <c r="M35" s="297">
        <f t="shared" si="2"/>
        <v>0</v>
      </c>
      <c r="N35" s="297">
        <f t="shared" si="3"/>
        <v>84</v>
      </c>
      <c r="O35" s="292"/>
      <c r="P35" s="290">
        <f t="shared" si="4"/>
        <v>0</v>
      </c>
      <c r="Q35" s="292">
        <f t="shared" si="5"/>
        <v>12</v>
      </c>
      <c r="R35" s="290">
        <f t="shared" si="6"/>
        <v>84</v>
      </c>
      <c r="S35" s="290">
        <f t="shared" si="11"/>
        <v>0</v>
      </c>
      <c r="T35" s="290">
        <f t="shared" si="12"/>
        <v>0</v>
      </c>
      <c r="U35" s="293"/>
      <c r="V35" s="294">
        <v>-27.083333333333332</v>
      </c>
      <c r="W35" s="299"/>
    </row>
    <row r="36" spans="1:23">
      <c r="A36" s="288">
        <v>29</v>
      </c>
      <c r="B36" s="289" t="s">
        <v>710</v>
      </c>
      <c r="C36" s="290" t="s">
        <v>979</v>
      </c>
      <c r="D36" s="290" t="s">
        <v>966</v>
      </c>
      <c r="E36" s="290" t="s">
        <v>880</v>
      </c>
      <c r="F36" s="290">
        <f t="shared" si="0"/>
        <v>38043</v>
      </c>
      <c r="G36" s="333">
        <f>'Ex 2'!I37</f>
        <v>12.2</v>
      </c>
      <c r="H36" s="290">
        <f t="shared" si="1"/>
        <v>34379.599999999999</v>
      </c>
      <c r="I36" s="291"/>
      <c r="J36" s="291">
        <f t="shared" si="7"/>
        <v>0</v>
      </c>
      <c r="K36" s="296">
        <f t="shared" si="8"/>
        <v>12.2</v>
      </c>
      <c r="L36" s="291">
        <f t="shared" si="9"/>
        <v>34379.599999999999</v>
      </c>
      <c r="M36" s="297">
        <f t="shared" si="2"/>
        <v>0</v>
      </c>
      <c r="N36" s="297">
        <f t="shared" si="3"/>
        <v>3663.4000000000015</v>
      </c>
      <c r="O36" s="292"/>
      <c r="P36" s="290">
        <f t="shared" si="4"/>
        <v>0</v>
      </c>
      <c r="Q36" s="292">
        <f t="shared" si="5"/>
        <v>1.3</v>
      </c>
      <c r="R36" s="290">
        <f t="shared" si="6"/>
        <v>3663.4</v>
      </c>
      <c r="S36" s="290">
        <f t="shared" si="11"/>
        <v>0</v>
      </c>
      <c r="T36" s="290">
        <f t="shared" si="12"/>
        <v>0</v>
      </c>
      <c r="U36" s="293"/>
      <c r="V36" s="294">
        <v>-28.908936333386308</v>
      </c>
      <c r="W36" s="299"/>
    </row>
    <row r="37" spans="1:23" ht="43.5">
      <c r="A37" s="288">
        <v>30</v>
      </c>
      <c r="B37" s="289" t="s">
        <v>711</v>
      </c>
      <c r="C37" s="290" t="s">
        <v>997</v>
      </c>
      <c r="D37" s="290" t="s">
        <v>967</v>
      </c>
      <c r="E37" s="290" t="s">
        <v>881</v>
      </c>
      <c r="F37" s="290">
        <f t="shared" si="0"/>
        <v>1267.2</v>
      </c>
      <c r="G37" s="333"/>
      <c r="H37" s="290">
        <f t="shared" si="1"/>
        <v>0</v>
      </c>
      <c r="I37" s="291">
        <f>'DETAILED (2)'!I248</f>
        <v>4.32</v>
      </c>
      <c r="J37" s="291">
        <f t="shared" si="7"/>
        <v>1244.1600000000001</v>
      </c>
      <c r="K37" s="296">
        <f t="shared" si="8"/>
        <v>4.32</v>
      </c>
      <c r="L37" s="291">
        <f t="shared" si="9"/>
        <v>1244.1600000000001</v>
      </c>
      <c r="M37" s="297">
        <f t="shared" si="2"/>
        <v>0</v>
      </c>
      <c r="N37" s="297">
        <f t="shared" si="3"/>
        <v>23.039999999999964</v>
      </c>
      <c r="O37" s="292"/>
      <c r="P37" s="290">
        <f t="shared" si="4"/>
        <v>0</v>
      </c>
      <c r="Q37" s="292">
        <f t="shared" si="5"/>
        <v>0.08</v>
      </c>
      <c r="R37" s="290">
        <f t="shared" si="6"/>
        <v>23.04</v>
      </c>
      <c r="S37" s="290">
        <f t="shared" si="11"/>
        <v>0</v>
      </c>
      <c r="T37" s="290">
        <f t="shared" si="12"/>
        <v>-3.5527136788005009E-14</v>
      </c>
      <c r="U37" s="293"/>
      <c r="V37" s="294">
        <v>-32.364199995303075</v>
      </c>
      <c r="W37" s="299"/>
    </row>
    <row r="38" spans="1:23">
      <c r="A38" s="288">
        <v>31</v>
      </c>
      <c r="B38" s="289" t="s">
        <v>712</v>
      </c>
      <c r="C38" s="290" t="s">
        <v>998</v>
      </c>
      <c r="D38" s="290" t="s">
        <v>967</v>
      </c>
      <c r="E38" s="290" t="s">
        <v>882</v>
      </c>
      <c r="F38" s="290">
        <f t="shared" si="0"/>
        <v>4272</v>
      </c>
      <c r="G38" s="333"/>
      <c r="H38" s="290">
        <f t="shared" si="1"/>
        <v>0</v>
      </c>
      <c r="I38" s="291">
        <f>'DETAILED (2)'!I257</f>
        <v>26.4</v>
      </c>
      <c r="J38" s="291">
        <f t="shared" si="7"/>
        <v>7048.7999999999993</v>
      </c>
      <c r="K38" s="296">
        <f t="shared" si="8"/>
        <v>26.4</v>
      </c>
      <c r="L38" s="291">
        <f t="shared" si="9"/>
        <v>7048.7999999999993</v>
      </c>
      <c r="M38" s="297">
        <f t="shared" si="2"/>
        <v>2776.7999999999993</v>
      </c>
      <c r="N38" s="297">
        <f t="shared" si="3"/>
        <v>0</v>
      </c>
      <c r="O38" s="292"/>
      <c r="P38" s="290">
        <f t="shared" si="4"/>
        <v>0</v>
      </c>
      <c r="Q38" s="292">
        <f t="shared" si="5"/>
        <v>-10.4</v>
      </c>
      <c r="R38" s="290">
        <f t="shared" si="6"/>
        <v>-2776.8</v>
      </c>
      <c r="S38" s="290">
        <f t="shared" si="11"/>
        <v>-2776.7999999999993</v>
      </c>
      <c r="T38" s="290">
        <f t="shared" si="12"/>
        <v>2776.8</v>
      </c>
      <c r="U38" s="293"/>
      <c r="V38" s="294">
        <v>-30.891678529830468</v>
      </c>
      <c r="W38" s="299"/>
    </row>
    <row r="39" spans="1:23">
      <c r="A39" s="288">
        <v>32</v>
      </c>
      <c r="B39" s="289" t="s">
        <v>713</v>
      </c>
      <c r="C39" s="290" t="s">
        <v>999</v>
      </c>
      <c r="D39" s="290" t="s">
        <v>966</v>
      </c>
      <c r="E39" s="290" t="s">
        <v>883</v>
      </c>
      <c r="F39" s="290">
        <f t="shared" si="0"/>
        <v>19040</v>
      </c>
      <c r="G39" s="333"/>
      <c r="H39" s="290">
        <f t="shared" si="1"/>
        <v>0</v>
      </c>
      <c r="I39" s="291">
        <f>'DETAILED (2)'!I265</f>
        <v>7.96</v>
      </c>
      <c r="J39" s="291">
        <f t="shared" si="7"/>
        <v>18944.8</v>
      </c>
      <c r="K39" s="296">
        <f t="shared" si="8"/>
        <v>7.96</v>
      </c>
      <c r="L39" s="291">
        <f t="shared" si="9"/>
        <v>18944.8</v>
      </c>
      <c r="M39" s="297">
        <f t="shared" si="2"/>
        <v>0</v>
      </c>
      <c r="N39" s="297">
        <f t="shared" si="3"/>
        <v>95.200000000000728</v>
      </c>
      <c r="O39" s="292"/>
      <c r="P39" s="290">
        <f t="shared" si="4"/>
        <v>0</v>
      </c>
      <c r="Q39" s="292">
        <f t="shared" si="5"/>
        <v>0.04</v>
      </c>
      <c r="R39" s="290">
        <f t="shared" si="6"/>
        <v>95.2</v>
      </c>
      <c r="S39" s="290">
        <f t="shared" si="11"/>
        <v>0</v>
      </c>
      <c r="T39" s="290">
        <f t="shared" si="12"/>
        <v>7.2475359047530219E-13</v>
      </c>
      <c r="U39" s="293"/>
      <c r="V39" s="294">
        <v>-29.464971059892537</v>
      </c>
      <c r="W39" s="299"/>
    </row>
    <row r="40" spans="1:23" ht="43.5">
      <c r="A40" s="288">
        <v>33</v>
      </c>
      <c r="B40" s="289" t="s">
        <v>714</v>
      </c>
      <c r="C40" s="290" t="s">
        <v>1000</v>
      </c>
      <c r="D40" s="290" t="s">
        <v>967</v>
      </c>
      <c r="E40" s="290" t="s">
        <v>884</v>
      </c>
      <c r="F40" s="290">
        <f t="shared" si="0"/>
        <v>386820</v>
      </c>
      <c r="G40" s="333">
        <f>'Ex 2'!I41</f>
        <v>529.63</v>
      </c>
      <c r="H40" s="290">
        <f t="shared" si="1"/>
        <v>74148.2</v>
      </c>
      <c r="I40" s="291">
        <f>'DETAILED (2)'!I510</f>
        <v>2651.3499999999985</v>
      </c>
      <c r="J40" s="291">
        <f t="shared" si="7"/>
        <v>371188.99999999977</v>
      </c>
      <c r="K40" s="296">
        <f t="shared" si="8"/>
        <v>3180.9799999999987</v>
      </c>
      <c r="L40" s="291">
        <f t="shared" si="9"/>
        <v>445337.19999999984</v>
      </c>
      <c r="M40" s="297">
        <f t="shared" si="2"/>
        <v>58517.199999999837</v>
      </c>
      <c r="N40" s="297">
        <f t="shared" si="3"/>
        <v>0</v>
      </c>
      <c r="O40" s="292"/>
      <c r="P40" s="290">
        <f t="shared" si="4"/>
        <v>0</v>
      </c>
      <c r="Q40" s="292">
        <f t="shared" si="5"/>
        <v>-417.98</v>
      </c>
      <c r="R40" s="290">
        <f t="shared" si="6"/>
        <v>-58517.2</v>
      </c>
      <c r="S40" s="290">
        <f t="shared" si="11"/>
        <v>-58517.199999999837</v>
      </c>
      <c r="T40" s="290">
        <f t="shared" si="12"/>
        <v>58517.2</v>
      </c>
      <c r="U40" s="293"/>
      <c r="V40" s="294">
        <v>-32.481311791656623</v>
      </c>
      <c r="W40" s="299"/>
    </row>
    <row r="41" spans="1:23" ht="43.5">
      <c r="A41" s="288">
        <v>34</v>
      </c>
      <c r="B41" s="289" t="s">
        <v>715</v>
      </c>
      <c r="C41" s="290" t="s">
        <v>1001</v>
      </c>
      <c r="D41" s="290" t="s">
        <v>967</v>
      </c>
      <c r="E41" s="290" t="s">
        <v>885</v>
      </c>
      <c r="F41" s="290">
        <f t="shared" si="0"/>
        <v>10195.200000000001</v>
      </c>
      <c r="G41" s="333">
        <f>'Ex 2'!I42</f>
        <v>57.77</v>
      </c>
      <c r="H41" s="290">
        <f t="shared" si="1"/>
        <v>8318.8799999999992</v>
      </c>
      <c r="I41" s="291">
        <f>'DETAILED (2)'!I527</f>
        <v>66.710000000000008</v>
      </c>
      <c r="J41" s="291">
        <f t="shared" si="7"/>
        <v>9606.2400000000016</v>
      </c>
      <c r="K41" s="296">
        <f t="shared" si="8"/>
        <v>124.48000000000002</v>
      </c>
      <c r="L41" s="291">
        <f t="shared" si="9"/>
        <v>17925.120000000003</v>
      </c>
      <c r="M41" s="297">
        <f t="shared" si="2"/>
        <v>7729.9200000000019</v>
      </c>
      <c r="N41" s="297">
        <f t="shared" si="3"/>
        <v>0</v>
      </c>
      <c r="O41" s="292">
        <f t="shared" si="10"/>
        <v>53.68</v>
      </c>
      <c r="P41" s="290">
        <f t="shared" si="4"/>
        <v>7729.92</v>
      </c>
      <c r="Q41" s="292"/>
      <c r="R41" s="290">
        <f t="shared" si="6"/>
        <v>0</v>
      </c>
      <c r="S41" s="290">
        <f t="shared" si="11"/>
        <v>0</v>
      </c>
      <c r="T41" s="290">
        <f t="shared" si="12"/>
        <v>0</v>
      </c>
      <c r="U41" s="293"/>
      <c r="V41" s="294">
        <v>-32.457786116322694</v>
      </c>
      <c r="W41" s="299"/>
    </row>
    <row r="42" spans="1:23" ht="43.5">
      <c r="A42" s="288">
        <v>35</v>
      </c>
      <c r="B42" s="289" t="s">
        <v>716</v>
      </c>
      <c r="C42" s="290" t="s">
        <v>1002</v>
      </c>
      <c r="D42" s="290" t="s">
        <v>967</v>
      </c>
      <c r="E42" s="290" t="s">
        <v>886</v>
      </c>
      <c r="F42" s="290">
        <f t="shared" si="0"/>
        <v>96390</v>
      </c>
      <c r="G42" s="333">
        <v>390.03</v>
      </c>
      <c r="H42" s="290">
        <f t="shared" si="1"/>
        <v>63184.86</v>
      </c>
      <c r="I42" s="291">
        <f>'DETAILED (2)'!I632</f>
        <v>227.93999999999994</v>
      </c>
      <c r="J42" s="291">
        <f t="shared" si="7"/>
        <v>36926.279999999992</v>
      </c>
      <c r="K42" s="296">
        <f t="shared" si="8"/>
        <v>617.96999999999991</v>
      </c>
      <c r="L42" s="291">
        <f t="shared" si="9"/>
        <v>100111.13999999998</v>
      </c>
      <c r="M42" s="297">
        <f t="shared" si="2"/>
        <v>3721.1399999999849</v>
      </c>
      <c r="N42" s="297">
        <f t="shared" si="3"/>
        <v>0</v>
      </c>
      <c r="O42" s="292">
        <f t="shared" si="10"/>
        <v>22.97</v>
      </c>
      <c r="P42" s="290">
        <f t="shared" si="4"/>
        <v>3721.14</v>
      </c>
      <c r="Q42" s="292">
        <f t="shared" si="5"/>
        <v>-22.97</v>
      </c>
      <c r="R42" s="290">
        <f t="shared" si="6"/>
        <v>-3721.14</v>
      </c>
      <c r="S42" s="290">
        <f t="shared" si="11"/>
        <v>1.5006662579253316E-11</v>
      </c>
      <c r="T42" s="290">
        <f t="shared" si="12"/>
        <v>3721.14</v>
      </c>
      <c r="U42" s="293"/>
      <c r="V42" s="294">
        <v>-32.805176490107428</v>
      </c>
      <c r="W42" s="299"/>
    </row>
    <row r="43" spans="1:23" ht="65.25">
      <c r="A43" s="288">
        <v>36</v>
      </c>
      <c r="B43" s="289" t="s">
        <v>717</v>
      </c>
      <c r="C43" s="290" t="s">
        <v>1003</v>
      </c>
      <c r="D43" s="290" t="s">
        <v>65</v>
      </c>
      <c r="E43" s="290" t="s">
        <v>887</v>
      </c>
      <c r="F43" s="290">
        <f t="shared" si="0"/>
        <v>3656.4</v>
      </c>
      <c r="G43" s="333"/>
      <c r="H43" s="290">
        <f>ROUND(C43*G43,2)</f>
        <v>0</v>
      </c>
      <c r="I43" s="291">
        <f>'DETAILED (2)'!I640</f>
        <v>98.58</v>
      </c>
      <c r="J43" s="291">
        <f t="shared" si="7"/>
        <v>4337.5199999999995</v>
      </c>
      <c r="K43" s="296">
        <f t="shared" si="8"/>
        <v>98.58</v>
      </c>
      <c r="L43" s="291">
        <f t="shared" si="9"/>
        <v>4337.5199999999995</v>
      </c>
      <c r="M43" s="297">
        <f t="shared" si="2"/>
        <v>681.11999999999944</v>
      </c>
      <c r="N43" s="297">
        <f t="shared" si="3"/>
        <v>0</v>
      </c>
      <c r="O43" s="292">
        <f t="shared" si="10"/>
        <v>15.48</v>
      </c>
      <c r="P43" s="290">
        <f t="shared" si="4"/>
        <v>681.12</v>
      </c>
      <c r="Q43" s="292"/>
      <c r="R43" s="290">
        <f t="shared" si="6"/>
        <v>0</v>
      </c>
      <c r="S43" s="290">
        <f t="shared" si="11"/>
        <v>0</v>
      </c>
      <c r="T43" s="290">
        <f t="shared" si="12"/>
        <v>0</v>
      </c>
      <c r="U43" s="293"/>
      <c r="V43" s="294">
        <v>-34.718100890207722</v>
      </c>
      <c r="W43" s="299"/>
    </row>
    <row r="44" spans="1:23">
      <c r="A44" s="288">
        <v>37</v>
      </c>
      <c r="B44" s="289" t="s">
        <v>42</v>
      </c>
      <c r="C44" s="290" t="s">
        <v>964</v>
      </c>
      <c r="D44" s="290" t="s">
        <v>65</v>
      </c>
      <c r="E44" s="290" t="s">
        <v>887</v>
      </c>
      <c r="F44" s="290">
        <f t="shared" si="0"/>
        <v>2409.9</v>
      </c>
      <c r="G44" s="333"/>
      <c r="H44" s="290">
        <f t="shared" si="1"/>
        <v>0</v>
      </c>
      <c r="I44" s="291">
        <f>'DETAILED (2)'!I653</f>
        <v>408.96</v>
      </c>
      <c r="J44" s="291">
        <f t="shared" si="7"/>
        <v>11859.84</v>
      </c>
      <c r="K44" s="296">
        <f t="shared" si="8"/>
        <v>408.96</v>
      </c>
      <c r="L44" s="291">
        <f t="shared" si="9"/>
        <v>11859.84</v>
      </c>
      <c r="M44" s="297">
        <f t="shared" si="2"/>
        <v>9449.94</v>
      </c>
      <c r="N44" s="297">
        <f t="shared" si="3"/>
        <v>0</v>
      </c>
      <c r="O44" s="292">
        <f t="shared" si="10"/>
        <v>325.86</v>
      </c>
      <c r="P44" s="290">
        <f t="shared" si="4"/>
        <v>9449.94</v>
      </c>
      <c r="Q44" s="292"/>
      <c r="R44" s="290">
        <f t="shared" si="6"/>
        <v>0</v>
      </c>
      <c r="S44" s="290">
        <f t="shared" si="11"/>
        <v>0</v>
      </c>
      <c r="T44" s="290">
        <f t="shared" si="12"/>
        <v>0</v>
      </c>
      <c r="U44" s="293"/>
      <c r="V44" s="294">
        <v>-34.120854157201272</v>
      </c>
      <c r="W44" s="299"/>
    </row>
    <row r="45" spans="1:23">
      <c r="A45" s="288">
        <v>38</v>
      </c>
      <c r="B45" s="289" t="s">
        <v>43</v>
      </c>
      <c r="C45" s="290" t="s">
        <v>935</v>
      </c>
      <c r="D45" s="290" t="s">
        <v>65</v>
      </c>
      <c r="E45" s="290" t="s">
        <v>888</v>
      </c>
      <c r="F45" s="290">
        <f t="shared" si="0"/>
        <v>2614.5</v>
      </c>
      <c r="G45" s="333"/>
      <c r="H45" s="290">
        <f t="shared" si="1"/>
        <v>0</v>
      </c>
      <c r="I45" s="291">
        <f>'DETAILED (2)'!I663</f>
        <v>239.6</v>
      </c>
      <c r="J45" s="291">
        <f t="shared" si="7"/>
        <v>5031.5999999999995</v>
      </c>
      <c r="K45" s="296">
        <f t="shared" si="8"/>
        <v>239.6</v>
      </c>
      <c r="L45" s="291">
        <f t="shared" si="9"/>
        <v>5031.5999999999995</v>
      </c>
      <c r="M45" s="297">
        <f t="shared" si="2"/>
        <v>2417.0999999999995</v>
      </c>
      <c r="N45" s="297">
        <f t="shared" si="3"/>
        <v>0</v>
      </c>
      <c r="O45" s="292">
        <f t="shared" si="10"/>
        <v>115.1</v>
      </c>
      <c r="P45" s="290">
        <f t="shared" si="4"/>
        <v>2417.1</v>
      </c>
      <c r="Q45" s="292"/>
      <c r="R45" s="290">
        <f t="shared" si="6"/>
        <v>0</v>
      </c>
      <c r="S45" s="290">
        <f t="shared" si="11"/>
        <v>0</v>
      </c>
      <c r="T45" s="290">
        <f t="shared" si="12"/>
        <v>0</v>
      </c>
      <c r="U45" s="293"/>
      <c r="V45" s="294">
        <v>-35.995123437976225</v>
      </c>
      <c r="W45" s="299"/>
    </row>
    <row r="46" spans="1:23" ht="43.5">
      <c r="A46" s="288">
        <v>39</v>
      </c>
      <c r="B46" s="289" t="s">
        <v>718</v>
      </c>
      <c r="C46" s="290" t="s">
        <v>899</v>
      </c>
      <c r="D46" s="290" t="s">
        <v>967</v>
      </c>
      <c r="E46" s="290" t="s">
        <v>886</v>
      </c>
      <c r="F46" s="290">
        <f t="shared" si="0"/>
        <v>15470</v>
      </c>
      <c r="G46" s="333"/>
      <c r="H46" s="290">
        <f t="shared" si="1"/>
        <v>0</v>
      </c>
      <c r="I46" s="291">
        <f>'DETAILED (2)'!I697</f>
        <v>595.15999999999985</v>
      </c>
      <c r="J46" s="291">
        <f t="shared" si="7"/>
        <v>15474.159999999996</v>
      </c>
      <c r="K46" s="296">
        <f t="shared" si="8"/>
        <v>595.15999999999985</v>
      </c>
      <c r="L46" s="291">
        <f t="shared" si="9"/>
        <v>15474.159999999996</v>
      </c>
      <c r="M46" s="297">
        <f t="shared" si="2"/>
        <v>4.1599999999962165</v>
      </c>
      <c r="N46" s="297">
        <f t="shared" si="3"/>
        <v>0</v>
      </c>
      <c r="O46" s="292"/>
      <c r="P46" s="290">
        <f t="shared" si="4"/>
        <v>0</v>
      </c>
      <c r="Q46" s="292">
        <f t="shared" si="5"/>
        <v>-0.16</v>
      </c>
      <c r="R46" s="290">
        <f t="shared" si="6"/>
        <v>-4.16</v>
      </c>
      <c r="S46" s="290">
        <f t="shared" si="11"/>
        <v>-4.1599999999962165</v>
      </c>
      <c r="T46" s="290">
        <f t="shared" si="12"/>
        <v>4.16</v>
      </c>
      <c r="U46" s="293"/>
      <c r="V46" s="294">
        <v>-32.537623248572913</v>
      </c>
      <c r="W46" s="299"/>
    </row>
    <row r="47" spans="1:23">
      <c r="A47" s="288">
        <v>40</v>
      </c>
      <c r="B47" s="289" t="s">
        <v>719</v>
      </c>
      <c r="C47" s="290" t="s">
        <v>901</v>
      </c>
      <c r="D47" s="290" t="s">
        <v>968</v>
      </c>
      <c r="E47" s="290" t="s">
        <v>227</v>
      </c>
      <c r="F47" s="290">
        <f t="shared" si="0"/>
        <v>74592</v>
      </c>
      <c r="G47" s="333"/>
      <c r="H47" s="290">
        <f t="shared" si="1"/>
        <v>0</v>
      </c>
      <c r="I47" s="291">
        <f>'DETAILED (2)'!I712</f>
        <v>2771.57</v>
      </c>
      <c r="J47" s="291">
        <f t="shared" si="7"/>
        <v>116405.94</v>
      </c>
      <c r="K47" s="296">
        <f t="shared" si="8"/>
        <v>2771.57</v>
      </c>
      <c r="L47" s="291">
        <f t="shared" si="9"/>
        <v>116405.94</v>
      </c>
      <c r="M47" s="297">
        <f t="shared" si="2"/>
        <v>41813.94</v>
      </c>
      <c r="N47" s="297">
        <f t="shared" si="3"/>
        <v>0</v>
      </c>
      <c r="O47" s="292">
        <f t="shared" si="10"/>
        <v>995.57</v>
      </c>
      <c r="P47" s="290">
        <f t="shared" si="4"/>
        <v>41813.94</v>
      </c>
      <c r="Q47" s="292"/>
      <c r="R47" s="290">
        <f t="shared" si="6"/>
        <v>0</v>
      </c>
      <c r="S47" s="290">
        <f t="shared" si="11"/>
        <v>0</v>
      </c>
      <c r="T47" s="290">
        <f t="shared" si="12"/>
        <v>0</v>
      </c>
      <c r="U47" s="293"/>
      <c r="V47" s="294">
        <v>-22.935779816513762</v>
      </c>
      <c r="W47" s="299"/>
    </row>
    <row r="48" spans="1:23" ht="43.5">
      <c r="A48" s="288">
        <v>41</v>
      </c>
      <c r="B48" s="289" t="s">
        <v>720</v>
      </c>
      <c r="C48" s="290" t="s">
        <v>1004</v>
      </c>
      <c r="D48" s="290" t="s">
        <v>967</v>
      </c>
      <c r="E48" s="290" t="s">
        <v>889</v>
      </c>
      <c r="F48" s="290">
        <f t="shared" si="0"/>
        <v>15602</v>
      </c>
      <c r="G48" s="333"/>
      <c r="H48" s="290">
        <f t="shared" si="1"/>
        <v>0</v>
      </c>
      <c r="I48" s="291">
        <f>'DETAILED (2)'!I717</f>
        <v>91.179999999999993</v>
      </c>
      <c r="J48" s="291">
        <f t="shared" si="7"/>
        <v>13221.099999999999</v>
      </c>
      <c r="K48" s="296">
        <f t="shared" si="8"/>
        <v>91.179999999999993</v>
      </c>
      <c r="L48" s="291">
        <f t="shared" si="9"/>
        <v>13221.099999999999</v>
      </c>
      <c r="M48" s="297">
        <f t="shared" si="2"/>
        <v>0</v>
      </c>
      <c r="N48" s="297">
        <f t="shared" si="3"/>
        <v>2380.9000000000015</v>
      </c>
      <c r="O48" s="292"/>
      <c r="P48" s="290">
        <f t="shared" si="4"/>
        <v>0</v>
      </c>
      <c r="Q48" s="292">
        <f t="shared" si="5"/>
        <v>16.420000000000002</v>
      </c>
      <c r="R48" s="290">
        <f t="shared" si="6"/>
        <v>2380.9</v>
      </c>
      <c r="S48" s="290">
        <f t="shared" si="11"/>
        <v>0</v>
      </c>
      <c r="T48" s="290">
        <f t="shared" si="12"/>
        <v>0</v>
      </c>
      <c r="U48" s="293"/>
      <c r="V48" s="294">
        <v>-30.711521001576912</v>
      </c>
      <c r="W48" s="299"/>
    </row>
    <row r="49" spans="1:23">
      <c r="A49" s="288">
        <v>42</v>
      </c>
      <c r="B49" s="289" t="s">
        <v>721</v>
      </c>
      <c r="C49" s="290" t="s">
        <v>1005</v>
      </c>
      <c r="D49" s="290" t="s">
        <v>967</v>
      </c>
      <c r="E49" s="290" t="s">
        <v>890</v>
      </c>
      <c r="F49" s="290">
        <f t="shared" si="0"/>
        <v>24234.799999999999</v>
      </c>
      <c r="G49" s="333"/>
      <c r="H49" s="290">
        <f t="shared" si="1"/>
        <v>0</v>
      </c>
      <c r="I49" s="291">
        <f>'DETAILED (2)'!I738</f>
        <v>248.91</v>
      </c>
      <c r="J49" s="291">
        <f t="shared" si="7"/>
        <v>21406.26</v>
      </c>
      <c r="K49" s="296">
        <f t="shared" si="8"/>
        <v>248.91</v>
      </c>
      <c r="L49" s="291">
        <f t="shared" si="9"/>
        <v>21406.26</v>
      </c>
      <c r="M49" s="297">
        <f t="shared" si="2"/>
        <v>0</v>
      </c>
      <c r="N49" s="297">
        <f t="shared" si="3"/>
        <v>2828.5400000000009</v>
      </c>
      <c r="O49" s="292"/>
      <c r="P49" s="290">
        <f t="shared" si="4"/>
        <v>0</v>
      </c>
      <c r="Q49" s="292">
        <f t="shared" si="5"/>
        <v>32.89</v>
      </c>
      <c r="R49" s="290">
        <f t="shared" si="6"/>
        <v>2828.54</v>
      </c>
      <c r="S49" s="290">
        <f t="shared" si="11"/>
        <v>0</v>
      </c>
      <c r="T49" s="290">
        <f t="shared" si="12"/>
        <v>0</v>
      </c>
      <c r="U49" s="293"/>
      <c r="V49" s="294">
        <v>-30.712213986464715</v>
      </c>
      <c r="W49" s="299"/>
    </row>
    <row r="50" spans="1:23" ht="43.5">
      <c r="A50" s="288">
        <v>43</v>
      </c>
      <c r="B50" s="289" t="s">
        <v>722</v>
      </c>
      <c r="C50" s="290" t="s">
        <v>1003</v>
      </c>
      <c r="D50" s="290" t="s">
        <v>65</v>
      </c>
      <c r="E50" s="290" t="s">
        <v>891</v>
      </c>
      <c r="F50" s="290">
        <f t="shared" si="0"/>
        <v>528</v>
      </c>
      <c r="G50" s="333"/>
      <c r="H50" s="290">
        <f t="shared" si="1"/>
        <v>0</v>
      </c>
      <c r="I50" s="291">
        <f>'DETAILED (2)'!I1703</f>
        <v>0</v>
      </c>
      <c r="J50" s="291">
        <f t="shared" si="7"/>
        <v>0</v>
      </c>
      <c r="K50" s="296">
        <f t="shared" si="8"/>
        <v>0</v>
      </c>
      <c r="L50" s="291">
        <f t="shared" si="9"/>
        <v>0</v>
      </c>
      <c r="M50" s="297">
        <f t="shared" si="2"/>
        <v>0</v>
      </c>
      <c r="N50" s="297">
        <f t="shared" si="3"/>
        <v>528</v>
      </c>
      <c r="O50" s="292"/>
      <c r="P50" s="290">
        <f t="shared" si="4"/>
        <v>0</v>
      </c>
      <c r="Q50" s="292">
        <f t="shared" si="5"/>
        <v>12</v>
      </c>
      <c r="R50" s="290">
        <f t="shared" si="6"/>
        <v>528</v>
      </c>
      <c r="S50" s="290">
        <f t="shared" si="11"/>
        <v>0</v>
      </c>
      <c r="T50" s="290">
        <f t="shared" si="12"/>
        <v>0</v>
      </c>
      <c r="U50" s="293"/>
      <c r="V50" s="294">
        <v>-24.137931034482758</v>
      </c>
      <c r="W50" s="299"/>
    </row>
    <row r="51" spans="1:23" ht="43.5">
      <c r="A51" s="288">
        <v>44</v>
      </c>
      <c r="B51" s="289" t="s">
        <v>723</v>
      </c>
      <c r="C51" s="290" t="s">
        <v>1006</v>
      </c>
      <c r="D51" s="290" t="s">
        <v>64</v>
      </c>
      <c r="E51" s="290" t="s">
        <v>882</v>
      </c>
      <c r="F51" s="290">
        <f t="shared" si="0"/>
        <v>1168</v>
      </c>
      <c r="G51" s="333"/>
      <c r="H51" s="290">
        <f t="shared" si="1"/>
        <v>0</v>
      </c>
      <c r="I51" s="291">
        <f>'DETAILED (2)'!I745</f>
        <v>16</v>
      </c>
      <c r="J51" s="291">
        <f t="shared" si="7"/>
        <v>1168</v>
      </c>
      <c r="K51" s="296">
        <f t="shared" si="8"/>
        <v>16</v>
      </c>
      <c r="L51" s="291">
        <f t="shared" si="9"/>
        <v>1168</v>
      </c>
      <c r="M51" s="297">
        <f t="shared" si="2"/>
        <v>0</v>
      </c>
      <c r="N51" s="297">
        <f t="shared" si="3"/>
        <v>0</v>
      </c>
      <c r="O51" s="292"/>
      <c r="P51" s="290">
        <f t="shared" si="4"/>
        <v>0</v>
      </c>
      <c r="Q51" s="292">
        <f t="shared" si="5"/>
        <v>0</v>
      </c>
      <c r="R51" s="290">
        <f t="shared" si="6"/>
        <v>0</v>
      </c>
      <c r="S51" s="290">
        <f t="shared" si="11"/>
        <v>0</v>
      </c>
      <c r="T51" s="290">
        <f t="shared" si="12"/>
        <v>0</v>
      </c>
      <c r="U51" s="293"/>
      <c r="V51" s="294">
        <v>-23.157894736842106</v>
      </c>
      <c r="W51" s="299"/>
    </row>
    <row r="52" spans="1:23">
      <c r="A52" s="288">
        <v>45</v>
      </c>
      <c r="B52" s="289" t="s">
        <v>724</v>
      </c>
      <c r="C52" s="290" t="s">
        <v>901</v>
      </c>
      <c r="D52" s="290" t="s">
        <v>64</v>
      </c>
      <c r="E52" s="290" t="s">
        <v>892</v>
      </c>
      <c r="F52" s="290">
        <f t="shared" si="0"/>
        <v>1344</v>
      </c>
      <c r="G52" s="333"/>
      <c r="H52" s="290">
        <f t="shared" si="1"/>
        <v>0</v>
      </c>
      <c r="I52" s="291">
        <f>'DETAILED (2)'!I758</f>
        <v>32</v>
      </c>
      <c r="J52" s="291">
        <f t="shared" si="7"/>
        <v>1344</v>
      </c>
      <c r="K52" s="296">
        <f t="shared" si="8"/>
        <v>32</v>
      </c>
      <c r="L52" s="291">
        <f t="shared" si="9"/>
        <v>1344</v>
      </c>
      <c r="M52" s="297">
        <f t="shared" si="2"/>
        <v>0</v>
      </c>
      <c r="N52" s="297">
        <f t="shared" si="3"/>
        <v>0</v>
      </c>
      <c r="O52" s="292">
        <f t="shared" ref="O52" si="15">ROUND(K52-E52,2)</f>
        <v>0</v>
      </c>
      <c r="P52" s="290">
        <f t="shared" si="4"/>
        <v>0</v>
      </c>
      <c r="Q52" s="292"/>
      <c r="R52" s="290"/>
      <c r="S52" s="290">
        <f t="shared" si="11"/>
        <v>0</v>
      </c>
      <c r="T52" s="290">
        <f t="shared" si="12"/>
        <v>0</v>
      </c>
      <c r="U52" s="293"/>
      <c r="V52" s="294">
        <v>-23.636363636363637</v>
      </c>
      <c r="W52" s="299"/>
    </row>
    <row r="53" spans="1:23" ht="43.5">
      <c r="A53" s="288">
        <v>46</v>
      </c>
      <c r="B53" s="289" t="s">
        <v>725</v>
      </c>
      <c r="C53" s="290" t="s">
        <v>895</v>
      </c>
      <c r="D53" s="290" t="s">
        <v>64</v>
      </c>
      <c r="E53" s="290" t="s">
        <v>209</v>
      </c>
      <c r="F53" s="290">
        <f t="shared" si="0"/>
        <v>128</v>
      </c>
      <c r="G53" s="333"/>
      <c r="H53" s="290">
        <f t="shared" si="1"/>
        <v>0</v>
      </c>
      <c r="I53" s="291">
        <f>'DETAILED (2)'!I764</f>
        <v>102</v>
      </c>
      <c r="J53" s="291">
        <f t="shared" si="7"/>
        <v>102</v>
      </c>
      <c r="K53" s="296">
        <f t="shared" si="8"/>
        <v>102</v>
      </c>
      <c r="L53" s="291">
        <f t="shared" si="9"/>
        <v>102</v>
      </c>
      <c r="M53" s="297">
        <f t="shared" si="2"/>
        <v>0</v>
      </c>
      <c r="N53" s="297">
        <f t="shared" si="3"/>
        <v>26</v>
      </c>
      <c r="O53" s="292"/>
      <c r="P53" s="290">
        <f t="shared" si="4"/>
        <v>0</v>
      </c>
      <c r="Q53" s="292">
        <f t="shared" ref="Q53" si="16">ROUND(E53-K53,2)</f>
        <v>26</v>
      </c>
      <c r="R53" s="290">
        <f t="shared" ref="R53" si="17">ROUND(C53*Q53,2)</f>
        <v>26</v>
      </c>
      <c r="S53" s="290">
        <f t="shared" si="11"/>
        <v>0</v>
      </c>
      <c r="T53" s="290">
        <f t="shared" si="12"/>
        <v>0</v>
      </c>
      <c r="U53" s="293"/>
      <c r="V53" s="294">
        <v>-33.333333333333329</v>
      </c>
      <c r="W53" s="299"/>
    </row>
    <row r="54" spans="1:23" ht="65.25">
      <c r="A54" s="288">
        <v>47</v>
      </c>
      <c r="B54" s="289" t="s">
        <v>726</v>
      </c>
      <c r="C54" s="290" t="s">
        <v>1007</v>
      </c>
      <c r="D54" s="290" t="s">
        <v>65</v>
      </c>
      <c r="E54" s="290" t="s">
        <v>893</v>
      </c>
      <c r="F54" s="290">
        <f t="shared" si="0"/>
        <v>21376</v>
      </c>
      <c r="G54" s="333"/>
      <c r="H54" s="290">
        <f t="shared" si="1"/>
        <v>0</v>
      </c>
      <c r="I54" s="291">
        <f>'DETAILED (2)'!I770</f>
        <v>71.3</v>
      </c>
      <c r="J54" s="291">
        <f t="shared" si="7"/>
        <v>11408</v>
      </c>
      <c r="K54" s="296">
        <f t="shared" si="8"/>
        <v>71.3</v>
      </c>
      <c r="L54" s="291">
        <f t="shared" si="9"/>
        <v>11408</v>
      </c>
      <c r="M54" s="297">
        <f t="shared" si="2"/>
        <v>0</v>
      </c>
      <c r="N54" s="297">
        <f t="shared" si="3"/>
        <v>9968</v>
      </c>
      <c r="O54" s="292"/>
      <c r="P54" s="290">
        <f t="shared" si="4"/>
        <v>0</v>
      </c>
      <c r="Q54" s="292">
        <f t="shared" si="5"/>
        <v>62.3</v>
      </c>
      <c r="R54" s="290">
        <f t="shared" si="6"/>
        <v>9968</v>
      </c>
      <c r="S54" s="290">
        <f t="shared" si="11"/>
        <v>0</v>
      </c>
      <c r="T54" s="290">
        <f t="shared" si="12"/>
        <v>0</v>
      </c>
      <c r="U54" s="293"/>
      <c r="V54" s="294">
        <v>-28.025191183085923</v>
      </c>
      <c r="W54" s="299"/>
    </row>
    <row r="55" spans="1:23" ht="43.5">
      <c r="A55" s="288">
        <v>48</v>
      </c>
      <c r="B55" s="289" t="s">
        <v>727</v>
      </c>
      <c r="C55" s="290" t="s">
        <v>1008</v>
      </c>
      <c r="D55" s="290" t="s">
        <v>64</v>
      </c>
      <c r="E55" s="290" t="s">
        <v>894</v>
      </c>
      <c r="F55" s="290">
        <f t="shared" si="0"/>
        <v>1190</v>
      </c>
      <c r="G55" s="333"/>
      <c r="H55" s="290">
        <f t="shared" si="1"/>
        <v>0</v>
      </c>
      <c r="I55" s="291">
        <f>'DETAILED (2)'!I773</f>
        <v>5</v>
      </c>
      <c r="J55" s="291">
        <f t="shared" si="7"/>
        <v>1190</v>
      </c>
      <c r="K55" s="296">
        <f t="shared" si="8"/>
        <v>5</v>
      </c>
      <c r="L55" s="291">
        <f t="shared" si="9"/>
        <v>1190</v>
      </c>
      <c r="M55" s="297">
        <f t="shared" si="2"/>
        <v>0</v>
      </c>
      <c r="N55" s="297">
        <f t="shared" si="3"/>
        <v>0</v>
      </c>
      <c r="O55" s="292">
        <f t="shared" si="10"/>
        <v>0</v>
      </c>
      <c r="P55" s="290">
        <f t="shared" si="4"/>
        <v>0</v>
      </c>
      <c r="Q55" s="292">
        <f t="shared" si="5"/>
        <v>0</v>
      </c>
      <c r="R55" s="290">
        <f t="shared" si="6"/>
        <v>0</v>
      </c>
      <c r="S55" s="290">
        <f t="shared" si="11"/>
        <v>0</v>
      </c>
      <c r="T55" s="290">
        <f t="shared" si="12"/>
        <v>0</v>
      </c>
      <c r="U55" s="293"/>
      <c r="V55" s="294">
        <v>-24.633458944235098</v>
      </c>
      <c r="W55" s="299"/>
    </row>
    <row r="56" spans="1:23">
      <c r="A56" s="288">
        <v>49</v>
      </c>
      <c r="B56" s="289" t="s">
        <v>728</v>
      </c>
      <c r="C56" s="290" t="s">
        <v>1009</v>
      </c>
      <c r="D56" s="290" t="s">
        <v>64</v>
      </c>
      <c r="E56" s="290" t="s">
        <v>894</v>
      </c>
      <c r="F56" s="290">
        <f t="shared" si="0"/>
        <v>2815</v>
      </c>
      <c r="G56" s="333"/>
      <c r="H56" s="290">
        <f t="shared" si="1"/>
        <v>0</v>
      </c>
      <c r="I56" s="291">
        <f>'DETAILED (2)'!I777</f>
        <v>5</v>
      </c>
      <c r="J56" s="291">
        <f t="shared" si="7"/>
        <v>2815</v>
      </c>
      <c r="K56" s="296">
        <f t="shared" si="8"/>
        <v>5</v>
      </c>
      <c r="L56" s="291">
        <f t="shared" si="9"/>
        <v>2815</v>
      </c>
      <c r="M56" s="297">
        <f t="shared" si="2"/>
        <v>0</v>
      </c>
      <c r="N56" s="297">
        <f t="shared" si="3"/>
        <v>0</v>
      </c>
      <c r="O56" s="292">
        <f t="shared" si="10"/>
        <v>0</v>
      </c>
      <c r="P56" s="290">
        <f t="shared" si="4"/>
        <v>0</v>
      </c>
      <c r="Q56" s="292"/>
      <c r="R56" s="290"/>
      <c r="S56" s="290">
        <f t="shared" si="11"/>
        <v>0</v>
      </c>
      <c r="T56" s="290">
        <f t="shared" si="12"/>
        <v>0</v>
      </c>
      <c r="U56" s="293"/>
      <c r="V56" s="294">
        <v>-28.788262079433345</v>
      </c>
      <c r="W56" s="299"/>
    </row>
    <row r="57" spans="1:23" ht="65.25">
      <c r="A57" s="288">
        <v>50</v>
      </c>
      <c r="B57" s="289" t="s">
        <v>729</v>
      </c>
      <c r="C57" s="290" t="s">
        <v>1010</v>
      </c>
      <c r="D57" s="290" t="s">
        <v>64</v>
      </c>
      <c r="E57" s="290" t="s">
        <v>895</v>
      </c>
      <c r="F57" s="290">
        <f t="shared" si="0"/>
        <v>11086</v>
      </c>
      <c r="G57" s="333"/>
      <c r="H57" s="290">
        <f t="shared" si="1"/>
        <v>0</v>
      </c>
      <c r="I57" s="291"/>
      <c r="J57" s="291">
        <f t="shared" si="7"/>
        <v>0</v>
      </c>
      <c r="K57" s="296">
        <f t="shared" si="8"/>
        <v>0</v>
      </c>
      <c r="L57" s="291">
        <f t="shared" si="9"/>
        <v>0</v>
      </c>
      <c r="M57" s="297">
        <f t="shared" si="2"/>
        <v>0</v>
      </c>
      <c r="N57" s="297">
        <f t="shared" si="3"/>
        <v>11086</v>
      </c>
      <c r="O57" s="292">
        <f t="shared" si="10"/>
        <v>-1</v>
      </c>
      <c r="P57" s="290">
        <f t="shared" si="4"/>
        <v>-11086</v>
      </c>
      <c r="Q57" s="292"/>
      <c r="R57" s="290"/>
      <c r="S57" s="290">
        <f t="shared" si="11"/>
        <v>-11086</v>
      </c>
      <c r="T57" s="290">
        <f t="shared" si="12"/>
        <v>11086</v>
      </c>
      <c r="U57" s="293"/>
      <c r="V57" s="294">
        <v>-27.81433581505468</v>
      </c>
      <c r="W57" s="299"/>
    </row>
    <row r="58" spans="1:23" ht="43.5">
      <c r="A58" s="288">
        <v>51</v>
      </c>
      <c r="B58" s="289" t="s">
        <v>730</v>
      </c>
      <c r="C58" s="290" t="s">
        <v>1011</v>
      </c>
      <c r="D58" s="290" t="s">
        <v>65</v>
      </c>
      <c r="E58" s="290" t="s">
        <v>896</v>
      </c>
      <c r="F58" s="290">
        <f t="shared" si="0"/>
        <v>20489.599999999999</v>
      </c>
      <c r="G58" s="333"/>
      <c r="H58" s="290">
        <f t="shared" si="1"/>
        <v>0</v>
      </c>
      <c r="I58" s="291">
        <f>'DETAILED (2)'!I784</f>
        <v>74</v>
      </c>
      <c r="J58" s="291">
        <f t="shared" si="7"/>
        <v>11248</v>
      </c>
      <c r="K58" s="296">
        <f t="shared" si="8"/>
        <v>74</v>
      </c>
      <c r="L58" s="291">
        <f t="shared" si="9"/>
        <v>11248</v>
      </c>
      <c r="M58" s="297">
        <f t="shared" si="2"/>
        <v>0</v>
      </c>
      <c r="N58" s="297">
        <f t="shared" si="3"/>
        <v>9241.5999999999985</v>
      </c>
      <c r="O58" s="292"/>
      <c r="P58" s="290">
        <f t="shared" si="4"/>
        <v>0</v>
      </c>
      <c r="Q58" s="292">
        <f t="shared" si="5"/>
        <v>60.8</v>
      </c>
      <c r="R58" s="290">
        <f t="shared" si="6"/>
        <v>9241.6</v>
      </c>
      <c r="S58" s="290">
        <f t="shared" si="11"/>
        <v>0</v>
      </c>
      <c r="T58" s="290">
        <f t="shared" si="12"/>
        <v>0</v>
      </c>
      <c r="U58" s="293"/>
      <c r="V58" s="294">
        <v>-31.623931623931629</v>
      </c>
      <c r="W58" s="299"/>
    </row>
    <row r="59" spans="1:23">
      <c r="A59" s="288">
        <v>52</v>
      </c>
      <c r="B59" s="289" t="s">
        <v>50</v>
      </c>
      <c r="C59" s="290" t="s">
        <v>1000</v>
      </c>
      <c r="D59" s="290" t="s">
        <v>65</v>
      </c>
      <c r="E59" s="290" t="s">
        <v>208</v>
      </c>
      <c r="F59" s="290">
        <f t="shared" si="0"/>
        <v>25620</v>
      </c>
      <c r="G59" s="333"/>
      <c r="H59" s="290">
        <f t="shared" si="1"/>
        <v>0</v>
      </c>
      <c r="I59" s="291">
        <f>'DETAILED (2)'!I795</f>
        <v>150</v>
      </c>
      <c r="J59" s="291">
        <f t="shared" si="7"/>
        <v>21000</v>
      </c>
      <c r="K59" s="296">
        <f t="shared" si="8"/>
        <v>150</v>
      </c>
      <c r="L59" s="291">
        <f t="shared" si="9"/>
        <v>21000</v>
      </c>
      <c r="M59" s="297">
        <f t="shared" si="2"/>
        <v>0</v>
      </c>
      <c r="N59" s="297">
        <f t="shared" si="3"/>
        <v>4620</v>
      </c>
      <c r="O59" s="292"/>
      <c r="P59" s="290">
        <f t="shared" si="4"/>
        <v>0</v>
      </c>
      <c r="Q59" s="292">
        <f t="shared" si="5"/>
        <v>33</v>
      </c>
      <c r="R59" s="290">
        <f t="shared" si="6"/>
        <v>4620</v>
      </c>
      <c r="S59" s="290">
        <f t="shared" si="11"/>
        <v>0</v>
      </c>
      <c r="T59" s="290">
        <f t="shared" si="12"/>
        <v>0</v>
      </c>
      <c r="U59" s="293"/>
      <c r="V59" s="294">
        <v>-31.886737374720248</v>
      </c>
      <c r="W59" s="299"/>
    </row>
    <row r="60" spans="1:23" ht="65.25">
      <c r="A60" s="288">
        <v>53</v>
      </c>
      <c r="B60" s="289" t="s">
        <v>731</v>
      </c>
      <c r="C60" s="290" t="s">
        <v>1012</v>
      </c>
      <c r="D60" s="290" t="s">
        <v>65</v>
      </c>
      <c r="E60" s="290" t="s">
        <v>897</v>
      </c>
      <c r="F60" s="290">
        <f t="shared" si="0"/>
        <v>4728</v>
      </c>
      <c r="G60" s="337"/>
      <c r="H60" s="290">
        <f t="shared" si="1"/>
        <v>0</v>
      </c>
      <c r="I60" s="291">
        <f>'DETAILED (2)'!I798</f>
        <v>6</v>
      </c>
      <c r="J60" s="291">
        <f t="shared" si="7"/>
        <v>1182</v>
      </c>
      <c r="K60" s="296">
        <f t="shared" si="8"/>
        <v>6</v>
      </c>
      <c r="L60" s="291">
        <f t="shared" si="9"/>
        <v>1182</v>
      </c>
      <c r="M60" s="297">
        <f t="shared" si="2"/>
        <v>0</v>
      </c>
      <c r="N60" s="297">
        <f t="shared" si="3"/>
        <v>3546</v>
      </c>
      <c r="O60" s="292">
        <f t="shared" ref="O60" si="18">ROUND(K60-E60,2)</f>
        <v>-18</v>
      </c>
      <c r="P60" s="290">
        <f t="shared" si="4"/>
        <v>-3546</v>
      </c>
      <c r="Q60" s="292"/>
      <c r="R60" s="290"/>
      <c r="S60" s="290">
        <f t="shared" si="11"/>
        <v>-3546</v>
      </c>
      <c r="T60" s="290">
        <f t="shared" si="12"/>
        <v>3546</v>
      </c>
      <c r="U60" s="293"/>
      <c r="V60" s="294">
        <v>-29.928149676317844</v>
      </c>
      <c r="W60" s="299"/>
    </row>
    <row r="61" spans="1:23">
      <c r="A61" s="288">
        <v>54</v>
      </c>
      <c r="B61" s="289" t="s">
        <v>732</v>
      </c>
      <c r="C61" s="290" t="s">
        <v>1013</v>
      </c>
      <c r="D61" s="290" t="s">
        <v>64</v>
      </c>
      <c r="E61" s="290" t="s">
        <v>883</v>
      </c>
      <c r="F61" s="290">
        <f t="shared" si="0"/>
        <v>184</v>
      </c>
      <c r="G61" s="337"/>
      <c r="H61" s="290">
        <f t="shared" si="1"/>
        <v>0</v>
      </c>
      <c r="I61" s="291">
        <f>'DETAILED (2)'!I802</f>
        <v>8</v>
      </c>
      <c r="J61" s="291">
        <f t="shared" si="7"/>
        <v>184</v>
      </c>
      <c r="K61" s="296">
        <f t="shared" si="8"/>
        <v>8</v>
      </c>
      <c r="L61" s="291">
        <f t="shared" si="9"/>
        <v>184</v>
      </c>
      <c r="M61" s="297">
        <f t="shared" si="2"/>
        <v>0</v>
      </c>
      <c r="N61" s="297">
        <f t="shared" si="3"/>
        <v>0</v>
      </c>
      <c r="O61" s="292"/>
      <c r="P61" s="290">
        <f t="shared" si="4"/>
        <v>0</v>
      </c>
      <c r="Q61" s="292">
        <f t="shared" ref="Q61:Q63" si="19">ROUND(E61-K61,2)</f>
        <v>0</v>
      </c>
      <c r="R61" s="290">
        <f t="shared" ref="R61:R72" si="20">ROUND(C61*Q61,2)</f>
        <v>0</v>
      </c>
      <c r="S61" s="290">
        <f t="shared" si="11"/>
        <v>0</v>
      </c>
      <c r="T61" s="290">
        <f t="shared" si="12"/>
        <v>0</v>
      </c>
      <c r="U61" s="293"/>
      <c r="V61" s="294">
        <v>-23.333333333333332</v>
      </c>
      <c r="W61" s="299"/>
    </row>
    <row r="62" spans="1:23" ht="65.25">
      <c r="A62" s="288">
        <v>55</v>
      </c>
      <c r="B62" s="289" t="s">
        <v>733</v>
      </c>
      <c r="C62" s="290" t="s">
        <v>1014</v>
      </c>
      <c r="D62" s="290" t="s">
        <v>64</v>
      </c>
      <c r="E62" s="290" t="s">
        <v>898</v>
      </c>
      <c r="F62" s="290">
        <f t="shared" si="0"/>
        <v>10359</v>
      </c>
      <c r="G62" s="333"/>
      <c r="H62" s="290">
        <f t="shared" si="1"/>
        <v>0</v>
      </c>
      <c r="I62" s="291">
        <f>'DETAILED (2)'!I806</f>
        <v>13</v>
      </c>
      <c r="J62" s="291">
        <f t="shared" si="7"/>
        <v>14963</v>
      </c>
      <c r="K62" s="296">
        <f t="shared" si="8"/>
        <v>13</v>
      </c>
      <c r="L62" s="291">
        <f t="shared" si="9"/>
        <v>14963</v>
      </c>
      <c r="M62" s="297">
        <f t="shared" si="2"/>
        <v>4604</v>
      </c>
      <c r="N62" s="297">
        <f t="shared" si="3"/>
        <v>0</v>
      </c>
      <c r="O62" s="292"/>
      <c r="P62" s="290">
        <f t="shared" si="4"/>
        <v>0</v>
      </c>
      <c r="Q62" s="292">
        <f t="shared" si="19"/>
        <v>-4</v>
      </c>
      <c r="R62" s="290">
        <f t="shared" si="20"/>
        <v>-4604</v>
      </c>
      <c r="S62" s="290">
        <f t="shared" si="11"/>
        <v>-4604</v>
      </c>
      <c r="T62" s="290">
        <f t="shared" si="12"/>
        <v>4604</v>
      </c>
      <c r="U62" s="293"/>
      <c r="V62" s="294">
        <v>-32.601770740619287</v>
      </c>
      <c r="W62" s="299"/>
    </row>
    <row r="63" spans="1:23" ht="43.5">
      <c r="A63" s="288">
        <v>56</v>
      </c>
      <c r="B63" s="289" t="s">
        <v>734</v>
      </c>
      <c r="C63" s="290" t="s">
        <v>1015</v>
      </c>
      <c r="D63" s="290" t="s">
        <v>64</v>
      </c>
      <c r="E63" s="290" t="s">
        <v>899</v>
      </c>
      <c r="F63" s="290">
        <f t="shared" si="0"/>
        <v>2704</v>
      </c>
      <c r="G63" s="333"/>
      <c r="H63" s="290">
        <f t="shared" si="1"/>
        <v>0</v>
      </c>
      <c r="I63" s="291">
        <f>'DETAILED (2)'!I814</f>
        <v>26</v>
      </c>
      <c r="J63" s="291">
        <f t="shared" si="7"/>
        <v>2704</v>
      </c>
      <c r="K63" s="296">
        <f t="shared" si="8"/>
        <v>26</v>
      </c>
      <c r="L63" s="291">
        <f t="shared" si="9"/>
        <v>2704</v>
      </c>
      <c r="M63" s="297">
        <f t="shared" si="2"/>
        <v>0</v>
      </c>
      <c r="N63" s="297">
        <f t="shared" si="3"/>
        <v>0</v>
      </c>
      <c r="O63" s="292"/>
      <c r="P63" s="290">
        <f t="shared" si="4"/>
        <v>0</v>
      </c>
      <c r="Q63" s="292">
        <f t="shared" si="19"/>
        <v>0</v>
      </c>
      <c r="R63" s="290">
        <f t="shared" si="20"/>
        <v>0</v>
      </c>
      <c r="S63" s="290">
        <f t="shared" si="11"/>
        <v>0</v>
      </c>
      <c r="T63" s="290">
        <f t="shared" si="12"/>
        <v>0</v>
      </c>
      <c r="U63" s="293"/>
      <c r="V63" s="294">
        <v>-23.920994879297726</v>
      </c>
      <c r="W63" s="299"/>
    </row>
    <row r="64" spans="1:23" ht="65.25">
      <c r="A64" s="288">
        <v>57</v>
      </c>
      <c r="B64" s="289" t="s">
        <v>735</v>
      </c>
      <c r="C64" s="290" t="s">
        <v>1016</v>
      </c>
      <c r="D64" s="290" t="s">
        <v>65</v>
      </c>
      <c r="E64" s="290" t="s">
        <v>882</v>
      </c>
      <c r="F64" s="290">
        <f t="shared" si="0"/>
        <v>2464</v>
      </c>
      <c r="G64" s="337"/>
      <c r="H64" s="290">
        <f t="shared" si="1"/>
        <v>0</v>
      </c>
      <c r="I64" s="291" t="e">
        <f>'DETAILED (2)'!#REF!</f>
        <v>#REF!</v>
      </c>
      <c r="J64" s="291" t="e">
        <f t="shared" si="7"/>
        <v>#REF!</v>
      </c>
      <c r="K64" s="296" t="e">
        <f t="shared" si="8"/>
        <v>#REF!</v>
      </c>
      <c r="L64" s="291" t="e">
        <f t="shared" si="9"/>
        <v>#REF!</v>
      </c>
      <c r="M64" s="297" t="e">
        <f t="shared" si="2"/>
        <v>#REF!</v>
      </c>
      <c r="N64" s="297" t="e">
        <f t="shared" si="3"/>
        <v>#REF!</v>
      </c>
      <c r="O64" s="292" t="e">
        <f t="shared" ref="O64" si="21">ROUND(K64-E64,2)</f>
        <v>#REF!</v>
      </c>
      <c r="P64" s="290" t="e">
        <f t="shared" si="4"/>
        <v>#REF!</v>
      </c>
      <c r="Q64" s="292"/>
      <c r="R64" s="290">
        <f t="shared" si="20"/>
        <v>0</v>
      </c>
      <c r="S64" s="290" t="e">
        <f t="shared" si="11"/>
        <v>#REF!</v>
      </c>
      <c r="T64" s="290" t="e">
        <f t="shared" si="12"/>
        <v>#REF!</v>
      </c>
      <c r="U64" s="293"/>
      <c r="V64" s="294">
        <v>-29.834153453617638</v>
      </c>
      <c r="W64" s="299"/>
    </row>
    <row r="65" spans="1:23" ht="43.5">
      <c r="A65" s="288">
        <v>58</v>
      </c>
      <c r="B65" s="289" t="s">
        <v>736</v>
      </c>
      <c r="C65" s="290" t="s">
        <v>1017</v>
      </c>
      <c r="D65" s="290" t="s">
        <v>64</v>
      </c>
      <c r="E65" s="290" t="s">
        <v>900</v>
      </c>
      <c r="F65" s="290">
        <f t="shared" si="0"/>
        <v>3724</v>
      </c>
      <c r="G65" s="333"/>
      <c r="H65" s="290">
        <f t="shared" si="1"/>
        <v>0</v>
      </c>
      <c r="I65" s="291">
        <f>'DETAILED (2)'!I839</f>
        <v>20</v>
      </c>
      <c r="J65" s="291">
        <f t="shared" si="7"/>
        <v>1960</v>
      </c>
      <c r="K65" s="296">
        <f t="shared" si="8"/>
        <v>20</v>
      </c>
      <c r="L65" s="291">
        <f t="shared" si="9"/>
        <v>1960</v>
      </c>
      <c r="M65" s="297">
        <f t="shared" si="2"/>
        <v>0</v>
      </c>
      <c r="N65" s="297">
        <f t="shared" si="3"/>
        <v>1764</v>
      </c>
      <c r="O65" s="292"/>
      <c r="P65" s="290">
        <f t="shared" si="4"/>
        <v>0</v>
      </c>
      <c r="Q65" s="292">
        <f t="shared" ref="Q65:Q72" si="22">ROUND(E65-K65,2)</f>
        <v>18</v>
      </c>
      <c r="R65" s="290">
        <f t="shared" si="20"/>
        <v>1764</v>
      </c>
      <c r="S65" s="290">
        <f t="shared" si="11"/>
        <v>0</v>
      </c>
      <c r="T65" s="290">
        <f t="shared" si="12"/>
        <v>0</v>
      </c>
      <c r="U65" s="293"/>
      <c r="V65" s="294">
        <v>-24.031007751937985</v>
      </c>
      <c r="W65" s="299"/>
    </row>
    <row r="66" spans="1:23">
      <c r="A66" s="288">
        <v>59</v>
      </c>
      <c r="B66" s="289" t="s">
        <v>737</v>
      </c>
      <c r="C66" s="290" t="s">
        <v>899</v>
      </c>
      <c r="D66" s="290" t="s">
        <v>64</v>
      </c>
      <c r="E66" s="290" t="s">
        <v>901</v>
      </c>
      <c r="F66" s="290">
        <f t="shared" si="0"/>
        <v>1092</v>
      </c>
      <c r="G66" s="333"/>
      <c r="H66" s="290">
        <f t="shared" si="1"/>
        <v>0</v>
      </c>
      <c r="I66" s="291">
        <f>'DETAILED (2)'!I865</f>
        <v>37</v>
      </c>
      <c r="J66" s="291">
        <f t="shared" si="7"/>
        <v>962</v>
      </c>
      <c r="K66" s="296">
        <f t="shared" si="8"/>
        <v>37</v>
      </c>
      <c r="L66" s="291">
        <f t="shared" si="9"/>
        <v>962</v>
      </c>
      <c r="M66" s="297">
        <f t="shared" si="2"/>
        <v>0</v>
      </c>
      <c r="N66" s="297">
        <f t="shared" si="3"/>
        <v>130</v>
      </c>
      <c r="O66" s="292"/>
      <c r="P66" s="290">
        <f t="shared" si="4"/>
        <v>0</v>
      </c>
      <c r="Q66" s="292">
        <f t="shared" si="22"/>
        <v>5</v>
      </c>
      <c r="R66" s="290">
        <f t="shared" si="20"/>
        <v>130</v>
      </c>
      <c r="S66" s="290">
        <f t="shared" si="11"/>
        <v>0</v>
      </c>
      <c r="T66" s="290">
        <f t="shared" si="12"/>
        <v>0</v>
      </c>
      <c r="U66" s="293"/>
      <c r="V66" s="294">
        <v>-23.303834808259584</v>
      </c>
      <c r="W66" s="299"/>
    </row>
    <row r="67" spans="1:23">
      <c r="A67" s="288">
        <v>60</v>
      </c>
      <c r="B67" s="289" t="s">
        <v>738</v>
      </c>
      <c r="C67" s="290" t="s">
        <v>1018</v>
      </c>
      <c r="D67" s="290" t="s">
        <v>64</v>
      </c>
      <c r="E67" s="290" t="s">
        <v>901</v>
      </c>
      <c r="F67" s="290">
        <f t="shared" si="0"/>
        <v>12978</v>
      </c>
      <c r="G67" s="333"/>
      <c r="H67" s="290">
        <f t="shared" si="1"/>
        <v>0</v>
      </c>
      <c r="I67" s="291">
        <f>'DETAILED (2)'!I889</f>
        <v>30</v>
      </c>
      <c r="J67" s="291">
        <f t="shared" si="7"/>
        <v>9270</v>
      </c>
      <c r="K67" s="296">
        <f t="shared" si="8"/>
        <v>30</v>
      </c>
      <c r="L67" s="291">
        <f t="shared" si="9"/>
        <v>9270</v>
      </c>
      <c r="M67" s="297">
        <f t="shared" si="2"/>
        <v>0</v>
      </c>
      <c r="N67" s="297">
        <f t="shared" si="3"/>
        <v>3708</v>
      </c>
      <c r="O67" s="292">
        <f t="shared" ref="O67:O69" si="23">ROUND(K67-E67,2)</f>
        <v>-12</v>
      </c>
      <c r="P67" s="290">
        <f t="shared" si="4"/>
        <v>-3708</v>
      </c>
      <c r="Q67" s="292">
        <f t="shared" si="22"/>
        <v>12</v>
      </c>
      <c r="R67" s="290">
        <f t="shared" si="20"/>
        <v>3708</v>
      </c>
      <c r="S67" s="290">
        <f t="shared" si="11"/>
        <v>-3708</v>
      </c>
      <c r="T67" s="290">
        <f t="shared" si="12"/>
        <v>0</v>
      </c>
      <c r="U67" s="293"/>
      <c r="V67" s="294">
        <v>-33.832976445396149</v>
      </c>
      <c r="W67" s="299"/>
    </row>
    <row r="68" spans="1:23">
      <c r="A68" s="288">
        <v>61</v>
      </c>
      <c r="B68" s="289" t="s">
        <v>739</v>
      </c>
      <c r="C68" s="290" t="s">
        <v>963</v>
      </c>
      <c r="D68" s="290" t="s">
        <v>65</v>
      </c>
      <c r="E68" s="290" t="s">
        <v>902</v>
      </c>
      <c r="F68" s="290">
        <f t="shared" si="0"/>
        <v>450</v>
      </c>
      <c r="G68" s="333"/>
      <c r="H68" s="290">
        <f t="shared" si="1"/>
        <v>0</v>
      </c>
      <c r="I68" s="291">
        <f>'DETAILED (2)'!I891</f>
        <v>30</v>
      </c>
      <c r="J68" s="291">
        <f t="shared" si="7"/>
        <v>450</v>
      </c>
      <c r="K68" s="296">
        <f t="shared" si="8"/>
        <v>30</v>
      </c>
      <c r="L68" s="291">
        <f t="shared" si="9"/>
        <v>450</v>
      </c>
      <c r="M68" s="297">
        <f t="shared" si="2"/>
        <v>0</v>
      </c>
      <c r="N68" s="297">
        <f t="shared" si="3"/>
        <v>0</v>
      </c>
      <c r="O68" s="292">
        <f t="shared" si="23"/>
        <v>0</v>
      </c>
      <c r="P68" s="290">
        <f t="shared" si="4"/>
        <v>0</v>
      </c>
      <c r="Q68" s="292">
        <f t="shared" si="22"/>
        <v>0</v>
      </c>
      <c r="R68" s="290">
        <f t="shared" si="20"/>
        <v>0</v>
      </c>
      <c r="S68" s="290">
        <f t="shared" si="11"/>
        <v>0</v>
      </c>
      <c r="T68" s="290">
        <f t="shared" si="12"/>
        <v>0</v>
      </c>
      <c r="U68" s="293"/>
      <c r="V68" s="294">
        <v>-28.571428571428569</v>
      </c>
      <c r="W68" s="299"/>
    </row>
    <row r="69" spans="1:23" ht="43.5">
      <c r="A69" s="288">
        <v>62</v>
      </c>
      <c r="B69" s="289" t="s">
        <v>740</v>
      </c>
      <c r="C69" s="290" t="s">
        <v>204</v>
      </c>
      <c r="D69" s="290" t="s">
        <v>64</v>
      </c>
      <c r="E69" s="290" t="s">
        <v>903</v>
      </c>
      <c r="F69" s="290">
        <f t="shared" si="0"/>
        <v>1160</v>
      </c>
      <c r="G69" s="333"/>
      <c r="H69" s="290">
        <f t="shared" si="1"/>
        <v>0</v>
      </c>
      <c r="I69" s="291">
        <f>'DETAILED (2)'!I906</f>
        <v>12</v>
      </c>
      <c r="J69" s="291">
        <f t="shared" si="7"/>
        <v>696</v>
      </c>
      <c r="K69" s="296">
        <f t="shared" si="8"/>
        <v>12</v>
      </c>
      <c r="L69" s="291">
        <f t="shared" si="9"/>
        <v>696</v>
      </c>
      <c r="M69" s="297">
        <f t="shared" si="2"/>
        <v>0</v>
      </c>
      <c r="N69" s="297">
        <f t="shared" si="3"/>
        <v>464</v>
      </c>
      <c r="O69" s="292">
        <f t="shared" si="23"/>
        <v>-8</v>
      </c>
      <c r="P69" s="290">
        <f t="shared" si="4"/>
        <v>-464</v>
      </c>
      <c r="Q69" s="292">
        <f t="shared" si="22"/>
        <v>8</v>
      </c>
      <c r="R69" s="290">
        <f t="shared" si="20"/>
        <v>464</v>
      </c>
      <c r="S69" s="290">
        <f t="shared" si="11"/>
        <v>-464</v>
      </c>
      <c r="T69" s="290">
        <f t="shared" si="12"/>
        <v>0</v>
      </c>
      <c r="U69" s="293"/>
      <c r="V69" s="294">
        <v>-23.684210526315788</v>
      </c>
      <c r="W69" s="299"/>
    </row>
    <row r="70" spans="1:23" ht="43.5">
      <c r="A70" s="288">
        <v>63</v>
      </c>
      <c r="B70" s="289" t="s">
        <v>741</v>
      </c>
      <c r="C70" s="290" t="s">
        <v>1019</v>
      </c>
      <c r="D70" s="290" t="s">
        <v>65</v>
      </c>
      <c r="E70" s="290" t="s">
        <v>223</v>
      </c>
      <c r="F70" s="290">
        <f t="shared" si="0"/>
        <v>3060</v>
      </c>
      <c r="G70" s="333"/>
      <c r="H70" s="290">
        <f t="shared" si="1"/>
        <v>0</v>
      </c>
      <c r="I70" s="291">
        <f>'DETAILED (2)'!I912</f>
        <v>60</v>
      </c>
      <c r="J70" s="291">
        <f t="shared" si="7"/>
        <v>3060</v>
      </c>
      <c r="K70" s="296">
        <f t="shared" si="8"/>
        <v>60</v>
      </c>
      <c r="L70" s="291">
        <f t="shared" si="9"/>
        <v>3060</v>
      </c>
      <c r="M70" s="297">
        <f t="shared" si="2"/>
        <v>0</v>
      </c>
      <c r="N70" s="297">
        <f t="shared" si="3"/>
        <v>0</v>
      </c>
      <c r="O70" s="292"/>
      <c r="P70" s="290">
        <f t="shared" si="4"/>
        <v>0</v>
      </c>
      <c r="Q70" s="292">
        <f t="shared" si="22"/>
        <v>0</v>
      </c>
      <c r="R70" s="290">
        <f t="shared" si="20"/>
        <v>0</v>
      </c>
      <c r="S70" s="290">
        <f t="shared" si="11"/>
        <v>0</v>
      </c>
      <c r="T70" s="290">
        <f t="shared" si="12"/>
        <v>0</v>
      </c>
      <c r="U70" s="293"/>
      <c r="V70" s="294">
        <v>-30.706521739130427</v>
      </c>
      <c r="W70" s="299"/>
    </row>
    <row r="71" spans="1:23" ht="43.5">
      <c r="A71" s="288">
        <v>64</v>
      </c>
      <c r="B71" s="289" t="s">
        <v>742</v>
      </c>
      <c r="C71" s="290" t="s">
        <v>1020</v>
      </c>
      <c r="D71" s="290" t="s">
        <v>64</v>
      </c>
      <c r="E71" s="290" t="s">
        <v>895</v>
      </c>
      <c r="F71" s="290">
        <f t="shared" si="0"/>
        <v>1685</v>
      </c>
      <c r="G71" s="333"/>
      <c r="H71" s="290">
        <f t="shared" si="1"/>
        <v>0</v>
      </c>
      <c r="I71" s="291">
        <f>'DETAILED (2)'!I914</f>
        <v>3</v>
      </c>
      <c r="J71" s="291">
        <f t="shared" si="7"/>
        <v>5055</v>
      </c>
      <c r="K71" s="296">
        <f t="shared" si="8"/>
        <v>3</v>
      </c>
      <c r="L71" s="291">
        <f t="shared" si="9"/>
        <v>5055</v>
      </c>
      <c r="M71" s="297">
        <f t="shared" si="2"/>
        <v>3370</v>
      </c>
      <c r="N71" s="297">
        <f t="shared" si="3"/>
        <v>0</v>
      </c>
      <c r="O71" s="292"/>
      <c r="P71" s="290"/>
      <c r="Q71" s="292">
        <f t="shared" si="22"/>
        <v>-2</v>
      </c>
      <c r="R71" s="290">
        <f t="shared" si="20"/>
        <v>-3370</v>
      </c>
      <c r="S71" s="290">
        <f t="shared" si="11"/>
        <v>-3370</v>
      </c>
      <c r="T71" s="290">
        <f t="shared" si="12"/>
        <v>3370</v>
      </c>
      <c r="U71" s="293"/>
      <c r="V71" s="294">
        <v>-34.891808346213296</v>
      </c>
      <c r="W71" s="299"/>
    </row>
    <row r="72" spans="1:23">
      <c r="A72" s="288">
        <v>65</v>
      </c>
      <c r="B72" s="289" t="s">
        <v>743</v>
      </c>
      <c r="C72" s="290" t="s">
        <v>216</v>
      </c>
      <c r="D72" s="290" t="s">
        <v>63</v>
      </c>
      <c r="E72" s="290" t="s">
        <v>895</v>
      </c>
      <c r="F72" s="290">
        <f t="shared" ref="F72" si="24">ROUND(C72*E72,2)</f>
        <v>1664</v>
      </c>
      <c r="G72" s="333"/>
      <c r="H72" s="290">
        <f t="shared" ref="H72:H157" si="25">ROUND(C72*G72,2)</f>
        <v>0</v>
      </c>
      <c r="I72" s="291"/>
      <c r="J72" s="291">
        <f t="shared" si="7"/>
        <v>0</v>
      </c>
      <c r="K72" s="296">
        <f t="shared" si="8"/>
        <v>0</v>
      </c>
      <c r="L72" s="291">
        <f t="shared" si="9"/>
        <v>0</v>
      </c>
      <c r="M72" s="297">
        <f t="shared" ref="M72:M199" si="26">IF(L72&gt;F72,L72-F72,0)</f>
        <v>0</v>
      </c>
      <c r="N72" s="297">
        <f t="shared" ref="N72:N199" si="27">IF(F72&gt;L72,F72-L72,0)</f>
        <v>1664</v>
      </c>
      <c r="O72" s="292"/>
      <c r="P72" s="290">
        <f t="shared" ref="P72:P135" si="28">ROUND(O72*C72,2)</f>
        <v>0</v>
      </c>
      <c r="Q72" s="292">
        <f t="shared" si="22"/>
        <v>1</v>
      </c>
      <c r="R72" s="290">
        <f t="shared" si="20"/>
        <v>1664</v>
      </c>
      <c r="S72" s="290">
        <f t="shared" si="11"/>
        <v>0</v>
      </c>
      <c r="T72" s="290">
        <f t="shared" si="12"/>
        <v>0</v>
      </c>
      <c r="U72" s="293"/>
      <c r="V72" s="294">
        <v>-27.401868180291185</v>
      </c>
      <c r="W72" s="299"/>
    </row>
    <row r="73" spans="1:23">
      <c r="A73" s="288">
        <v>66</v>
      </c>
      <c r="B73" s="289" t="s">
        <v>744</v>
      </c>
      <c r="C73" s="290" t="s">
        <v>899</v>
      </c>
      <c r="D73" s="290" t="s">
        <v>967</v>
      </c>
      <c r="E73" s="290" t="s">
        <v>218</v>
      </c>
      <c r="F73" s="290">
        <f>ROUND(C73*E73,2)</f>
        <v>3900</v>
      </c>
      <c r="G73" s="333">
        <f>'Ex 2'!I74</f>
        <v>152.44</v>
      </c>
      <c r="H73" s="290">
        <f t="shared" si="25"/>
        <v>3963.44</v>
      </c>
      <c r="I73" s="291"/>
      <c r="J73" s="291">
        <f t="shared" ref="J73:J197" si="29">C73*I73</f>
        <v>0</v>
      </c>
      <c r="K73" s="296">
        <f t="shared" ref="K73:K199" si="30">G73+I73</f>
        <v>152.44</v>
      </c>
      <c r="L73" s="291">
        <f t="shared" ref="L73:L199" si="31">C73*K73</f>
        <v>3963.44</v>
      </c>
      <c r="M73" s="297">
        <f t="shared" si="26"/>
        <v>63.440000000000055</v>
      </c>
      <c r="N73" s="297">
        <f t="shared" si="27"/>
        <v>0</v>
      </c>
      <c r="O73" s="292">
        <f t="shared" ref="O73:O76" si="32">ROUND(K73-E73,2)</f>
        <v>2.44</v>
      </c>
      <c r="P73" s="290">
        <f t="shared" si="28"/>
        <v>63.44</v>
      </c>
      <c r="Q73" s="292"/>
      <c r="R73" s="290"/>
      <c r="S73" s="290">
        <f t="shared" ref="S73:S199" si="33">P73-M73</f>
        <v>-5.6843418860808015E-14</v>
      </c>
      <c r="T73" s="290">
        <f t="shared" ref="T73:T199" si="34">N73-R73</f>
        <v>0</v>
      </c>
      <c r="U73" s="293"/>
      <c r="V73" s="294">
        <v>-23.52941176470588</v>
      </c>
      <c r="W73" s="299"/>
    </row>
    <row r="74" spans="1:23" ht="43.5">
      <c r="A74" s="288">
        <v>67</v>
      </c>
      <c r="B74" s="289" t="s">
        <v>745</v>
      </c>
      <c r="C74" s="290" t="s">
        <v>1021</v>
      </c>
      <c r="D74" s="290" t="s">
        <v>66</v>
      </c>
      <c r="E74" s="290">
        <v>30.815999999999999</v>
      </c>
      <c r="F74" s="290">
        <f t="shared" ref="F74:F137" si="35">ROUND(C74*E74,2)</f>
        <v>96977.95</v>
      </c>
      <c r="G74" s="416">
        <v>23.016999999999999</v>
      </c>
      <c r="H74" s="290">
        <f t="shared" si="25"/>
        <v>72434.5</v>
      </c>
      <c r="I74" s="296">
        <f>'Main BBS -Revised ok'!X92</f>
        <v>6.2427130000000002</v>
      </c>
      <c r="J74" s="291">
        <f t="shared" si="29"/>
        <v>19645.817811000001</v>
      </c>
      <c r="K74" s="296">
        <f t="shared" si="30"/>
        <v>29.259712999999998</v>
      </c>
      <c r="L74" s="291">
        <f t="shared" si="31"/>
        <v>92080.316810999997</v>
      </c>
      <c r="M74" s="297">
        <f t="shared" si="26"/>
        <v>0</v>
      </c>
      <c r="N74" s="297">
        <f t="shared" si="27"/>
        <v>4897.6331890000001</v>
      </c>
      <c r="O74" s="292">
        <f t="shared" si="32"/>
        <v>-1.56</v>
      </c>
      <c r="P74" s="290">
        <f t="shared" si="28"/>
        <v>-4909.32</v>
      </c>
      <c r="Q74" s="292">
        <f t="shared" ref="Q74" si="36">ROUND(E74-K74,2)</f>
        <v>1.56</v>
      </c>
      <c r="R74" s="290">
        <f t="shared" ref="R74" si="37">ROUND(C74*Q74,2)</f>
        <v>4909.32</v>
      </c>
      <c r="S74" s="290">
        <f t="shared" si="33"/>
        <v>-4909.32</v>
      </c>
      <c r="T74" s="290">
        <f t="shared" si="34"/>
        <v>-11.68681099999958</v>
      </c>
      <c r="U74" s="293"/>
      <c r="V74" s="294">
        <v>-27.932673040590828</v>
      </c>
      <c r="W74" s="299"/>
    </row>
    <row r="75" spans="1:23" ht="65.25">
      <c r="A75" s="288">
        <v>68</v>
      </c>
      <c r="B75" s="289" t="s">
        <v>746</v>
      </c>
      <c r="C75" s="290" t="s">
        <v>1022</v>
      </c>
      <c r="D75" s="290" t="s">
        <v>966</v>
      </c>
      <c r="E75" s="290" t="s">
        <v>904</v>
      </c>
      <c r="F75" s="290">
        <f t="shared" si="35"/>
        <v>109746</v>
      </c>
      <c r="G75" s="333">
        <f>'Ex 2'!I76</f>
        <v>100.99</v>
      </c>
      <c r="H75" s="290">
        <f t="shared" si="25"/>
        <v>18178.2</v>
      </c>
      <c r="I75" s="291">
        <f>'DETAILED (2)'!I935</f>
        <v>68.73</v>
      </c>
      <c r="J75" s="291">
        <f t="shared" si="29"/>
        <v>12371.400000000001</v>
      </c>
      <c r="K75" s="296">
        <f t="shared" si="30"/>
        <v>169.72</v>
      </c>
      <c r="L75" s="291">
        <f t="shared" si="31"/>
        <v>30549.599999999999</v>
      </c>
      <c r="M75" s="297">
        <f t="shared" si="26"/>
        <v>0</v>
      </c>
      <c r="N75" s="297">
        <f t="shared" si="27"/>
        <v>79196.399999999994</v>
      </c>
      <c r="O75" s="292">
        <f t="shared" si="32"/>
        <v>-439.98</v>
      </c>
      <c r="P75" s="290">
        <f t="shared" si="28"/>
        <v>-79196.399999999994</v>
      </c>
      <c r="Q75" s="292"/>
      <c r="R75" s="290"/>
      <c r="S75" s="290">
        <f t="shared" si="33"/>
        <v>-79196.399999999994</v>
      </c>
      <c r="T75" s="290">
        <f t="shared" si="34"/>
        <v>79196.399999999994</v>
      </c>
      <c r="U75" s="293"/>
      <c r="V75" s="294">
        <v>-25.647486471973235</v>
      </c>
      <c r="W75" s="299"/>
    </row>
    <row r="76" spans="1:23" ht="43.5">
      <c r="A76" s="288">
        <v>69</v>
      </c>
      <c r="B76" s="289" t="s">
        <v>747</v>
      </c>
      <c r="C76" s="290" t="s">
        <v>1023</v>
      </c>
      <c r="D76" s="290" t="s">
        <v>62</v>
      </c>
      <c r="E76" s="290" t="s">
        <v>854</v>
      </c>
      <c r="F76" s="290">
        <f t="shared" si="35"/>
        <v>33163.199999999997</v>
      </c>
      <c r="G76" s="333">
        <f>'Ex 2'!I77</f>
        <v>8.73</v>
      </c>
      <c r="H76" s="290">
        <f t="shared" si="25"/>
        <v>25849.53</v>
      </c>
      <c r="I76" s="291"/>
      <c r="J76" s="291">
        <f t="shared" si="29"/>
        <v>0</v>
      </c>
      <c r="K76" s="296">
        <f t="shared" si="30"/>
        <v>8.73</v>
      </c>
      <c r="L76" s="291">
        <f t="shared" si="31"/>
        <v>25849.530000000002</v>
      </c>
      <c r="M76" s="297">
        <f t="shared" si="26"/>
        <v>0</v>
      </c>
      <c r="N76" s="297">
        <f t="shared" si="27"/>
        <v>7313.6699999999946</v>
      </c>
      <c r="O76" s="292">
        <f t="shared" si="32"/>
        <v>-2.4700000000000002</v>
      </c>
      <c r="P76" s="290">
        <f t="shared" si="28"/>
        <v>-7313.67</v>
      </c>
      <c r="Q76" s="292"/>
      <c r="R76" s="290"/>
      <c r="S76" s="290">
        <f t="shared" si="33"/>
        <v>-7313.67</v>
      </c>
      <c r="T76" s="290">
        <f t="shared" si="34"/>
        <v>7313.6699999999946</v>
      </c>
      <c r="U76" s="293"/>
      <c r="V76" s="294">
        <v>-28.682394595180465</v>
      </c>
      <c r="W76" s="299"/>
    </row>
    <row r="77" spans="1:23" ht="65.25">
      <c r="A77" s="288">
        <v>70</v>
      </c>
      <c r="B77" s="289" t="s">
        <v>748</v>
      </c>
      <c r="C77" s="290" t="s">
        <v>1024</v>
      </c>
      <c r="D77" s="290" t="s">
        <v>62</v>
      </c>
      <c r="E77" s="290" t="s">
        <v>905</v>
      </c>
      <c r="F77" s="290">
        <f t="shared" si="35"/>
        <v>595051</v>
      </c>
      <c r="G77" s="333">
        <f>'Ex 2'!I78</f>
        <v>65.959999999999994</v>
      </c>
      <c r="H77" s="290">
        <f t="shared" si="25"/>
        <v>325182.8</v>
      </c>
      <c r="I77" s="291">
        <f>'DETAILED (2)'!I950</f>
        <v>49.96</v>
      </c>
      <c r="J77" s="291">
        <f t="shared" si="29"/>
        <v>246302.80000000002</v>
      </c>
      <c r="K77" s="296">
        <f t="shared" si="30"/>
        <v>115.91999999999999</v>
      </c>
      <c r="L77" s="291">
        <f t="shared" si="31"/>
        <v>571485.6</v>
      </c>
      <c r="M77" s="297">
        <f t="shared" si="26"/>
        <v>0</v>
      </c>
      <c r="N77" s="297">
        <f t="shared" si="27"/>
        <v>23565.400000000023</v>
      </c>
      <c r="O77" s="292"/>
      <c r="P77" s="290">
        <f t="shared" si="28"/>
        <v>0</v>
      </c>
      <c r="Q77" s="292">
        <f t="shared" ref="Q77:Q79" si="38">ROUND(E77-K77,2)</f>
        <v>4.78</v>
      </c>
      <c r="R77" s="290">
        <f t="shared" ref="R77:R89" si="39">ROUND(C77*Q77,2)</f>
        <v>23565.4</v>
      </c>
      <c r="S77" s="290">
        <f t="shared" si="33"/>
        <v>0</v>
      </c>
      <c r="T77" s="290">
        <f t="shared" si="34"/>
        <v>0</v>
      </c>
      <c r="U77" s="293"/>
      <c r="V77" s="294">
        <v>-28.550413987307195</v>
      </c>
      <c r="W77" s="299"/>
    </row>
    <row r="78" spans="1:23">
      <c r="A78" s="288">
        <v>71</v>
      </c>
      <c r="B78" s="289" t="s">
        <v>704</v>
      </c>
      <c r="C78" s="290" t="s">
        <v>1025</v>
      </c>
      <c r="D78" s="290" t="s">
        <v>62</v>
      </c>
      <c r="E78" s="290" t="s">
        <v>906</v>
      </c>
      <c r="F78" s="290">
        <f t="shared" si="35"/>
        <v>193806</v>
      </c>
      <c r="G78" s="333">
        <f>'Ex 2'!I79</f>
        <v>35.270000000000003</v>
      </c>
      <c r="H78" s="290">
        <f t="shared" si="25"/>
        <v>176173.65</v>
      </c>
      <c r="I78" s="291">
        <f>'DETAILED (2)'!I962</f>
        <v>1.53</v>
      </c>
      <c r="J78" s="291">
        <f t="shared" si="29"/>
        <v>7642.35</v>
      </c>
      <c r="K78" s="296">
        <f t="shared" si="30"/>
        <v>36.800000000000004</v>
      </c>
      <c r="L78" s="291">
        <f t="shared" si="31"/>
        <v>183816.00000000003</v>
      </c>
      <c r="M78" s="297">
        <f t="shared" si="26"/>
        <v>0</v>
      </c>
      <c r="N78" s="297">
        <f t="shared" si="27"/>
        <v>9989.9999999999709</v>
      </c>
      <c r="O78" s="292"/>
      <c r="P78" s="290">
        <f t="shared" si="28"/>
        <v>0</v>
      </c>
      <c r="Q78" s="292">
        <f t="shared" si="38"/>
        <v>2</v>
      </c>
      <c r="R78" s="290">
        <f t="shared" si="39"/>
        <v>9990</v>
      </c>
      <c r="S78" s="290">
        <f t="shared" si="33"/>
        <v>0</v>
      </c>
      <c r="T78" s="290">
        <f t="shared" si="34"/>
        <v>-2.9103830456733704E-11</v>
      </c>
      <c r="U78" s="293"/>
      <c r="V78" s="294">
        <v>-28.631234229574527</v>
      </c>
      <c r="W78" s="299"/>
    </row>
    <row r="79" spans="1:23">
      <c r="A79" s="288">
        <v>72</v>
      </c>
      <c r="B79" s="289" t="s">
        <v>39</v>
      </c>
      <c r="C79" s="290" t="s">
        <v>1026</v>
      </c>
      <c r="D79" s="290" t="s">
        <v>62</v>
      </c>
      <c r="E79" s="290" t="s">
        <v>907</v>
      </c>
      <c r="F79" s="290">
        <f t="shared" si="35"/>
        <v>185525</v>
      </c>
      <c r="G79" s="333">
        <f>'Ex 2'!I80</f>
        <v>36.76</v>
      </c>
      <c r="H79" s="290">
        <f t="shared" si="25"/>
        <v>188395</v>
      </c>
      <c r="I79" s="291"/>
      <c r="J79" s="291">
        <f t="shared" si="29"/>
        <v>0</v>
      </c>
      <c r="K79" s="296">
        <f t="shared" si="30"/>
        <v>36.76</v>
      </c>
      <c r="L79" s="291">
        <f t="shared" si="31"/>
        <v>188395</v>
      </c>
      <c r="M79" s="297">
        <f t="shared" si="26"/>
        <v>2870</v>
      </c>
      <c r="N79" s="297">
        <f t="shared" si="27"/>
        <v>0</v>
      </c>
      <c r="O79" s="292"/>
      <c r="P79" s="290">
        <f t="shared" si="28"/>
        <v>0</v>
      </c>
      <c r="Q79" s="292">
        <f t="shared" si="38"/>
        <v>-0.56000000000000005</v>
      </c>
      <c r="R79" s="290">
        <f t="shared" si="39"/>
        <v>-2870</v>
      </c>
      <c r="S79" s="290">
        <f t="shared" si="33"/>
        <v>-2870</v>
      </c>
      <c r="T79" s="290">
        <f t="shared" si="34"/>
        <v>2870</v>
      </c>
      <c r="U79" s="293"/>
      <c r="V79" s="294">
        <v>-28.755720394352728</v>
      </c>
      <c r="W79" s="299"/>
    </row>
    <row r="80" spans="1:23">
      <c r="A80" s="288">
        <v>73</v>
      </c>
      <c r="B80" s="289" t="s">
        <v>40</v>
      </c>
      <c r="C80" s="290" t="s">
        <v>1027</v>
      </c>
      <c r="D80" s="290" t="s">
        <v>62</v>
      </c>
      <c r="E80" s="290" t="s">
        <v>908</v>
      </c>
      <c r="F80" s="290">
        <f t="shared" si="35"/>
        <v>195448.8</v>
      </c>
      <c r="G80" s="337">
        <v>35.979999999999997</v>
      </c>
      <c r="H80" s="290">
        <f t="shared" si="25"/>
        <v>189038.92</v>
      </c>
      <c r="I80" s="291"/>
      <c r="J80" s="291">
        <f t="shared" si="29"/>
        <v>0</v>
      </c>
      <c r="K80" s="296">
        <f t="shared" si="30"/>
        <v>35.979999999999997</v>
      </c>
      <c r="L80" s="291">
        <f t="shared" si="31"/>
        <v>189038.91999999998</v>
      </c>
      <c r="M80" s="297">
        <f t="shared" si="26"/>
        <v>0</v>
      </c>
      <c r="N80" s="297">
        <f t="shared" si="27"/>
        <v>6409.8800000000047</v>
      </c>
      <c r="O80" s="292">
        <f t="shared" ref="O80" si="40">ROUND(K80-E80,2)</f>
        <v>-1.22</v>
      </c>
      <c r="P80" s="290">
        <f t="shared" si="28"/>
        <v>-6409.88</v>
      </c>
      <c r="Q80" s="292"/>
      <c r="R80" s="290">
        <f t="shared" si="39"/>
        <v>0</v>
      </c>
      <c r="S80" s="290">
        <f t="shared" si="33"/>
        <v>-6409.88</v>
      </c>
      <c r="T80" s="290">
        <f t="shared" si="34"/>
        <v>6409.8800000000047</v>
      </c>
      <c r="U80" s="293"/>
      <c r="V80" s="294">
        <v>-28.887180472804154</v>
      </c>
      <c r="W80" s="299"/>
    </row>
    <row r="81" spans="1:23">
      <c r="A81" s="288">
        <v>74</v>
      </c>
      <c r="B81" s="289" t="s">
        <v>44</v>
      </c>
      <c r="C81" s="290" t="s">
        <v>1028</v>
      </c>
      <c r="D81" s="290" t="s">
        <v>62</v>
      </c>
      <c r="E81" s="290" t="s">
        <v>909</v>
      </c>
      <c r="F81" s="290">
        <f t="shared" si="35"/>
        <v>165288.79999999999</v>
      </c>
      <c r="G81" s="337">
        <v>22.92</v>
      </c>
      <c r="H81" s="290">
        <f t="shared" si="25"/>
        <v>123401.28</v>
      </c>
      <c r="I81" s="291">
        <f>'DETAILED (2)'!I984</f>
        <v>7.5399999999999991</v>
      </c>
      <c r="J81" s="291">
        <f t="shared" si="29"/>
        <v>40595.359999999993</v>
      </c>
      <c r="K81" s="296">
        <f t="shared" si="30"/>
        <v>30.46</v>
      </c>
      <c r="L81" s="291">
        <f t="shared" si="31"/>
        <v>163996.64000000001</v>
      </c>
      <c r="M81" s="297">
        <f t="shared" si="26"/>
        <v>0</v>
      </c>
      <c r="N81" s="297">
        <f t="shared" si="27"/>
        <v>1292.1599999999744</v>
      </c>
      <c r="O81" s="292"/>
      <c r="P81" s="290">
        <f t="shared" si="28"/>
        <v>0</v>
      </c>
      <c r="Q81" s="292">
        <f t="shared" ref="Q81:Q84" si="41">ROUND(E81-K81,2)</f>
        <v>0.24</v>
      </c>
      <c r="R81" s="290">
        <f t="shared" si="39"/>
        <v>1292.1600000000001</v>
      </c>
      <c r="S81" s="290">
        <f t="shared" si="33"/>
        <v>0</v>
      </c>
      <c r="T81" s="290">
        <f t="shared" si="34"/>
        <v>-2.5693225325085223E-11</v>
      </c>
      <c r="U81" s="293"/>
      <c r="V81" s="294">
        <v>-28.998702353698292</v>
      </c>
      <c r="W81" s="299"/>
    </row>
    <row r="82" spans="1:23" ht="87">
      <c r="A82" s="288">
        <v>75</v>
      </c>
      <c r="B82" s="289" t="s">
        <v>749</v>
      </c>
      <c r="C82" s="290" t="s">
        <v>1029</v>
      </c>
      <c r="D82" s="290" t="s">
        <v>967</v>
      </c>
      <c r="E82" s="290" t="s">
        <v>910</v>
      </c>
      <c r="F82" s="290">
        <f t="shared" si="35"/>
        <v>2386.6999999999998</v>
      </c>
      <c r="G82" s="333">
        <v>1.42</v>
      </c>
      <c r="H82" s="290">
        <f t="shared" si="25"/>
        <v>1168.6600000000001</v>
      </c>
      <c r="I82" s="296"/>
      <c r="J82" s="291">
        <f t="shared" si="29"/>
        <v>0</v>
      </c>
      <c r="K82" s="296">
        <f t="shared" si="30"/>
        <v>1.42</v>
      </c>
      <c r="L82" s="291">
        <f t="shared" si="31"/>
        <v>1168.6599999999999</v>
      </c>
      <c r="M82" s="297">
        <f t="shared" si="26"/>
        <v>0</v>
      </c>
      <c r="N82" s="297">
        <f t="shared" si="27"/>
        <v>1218.04</v>
      </c>
      <c r="O82" s="292"/>
      <c r="P82" s="290">
        <f t="shared" si="28"/>
        <v>0</v>
      </c>
      <c r="Q82" s="292">
        <f t="shared" si="41"/>
        <v>1.48</v>
      </c>
      <c r="R82" s="290">
        <f t="shared" si="39"/>
        <v>1218.04</v>
      </c>
      <c r="S82" s="290">
        <f t="shared" si="33"/>
        <v>0</v>
      </c>
      <c r="T82" s="290">
        <f t="shared" si="34"/>
        <v>0</v>
      </c>
      <c r="U82" s="293"/>
      <c r="V82" s="294">
        <v>-34.520920685183277</v>
      </c>
      <c r="W82" s="299"/>
    </row>
    <row r="83" spans="1:23" ht="22.5">
      <c r="A83" s="288">
        <v>76</v>
      </c>
      <c r="B83" s="301" t="s">
        <v>750</v>
      </c>
      <c r="C83" s="290" t="s">
        <v>1030</v>
      </c>
      <c r="D83" s="290" t="s">
        <v>967</v>
      </c>
      <c r="E83" s="290" t="s">
        <v>911</v>
      </c>
      <c r="F83" s="290">
        <f t="shared" si="35"/>
        <v>19080.599999999999</v>
      </c>
      <c r="G83" s="333">
        <v>12.56</v>
      </c>
      <c r="H83" s="290">
        <f t="shared" si="25"/>
        <v>10374.56</v>
      </c>
      <c r="I83" s="291"/>
      <c r="J83" s="291">
        <f t="shared" si="29"/>
        <v>0</v>
      </c>
      <c r="K83" s="296">
        <f t="shared" si="30"/>
        <v>12.56</v>
      </c>
      <c r="L83" s="291">
        <f t="shared" si="31"/>
        <v>10374.560000000001</v>
      </c>
      <c r="M83" s="297">
        <f t="shared" si="26"/>
        <v>0</v>
      </c>
      <c r="N83" s="297">
        <f t="shared" si="27"/>
        <v>8706.0399999999972</v>
      </c>
      <c r="O83" s="292">
        <f t="shared" ref="O83:O92" si="42">ROUND(K83-E83,2)</f>
        <v>-10.54</v>
      </c>
      <c r="P83" s="290">
        <f t="shared" si="28"/>
        <v>-8706.0400000000009</v>
      </c>
      <c r="Q83" s="292">
        <f t="shared" si="41"/>
        <v>10.54</v>
      </c>
      <c r="R83" s="290">
        <f t="shared" si="39"/>
        <v>8706.0400000000009</v>
      </c>
      <c r="S83" s="290">
        <f t="shared" si="33"/>
        <v>-8706.0400000000009</v>
      </c>
      <c r="T83" s="290">
        <f t="shared" si="34"/>
        <v>0</v>
      </c>
      <c r="U83" s="293"/>
      <c r="V83" s="294">
        <v>-34.487079836931514</v>
      </c>
      <c r="W83" s="299"/>
    </row>
    <row r="84" spans="1:23">
      <c r="A84" s="288">
        <v>77</v>
      </c>
      <c r="B84" s="289" t="s">
        <v>751</v>
      </c>
      <c r="C84" s="290" t="s">
        <v>1031</v>
      </c>
      <c r="D84" s="290" t="s">
        <v>967</v>
      </c>
      <c r="E84" s="290" t="s">
        <v>899</v>
      </c>
      <c r="F84" s="290">
        <f t="shared" si="35"/>
        <v>21554</v>
      </c>
      <c r="G84" s="333">
        <v>11.14</v>
      </c>
      <c r="H84" s="290">
        <f t="shared" si="25"/>
        <v>9235.06</v>
      </c>
      <c r="I84" s="291"/>
      <c r="J84" s="291">
        <f t="shared" si="29"/>
        <v>0</v>
      </c>
      <c r="K84" s="296">
        <f t="shared" si="30"/>
        <v>11.14</v>
      </c>
      <c r="L84" s="291">
        <f t="shared" si="31"/>
        <v>9235.0600000000013</v>
      </c>
      <c r="M84" s="297">
        <f t="shared" si="26"/>
        <v>0</v>
      </c>
      <c r="N84" s="297">
        <f t="shared" si="27"/>
        <v>12318.939999999999</v>
      </c>
      <c r="O84" s="292">
        <f t="shared" si="42"/>
        <v>-14.86</v>
      </c>
      <c r="P84" s="290">
        <f t="shared" si="28"/>
        <v>-12318.94</v>
      </c>
      <c r="Q84" s="292">
        <f t="shared" si="41"/>
        <v>14.86</v>
      </c>
      <c r="R84" s="290">
        <f t="shared" si="39"/>
        <v>12318.94</v>
      </c>
      <c r="S84" s="290">
        <f t="shared" si="33"/>
        <v>-12318.94</v>
      </c>
      <c r="T84" s="290">
        <f t="shared" si="34"/>
        <v>0</v>
      </c>
      <c r="U84" s="293"/>
      <c r="V84" s="294">
        <v>-34.45344929828029</v>
      </c>
      <c r="W84" s="299"/>
    </row>
    <row r="85" spans="1:23">
      <c r="A85" s="288">
        <v>78</v>
      </c>
      <c r="B85" s="289" t="s">
        <v>752</v>
      </c>
      <c r="C85" s="290" t="s">
        <v>1032</v>
      </c>
      <c r="D85" s="290" t="s">
        <v>967</v>
      </c>
      <c r="E85" s="290" t="s">
        <v>912</v>
      </c>
      <c r="F85" s="290">
        <f t="shared" si="35"/>
        <v>9639.6</v>
      </c>
      <c r="G85" s="333">
        <v>7.2</v>
      </c>
      <c r="H85" s="290">
        <f t="shared" si="25"/>
        <v>5983.2</v>
      </c>
      <c r="I85" s="291"/>
      <c r="J85" s="291">
        <f t="shared" si="29"/>
        <v>0</v>
      </c>
      <c r="K85" s="296">
        <f t="shared" si="30"/>
        <v>7.2</v>
      </c>
      <c r="L85" s="291">
        <f t="shared" si="31"/>
        <v>5983.2</v>
      </c>
      <c r="M85" s="297">
        <f t="shared" si="26"/>
        <v>0</v>
      </c>
      <c r="N85" s="297">
        <f t="shared" si="27"/>
        <v>3656.4000000000005</v>
      </c>
      <c r="O85" s="292">
        <f t="shared" si="42"/>
        <v>-4.4000000000000004</v>
      </c>
      <c r="P85" s="290">
        <f t="shared" si="28"/>
        <v>-3656.4</v>
      </c>
      <c r="Q85" s="292"/>
      <c r="R85" s="290">
        <f t="shared" si="39"/>
        <v>0</v>
      </c>
      <c r="S85" s="290">
        <f t="shared" si="33"/>
        <v>-3656.4</v>
      </c>
      <c r="T85" s="290">
        <f t="shared" si="34"/>
        <v>3656.4000000000005</v>
      </c>
      <c r="U85" s="293"/>
      <c r="V85" s="294">
        <v>-34.498849197591205</v>
      </c>
      <c r="W85" s="299"/>
    </row>
    <row r="86" spans="1:23" ht="87">
      <c r="A86" s="288">
        <v>79</v>
      </c>
      <c r="B86" s="289" t="s">
        <v>753</v>
      </c>
      <c r="C86" s="290" t="s">
        <v>1033</v>
      </c>
      <c r="D86" s="290" t="s">
        <v>967</v>
      </c>
      <c r="E86" s="290" t="s">
        <v>913</v>
      </c>
      <c r="F86" s="290">
        <f t="shared" si="35"/>
        <v>732.8</v>
      </c>
      <c r="G86" s="333">
        <v>0.47</v>
      </c>
      <c r="H86" s="290">
        <f t="shared" si="25"/>
        <v>430.52</v>
      </c>
      <c r="I86" s="291"/>
      <c r="J86" s="291">
        <f t="shared" si="29"/>
        <v>0</v>
      </c>
      <c r="K86" s="296">
        <f t="shared" si="30"/>
        <v>0.47</v>
      </c>
      <c r="L86" s="291">
        <f t="shared" si="31"/>
        <v>430.52</v>
      </c>
      <c r="M86" s="297">
        <f t="shared" si="26"/>
        <v>0</v>
      </c>
      <c r="N86" s="297">
        <f t="shared" si="27"/>
        <v>302.27999999999997</v>
      </c>
      <c r="O86" s="292">
        <f t="shared" si="42"/>
        <v>-0.33</v>
      </c>
      <c r="P86" s="290">
        <f t="shared" si="28"/>
        <v>-302.27999999999997</v>
      </c>
      <c r="Q86" s="292">
        <f t="shared" ref="Q86" si="43">ROUND(E86-K86,2)</f>
        <v>0.33</v>
      </c>
      <c r="R86" s="290">
        <f t="shared" si="39"/>
        <v>302.27999999999997</v>
      </c>
      <c r="S86" s="290">
        <f t="shared" si="33"/>
        <v>-302.27999999999997</v>
      </c>
      <c r="T86" s="290">
        <f t="shared" si="34"/>
        <v>0</v>
      </c>
      <c r="U86" s="293"/>
      <c r="V86" s="294">
        <v>-33.964372481310335</v>
      </c>
      <c r="W86" s="299"/>
    </row>
    <row r="87" spans="1:23">
      <c r="A87" s="288">
        <v>80</v>
      </c>
      <c r="B87" s="289" t="s">
        <v>45</v>
      </c>
      <c r="C87" s="290" t="s">
        <v>1034</v>
      </c>
      <c r="D87" s="290" t="s">
        <v>967</v>
      </c>
      <c r="E87" s="290" t="s">
        <v>914</v>
      </c>
      <c r="F87" s="290">
        <f t="shared" si="35"/>
        <v>5341.8</v>
      </c>
      <c r="G87" s="333">
        <v>1.35</v>
      </c>
      <c r="H87" s="290">
        <f t="shared" si="25"/>
        <v>1243.3499999999999</v>
      </c>
      <c r="I87" s="291"/>
      <c r="J87" s="291">
        <f t="shared" si="29"/>
        <v>0</v>
      </c>
      <c r="K87" s="296">
        <f t="shared" si="30"/>
        <v>1.35</v>
      </c>
      <c r="L87" s="291">
        <f t="shared" si="31"/>
        <v>1243.3500000000001</v>
      </c>
      <c r="M87" s="297">
        <f t="shared" si="26"/>
        <v>0</v>
      </c>
      <c r="N87" s="297">
        <f t="shared" si="27"/>
        <v>4098.45</v>
      </c>
      <c r="O87" s="292">
        <f t="shared" si="42"/>
        <v>-4.45</v>
      </c>
      <c r="P87" s="290">
        <f t="shared" si="28"/>
        <v>-4098.45</v>
      </c>
      <c r="Q87" s="292"/>
      <c r="R87" s="290">
        <f t="shared" si="39"/>
        <v>0</v>
      </c>
      <c r="S87" s="290">
        <f t="shared" si="33"/>
        <v>-4098.45</v>
      </c>
      <c r="T87" s="290">
        <f t="shared" si="34"/>
        <v>4098.45</v>
      </c>
      <c r="U87" s="293"/>
      <c r="V87" s="294">
        <v>-33.978021347823287</v>
      </c>
      <c r="W87" s="299"/>
    </row>
    <row r="88" spans="1:23">
      <c r="A88" s="288">
        <v>81</v>
      </c>
      <c r="B88" s="289" t="s">
        <v>46</v>
      </c>
      <c r="C88" s="290" t="s">
        <v>1035</v>
      </c>
      <c r="D88" s="290" t="s">
        <v>967</v>
      </c>
      <c r="E88" s="290" t="s">
        <v>915</v>
      </c>
      <c r="F88" s="290">
        <f t="shared" si="35"/>
        <v>6674.4</v>
      </c>
      <c r="G88" s="333">
        <v>0.88</v>
      </c>
      <c r="H88" s="290">
        <f t="shared" si="25"/>
        <v>815.76</v>
      </c>
      <c r="I88" s="291"/>
      <c r="J88" s="291">
        <f t="shared" si="29"/>
        <v>0</v>
      </c>
      <c r="K88" s="296">
        <f t="shared" si="30"/>
        <v>0.88</v>
      </c>
      <c r="L88" s="291">
        <f t="shared" si="31"/>
        <v>815.76</v>
      </c>
      <c r="M88" s="297">
        <f t="shared" si="26"/>
        <v>0</v>
      </c>
      <c r="N88" s="297">
        <f t="shared" si="27"/>
        <v>5858.6399999999994</v>
      </c>
      <c r="O88" s="292">
        <f t="shared" si="42"/>
        <v>-6.32</v>
      </c>
      <c r="P88" s="290">
        <f t="shared" si="28"/>
        <v>-5858.64</v>
      </c>
      <c r="Q88" s="292">
        <f t="shared" ref="Q88:Q89" si="44">ROUND(E88-K88,2)</f>
        <v>6.32</v>
      </c>
      <c r="R88" s="290">
        <f t="shared" si="39"/>
        <v>5858.64</v>
      </c>
      <c r="S88" s="290">
        <f t="shared" si="33"/>
        <v>-5858.64</v>
      </c>
      <c r="T88" s="290">
        <f t="shared" si="34"/>
        <v>0</v>
      </c>
      <c r="U88" s="293"/>
      <c r="V88" s="294">
        <v>-33.920233809744445</v>
      </c>
      <c r="W88" s="299"/>
    </row>
    <row r="89" spans="1:23">
      <c r="A89" s="288">
        <v>82</v>
      </c>
      <c r="B89" s="289" t="s">
        <v>44</v>
      </c>
      <c r="C89" s="290" t="s">
        <v>1036</v>
      </c>
      <c r="D89" s="290" t="s">
        <v>967</v>
      </c>
      <c r="E89" s="290" t="s">
        <v>914</v>
      </c>
      <c r="F89" s="290">
        <f t="shared" si="35"/>
        <v>5405.6</v>
      </c>
      <c r="G89" s="333"/>
      <c r="H89" s="290">
        <f t="shared" si="25"/>
        <v>0</v>
      </c>
      <c r="I89" s="291"/>
      <c r="J89" s="291">
        <f t="shared" si="29"/>
        <v>0</v>
      </c>
      <c r="K89" s="296">
        <f t="shared" si="30"/>
        <v>0</v>
      </c>
      <c r="L89" s="291">
        <f t="shared" si="31"/>
        <v>0</v>
      </c>
      <c r="M89" s="297">
        <f t="shared" si="26"/>
        <v>0</v>
      </c>
      <c r="N89" s="297">
        <f t="shared" si="27"/>
        <v>5405.6</v>
      </c>
      <c r="O89" s="292">
        <f t="shared" si="42"/>
        <v>-5.8</v>
      </c>
      <c r="P89" s="290">
        <f t="shared" si="28"/>
        <v>-5405.6</v>
      </c>
      <c r="Q89" s="292">
        <f t="shared" si="44"/>
        <v>5.8</v>
      </c>
      <c r="R89" s="290">
        <f t="shared" si="39"/>
        <v>5405.6</v>
      </c>
      <c r="S89" s="290">
        <f t="shared" si="33"/>
        <v>-5405.6</v>
      </c>
      <c r="T89" s="290">
        <f t="shared" si="34"/>
        <v>0</v>
      </c>
      <c r="U89" s="293"/>
      <c r="V89" s="294">
        <v>-33.933976508283067</v>
      </c>
      <c r="W89" s="299"/>
    </row>
    <row r="90" spans="1:23" ht="108.75">
      <c r="A90" s="290">
        <v>83</v>
      </c>
      <c r="B90" s="289" t="s">
        <v>754</v>
      </c>
      <c r="C90" s="290" t="s">
        <v>1037</v>
      </c>
      <c r="D90" s="290" t="s">
        <v>967</v>
      </c>
      <c r="E90" s="290" t="s">
        <v>916</v>
      </c>
      <c r="F90" s="290">
        <f t="shared" si="35"/>
        <v>3658.6</v>
      </c>
      <c r="G90" s="337"/>
      <c r="H90" s="290">
        <f t="shared" si="25"/>
        <v>0</v>
      </c>
      <c r="I90" s="291">
        <f>'DETAILED (2)'!I1699</f>
        <v>7.2</v>
      </c>
      <c r="J90" s="291">
        <f t="shared" si="29"/>
        <v>11973.6</v>
      </c>
      <c r="K90" s="296">
        <f t="shared" si="30"/>
        <v>7.2</v>
      </c>
      <c r="L90" s="291">
        <f t="shared" si="31"/>
        <v>11973.6</v>
      </c>
      <c r="M90" s="297">
        <f t="shared" si="26"/>
        <v>8315</v>
      </c>
      <c r="N90" s="297">
        <f t="shared" si="27"/>
        <v>0</v>
      </c>
      <c r="O90" s="292">
        <f t="shared" si="42"/>
        <v>5</v>
      </c>
      <c r="P90" s="290">
        <f t="shared" si="28"/>
        <v>8315</v>
      </c>
      <c r="Q90" s="292"/>
      <c r="R90" s="290"/>
      <c r="S90" s="290">
        <f t="shared" si="33"/>
        <v>0</v>
      </c>
      <c r="T90" s="290">
        <f t="shared" si="34"/>
        <v>0</v>
      </c>
      <c r="U90" s="293"/>
      <c r="V90" s="294">
        <v>-34.451429810212652</v>
      </c>
      <c r="W90" s="299"/>
    </row>
    <row r="91" spans="1:23" ht="108.75">
      <c r="A91" s="288">
        <v>84</v>
      </c>
      <c r="B91" s="289" t="s">
        <v>755</v>
      </c>
      <c r="C91" s="290" t="s">
        <v>1038</v>
      </c>
      <c r="D91" s="290" t="s">
        <v>63</v>
      </c>
      <c r="E91" s="290" t="s">
        <v>917</v>
      </c>
      <c r="F91" s="290">
        <f t="shared" si="35"/>
        <v>162185.4</v>
      </c>
      <c r="G91" s="337">
        <f>'Ex 2'!I92</f>
        <v>170.98</v>
      </c>
      <c r="H91" s="290">
        <f t="shared" si="25"/>
        <v>81728.44</v>
      </c>
      <c r="I91" s="291">
        <f>'DETAILED (2)'!I996</f>
        <v>144.84</v>
      </c>
      <c r="J91" s="291">
        <f t="shared" si="29"/>
        <v>69233.52</v>
      </c>
      <c r="K91" s="296">
        <f t="shared" si="30"/>
        <v>315.82</v>
      </c>
      <c r="L91" s="291">
        <f t="shared" si="31"/>
        <v>150961.96</v>
      </c>
      <c r="M91" s="297">
        <f t="shared" si="26"/>
        <v>0</v>
      </c>
      <c r="N91" s="297">
        <f t="shared" si="27"/>
        <v>11223.440000000002</v>
      </c>
      <c r="O91" s="292">
        <f t="shared" si="42"/>
        <v>-23.48</v>
      </c>
      <c r="P91" s="290">
        <f t="shared" si="28"/>
        <v>-11223.44</v>
      </c>
      <c r="Q91" s="292"/>
      <c r="R91" s="290"/>
      <c r="S91" s="290">
        <f t="shared" si="33"/>
        <v>-11223.44</v>
      </c>
      <c r="T91" s="290">
        <f t="shared" si="34"/>
        <v>11223.440000000002</v>
      </c>
      <c r="U91" s="293"/>
      <c r="V91" s="294">
        <v>-33.870119808527718</v>
      </c>
      <c r="W91" s="299"/>
    </row>
    <row r="92" spans="1:23" ht="87">
      <c r="A92" s="288">
        <v>85</v>
      </c>
      <c r="B92" s="289" t="s">
        <v>47</v>
      </c>
      <c r="C92" s="290" t="s">
        <v>1039</v>
      </c>
      <c r="D92" s="290" t="s">
        <v>63</v>
      </c>
      <c r="E92" s="290" t="s">
        <v>918</v>
      </c>
      <c r="F92" s="290">
        <f t="shared" si="35"/>
        <v>555706.19999999995</v>
      </c>
      <c r="G92" s="337">
        <v>932.41</v>
      </c>
      <c r="H92" s="290">
        <f t="shared" si="25"/>
        <v>506298.63</v>
      </c>
      <c r="I92" s="291">
        <f>'DETAILED (2)'!I1050</f>
        <v>66.58</v>
      </c>
      <c r="J92" s="291">
        <f t="shared" si="29"/>
        <v>36152.94</v>
      </c>
      <c r="K92" s="296">
        <f t="shared" si="30"/>
        <v>998.99</v>
      </c>
      <c r="L92" s="291">
        <f t="shared" si="31"/>
        <v>542451.56999999995</v>
      </c>
      <c r="M92" s="297">
        <f t="shared" si="26"/>
        <v>0</v>
      </c>
      <c r="N92" s="297">
        <f t="shared" si="27"/>
        <v>13254.630000000005</v>
      </c>
      <c r="O92" s="292">
        <f t="shared" si="42"/>
        <v>-24.41</v>
      </c>
      <c r="P92" s="290">
        <f t="shared" si="28"/>
        <v>-13254.63</v>
      </c>
      <c r="Q92" s="292"/>
      <c r="R92" s="290"/>
      <c r="S92" s="290">
        <f t="shared" si="33"/>
        <v>-13254.63</v>
      </c>
      <c r="T92" s="290">
        <f t="shared" si="34"/>
        <v>13254.630000000005</v>
      </c>
      <c r="U92" s="293"/>
      <c r="V92" s="294">
        <v>-33.287465906577886</v>
      </c>
      <c r="W92" s="299"/>
    </row>
    <row r="93" spans="1:23" ht="43.5">
      <c r="A93" s="288">
        <v>86</v>
      </c>
      <c r="B93" s="289" t="s">
        <v>48</v>
      </c>
      <c r="C93" s="290" t="s">
        <v>1040</v>
      </c>
      <c r="D93" s="290" t="s">
        <v>63</v>
      </c>
      <c r="E93" s="290" t="s">
        <v>919</v>
      </c>
      <c r="F93" s="290">
        <f t="shared" si="35"/>
        <v>322896</v>
      </c>
      <c r="G93" s="337">
        <v>403.07</v>
      </c>
      <c r="H93" s="290">
        <f t="shared" si="25"/>
        <v>262398.57</v>
      </c>
      <c r="I93" s="291">
        <f>'DETAILED (2)'!I1066</f>
        <v>142.35000000000005</v>
      </c>
      <c r="J93" s="291">
        <f t="shared" si="29"/>
        <v>92669.850000000035</v>
      </c>
      <c r="K93" s="296">
        <f t="shared" si="30"/>
        <v>545.42000000000007</v>
      </c>
      <c r="L93" s="291">
        <f t="shared" si="31"/>
        <v>355068.42000000004</v>
      </c>
      <c r="M93" s="297">
        <f t="shared" si="26"/>
        <v>32172.420000000042</v>
      </c>
      <c r="N93" s="297">
        <f t="shared" si="27"/>
        <v>0</v>
      </c>
      <c r="O93" s="292"/>
      <c r="P93" s="290">
        <f t="shared" si="28"/>
        <v>0</v>
      </c>
      <c r="Q93" s="292">
        <f t="shared" ref="Q93:Q106" si="45">ROUND(E93-K93,2)</f>
        <v>-49.42</v>
      </c>
      <c r="R93" s="290">
        <f t="shared" ref="R93:R106" si="46">ROUND(C93*Q93,2)</f>
        <v>-32172.42</v>
      </c>
      <c r="S93" s="290">
        <f t="shared" si="33"/>
        <v>-32172.420000000042</v>
      </c>
      <c r="T93" s="290">
        <f t="shared" si="34"/>
        <v>32172.42</v>
      </c>
      <c r="U93" s="293"/>
      <c r="V93" s="294">
        <v>-33.349031974035817</v>
      </c>
      <c r="W93" s="299"/>
    </row>
    <row r="94" spans="1:23">
      <c r="A94" s="288">
        <v>87</v>
      </c>
      <c r="B94" s="289" t="s">
        <v>49</v>
      </c>
      <c r="C94" s="290" t="s">
        <v>1041</v>
      </c>
      <c r="D94" s="290" t="s">
        <v>63</v>
      </c>
      <c r="E94" s="290" t="s">
        <v>920</v>
      </c>
      <c r="F94" s="290">
        <f t="shared" si="35"/>
        <v>16596.599999999999</v>
      </c>
      <c r="G94" s="337">
        <f>'Ex 2'!I95</f>
        <v>28.42</v>
      </c>
      <c r="H94" s="290">
        <f t="shared" si="25"/>
        <v>16966.740000000002</v>
      </c>
      <c r="I94" s="291">
        <f>'DETAILED (2)'!I1074</f>
        <v>236.59</v>
      </c>
      <c r="J94" s="291">
        <f t="shared" si="29"/>
        <v>141244.23000000001</v>
      </c>
      <c r="K94" s="296">
        <f t="shared" si="30"/>
        <v>265.01</v>
      </c>
      <c r="L94" s="291">
        <f t="shared" si="31"/>
        <v>158210.97</v>
      </c>
      <c r="M94" s="297">
        <f t="shared" si="26"/>
        <v>141614.37</v>
      </c>
      <c r="N94" s="297">
        <f t="shared" si="27"/>
        <v>0</v>
      </c>
      <c r="O94" s="292"/>
      <c r="P94" s="290">
        <f t="shared" si="28"/>
        <v>0</v>
      </c>
      <c r="Q94" s="292">
        <f t="shared" si="45"/>
        <v>-237.21</v>
      </c>
      <c r="R94" s="290">
        <f t="shared" si="46"/>
        <v>-141614.37</v>
      </c>
      <c r="S94" s="290">
        <f t="shared" si="33"/>
        <v>-141614.37</v>
      </c>
      <c r="T94" s="290">
        <f t="shared" si="34"/>
        <v>141614.37</v>
      </c>
      <c r="U94" s="293"/>
      <c r="V94" s="294">
        <v>-33.320675058358376</v>
      </c>
      <c r="W94" s="299"/>
    </row>
    <row r="95" spans="1:23">
      <c r="A95" s="288">
        <v>88</v>
      </c>
      <c r="B95" s="289" t="s">
        <v>756</v>
      </c>
      <c r="C95" s="290" t="s">
        <v>1042</v>
      </c>
      <c r="D95" s="290" t="s">
        <v>63</v>
      </c>
      <c r="E95" s="290" t="s">
        <v>921</v>
      </c>
      <c r="F95" s="290">
        <f t="shared" si="35"/>
        <v>59910.400000000001</v>
      </c>
      <c r="G95" s="333">
        <f>'Ex 2'!I96</f>
        <v>63.24</v>
      </c>
      <c r="H95" s="290">
        <f t="shared" si="25"/>
        <v>51477.36</v>
      </c>
      <c r="I95" s="291"/>
      <c r="J95" s="291">
        <f t="shared" si="29"/>
        <v>0</v>
      </c>
      <c r="K95" s="296">
        <f t="shared" si="30"/>
        <v>63.24</v>
      </c>
      <c r="L95" s="291">
        <f t="shared" si="31"/>
        <v>51477.36</v>
      </c>
      <c r="M95" s="297">
        <f t="shared" si="26"/>
        <v>0</v>
      </c>
      <c r="N95" s="297">
        <f t="shared" si="27"/>
        <v>8433.0400000000009</v>
      </c>
      <c r="O95" s="292"/>
      <c r="P95" s="290">
        <f t="shared" si="28"/>
        <v>0</v>
      </c>
      <c r="Q95" s="292">
        <f t="shared" si="45"/>
        <v>10.36</v>
      </c>
      <c r="R95" s="290">
        <f t="shared" si="46"/>
        <v>8433.0400000000009</v>
      </c>
      <c r="S95" s="290">
        <f t="shared" si="33"/>
        <v>0</v>
      </c>
      <c r="T95" s="290">
        <f t="shared" si="34"/>
        <v>0</v>
      </c>
      <c r="U95" s="293"/>
      <c r="V95" s="294">
        <v>-33.328418966180969</v>
      </c>
      <c r="W95" s="299"/>
    </row>
    <row r="96" spans="1:23" ht="65.25">
      <c r="A96" s="288">
        <v>89</v>
      </c>
      <c r="B96" s="289" t="s">
        <v>757</v>
      </c>
      <c r="C96" s="290" t="s">
        <v>1043</v>
      </c>
      <c r="D96" s="290" t="s">
        <v>63</v>
      </c>
      <c r="E96" s="290" t="s">
        <v>922</v>
      </c>
      <c r="F96" s="290">
        <f t="shared" si="35"/>
        <v>39394.400000000001</v>
      </c>
      <c r="G96" s="333"/>
      <c r="H96" s="290">
        <f t="shared" si="25"/>
        <v>0</v>
      </c>
      <c r="I96" s="291">
        <f>'DETAILED (2)'!I1080</f>
        <v>19.36</v>
      </c>
      <c r="J96" s="291">
        <f t="shared" si="29"/>
        <v>41449.760000000002</v>
      </c>
      <c r="K96" s="296">
        <f t="shared" si="30"/>
        <v>19.36</v>
      </c>
      <c r="L96" s="291">
        <f t="shared" si="31"/>
        <v>41449.760000000002</v>
      </c>
      <c r="M96" s="297">
        <f t="shared" si="26"/>
        <v>2055.3600000000006</v>
      </c>
      <c r="N96" s="297">
        <f t="shared" si="27"/>
        <v>0</v>
      </c>
      <c r="O96" s="292"/>
      <c r="P96" s="290">
        <f t="shared" si="28"/>
        <v>0</v>
      </c>
      <c r="Q96" s="292">
        <f t="shared" si="45"/>
        <v>-0.96</v>
      </c>
      <c r="R96" s="290">
        <f t="shared" si="46"/>
        <v>-2055.36</v>
      </c>
      <c r="S96" s="290">
        <f t="shared" si="33"/>
        <v>-2055.3600000000006</v>
      </c>
      <c r="T96" s="290">
        <f t="shared" si="34"/>
        <v>2055.36</v>
      </c>
      <c r="U96" s="293"/>
      <c r="V96" s="294">
        <v>-24.292786421499294</v>
      </c>
      <c r="W96" s="299"/>
    </row>
    <row r="97" spans="1:23" ht="108.75">
      <c r="A97" s="288">
        <v>90</v>
      </c>
      <c r="B97" s="289" t="s">
        <v>758</v>
      </c>
      <c r="C97" s="290" t="s">
        <v>1044</v>
      </c>
      <c r="D97" s="290" t="s">
        <v>64</v>
      </c>
      <c r="E97" s="290" t="s">
        <v>923</v>
      </c>
      <c r="F97" s="290">
        <f t="shared" si="35"/>
        <v>4776</v>
      </c>
      <c r="G97" s="333" t="str">
        <f>'Ex 2'!I98</f>
        <v>3.00</v>
      </c>
      <c r="H97" s="290">
        <f t="shared" si="25"/>
        <v>4776</v>
      </c>
      <c r="I97" s="291"/>
      <c r="J97" s="291">
        <f t="shared" si="29"/>
        <v>0</v>
      </c>
      <c r="K97" s="296">
        <f t="shared" si="30"/>
        <v>3</v>
      </c>
      <c r="L97" s="291">
        <f t="shared" si="31"/>
        <v>4776</v>
      </c>
      <c r="M97" s="297">
        <f t="shared" si="26"/>
        <v>0</v>
      </c>
      <c r="N97" s="297">
        <f t="shared" si="27"/>
        <v>0</v>
      </c>
      <c r="O97" s="292"/>
      <c r="P97" s="290">
        <f t="shared" si="28"/>
        <v>0</v>
      </c>
      <c r="Q97" s="292">
        <f t="shared" si="45"/>
        <v>0</v>
      </c>
      <c r="R97" s="290">
        <f t="shared" si="46"/>
        <v>0</v>
      </c>
      <c r="S97" s="290">
        <f t="shared" si="33"/>
        <v>0</v>
      </c>
      <c r="T97" s="290">
        <f t="shared" si="34"/>
        <v>0</v>
      </c>
      <c r="U97" s="293"/>
      <c r="V97" s="294">
        <v>-32.176817422719068</v>
      </c>
      <c r="W97" s="299"/>
    </row>
    <row r="98" spans="1:23">
      <c r="A98" s="288">
        <v>91</v>
      </c>
      <c r="B98" s="289" t="s">
        <v>759</v>
      </c>
      <c r="C98" s="290" t="s">
        <v>1045</v>
      </c>
      <c r="D98" s="290" t="s">
        <v>64</v>
      </c>
      <c r="E98" s="290" t="s">
        <v>924</v>
      </c>
      <c r="F98" s="290">
        <f t="shared" si="35"/>
        <v>27285</v>
      </c>
      <c r="G98" s="333">
        <f>'Ex 2'!I99</f>
        <v>14</v>
      </c>
      <c r="H98" s="290">
        <f t="shared" si="25"/>
        <v>22470</v>
      </c>
      <c r="I98" s="291"/>
      <c r="J98" s="291">
        <f t="shared" si="29"/>
        <v>0</v>
      </c>
      <c r="K98" s="296">
        <f t="shared" si="30"/>
        <v>14</v>
      </c>
      <c r="L98" s="291">
        <f t="shared" si="31"/>
        <v>22470</v>
      </c>
      <c r="M98" s="297">
        <f t="shared" si="26"/>
        <v>0</v>
      </c>
      <c r="N98" s="297">
        <f t="shared" si="27"/>
        <v>4815</v>
      </c>
      <c r="O98" s="292"/>
      <c r="P98" s="290">
        <f t="shared" si="28"/>
        <v>0</v>
      </c>
      <c r="Q98" s="292">
        <f t="shared" si="45"/>
        <v>3</v>
      </c>
      <c r="R98" s="290">
        <f t="shared" si="46"/>
        <v>4815</v>
      </c>
      <c r="S98" s="290">
        <f t="shared" si="33"/>
        <v>0</v>
      </c>
      <c r="T98" s="290">
        <f t="shared" si="34"/>
        <v>0</v>
      </c>
      <c r="U98" s="293"/>
      <c r="V98" s="294">
        <v>-32.135880457670545</v>
      </c>
      <c r="W98" s="299"/>
    </row>
    <row r="99" spans="1:23" ht="108.75">
      <c r="A99" s="288">
        <v>92</v>
      </c>
      <c r="B99" s="289" t="s">
        <v>760</v>
      </c>
      <c r="C99" s="290" t="s">
        <v>1046</v>
      </c>
      <c r="D99" s="290" t="s">
        <v>63</v>
      </c>
      <c r="E99" s="290" t="s">
        <v>920</v>
      </c>
      <c r="F99" s="290">
        <f t="shared" si="35"/>
        <v>80508.800000000003</v>
      </c>
      <c r="G99" s="333"/>
      <c r="H99" s="290">
        <f t="shared" si="25"/>
        <v>0</v>
      </c>
      <c r="I99" s="291">
        <f>'DETAILED (2)'!I1089</f>
        <v>22.06</v>
      </c>
      <c r="J99" s="291">
        <f t="shared" si="29"/>
        <v>63885.759999999995</v>
      </c>
      <c r="K99" s="296">
        <f t="shared" si="30"/>
        <v>22.06</v>
      </c>
      <c r="L99" s="291">
        <f t="shared" si="31"/>
        <v>63885.759999999995</v>
      </c>
      <c r="M99" s="297">
        <f t="shared" si="26"/>
        <v>0</v>
      </c>
      <c r="N99" s="297">
        <f t="shared" si="27"/>
        <v>16623.040000000008</v>
      </c>
      <c r="O99" s="292"/>
      <c r="P99" s="290">
        <f t="shared" si="28"/>
        <v>0</v>
      </c>
      <c r="Q99" s="292">
        <f t="shared" si="45"/>
        <v>5.74</v>
      </c>
      <c r="R99" s="290">
        <f t="shared" si="46"/>
        <v>16623.04</v>
      </c>
      <c r="S99" s="290">
        <f t="shared" si="33"/>
        <v>0</v>
      </c>
      <c r="T99" s="290">
        <f t="shared" si="34"/>
        <v>0</v>
      </c>
      <c r="U99" s="293"/>
      <c r="V99" s="294">
        <v>-26.981165376566395</v>
      </c>
      <c r="W99" s="299"/>
    </row>
    <row r="100" spans="1:23" ht="108.75">
      <c r="A100" s="288">
        <v>93</v>
      </c>
      <c r="B100" s="289" t="s">
        <v>761</v>
      </c>
      <c r="C100" s="290" t="s">
        <v>1047</v>
      </c>
      <c r="D100" s="290" t="s">
        <v>63</v>
      </c>
      <c r="E100" s="290" t="s">
        <v>925</v>
      </c>
      <c r="F100" s="290">
        <f t="shared" si="35"/>
        <v>35015.4</v>
      </c>
      <c r="G100" s="333"/>
      <c r="H100" s="290">
        <f t="shared" si="25"/>
        <v>0</v>
      </c>
      <c r="I100" s="291">
        <f>'DETAILED (2)'!I1093</f>
        <v>13.02</v>
      </c>
      <c r="J100" s="291">
        <f t="shared" si="29"/>
        <v>36182.58</v>
      </c>
      <c r="K100" s="296">
        <f t="shared" si="30"/>
        <v>13.02</v>
      </c>
      <c r="L100" s="291">
        <f t="shared" si="31"/>
        <v>36182.58</v>
      </c>
      <c r="M100" s="297">
        <f t="shared" si="26"/>
        <v>1167.1800000000003</v>
      </c>
      <c r="N100" s="297">
        <f t="shared" si="27"/>
        <v>0</v>
      </c>
      <c r="O100" s="292"/>
      <c r="P100" s="290">
        <f t="shared" si="28"/>
        <v>0</v>
      </c>
      <c r="Q100" s="292">
        <f t="shared" si="45"/>
        <v>-0.42</v>
      </c>
      <c r="R100" s="290">
        <f t="shared" si="46"/>
        <v>-1167.18</v>
      </c>
      <c r="S100" s="290">
        <f t="shared" si="33"/>
        <v>-1167.1800000000003</v>
      </c>
      <c r="T100" s="290">
        <f t="shared" si="34"/>
        <v>1167.18</v>
      </c>
      <c r="U100" s="293"/>
      <c r="V100" s="294">
        <v>-23.559765865680838</v>
      </c>
      <c r="W100" s="299"/>
    </row>
    <row r="101" spans="1:23" ht="87">
      <c r="A101" s="288">
        <v>94</v>
      </c>
      <c r="B101" s="289" t="s">
        <v>762</v>
      </c>
      <c r="C101" s="290" t="s">
        <v>1048</v>
      </c>
      <c r="D101" s="290" t="s">
        <v>63</v>
      </c>
      <c r="E101" s="290" t="s">
        <v>926</v>
      </c>
      <c r="F101" s="290">
        <f t="shared" si="35"/>
        <v>73625</v>
      </c>
      <c r="G101" s="333"/>
      <c r="H101" s="290">
        <f t="shared" si="25"/>
        <v>0</v>
      </c>
      <c r="I101" s="291">
        <f>'DETAILED (2)'!I1106</f>
        <v>25.84</v>
      </c>
      <c r="J101" s="291">
        <f t="shared" si="29"/>
        <v>61370</v>
      </c>
      <c r="K101" s="296">
        <f t="shared" si="30"/>
        <v>25.84</v>
      </c>
      <c r="L101" s="291">
        <f t="shared" si="31"/>
        <v>61370</v>
      </c>
      <c r="M101" s="297">
        <f t="shared" si="26"/>
        <v>0</v>
      </c>
      <c r="N101" s="297">
        <f t="shared" si="27"/>
        <v>12255</v>
      </c>
      <c r="O101" s="292"/>
      <c r="P101" s="290">
        <f t="shared" si="28"/>
        <v>0</v>
      </c>
      <c r="Q101" s="292">
        <f t="shared" si="45"/>
        <v>5.16</v>
      </c>
      <c r="R101" s="290">
        <f t="shared" si="46"/>
        <v>12255</v>
      </c>
      <c r="S101" s="290">
        <f t="shared" si="33"/>
        <v>0</v>
      </c>
      <c r="T101" s="290">
        <f t="shared" si="34"/>
        <v>0</v>
      </c>
      <c r="U101" s="293"/>
      <c r="V101" s="294">
        <v>-26.8593883289141</v>
      </c>
      <c r="W101" s="299"/>
    </row>
    <row r="102" spans="1:23">
      <c r="A102" s="288">
        <v>95</v>
      </c>
      <c r="B102" s="289" t="s">
        <v>763</v>
      </c>
      <c r="C102" s="290" t="s">
        <v>1049</v>
      </c>
      <c r="D102" s="290" t="s">
        <v>63</v>
      </c>
      <c r="E102" s="290" t="s">
        <v>927</v>
      </c>
      <c r="F102" s="290">
        <f t="shared" si="35"/>
        <v>12058.9</v>
      </c>
      <c r="G102" s="333"/>
      <c r="H102" s="290">
        <f t="shared" si="25"/>
        <v>0</v>
      </c>
      <c r="I102" s="291">
        <f>'DETAILED (2)'!I1099</f>
        <v>4.92</v>
      </c>
      <c r="J102" s="291">
        <f t="shared" si="29"/>
        <v>12108.119999999999</v>
      </c>
      <c r="K102" s="296">
        <f t="shared" si="30"/>
        <v>4.92</v>
      </c>
      <c r="L102" s="291">
        <f t="shared" si="31"/>
        <v>12108.119999999999</v>
      </c>
      <c r="M102" s="297">
        <f t="shared" si="26"/>
        <v>49.219999999999345</v>
      </c>
      <c r="N102" s="297">
        <f t="shared" si="27"/>
        <v>0</v>
      </c>
      <c r="O102" s="292"/>
      <c r="P102" s="290">
        <f t="shared" si="28"/>
        <v>0</v>
      </c>
      <c r="Q102" s="292">
        <f t="shared" si="45"/>
        <v>-0.02</v>
      </c>
      <c r="R102" s="290">
        <f t="shared" si="46"/>
        <v>-49.22</v>
      </c>
      <c r="S102" s="290">
        <f t="shared" si="33"/>
        <v>-49.219999999999345</v>
      </c>
      <c r="T102" s="290">
        <f t="shared" si="34"/>
        <v>49.22</v>
      </c>
      <c r="U102" s="293"/>
      <c r="V102" s="294">
        <v>-26.755516401883344</v>
      </c>
      <c r="W102" s="299"/>
    </row>
    <row r="103" spans="1:23" ht="65.25">
      <c r="A103" s="288">
        <v>96</v>
      </c>
      <c r="B103" s="289" t="s">
        <v>764</v>
      </c>
      <c r="C103" s="290" t="s">
        <v>1050</v>
      </c>
      <c r="D103" s="290" t="s">
        <v>63</v>
      </c>
      <c r="E103" s="290" t="s">
        <v>928</v>
      </c>
      <c r="F103" s="290">
        <f t="shared" si="35"/>
        <v>30303</v>
      </c>
      <c r="G103" s="333"/>
      <c r="H103" s="290">
        <f t="shared" si="25"/>
        <v>0</v>
      </c>
      <c r="I103" s="291"/>
      <c r="J103" s="291">
        <f t="shared" si="29"/>
        <v>0</v>
      </c>
      <c r="K103" s="296">
        <f t="shared" si="30"/>
        <v>0</v>
      </c>
      <c r="L103" s="291">
        <f t="shared" si="31"/>
        <v>0</v>
      </c>
      <c r="M103" s="297">
        <f t="shared" si="26"/>
        <v>0</v>
      </c>
      <c r="N103" s="297">
        <f t="shared" si="27"/>
        <v>30303</v>
      </c>
      <c r="O103" s="292"/>
      <c r="P103" s="290">
        <f t="shared" si="28"/>
        <v>0</v>
      </c>
      <c r="Q103" s="292">
        <f t="shared" si="45"/>
        <v>58.5</v>
      </c>
      <c r="R103" s="290">
        <f t="shared" si="46"/>
        <v>30303</v>
      </c>
      <c r="S103" s="290">
        <f t="shared" si="33"/>
        <v>0</v>
      </c>
      <c r="T103" s="290">
        <f t="shared" si="34"/>
        <v>0</v>
      </c>
      <c r="U103" s="293"/>
      <c r="V103" s="294">
        <v>-26.503972758229281</v>
      </c>
      <c r="W103" s="299"/>
    </row>
    <row r="104" spans="1:23" ht="65.25">
      <c r="A104" s="288">
        <v>97</v>
      </c>
      <c r="B104" s="289" t="s">
        <v>765</v>
      </c>
      <c r="C104" s="290" t="s">
        <v>1051</v>
      </c>
      <c r="D104" s="290" t="s">
        <v>64</v>
      </c>
      <c r="E104" s="290" t="s">
        <v>895</v>
      </c>
      <c r="F104" s="290">
        <f t="shared" si="35"/>
        <v>5706</v>
      </c>
      <c r="G104" s="333"/>
      <c r="H104" s="290">
        <f t="shared" si="25"/>
        <v>0</v>
      </c>
      <c r="I104" s="291">
        <f>'DETAILED (2)'!I1110</f>
        <v>2</v>
      </c>
      <c r="J104" s="291">
        <f t="shared" si="29"/>
        <v>11412</v>
      </c>
      <c r="K104" s="296">
        <f t="shared" si="30"/>
        <v>2</v>
      </c>
      <c r="L104" s="291">
        <f t="shared" si="31"/>
        <v>11412</v>
      </c>
      <c r="M104" s="297">
        <f t="shared" si="26"/>
        <v>5706</v>
      </c>
      <c r="N104" s="297">
        <f t="shared" si="27"/>
        <v>0</v>
      </c>
      <c r="O104" s="292"/>
      <c r="P104" s="290">
        <f t="shared" si="28"/>
        <v>0</v>
      </c>
      <c r="Q104" s="292">
        <f t="shared" si="45"/>
        <v>-1</v>
      </c>
      <c r="R104" s="290">
        <f t="shared" si="46"/>
        <v>-5706</v>
      </c>
      <c r="S104" s="290">
        <f t="shared" si="33"/>
        <v>-5706</v>
      </c>
      <c r="T104" s="290">
        <f t="shared" si="34"/>
        <v>5706</v>
      </c>
      <c r="U104" s="293"/>
      <c r="V104" s="294">
        <v>-23.549981912456285</v>
      </c>
      <c r="W104" s="299"/>
    </row>
    <row r="105" spans="1:23" ht="87">
      <c r="A105" s="288">
        <v>98</v>
      </c>
      <c r="B105" s="289" t="s">
        <v>766</v>
      </c>
      <c r="C105" s="290" t="s">
        <v>1052</v>
      </c>
      <c r="D105" s="290" t="s">
        <v>63</v>
      </c>
      <c r="E105" s="290" t="s">
        <v>929</v>
      </c>
      <c r="F105" s="290">
        <f t="shared" si="35"/>
        <v>2305.8000000000002</v>
      </c>
      <c r="G105" s="333"/>
      <c r="H105" s="290">
        <f t="shared" si="25"/>
        <v>0</v>
      </c>
      <c r="I105" s="291">
        <f>'DETAILED (2)'!I1115</f>
        <v>0.81</v>
      </c>
      <c r="J105" s="291">
        <f t="shared" si="29"/>
        <v>2075.2200000000003</v>
      </c>
      <c r="K105" s="296">
        <f t="shared" si="30"/>
        <v>0.81</v>
      </c>
      <c r="L105" s="291">
        <f t="shared" si="31"/>
        <v>2075.2200000000003</v>
      </c>
      <c r="M105" s="297">
        <f t="shared" si="26"/>
        <v>0</v>
      </c>
      <c r="N105" s="297">
        <f t="shared" si="27"/>
        <v>230.57999999999993</v>
      </c>
      <c r="O105" s="292"/>
      <c r="P105" s="290">
        <f t="shared" si="28"/>
        <v>0</v>
      </c>
      <c r="Q105" s="292">
        <f t="shared" si="45"/>
        <v>0.09</v>
      </c>
      <c r="R105" s="290">
        <f t="shared" si="46"/>
        <v>230.58</v>
      </c>
      <c r="S105" s="290">
        <f t="shared" si="33"/>
        <v>0</v>
      </c>
      <c r="T105" s="290">
        <f t="shared" si="34"/>
        <v>0</v>
      </c>
      <c r="U105" s="293"/>
      <c r="V105" s="294">
        <v>-23.557984938357063</v>
      </c>
      <c r="W105" s="299"/>
    </row>
    <row r="106" spans="1:23" ht="43.5">
      <c r="A106" s="288">
        <v>99</v>
      </c>
      <c r="B106" s="289" t="s">
        <v>767</v>
      </c>
      <c r="C106" s="290" t="s">
        <v>1031</v>
      </c>
      <c r="D106" s="290" t="s">
        <v>63</v>
      </c>
      <c r="E106" s="290" t="s">
        <v>930</v>
      </c>
      <c r="F106" s="290">
        <f t="shared" si="35"/>
        <v>87210.8</v>
      </c>
      <c r="G106" s="333"/>
      <c r="H106" s="290">
        <f t="shared" si="25"/>
        <v>0</v>
      </c>
      <c r="I106" s="291">
        <f>'DETAILED (2)'!I1147</f>
        <v>115.35999999999997</v>
      </c>
      <c r="J106" s="291">
        <f t="shared" si="29"/>
        <v>95633.439999999973</v>
      </c>
      <c r="K106" s="296">
        <f t="shared" si="30"/>
        <v>115.35999999999997</v>
      </c>
      <c r="L106" s="291">
        <f t="shared" si="31"/>
        <v>95633.439999999973</v>
      </c>
      <c r="M106" s="297">
        <f t="shared" si="26"/>
        <v>8422.6399999999703</v>
      </c>
      <c r="N106" s="297">
        <f t="shared" si="27"/>
        <v>0</v>
      </c>
      <c r="O106" s="292"/>
      <c r="P106" s="290">
        <f t="shared" si="28"/>
        <v>0</v>
      </c>
      <c r="Q106" s="292">
        <f t="shared" si="45"/>
        <v>-10.16</v>
      </c>
      <c r="R106" s="290">
        <f t="shared" si="46"/>
        <v>-8422.64</v>
      </c>
      <c r="S106" s="290">
        <f t="shared" si="33"/>
        <v>-8422.6399999999703</v>
      </c>
      <c r="T106" s="290">
        <f t="shared" si="34"/>
        <v>8422.64</v>
      </c>
      <c r="U106" s="293"/>
      <c r="V106" s="294">
        <v>-30.897663524135808</v>
      </c>
      <c r="W106" s="299"/>
    </row>
    <row r="107" spans="1:23" ht="65.25">
      <c r="A107" s="288">
        <v>100</v>
      </c>
      <c r="B107" s="289" t="s">
        <v>768</v>
      </c>
      <c r="C107" s="290" t="s">
        <v>1053</v>
      </c>
      <c r="D107" s="290" t="s">
        <v>63</v>
      </c>
      <c r="E107" s="290" t="s">
        <v>931</v>
      </c>
      <c r="F107" s="290">
        <f t="shared" si="35"/>
        <v>19872</v>
      </c>
      <c r="G107" s="333"/>
      <c r="H107" s="290">
        <f t="shared" si="25"/>
        <v>0</v>
      </c>
      <c r="I107" s="291">
        <f>'DETAILED (2)'!I1173</f>
        <v>46.300000000000004</v>
      </c>
      <c r="J107" s="291">
        <f t="shared" si="29"/>
        <v>34076.800000000003</v>
      </c>
      <c r="K107" s="296">
        <f t="shared" si="30"/>
        <v>46.300000000000004</v>
      </c>
      <c r="L107" s="291">
        <f t="shared" si="31"/>
        <v>34076.800000000003</v>
      </c>
      <c r="M107" s="297">
        <f t="shared" si="26"/>
        <v>14204.800000000003</v>
      </c>
      <c r="N107" s="297">
        <f t="shared" si="27"/>
        <v>0</v>
      </c>
      <c r="O107" s="292">
        <f t="shared" ref="O107" si="47">ROUND(K107-E107,2)</f>
        <v>19.3</v>
      </c>
      <c r="P107" s="290">
        <f t="shared" si="28"/>
        <v>14204.8</v>
      </c>
      <c r="Q107" s="292"/>
      <c r="R107" s="290"/>
      <c r="S107" s="290">
        <f t="shared" si="33"/>
        <v>0</v>
      </c>
      <c r="T107" s="290">
        <f t="shared" si="34"/>
        <v>0</v>
      </c>
      <c r="U107" s="293"/>
      <c r="V107" s="294">
        <v>-29.807829860283245</v>
      </c>
      <c r="W107" s="299"/>
    </row>
    <row r="108" spans="1:23" ht="87">
      <c r="A108" s="288">
        <v>101</v>
      </c>
      <c r="B108" s="289" t="s">
        <v>769</v>
      </c>
      <c r="C108" s="290" t="s">
        <v>1054</v>
      </c>
      <c r="D108" s="290" t="s">
        <v>967</v>
      </c>
      <c r="E108" s="290" t="s">
        <v>932</v>
      </c>
      <c r="F108" s="290">
        <f t="shared" si="35"/>
        <v>130378</v>
      </c>
      <c r="G108" s="333"/>
      <c r="H108" s="290">
        <f t="shared" si="25"/>
        <v>0</v>
      </c>
      <c r="I108" s="291">
        <f>'DETAILED (2)'!I1187</f>
        <v>160.44</v>
      </c>
      <c r="J108" s="291">
        <f t="shared" si="29"/>
        <v>143272.91999999998</v>
      </c>
      <c r="K108" s="296">
        <f t="shared" si="30"/>
        <v>160.44</v>
      </c>
      <c r="L108" s="291">
        <f t="shared" si="31"/>
        <v>143272.91999999998</v>
      </c>
      <c r="M108" s="297">
        <f t="shared" si="26"/>
        <v>12894.919999999984</v>
      </c>
      <c r="N108" s="297">
        <f t="shared" si="27"/>
        <v>0</v>
      </c>
      <c r="O108" s="292"/>
      <c r="P108" s="290">
        <f t="shared" si="28"/>
        <v>0</v>
      </c>
      <c r="Q108" s="292">
        <f t="shared" ref="Q108:Q109" si="48">ROUND(E108-K108,2)</f>
        <v>-14.44</v>
      </c>
      <c r="R108" s="290">
        <f t="shared" ref="R108:R113" si="49">ROUND(C108*Q108,2)</f>
        <v>-12894.92</v>
      </c>
      <c r="S108" s="290">
        <f t="shared" si="33"/>
        <v>-12894.919999999984</v>
      </c>
      <c r="T108" s="290">
        <f t="shared" si="34"/>
        <v>12894.92</v>
      </c>
      <c r="U108" s="293"/>
      <c r="V108" s="294">
        <v>-29.586349371560139</v>
      </c>
      <c r="W108" s="299"/>
    </row>
    <row r="109" spans="1:23" ht="65.25">
      <c r="A109" s="288">
        <v>102</v>
      </c>
      <c r="B109" s="289" t="s">
        <v>770</v>
      </c>
      <c r="C109" s="290" t="s">
        <v>961</v>
      </c>
      <c r="D109" s="290" t="s">
        <v>63</v>
      </c>
      <c r="E109" s="290" t="s">
        <v>933</v>
      </c>
      <c r="F109" s="290">
        <f t="shared" si="35"/>
        <v>61285</v>
      </c>
      <c r="G109" s="333"/>
      <c r="H109" s="290">
        <f t="shared" si="25"/>
        <v>0</v>
      </c>
      <c r="I109" s="291">
        <f>'DETAILED (2)'!I1223</f>
        <v>1792.5699999999993</v>
      </c>
      <c r="J109" s="291">
        <f t="shared" si="29"/>
        <v>62739.949999999975</v>
      </c>
      <c r="K109" s="296">
        <f t="shared" si="30"/>
        <v>1792.5699999999993</v>
      </c>
      <c r="L109" s="291">
        <f t="shared" si="31"/>
        <v>62739.949999999975</v>
      </c>
      <c r="M109" s="297">
        <f t="shared" si="26"/>
        <v>1454.9499999999753</v>
      </c>
      <c r="N109" s="297">
        <f t="shared" si="27"/>
        <v>0</v>
      </c>
      <c r="O109" s="292">
        <f t="shared" ref="O109:O119" si="50">ROUND(K109-E109,2)</f>
        <v>41.57</v>
      </c>
      <c r="P109" s="290">
        <f t="shared" si="28"/>
        <v>1454.95</v>
      </c>
      <c r="Q109" s="292">
        <f t="shared" si="48"/>
        <v>-41.57</v>
      </c>
      <c r="R109" s="290">
        <f t="shared" si="49"/>
        <v>-1454.95</v>
      </c>
      <c r="S109" s="290">
        <f t="shared" si="33"/>
        <v>2.4783730623312294E-11</v>
      </c>
      <c r="T109" s="290">
        <f t="shared" si="34"/>
        <v>1454.95</v>
      </c>
      <c r="U109" s="293"/>
      <c r="V109" s="294">
        <v>-33.76230128690387</v>
      </c>
      <c r="W109" s="299"/>
    </row>
    <row r="110" spans="1:23" ht="65.25">
      <c r="A110" s="288">
        <v>103</v>
      </c>
      <c r="B110" s="289" t="s">
        <v>771</v>
      </c>
      <c r="C110" s="290" t="s">
        <v>937</v>
      </c>
      <c r="D110" s="290" t="s">
        <v>63</v>
      </c>
      <c r="E110" s="290" t="s">
        <v>933</v>
      </c>
      <c r="F110" s="290">
        <f t="shared" si="35"/>
        <v>126072</v>
      </c>
      <c r="G110" s="333"/>
      <c r="H110" s="290">
        <f t="shared" si="25"/>
        <v>0</v>
      </c>
      <c r="I110" s="291">
        <f>'DETAILED (2)'!I1226</f>
        <v>1792.5699999999993</v>
      </c>
      <c r="J110" s="291">
        <f t="shared" si="29"/>
        <v>129065.03999999995</v>
      </c>
      <c r="K110" s="296">
        <f t="shared" si="30"/>
        <v>1792.5699999999993</v>
      </c>
      <c r="L110" s="291">
        <f t="shared" si="31"/>
        <v>129065.03999999995</v>
      </c>
      <c r="M110" s="297">
        <f t="shared" si="26"/>
        <v>2993.0399999999499</v>
      </c>
      <c r="N110" s="297">
        <f t="shared" si="27"/>
        <v>0</v>
      </c>
      <c r="O110" s="292">
        <f t="shared" si="50"/>
        <v>41.57</v>
      </c>
      <c r="P110" s="290">
        <f t="shared" si="28"/>
        <v>2993.04</v>
      </c>
      <c r="Q110" s="292"/>
      <c r="R110" s="290">
        <f t="shared" si="49"/>
        <v>0</v>
      </c>
      <c r="S110" s="290">
        <f t="shared" si="33"/>
        <v>5.0022208597511053E-11</v>
      </c>
      <c r="T110" s="290">
        <f t="shared" si="34"/>
        <v>0</v>
      </c>
      <c r="U110" s="293"/>
      <c r="V110" s="294">
        <v>-33.116581514166285</v>
      </c>
      <c r="W110" s="299"/>
    </row>
    <row r="111" spans="1:23" ht="87">
      <c r="A111" s="288">
        <v>104</v>
      </c>
      <c r="B111" s="289" t="s">
        <v>772</v>
      </c>
      <c r="C111" s="290" t="s">
        <v>1055</v>
      </c>
      <c r="D111" s="290" t="s">
        <v>66</v>
      </c>
      <c r="E111" s="415">
        <v>30.815999999999999</v>
      </c>
      <c r="F111" s="290">
        <f t="shared" si="35"/>
        <v>1583819.14</v>
      </c>
      <c r="G111" s="416">
        <v>23.016999999999999</v>
      </c>
      <c r="H111" s="290">
        <f t="shared" si="25"/>
        <v>1182981.73</v>
      </c>
      <c r="I111" s="296">
        <f>'DETAILED (2)'!I1229</f>
        <v>6.2427130000000002</v>
      </c>
      <c r="J111" s="291">
        <f t="shared" si="29"/>
        <v>320850.47734799999</v>
      </c>
      <c r="K111" s="296">
        <f t="shared" si="30"/>
        <v>29.259712999999998</v>
      </c>
      <c r="L111" s="291">
        <f t="shared" si="31"/>
        <v>1503832.2093479999</v>
      </c>
      <c r="M111" s="297">
        <f t="shared" si="26"/>
        <v>0</v>
      </c>
      <c r="N111" s="297">
        <f t="shared" si="27"/>
        <v>79986.93065200001</v>
      </c>
      <c r="O111" s="292">
        <f t="shared" si="50"/>
        <v>-1.56</v>
      </c>
      <c r="P111" s="290">
        <f t="shared" si="28"/>
        <v>-80177.759999999995</v>
      </c>
      <c r="Q111" s="292"/>
      <c r="R111" s="290">
        <f t="shared" si="49"/>
        <v>0</v>
      </c>
      <c r="S111" s="290">
        <f t="shared" si="33"/>
        <v>-80177.759999999995</v>
      </c>
      <c r="T111" s="290">
        <f t="shared" si="34"/>
        <v>79986.93065200001</v>
      </c>
      <c r="U111" s="293"/>
      <c r="V111" s="294">
        <v>-27.730359829576614</v>
      </c>
      <c r="W111" s="299"/>
    </row>
    <row r="112" spans="1:23" ht="130.5">
      <c r="A112" s="288">
        <v>105</v>
      </c>
      <c r="B112" s="289" t="s">
        <v>773</v>
      </c>
      <c r="C112" s="290" t="s">
        <v>1056</v>
      </c>
      <c r="D112" s="290" t="s">
        <v>64</v>
      </c>
      <c r="E112" s="290" t="s">
        <v>934</v>
      </c>
      <c r="F112" s="290">
        <f t="shared" si="35"/>
        <v>7980</v>
      </c>
      <c r="G112" s="333"/>
      <c r="H112" s="290">
        <f t="shared" si="25"/>
        <v>0</v>
      </c>
      <c r="I112" s="291">
        <f>'DETAILED (2)'!I1232</f>
        <v>6</v>
      </c>
      <c r="J112" s="291">
        <f t="shared" si="29"/>
        <v>6840</v>
      </c>
      <c r="K112" s="296">
        <f t="shared" si="30"/>
        <v>6</v>
      </c>
      <c r="L112" s="291">
        <f t="shared" si="31"/>
        <v>6840</v>
      </c>
      <c r="M112" s="297">
        <f t="shared" si="26"/>
        <v>0</v>
      </c>
      <c r="N112" s="297">
        <f t="shared" si="27"/>
        <v>1140</v>
      </c>
      <c r="O112" s="292">
        <f t="shared" si="50"/>
        <v>-1</v>
      </c>
      <c r="P112" s="290">
        <f t="shared" si="28"/>
        <v>-1140</v>
      </c>
      <c r="Q112" s="292"/>
      <c r="R112" s="290">
        <f t="shared" si="49"/>
        <v>0</v>
      </c>
      <c r="S112" s="290">
        <f t="shared" si="33"/>
        <v>-1140</v>
      </c>
      <c r="T112" s="290">
        <f t="shared" si="34"/>
        <v>1140</v>
      </c>
      <c r="U112" s="293"/>
      <c r="V112" s="294">
        <v>-62.257154586748953</v>
      </c>
      <c r="W112" s="299"/>
    </row>
    <row r="113" spans="1:23">
      <c r="A113" s="288">
        <v>106</v>
      </c>
      <c r="B113" s="289" t="s">
        <v>13</v>
      </c>
      <c r="C113" s="290" t="s">
        <v>1057</v>
      </c>
      <c r="D113" s="290" t="s">
        <v>65</v>
      </c>
      <c r="E113" s="290" t="s">
        <v>935</v>
      </c>
      <c r="F113" s="290">
        <f t="shared" si="35"/>
        <v>5859</v>
      </c>
      <c r="G113" s="333"/>
      <c r="H113" s="290">
        <f t="shared" si="25"/>
        <v>0</v>
      </c>
      <c r="I113" s="291">
        <f>'DETAILED (2)'!I1235</f>
        <v>18</v>
      </c>
      <c r="J113" s="291">
        <f t="shared" si="29"/>
        <v>5022</v>
      </c>
      <c r="K113" s="296">
        <f t="shared" si="30"/>
        <v>18</v>
      </c>
      <c r="L113" s="291">
        <f t="shared" si="31"/>
        <v>5022</v>
      </c>
      <c r="M113" s="297">
        <f t="shared" si="26"/>
        <v>0</v>
      </c>
      <c r="N113" s="297">
        <f t="shared" si="27"/>
        <v>837</v>
      </c>
      <c r="O113" s="292">
        <f t="shared" si="50"/>
        <v>-3</v>
      </c>
      <c r="P113" s="290">
        <f t="shared" si="28"/>
        <v>-837</v>
      </c>
      <c r="Q113" s="292"/>
      <c r="R113" s="290">
        <f t="shared" si="49"/>
        <v>0</v>
      </c>
      <c r="S113" s="290">
        <f t="shared" si="33"/>
        <v>-837</v>
      </c>
      <c r="T113" s="290">
        <f t="shared" si="34"/>
        <v>837</v>
      </c>
      <c r="U113" s="293"/>
      <c r="V113" s="294">
        <v>-33.33651916276402</v>
      </c>
      <c r="W113" s="299"/>
    </row>
    <row r="114" spans="1:23" ht="87">
      <c r="A114" s="288">
        <v>107</v>
      </c>
      <c r="B114" s="289" t="s">
        <v>774</v>
      </c>
      <c r="C114" s="290" t="s">
        <v>1058</v>
      </c>
      <c r="D114" s="290" t="s">
        <v>64</v>
      </c>
      <c r="E114" s="290" t="s">
        <v>934</v>
      </c>
      <c r="F114" s="290">
        <f t="shared" si="35"/>
        <v>5964</v>
      </c>
      <c r="G114" s="333"/>
      <c r="H114" s="290">
        <f t="shared" si="25"/>
        <v>0</v>
      </c>
      <c r="I114" s="291">
        <f>'DETAILED (2)'!I1238</f>
        <v>6</v>
      </c>
      <c r="J114" s="291">
        <f t="shared" si="29"/>
        <v>5112</v>
      </c>
      <c r="K114" s="296">
        <f t="shared" si="30"/>
        <v>6</v>
      </c>
      <c r="L114" s="291">
        <f t="shared" si="31"/>
        <v>5112</v>
      </c>
      <c r="M114" s="297">
        <f t="shared" si="26"/>
        <v>0</v>
      </c>
      <c r="N114" s="297">
        <f t="shared" si="27"/>
        <v>852</v>
      </c>
      <c r="O114" s="292">
        <f t="shared" si="50"/>
        <v>-1</v>
      </c>
      <c r="P114" s="290">
        <f t="shared" si="28"/>
        <v>-852</v>
      </c>
      <c r="Q114" s="292"/>
      <c r="R114" s="290"/>
      <c r="S114" s="290">
        <f t="shared" si="33"/>
        <v>-852</v>
      </c>
      <c r="T114" s="290">
        <f t="shared" si="34"/>
        <v>852</v>
      </c>
      <c r="U114" s="293"/>
      <c r="V114" s="294">
        <v>-23.518850987432675</v>
      </c>
      <c r="W114" s="299"/>
    </row>
    <row r="115" spans="1:23" ht="65.25">
      <c r="A115" s="288">
        <v>108</v>
      </c>
      <c r="B115" s="289" t="s">
        <v>775</v>
      </c>
      <c r="C115" s="290" t="s">
        <v>1059</v>
      </c>
      <c r="D115" s="290" t="s">
        <v>65</v>
      </c>
      <c r="E115" s="290" t="s">
        <v>936</v>
      </c>
      <c r="F115" s="290">
        <f t="shared" si="35"/>
        <v>19038</v>
      </c>
      <c r="G115" s="333"/>
      <c r="H115" s="290">
        <f t="shared" si="25"/>
        <v>0</v>
      </c>
      <c r="I115" s="291">
        <f>'DETAILED (2)'!I1246</f>
        <v>103.5</v>
      </c>
      <c r="J115" s="291">
        <f t="shared" si="29"/>
        <v>23598</v>
      </c>
      <c r="K115" s="296">
        <f t="shared" si="30"/>
        <v>103.5</v>
      </c>
      <c r="L115" s="291">
        <f t="shared" si="31"/>
        <v>23598</v>
      </c>
      <c r="M115" s="297">
        <f t="shared" si="26"/>
        <v>4560</v>
      </c>
      <c r="N115" s="297">
        <f t="shared" si="27"/>
        <v>0</v>
      </c>
      <c r="O115" s="292">
        <f t="shared" si="50"/>
        <v>20</v>
      </c>
      <c r="P115" s="290">
        <f t="shared" si="28"/>
        <v>4560</v>
      </c>
      <c r="Q115" s="292"/>
      <c r="R115" s="290"/>
      <c r="S115" s="290">
        <f t="shared" si="33"/>
        <v>0</v>
      </c>
      <c r="T115" s="290">
        <f t="shared" si="34"/>
        <v>0</v>
      </c>
      <c r="U115" s="293"/>
      <c r="V115" s="294">
        <v>-27.952979839474178</v>
      </c>
      <c r="W115" s="299"/>
    </row>
    <row r="116" spans="1:23" ht="43.5">
      <c r="A116" s="288">
        <v>109</v>
      </c>
      <c r="B116" s="289" t="s">
        <v>776</v>
      </c>
      <c r="C116" s="290" t="s">
        <v>1060</v>
      </c>
      <c r="D116" s="290" t="s">
        <v>63</v>
      </c>
      <c r="E116" s="290" t="s">
        <v>875</v>
      </c>
      <c r="F116" s="290">
        <f t="shared" si="35"/>
        <v>2494.6999999999998</v>
      </c>
      <c r="G116" s="337"/>
      <c r="H116" s="290">
        <f t="shared" si="25"/>
        <v>0</v>
      </c>
      <c r="I116" s="291">
        <f>'DETAILED (2)'!I1252</f>
        <v>10.1</v>
      </c>
      <c r="J116" s="291">
        <f t="shared" si="29"/>
        <v>2494.6999999999998</v>
      </c>
      <c r="K116" s="296">
        <f t="shared" si="30"/>
        <v>10.1</v>
      </c>
      <c r="L116" s="291">
        <f t="shared" si="31"/>
        <v>2494.6999999999998</v>
      </c>
      <c r="M116" s="297">
        <f t="shared" si="26"/>
        <v>0</v>
      </c>
      <c r="N116" s="297">
        <f t="shared" si="27"/>
        <v>0</v>
      </c>
      <c r="O116" s="292">
        <f t="shared" si="50"/>
        <v>0</v>
      </c>
      <c r="P116" s="290">
        <f t="shared" si="28"/>
        <v>0</v>
      </c>
      <c r="Q116" s="292"/>
      <c r="R116" s="290"/>
      <c r="S116" s="290">
        <f t="shared" si="33"/>
        <v>0</v>
      </c>
      <c r="T116" s="290">
        <f t="shared" si="34"/>
        <v>0</v>
      </c>
      <c r="U116" s="293"/>
      <c r="V116" s="294">
        <v>-28.908588533271935</v>
      </c>
      <c r="W116" s="299"/>
    </row>
    <row r="117" spans="1:23" ht="65.25">
      <c r="A117" s="288">
        <v>110</v>
      </c>
      <c r="B117" s="289" t="s">
        <v>777</v>
      </c>
      <c r="C117" s="290" t="s">
        <v>1061</v>
      </c>
      <c r="D117" s="290" t="s">
        <v>65</v>
      </c>
      <c r="E117" s="290" t="s">
        <v>937</v>
      </c>
      <c r="F117" s="290">
        <f t="shared" si="35"/>
        <v>9936</v>
      </c>
      <c r="G117" s="333">
        <v>30</v>
      </c>
      <c r="H117" s="290">
        <f t="shared" si="25"/>
        <v>4140</v>
      </c>
      <c r="I117" s="291">
        <f>'DETAILED (2)'!I1265</f>
        <v>61.5</v>
      </c>
      <c r="J117" s="291">
        <f t="shared" si="29"/>
        <v>8487</v>
      </c>
      <c r="K117" s="296">
        <f t="shared" si="30"/>
        <v>91.5</v>
      </c>
      <c r="L117" s="291">
        <f t="shared" si="31"/>
        <v>12627</v>
      </c>
      <c r="M117" s="297">
        <f t="shared" si="26"/>
        <v>2691</v>
      </c>
      <c r="N117" s="297">
        <f t="shared" si="27"/>
        <v>0</v>
      </c>
      <c r="O117" s="292">
        <f t="shared" si="50"/>
        <v>19.5</v>
      </c>
      <c r="P117" s="290">
        <f t="shared" si="28"/>
        <v>2691</v>
      </c>
      <c r="Q117" s="292"/>
      <c r="R117" s="290"/>
      <c r="S117" s="290">
        <f t="shared" si="33"/>
        <v>0</v>
      </c>
      <c r="T117" s="290">
        <f t="shared" si="34"/>
        <v>0</v>
      </c>
      <c r="U117" s="293"/>
      <c r="V117" s="294">
        <v>-31.935881627620223</v>
      </c>
      <c r="W117" s="299"/>
    </row>
    <row r="118" spans="1:23" ht="87">
      <c r="A118" s="288">
        <v>111</v>
      </c>
      <c r="B118" s="289" t="s">
        <v>778</v>
      </c>
      <c r="C118" s="290" t="s">
        <v>946</v>
      </c>
      <c r="D118" s="290" t="s">
        <v>64</v>
      </c>
      <c r="E118" s="290" t="s">
        <v>895</v>
      </c>
      <c r="F118" s="290">
        <f t="shared" si="35"/>
        <v>130</v>
      </c>
      <c r="G118" s="337"/>
      <c r="H118" s="290">
        <f t="shared" si="25"/>
        <v>0</v>
      </c>
      <c r="I118" s="291">
        <f>'DETAILED (2)'!I1268</f>
        <v>1</v>
      </c>
      <c r="J118" s="291">
        <f t="shared" si="29"/>
        <v>130</v>
      </c>
      <c r="K118" s="296">
        <f t="shared" si="30"/>
        <v>1</v>
      </c>
      <c r="L118" s="291">
        <f t="shared" si="31"/>
        <v>130</v>
      </c>
      <c r="M118" s="297">
        <f t="shared" si="26"/>
        <v>0</v>
      </c>
      <c r="N118" s="297">
        <f t="shared" si="27"/>
        <v>0</v>
      </c>
      <c r="O118" s="292">
        <f t="shared" si="50"/>
        <v>0</v>
      </c>
      <c r="P118" s="290">
        <f t="shared" si="28"/>
        <v>0</v>
      </c>
      <c r="Q118" s="292"/>
      <c r="R118" s="290"/>
      <c r="S118" s="290">
        <f t="shared" si="33"/>
        <v>0</v>
      </c>
      <c r="T118" s="290">
        <f t="shared" si="34"/>
        <v>0</v>
      </c>
      <c r="U118" s="293"/>
      <c r="V118" s="294">
        <v>-27.170868347338935</v>
      </c>
      <c r="W118" s="299"/>
    </row>
    <row r="119" spans="1:23" ht="43.5">
      <c r="A119" s="288">
        <v>112</v>
      </c>
      <c r="B119" s="289" t="s">
        <v>779</v>
      </c>
      <c r="C119" s="290" t="s">
        <v>1062</v>
      </c>
      <c r="D119" s="290" t="s">
        <v>64</v>
      </c>
      <c r="E119" s="290" t="s">
        <v>923</v>
      </c>
      <c r="F119" s="290">
        <f t="shared" si="35"/>
        <v>4152</v>
      </c>
      <c r="G119" s="333"/>
      <c r="H119" s="290">
        <f t="shared" si="25"/>
        <v>0</v>
      </c>
      <c r="I119" s="291">
        <f>'DETAILED (2)'!I1271</f>
        <v>1</v>
      </c>
      <c r="J119" s="291">
        <f t="shared" si="29"/>
        <v>1384</v>
      </c>
      <c r="K119" s="296">
        <f t="shared" si="30"/>
        <v>1</v>
      </c>
      <c r="L119" s="291">
        <f t="shared" si="31"/>
        <v>1384</v>
      </c>
      <c r="M119" s="297">
        <f t="shared" si="26"/>
        <v>0</v>
      </c>
      <c r="N119" s="297">
        <f t="shared" si="27"/>
        <v>2768</v>
      </c>
      <c r="O119" s="292">
        <f t="shared" si="50"/>
        <v>-2</v>
      </c>
      <c r="P119" s="290">
        <f t="shared" si="28"/>
        <v>-2768</v>
      </c>
      <c r="Q119" s="292"/>
      <c r="R119" s="290"/>
      <c r="S119" s="290">
        <f t="shared" si="33"/>
        <v>-2768</v>
      </c>
      <c r="T119" s="290">
        <f t="shared" si="34"/>
        <v>2768</v>
      </c>
      <c r="U119" s="293"/>
      <c r="V119" s="294">
        <v>-24.288840262582056</v>
      </c>
      <c r="W119" s="299"/>
    </row>
    <row r="120" spans="1:23" ht="43.5">
      <c r="A120" s="288">
        <v>113</v>
      </c>
      <c r="B120" s="289" t="s">
        <v>780</v>
      </c>
      <c r="C120" s="290" t="s">
        <v>1063</v>
      </c>
      <c r="D120" s="290" t="s">
        <v>64</v>
      </c>
      <c r="E120" s="290" t="s">
        <v>934</v>
      </c>
      <c r="F120" s="290">
        <f t="shared" si="35"/>
        <v>15246</v>
      </c>
      <c r="G120" s="333"/>
      <c r="H120" s="290">
        <f t="shared" si="25"/>
        <v>0</v>
      </c>
      <c r="I120" s="291">
        <f>'DETAILED (2)'!I1278</f>
        <v>10</v>
      </c>
      <c r="J120" s="291">
        <f t="shared" si="29"/>
        <v>21780</v>
      </c>
      <c r="K120" s="296">
        <f t="shared" si="30"/>
        <v>10</v>
      </c>
      <c r="L120" s="291">
        <f t="shared" si="31"/>
        <v>21780</v>
      </c>
      <c r="M120" s="297">
        <f t="shared" si="26"/>
        <v>6534</v>
      </c>
      <c r="N120" s="297">
        <f t="shared" si="27"/>
        <v>0</v>
      </c>
      <c r="O120" s="292"/>
      <c r="P120" s="290">
        <f t="shared" si="28"/>
        <v>0</v>
      </c>
      <c r="Q120" s="292">
        <f t="shared" ref="Q120:Q131" si="51">ROUND(E120-K120,2)</f>
        <v>-3</v>
      </c>
      <c r="R120" s="290">
        <f t="shared" ref="R120:R131" si="52">ROUND(C120*Q120,2)</f>
        <v>-6534</v>
      </c>
      <c r="S120" s="290">
        <f t="shared" si="33"/>
        <v>-6534</v>
      </c>
      <c r="T120" s="290">
        <f t="shared" si="34"/>
        <v>6534</v>
      </c>
      <c r="U120" s="293"/>
      <c r="V120" s="294">
        <v>-35.937784941555734</v>
      </c>
      <c r="W120" s="299"/>
    </row>
    <row r="121" spans="1:23" ht="43.5">
      <c r="A121" s="288">
        <v>114</v>
      </c>
      <c r="B121" s="289" t="s">
        <v>781</v>
      </c>
      <c r="C121" s="290" t="s">
        <v>1064</v>
      </c>
      <c r="D121" s="290" t="s">
        <v>64</v>
      </c>
      <c r="E121" s="290" t="s">
        <v>924</v>
      </c>
      <c r="F121" s="290">
        <f t="shared" si="35"/>
        <v>5780</v>
      </c>
      <c r="G121" s="333"/>
      <c r="H121" s="290">
        <f t="shared" si="25"/>
        <v>0</v>
      </c>
      <c r="I121" s="291">
        <f>'DETAILED (2)'!I1286</f>
        <v>15</v>
      </c>
      <c r="J121" s="291">
        <f t="shared" si="29"/>
        <v>5100</v>
      </c>
      <c r="K121" s="296">
        <f t="shared" si="30"/>
        <v>15</v>
      </c>
      <c r="L121" s="291">
        <f t="shared" si="31"/>
        <v>5100</v>
      </c>
      <c r="M121" s="297">
        <f t="shared" si="26"/>
        <v>0</v>
      </c>
      <c r="N121" s="297">
        <f t="shared" si="27"/>
        <v>680</v>
      </c>
      <c r="O121" s="292">
        <f t="shared" ref="O121" si="53">ROUND(K121-E121,2)</f>
        <v>-2</v>
      </c>
      <c r="P121" s="290">
        <f t="shared" si="28"/>
        <v>-680</v>
      </c>
      <c r="Q121" s="292">
        <f t="shared" si="51"/>
        <v>2</v>
      </c>
      <c r="R121" s="290">
        <f t="shared" si="52"/>
        <v>680</v>
      </c>
      <c r="S121" s="290">
        <f t="shared" si="33"/>
        <v>-680</v>
      </c>
      <c r="T121" s="290">
        <f t="shared" si="34"/>
        <v>0</v>
      </c>
      <c r="U121" s="293"/>
      <c r="V121" s="294">
        <v>-26.72413793103448</v>
      </c>
      <c r="W121" s="299"/>
    </row>
    <row r="122" spans="1:23" ht="43.5">
      <c r="A122" s="288">
        <v>115</v>
      </c>
      <c r="B122" s="289" t="s">
        <v>782</v>
      </c>
      <c r="C122" s="290" t="s">
        <v>1065</v>
      </c>
      <c r="D122" s="290" t="s">
        <v>64</v>
      </c>
      <c r="E122" s="290" t="s">
        <v>873</v>
      </c>
      <c r="F122" s="290">
        <f t="shared" si="35"/>
        <v>5472</v>
      </c>
      <c r="G122" s="333"/>
      <c r="H122" s="290">
        <f t="shared" si="25"/>
        <v>0</v>
      </c>
      <c r="I122" s="291">
        <f>'DETAILED (2)'!I1293</f>
        <v>13</v>
      </c>
      <c r="J122" s="291">
        <f t="shared" si="29"/>
        <v>3952</v>
      </c>
      <c r="K122" s="296">
        <f t="shared" si="30"/>
        <v>13</v>
      </c>
      <c r="L122" s="291">
        <f t="shared" si="31"/>
        <v>3952</v>
      </c>
      <c r="M122" s="297">
        <f t="shared" si="26"/>
        <v>0</v>
      </c>
      <c r="N122" s="297">
        <f t="shared" si="27"/>
        <v>1520</v>
      </c>
      <c r="O122" s="292"/>
      <c r="P122" s="290">
        <f t="shared" si="28"/>
        <v>0</v>
      </c>
      <c r="Q122" s="292">
        <f t="shared" si="51"/>
        <v>5</v>
      </c>
      <c r="R122" s="290">
        <f t="shared" si="52"/>
        <v>1520</v>
      </c>
      <c r="S122" s="290">
        <f t="shared" si="33"/>
        <v>0</v>
      </c>
      <c r="T122" s="290">
        <f t="shared" si="34"/>
        <v>0</v>
      </c>
      <c r="U122" s="293"/>
      <c r="V122" s="294">
        <v>-26.923076923076923</v>
      </c>
      <c r="W122" s="299"/>
    </row>
    <row r="123" spans="1:23" ht="108.75">
      <c r="A123" s="288">
        <v>116</v>
      </c>
      <c r="B123" s="289" t="s">
        <v>783</v>
      </c>
      <c r="C123" s="290" t="s">
        <v>1066</v>
      </c>
      <c r="D123" s="290" t="s">
        <v>64</v>
      </c>
      <c r="E123" s="290" t="s">
        <v>895</v>
      </c>
      <c r="F123" s="290">
        <f t="shared" si="35"/>
        <v>2067</v>
      </c>
      <c r="G123" s="333"/>
      <c r="H123" s="290">
        <f t="shared" si="25"/>
        <v>0</v>
      </c>
      <c r="I123" s="291">
        <f>'DETAILED (2)'!I1297</f>
        <v>1</v>
      </c>
      <c r="J123" s="291">
        <f t="shared" si="29"/>
        <v>2067</v>
      </c>
      <c r="K123" s="296">
        <f t="shared" si="30"/>
        <v>1</v>
      </c>
      <c r="L123" s="291">
        <f t="shared" si="31"/>
        <v>2067</v>
      </c>
      <c r="M123" s="297">
        <f t="shared" si="26"/>
        <v>0</v>
      </c>
      <c r="N123" s="297">
        <f t="shared" si="27"/>
        <v>0</v>
      </c>
      <c r="O123" s="292"/>
      <c r="P123" s="290">
        <f t="shared" si="28"/>
        <v>0</v>
      </c>
      <c r="Q123" s="292">
        <f t="shared" si="51"/>
        <v>0</v>
      </c>
      <c r="R123" s="290">
        <f t="shared" si="52"/>
        <v>0</v>
      </c>
      <c r="S123" s="290">
        <f t="shared" si="33"/>
        <v>0</v>
      </c>
      <c r="T123" s="290">
        <f t="shared" si="34"/>
        <v>0</v>
      </c>
      <c r="U123" s="293"/>
      <c r="V123" s="294">
        <v>-30.299842188321936</v>
      </c>
      <c r="W123" s="299"/>
    </row>
    <row r="124" spans="1:23" ht="108.75">
      <c r="A124" s="288">
        <v>117</v>
      </c>
      <c r="B124" s="289" t="s">
        <v>784</v>
      </c>
      <c r="C124" s="290" t="s">
        <v>1067</v>
      </c>
      <c r="D124" s="290" t="s">
        <v>64</v>
      </c>
      <c r="E124" s="290" t="s">
        <v>895</v>
      </c>
      <c r="F124" s="290">
        <f t="shared" si="35"/>
        <v>3238</v>
      </c>
      <c r="G124" s="333"/>
      <c r="H124" s="290">
        <f t="shared" si="25"/>
        <v>0</v>
      </c>
      <c r="I124" s="291">
        <f ca="1">'DETAILED (2)'!I1301</f>
        <v>2</v>
      </c>
      <c r="J124" s="291">
        <f t="shared" ca="1" si="29"/>
        <v>6476</v>
      </c>
      <c r="K124" s="296">
        <f t="shared" ca="1" si="30"/>
        <v>2</v>
      </c>
      <c r="L124" s="291">
        <f t="shared" ca="1" si="31"/>
        <v>6476</v>
      </c>
      <c r="M124" s="297">
        <f t="shared" ca="1" si="26"/>
        <v>3238</v>
      </c>
      <c r="N124" s="297">
        <f t="shared" ca="1" si="27"/>
        <v>0</v>
      </c>
      <c r="O124" s="292"/>
      <c r="P124" s="290">
        <f t="shared" si="28"/>
        <v>0</v>
      </c>
      <c r="Q124" s="292">
        <f t="shared" ca="1" si="51"/>
        <v>-1</v>
      </c>
      <c r="R124" s="290">
        <f t="shared" ca="1" si="52"/>
        <v>-3238</v>
      </c>
      <c r="S124" s="290">
        <f t="shared" ca="1" si="33"/>
        <v>-3238</v>
      </c>
      <c r="T124" s="290">
        <f t="shared" ca="1" si="34"/>
        <v>3238</v>
      </c>
      <c r="U124" s="293"/>
      <c r="V124" s="294">
        <v>-30.079443399546967</v>
      </c>
      <c r="W124" s="299"/>
    </row>
    <row r="125" spans="1:23" ht="65.25">
      <c r="A125" s="288">
        <v>118</v>
      </c>
      <c r="B125" s="289" t="s">
        <v>785</v>
      </c>
      <c r="C125" s="290" t="s">
        <v>1068</v>
      </c>
      <c r="D125" s="290" t="s">
        <v>64</v>
      </c>
      <c r="E125" s="290" t="s">
        <v>934</v>
      </c>
      <c r="F125" s="290">
        <f t="shared" si="35"/>
        <v>31486</v>
      </c>
      <c r="G125" s="333"/>
      <c r="H125" s="290">
        <f t="shared" si="25"/>
        <v>0</v>
      </c>
      <c r="I125" s="291">
        <f>'DETAILED (2)'!I1308</f>
        <v>9</v>
      </c>
      <c r="J125" s="291">
        <f t="shared" si="29"/>
        <v>40482</v>
      </c>
      <c r="K125" s="296">
        <f t="shared" si="30"/>
        <v>9</v>
      </c>
      <c r="L125" s="291">
        <f t="shared" si="31"/>
        <v>40482</v>
      </c>
      <c r="M125" s="297">
        <f t="shared" si="26"/>
        <v>8996</v>
      </c>
      <c r="N125" s="297">
        <f t="shared" si="27"/>
        <v>0</v>
      </c>
      <c r="O125" s="292"/>
      <c r="P125" s="290">
        <f t="shared" si="28"/>
        <v>0</v>
      </c>
      <c r="Q125" s="292">
        <f t="shared" si="51"/>
        <v>-2</v>
      </c>
      <c r="R125" s="290">
        <f t="shared" si="52"/>
        <v>-8996</v>
      </c>
      <c r="S125" s="290">
        <f t="shared" si="33"/>
        <v>-8996</v>
      </c>
      <c r="T125" s="290">
        <f t="shared" si="34"/>
        <v>8996</v>
      </c>
      <c r="U125" s="293"/>
      <c r="V125" s="294">
        <v>-29.831129831129832</v>
      </c>
      <c r="W125" s="299"/>
    </row>
    <row r="126" spans="1:23" ht="65.25">
      <c r="A126" s="288">
        <v>119</v>
      </c>
      <c r="B126" s="289" t="s">
        <v>786</v>
      </c>
      <c r="C126" s="290" t="s">
        <v>1069</v>
      </c>
      <c r="D126" s="290" t="s">
        <v>65</v>
      </c>
      <c r="E126" s="290" t="s">
        <v>938</v>
      </c>
      <c r="F126" s="290">
        <f t="shared" si="35"/>
        <v>36982</v>
      </c>
      <c r="G126" s="333">
        <v>36</v>
      </c>
      <c r="H126" s="290">
        <f t="shared" si="25"/>
        <v>16236</v>
      </c>
      <c r="I126" s="291">
        <f>'DETAILED (2)'!I1317</f>
        <v>66</v>
      </c>
      <c r="J126" s="291">
        <f t="shared" si="29"/>
        <v>29766</v>
      </c>
      <c r="K126" s="296">
        <f t="shared" si="30"/>
        <v>102</v>
      </c>
      <c r="L126" s="291">
        <f t="shared" si="31"/>
        <v>46002</v>
      </c>
      <c r="M126" s="297">
        <f t="shared" si="26"/>
        <v>9020</v>
      </c>
      <c r="N126" s="297">
        <f t="shared" si="27"/>
        <v>0</v>
      </c>
      <c r="O126" s="292"/>
      <c r="P126" s="290">
        <f t="shared" si="28"/>
        <v>0</v>
      </c>
      <c r="Q126" s="292">
        <f t="shared" si="51"/>
        <v>-20</v>
      </c>
      <c r="R126" s="290">
        <f t="shared" si="52"/>
        <v>-9020</v>
      </c>
      <c r="S126" s="290">
        <f t="shared" si="33"/>
        <v>-9020</v>
      </c>
      <c r="T126" s="290">
        <f t="shared" si="34"/>
        <v>9020</v>
      </c>
      <c r="U126" s="293"/>
      <c r="V126" s="294">
        <v>-29.739834865243804</v>
      </c>
      <c r="W126" s="299"/>
    </row>
    <row r="127" spans="1:23">
      <c r="A127" s="288">
        <v>120</v>
      </c>
      <c r="B127" s="289" t="s">
        <v>51</v>
      </c>
      <c r="C127" s="290" t="s">
        <v>1070</v>
      </c>
      <c r="D127" s="290" t="s">
        <v>65</v>
      </c>
      <c r="E127" s="290" t="s">
        <v>939</v>
      </c>
      <c r="F127" s="290">
        <f t="shared" si="35"/>
        <v>39093.599999999999</v>
      </c>
      <c r="G127" s="333">
        <v>42</v>
      </c>
      <c r="H127" s="290">
        <f t="shared" si="25"/>
        <v>15288</v>
      </c>
      <c r="I127" s="291">
        <f>'DETAILED (2)'!I1324</f>
        <v>51.5</v>
      </c>
      <c r="J127" s="291">
        <f t="shared" si="29"/>
        <v>18746</v>
      </c>
      <c r="K127" s="296">
        <f t="shared" si="30"/>
        <v>93.5</v>
      </c>
      <c r="L127" s="291">
        <f t="shared" si="31"/>
        <v>34034</v>
      </c>
      <c r="M127" s="297">
        <f t="shared" si="26"/>
        <v>0</v>
      </c>
      <c r="N127" s="297">
        <f t="shared" si="27"/>
        <v>5059.5999999999985</v>
      </c>
      <c r="O127" s="292"/>
      <c r="P127" s="290">
        <f t="shared" si="28"/>
        <v>0</v>
      </c>
      <c r="Q127" s="292">
        <f t="shared" si="51"/>
        <v>13.9</v>
      </c>
      <c r="R127" s="290">
        <f t="shared" si="52"/>
        <v>5059.6000000000004</v>
      </c>
      <c r="S127" s="290">
        <f t="shared" si="33"/>
        <v>0</v>
      </c>
      <c r="T127" s="290">
        <f t="shared" si="34"/>
        <v>0</v>
      </c>
      <c r="U127" s="293"/>
      <c r="V127" s="294">
        <v>-31.203931203931205</v>
      </c>
      <c r="W127" s="299"/>
    </row>
    <row r="128" spans="1:23" ht="87">
      <c r="A128" s="288">
        <v>121</v>
      </c>
      <c r="B128" s="289" t="s">
        <v>787</v>
      </c>
      <c r="C128" s="290" t="s">
        <v>959</v>
      </c>
      <c r="D128" s="290" t="s">
        <v>65</v>
      </c>
      <c r="E128" s="290" t="s">
        <v>902</v>
      </c>
      <c r="F128" s="290">
        <f t="shared" si="35"/>
        <v>1860</v>
      </c>
      <c r="G128" s="333"/>
      <c r="H128" s="290">
        <f t="shared" si="25"/>
        <v>0</v>
      </c>
      <c r="I128" s="291">
        <f>'DETAILED (2)'!I1327</f>
        <v>20</v>
      </c>
      <c r="J128" s="291">
        <f t="shared" si="29"/>
        <v>1240</v>
      </c>
      <c r="K128" s="296">
        <f t="shared" si="30"/>
        <v>20</v>
      </c>
      <c r="L128" s="291">
        <f t="shared" si="31"/>
        <v>1240</v>
      </c>
      <c r="M128" s="297">
        <f t="shared" si="26"/>
        <v>0</v>
      </c>
      <c r="N128" s="297">
        <f t="shared" si="27"/>
        <v>620</v>
      </c>
      <c r="O128" s="292"/>
      <c r="P128" s="290">
        <f t="shared" si="28"/>
        <v>0</v>
      </c>
      <c r="Q128" s="292">
        <f t="shared" si="51"/>
        <v>10</v>
      </c>
      <c r="R128" s="290">
        <f t="shared" si="52"/>
        <v>620</v>
      </c>
      <c r="S128" s="290">
        <f t="shared" si="33"/>
        <v>0</v>
      </c>
      <c r="T128" s="290">
        <f t="shared" si="34"/>
        <v>0</v>
      </c>
      <c r="U128" s="293"/>
      <c r="V128" s="294">
        <v>-23.645320197044338</v>
      </c>
      <c r="W128" s="299"/>
    </row>
    <row r="129" spans="1:23" ht="65.25">
      <c r="A129" s="288">
        <v>122</v>
      </c>
      <c r="B129" s="289" t="s">
        <v>788</v>
      </c>
      <c r="C129" s="290" t="s">
        <v>1071</v>
      </c>
      <c r="D129" s="290" t="s">
        <v>64</v>
      </c>
      <c r="E129" s="290" t="s">
        <v>895</v>
      </c>
      <c r="F129" s="290">
        <f t="shared" si="35"/>
        <v>338</v>
      </c>
      <c r="G129" s="337"/>
      <c r="H129" s="290">
        <f t="shared" si="25"/>
        <v>0</v>
      </c>
      <c r="I129" s="291">
        <f>'DETAILED (2)'!I1330</f>
        <v>1</v>
      </c>
      <c r="J129" s="291">
        <f t="shared" si="29"/>
        <v>338</v>
      </c>
      <c r="K129" s="296">
        <f t="shared" si="30"/>
        <v>1</v>
      </c>
      <c r="L129" s="291">
        <f t="shared" si="31"/>
        <v>338</v>
      </c>
      <c r="M129" s="297">
        <f t="shared" si="26"/>
        <v>0</v>
      </c>
      <c r="N129" s="297">
        <f t="shared" si="27"/>
        <v>0</v>
      </c>
      <c r="O129" s="292"/>
      <c r="P129" s="290">
        <f t="shared" si="28"/>
        <v>0</v>
      </c>
      <c r="Q129" s="292">
        <f t="shared" si="51"/>
        <v>0</v>
      </c>
      <c r="R129" s="290">
        <f t="shared" si="52"/>
        <v>0</v>
      </c>
      <c r="S129" s="290">
        <f t="shared" si="33"/>
        <v>0</v>
      </c>
      <c r="T129" s="290">
        <f t="shared" si="34"/>
        <v>0</v>
      </c>
      <c r="U129" s="293"/>
      <c r="V129" s="294">
        <v>-23.477473398234096</v>
      </c>
      <c r="W129" s="299"/>
    </row>
    <row r="130" spans="1:23" ht="108.75">
      <c r="A130" s="288">
        <v>123</v>
      </c>
      <c r="B130" s="289" t="s">
        <v>789</v>
      </c>
      <c r="C130" s="290" t="s">
        <v>1072</v>
      </c>
      <c r="D130" s="290" t="s">
        <v>65</v>
      </c>
      <c r="E130" s="290" t="s">
        <v>940</v>
      </c>
      <c r="F130" s="290">
        <f t="shared" si="35"/>
        <v>11340</v>
      </c>
      <c r="G130" s="333"/>
      <c r="H130" s="290">
        <f t="shared" si="25"/>
        <v>0</v>
      </c>
      <c r="I130" s="291">
        <f>'DETAILED (2)'!I1334</f>
        <v>30</v>
      </c>
      <c r="J130" s="291">
        <f t="shared" si="29"/>
        <v>7560</v>
      </c>
      <c r="K130" s="296">
        <f t="shared" si="30"/>
        <v>30</v>
      </c>
      <c r="L130" s="291">
        <f t="shared" si="31"/>
        <v>7560</v>
      </c>
      <c r="M130" s="297">
        <f t="shared" si="26"/>
        <v>0</v>
      </c>
      <c r="N130" s="297">
        <f t="shared" si="27"/>
        <v>3780</v>
      </c>
      <c r="O130" s="292"/>
      <c r="P130" s="290">
        <f t="shared" si="28"/>
        <v>0</v>
      </c>
      <c r="Q130" s="292">
        <f t="shared" si="51"/>
        <v>15</v>
      </c>
      <c r="R130" s="290">
        <f t="shared" si="52"/>
        <v>3780</v>
      </c>
      <c r="S130" s="290">
        <f t="shared" si="33"/>
        <v>0</v>
      </c>
      <c r="T130" s="290">
        <f t="shared" si="34"/>
        <v>0</v>
      </c>
      <c r="U130" s="293"/>
      <c r="V130" s="294">
        <v>-29.986386241769235</v>
      </c>
      <c r="W130" s="299"/>
    </row>
    <row r="131" spans="1:23" ht="43.5">
      <c r="A131" s="288">
        <v>124</v>
      </c>
      <c r="B131" s="289" t="s">
        <v>52</v>
      </c>
      <c r="C131" s="290" t="s">
        <v>1073</v>
      </c>
      <c r="D131" s="290" t="s">
        <v>65</v>
      </c>
      <c r="E131" s="290" t="s">
        <v>873</v>
      </c>
      <c r="F131" s="290">
        <f t="shared" si="35"/>
        <v>7506</v>
      </c>
      <c r="G131" s="333"/>
      <c r="H131" s="290">
        <f t="shared" si="25"/>
        <v>0</v>
      </c>
      <c r="I131" s="291">
        <f>'DETAILED (2)'!I1337</f>
        <v>15</v>
      </c>
      <c r="J131" s="291">
        <f t="shared" si="29"/>
        <v>6255</v>
      </c>
      <c r="K131" s="296">
        <f t="shared" si="30"/>
        <v>15</v>
      </c>
      <c r="L131" s="291">
        <f t="shared" si="31"/>
        <v>6255</v>
      </c>
      <c r="M131" s="297">
        <f t="shared" si="26"/>
        <v>0</v>
      </c>
      <c r="N131" s="297">
        <f t="shared" si="27"/>
        <v>1251</v>
      </c>
      <c r="O131" s="292"/>
      <c r="P131" s="290">
        <f t="shared" si="28"/>
        <v>0</v>
      </c>
      <c r="Q131" s="292">
        <f t="shared" si="51"/>
        <v>3</v>
      </c>
      <c r="R131" s="290">
        <f t="shared" si="52"/>
        <v>1251</v>
      </c>
      <c r="S131" s="290">
        <f t="shared" si="33"/>
        <v>0</v>
      </c>
      <c r="T131" s="290">
        <f t="shared" si="34"/>
        <v>0</v>
      </c>
      <c r="U131" s="293"/>
      <c r="V131" s="294">
        <v>-28.985013623978205</v>
      </c>
      <c r="W131" s="299"/>
    </row>
    <row r="132" spans="1:23" ht="65.25">
      <c r="A132" s="288">
        <v>125</v>
      </c>
      <c r="B132" s="289" t="s">
        <v>790</v>
      </c>
      <c r="C132" s="290" t="s">
        <v>1074</v>
      </c>
      <c r="D132" s="290" t="s">
        <v>64</v>
      </c>
      <c r="E132" s="290" t="s">
        <v>941</v>
      </c>
      <c r="F132" s="290">
        <f t="shared" si="35"/>
        <v>238</v>
      </c>
      <c r="G132" s="337"/>
      <c r="H132" s="290">
        <f t="shared" si="25"/>
        <v>0</v>
      </c>
      <c r="I132" s="291">
        <f>'DETAILED (2)'!I1340</f>
        <v>2</v>
      </c>
      <c r="J132" s="291">
        <f t="shared" si="29"/>
        <v>238</v>
      </c>
      <c r="K132" s="296">
        <f t="shared" si="30"/>
        <v>2</v>
      </c>
      <c r="L132" s="291">
        <f t="shared" si="31"/>
        <v>238</v>
      </c>
      <c r="M132" s="297">
        <f t="shared" si="26"/>
        <v>0</v>
      </c>
      <c r="N132" s="297">
        <f t="shared" si="27"/>
        <v>0</v>
      </c>
      <c r="O132" s="292">
        <f t="shared" ref="O132:O133" si="54">ROUND(K132-E132,2)</f>
        <v>0</v>
      </c>
      <c r="P132" s="290">
        <f t="shared" si="28"/>
        <v>0</v>
      </c>
      <c r="Q132" s="292"/>
      <c r="R132" s="290"/>
      <c r="S132" s="290">
        <f t="shared" si="33"/>
        <v>0</v>
      </c>
      <c r="T132" s="290">
        <f t="shared" si="34"/>
        <v>0</v>
      </c>
      <c r="U132" s="293"/>
      <c r="V132" s="294">
        <v>-25.624999999999996</v>
      </c>
      <c r="W132" s="299"/>
    </row>
    <row r="133" spans="1:23">
      <c r="A133" s="288">
        <v>126</v>
      </c>
      <c r="B133" s="289" t="s">
        <v>791</v>
      </c>
      <c r="C133" s="290" t="s">
        <v>1075</v>
      </c>
      <c r="D133" s="290" t="s">
        <v>64</v>
      </c>
      <c r="E133" s="290" t="s">
        <v>941</v>
      </c>
      <c r="F133" s="290">
        <f t="shared" si="35"/>
        <v>760</v>
      </c>
      <c r="G133" s="337"/>
      <c r="H133" s="290">
        <f t="shared" si="25"/>
        <v>0</v>
      </c>
      <c r="I133" s="291">
        <f>'DETAILED (2)'!I1343</f>
        <v>2</v>
      </c>
      <c r="J133" s="291">
        <f t="shared" si="29"/>
        <v>760</v>
      </c>
      <c r="K133" s="296">
        <f t="shared" si="30"/>
        <v>2</v>
      </c>
      <c r="L133" s="291">
        <f t="shared" si="31"/>
        <v>760</v>
      </c>
      <c r="M133" s="297">
        <f t="shared" si="26"/>
        <v>0</v>
      </c>
      <c r="N133" s="297">
        <f t="shared" si="27"/>
        <v>0</v>
      </c>
      <c r="O133" s="292">
        <f t="shared" si="54"/>
        <v>0</v>
      </c>
      <c r="P133" s="290">
        <f t="shared" si="28"/>
        <v>0</v>
      </c>
      <c r="Q133" s="292">
        <f t="shared" ref="Q133:Q155" si="55">ROUND(E133-K133,2)</f>
        <v>0</v>
      </c>
      <c r="R133" s="290">
        <f t="shared" ref="R133:R199" si="56">ROUND(C133*Q133,2)</f>
        <v>0</v>
      </c>
      <c r="S133" s="290">
        <f t="shared" si="33"/>
        <v>0</v>
      </c>
      <c r="T133" s="290">
        <f t="shared" si="34"/>
        <v>0</v>
      </c>
      <c r="U133" s="293"/>
      <c r="V133" s="294">
        <v>-25.490196078431371</v>
      </c>
      <c r="W133" s="299"/>
    </row>
    <row r="134" spans="1:23" ht="65.25">
      <c r="A134" s="288">
        <v>127</v>
      </c>
      <c r="B134" s="289" t="s">
        <v>792</v>
      </c>
      <c r="C134" s="290" t="s">
        <v>1076</v>
      </c>
      <c r="D134" s="290" t="s">
        <v>64</v>
      </c>
      <c r="E134" s="290" t="s">
        <v>941</v>
      </c>
      <c r="F134" s="290">
        <f t="shared" si="35"/>
        <v>284</v>
      </c>
      <c r="G134" s="337"/>
      <c r="H134" s="290">
        <f t="shared" si="25"/>
        <v>0</v>
      </c>
      <c r="I134" s="291">
        <f>'DETAILED (2)'!I1346</f>
        <v>2</v>
      </c>
      <c r="J134" s="291">
        <f t="shared" si="29"/>
        <v>284</v>
      </c>
      <c r="K134" s="296">
        <f t="shared" si="30"/>
        <v>2</v>
      </c>
      <c r="L134" s="291">
        <f t="shared" si="31"/>
        <v>284</v>
      </c>
      <c r="M134" s="297">
        <f t="shared" si="26"/>
        <v>0</v>
      </c>
      <c r="N134" s="297">
        <f t="shared" si="27"/>
        <v>0</v>
      </c>
      <c r="O134" s="292"/>
      <c r="P134" s="290">
        <f t="shared" si="28"/>
        <v>0</v>
      </c>
      <c r="Q134" s="292">
        <f t="shared" si="55"/>
        <v>0</v>
      </c>
      <c r="R134" s="290">
        <f t="shared" si="56"/>
        <v>0</v>
      </c>
      <c r="S134" s="290">
        <f t="shared" si="33"/>
        <v>0</v>
      </c>
      <c r="T134" s="290">
        <f t="shared" si="34"/>
        <v>0</v>
      </c>
      <c r="U134" s="293"/>
      <c r="V134" s="294">
        <v>-40.084388185654007</v>
      </c>
      <c r="W134" s="299"/>
    </row>
    <row r="135" spans="1:23">
      <c r="A135" s="288">
        <v>128</v>
      </c>
      <c r="B135" s="289" t="s">
        <v>793</v>
      </c>
      <c r="C135" s="290" t="s">
        <v>1077</v>
      </c>
      <c r="D135" s="290" t="s">
        <v>64</v>
      </c>
      <c r="E135" s="290" t="s">
        <v>941</v>
      </c>
      <c r="F135" s="290">
        <f t="shared" si="35"/>
        <v>502</v>
      </c>
      <c r="G135" s="337"/>
      <c r="H135" s="290">
        <f t="shared" si="25"/>
        <v>0</v>
      </c>
      <c r="I135" s="291">
        <f>'DETAILED (2)'!I1343</f>
        <v>2</v>
      </c>
      <c r="J135" s="291">
        <f t="shared" si="29"/>
        <v>502</v>
      </c>
      <c r="K135" s="296">
        <f t="shared" si="30"/>
        <v>2</v>
      </c>
      <c r="L135" s="291">
        <f t="shared" si="31"/>
        <v>502</v>
      </c>
      <c r="M135" s="297">
        <f t="shared" si="26"/>
        <v>0</v>
      </c>
      <c r="N135" s="297">
        <f t="shared" si="27"/>
        <v>0</v>
      </c>
      <c r="O135" s="292"/>
      <c r="P135" s="290">
        <f t="shared" si="28"/>
        <v>0</v>
      </c>
      <c r="Q135" s="292">
        <f t="shared" si="55"/>
        <v>0</v>
      </c>
      <c r="R135" s="290">
        <f t="shared" si="56"/>
        <v>0</v>
      </c>
      <c r="S135" s="290">
        <f t="shared" si="33"/>
        <v>0</v>
      </c>
      <c r="T135" s="290">
        <f t="shared" si="34"/>
        <v>0</v>
      </c>
      <c r="U135" s="293"/>
      <c r="V135" s="294">
        <v>-45.905172413793103</v>
      </c>
      <c r="W135" s="299"/>
    </row>
    <row r="136" spans="1:23" ht="130.5">
      <c r="A136" s="288">
        <v>129</v>
      </c>
      <c r="B136" s="289" t="s">
        <v>794</v>
      </c>
      <c r="C136" s="290" t="s">
        <v>1078</v>
      </c>
      <c r="D136" s="290" t="s">
        <v>64</v>
      </c>
      <c r="E136" s="290" t="s">
        <v>942</v>
      </c>
      <c r="F136" s="290">
        <f t="shared" si="35"/>
        <v>69000</v>
      </c>
      <c r="G136" s="337">
        <v>30</v>
      </c>
      <c r="H136" s="290">
        <f t="shared" si="25"/>
        <v>27600</v>
      </c>
      <c r="I136" s="291">
        <f>'DETAILED (2)'!I1381</f>
        <v>30</v>
      </c>
      <c r="J136" s="291">
        <f t="shared" si="29"/>
        <v>27600</v>
      </c>
      <c r="K136" s="296">
        <f t="shared" si="30"/>
        <v>60</v>
      </c>
      <c r="L136" s="291">
        <f t="shared" si="31"/>
        <v>55200</v>
      </c>
      <c r="M136" s="297">
        <f t="shared" si="26"/>
        <v>0</v>
      </c>
      <c r="N136" s="297">
        <f t="shared" si="27"/>
        <v>13800</v>
      </c>
      <c r="O136" s="292"/>
      <c r="P136" s="290">
        <f t="shared" ref="P136:P199" si="57">ROUND(O136*C136,2)</f>
        <v>0</v>
      </c>
      <c r="Q136" s="292">
        <f t="shared" si="55"/>
        <v>15</v>
      </c>
      <c r="R136" s="290">
        <f t="shared" si="56"/>
        <v>13800</v>
      </c>
      <c r="S136" s="290">
        <f t="shared" si="33"/>
        <v>0</v>
      </c>
      <c r="T136" s="290">
        <f t="shared" si="34"/>
        <v>0</v>
      </c>
      <c r="U136" s="293"/>
      <c r="V136" s="294">
        <v>-31.343283582089555</v>
      </c>
      <c r="W136" s="299"/>
    </row>
    <row r="137" spans="1:23" ht="43.5">
      <c r="A137" s="288">
        <v>130</v>
      </c>
      <c r="B137" s="289" t="s">
        <v>53</v>
      </c>
      <c r="C137" s="290" t="s">
        <v>1079</v>
      </c>
      <c r="D137" s="290" t="s">
        <v>64</v>
      </c>
      <c r="E137" s="290" t="s">
        <v>860</v>
      </c>
      <c r="F137" s="290">
        <f t="shared" si="35"/>
        <v>36920</v>
      </c>
      <c r="G137" s="333">
        <v>14</v>
      </c>
      <c r="H137" s="290">
        <f t="shared" si="25"/>
        <v>12922</v>
      </c>
      <c r="I137" s="291">
        <f>'DETAILED (2)'!I1416</f>
        <v>41</v>
      </c>
      <c r="J137" s="291">
        <f t="shared" si="29"/>
        <v>37843</v>
      </c>
      <c r="K137" s="296">
        <f t="shared" si="30"/>
        <v>55</v>
      </c>
      <c r="L137" s="291">
        <f t="shared" si="31"/>
        <v>50765</v>
      </c>
      <c r="M137" s="297">
        <f t="shared" si="26"/>
        <v>13845</v>
      </c>
      <c r="N137" s="297">
        <f t="shared" si="27"/>
        <v>0</v>
      </c>
      <c r="O137" s="292"/>
      <c r="P137" s="290">
        <f t="shared" si="57"/>
        <v>0</v>
      </c>
      <c r="Q137" s="292">
        <f t="shared" si="55"/>
        <v>-15</v>
      </c>
      <c r="R137" s="290">
        <f t="shared" si="56"/>
        <v>-13845</v>
      </c>
      <c r="S137" s="290">
        <f t="shared" si="33"/>
        <v>-13845</v>
      </c>
      <c r="T137" s="290">
        <f t="shared" si="34"/>
        <v>13845</v>
      </c>
      <c r="U137" s="293"/>
      <c r="V137" s="294">
        <v>-31.324404761904763</v>
      </c>
      <c r="W137" s="299"/>
    </row>
    <row r="138" spans="1:23" ht="43.5">
      <c r="A138" s="288">
        <v>131</v>
      </c>
      <c r="B138" s="289" t="s">
        <v>795</v>
      </c>
      <c r="C138" s="290" t="s">
        <v>1080</v>
      </c>
      <c r="D138" s="290" t="s">
        <v>64</v>
      </c>
      <c r="E138" s="290" t="s">
        <v>943</v>
      </c>
      <c r="F138" s="290">
        <f t="shared" ref="F138:F199" si="58">ROUND(C138*E138,2)</f>
        <v>3776</v>
      </c>
      <c r="G138" s="333"/>
      <c r="H138" s="290">
        <f t="shared" si="25"/>
        <v>0</v>
      </c>
      <c r="I138" s="291">
        <f>'DETAILED (2)'!I1421</f>
        <v>2</v>
      </c>
      <c r="J138" s="291">
        <f t="shared" si="29"/>
        <v>1888</v>
      </c>
      <c r="K138" s="296">
        <f t="shared" si="30"/>
        <v>2</v>
      </c>
      <c r="L138" s="291">
        <f t="shared" si="31"/>
        <v>1888</v>
      </c>
      <c r="M138" s="297">
        <f t="shared" si="26"/>
        <v>0</v>
      </c>
      <c r="N138" s="297">
        <f t="shared" si="27"/>
        <v>1888</v>
      </c>
      <c r="O138" s="292"/>
      <c r="P138" s="290">
        <f t="shared" si="57"/>
        <v>0</v>
      </c>
      <c r="Q138" s="292">
        <f t="shared" si="55"/>
        <v>2</v>
      </c>
      <c r="R138" s="290">
        <f t="shared" si="56"/>
        <v>1888</v>
      </c>
      <c r="S138" s="290">
        <f t="shared" si="33"/>
        <v>0</v>
      </c>
      <c r="T138" s="290">
        <f t="shared" si="34"/>
        <v>0</v>
      </c>
      <c r="U138" s="293"/>
      <c r="V138" s="294">
        <v>-31.195335276967928</v>
      </c>
      <c r="W138" s="299"/>
    </row>
    <row r="139" spans="1:23" ht="130.5">
      <c r="A139" s="288">
        <v>132</v>
      </c>
      <c r="B139" s="289" t="s">
        <v>796</v>
      </c>
      <c r="C139" s="290" t="s">
        <v>1081</v>
      </c>
      <c r="D139" s="290" t="s">
        <v>64</v>
      </c>
      <c r="E139" s="290" t="s">
        <v>902</v>
      </c>
      <c r="F139" s="290">
        <f t="shared" si="58"/>
        <v>28920</v>
      </c>
      <c r="G139" s="333">
        <v>14</v>
      </c>
      <c r="H139" s="290">
        <f t="shared" si="25"/>
        <v>13496</v>
      </c>
      <c r="I139" s="291">
        <f>'DETAILED (2)'!I1447</f>
        <v>16</v>
      </c>
      <c r="J139" s="291">
        <f t="shared" si="29"/>
        <v>15424</v>
      </c>
      <c r="K139" s="296">
        <f t="shared" si="30"/>
        <v>30</v>
      </c>
      <c r="L139" s="291">
        <f t="shared" si="31"/>
        <v>28920</v>
      </c>
      <c r="M139" s="297">
        <f t="shared" si="26"/>
        <v>0</v>
      </c>
      <c r="N139" s="297">
        <f t="shared" si="27"/>
        <v>0</v>
      </c>
      <c r="O139" s="292"/>
      <c r="P139" s="290">
        <f t="shared" si="57"/>
        <v>0</v>
      </c>
      <c r="Q139" s="292">
        <f t="shared" si="55"/>
        <v>0</v>
      </c>
      <c r="R139" s="290">
        <f t="shared" si="56"/>
        <v>0</v>
      </c>
      <c r="S139" s="290">
        <f t="shared" si="33"/>
        <v>0</v>
      </c>
      <c r="T139" s="290">
        <f t="shared" si="34"/>
        <v>0</v>
      </c>
      <c r="U139" s="293"/>
      <c r="V139" s="294">
        <v>-31.044349070100139</v>
      </c>
      <c r="W139" s="299"/>
    </row>
    <row r="140" spans="1:23" ht="130.5">
      <c r="A140" s="288">
        <v>133</v>
      </c>
      <c r="B140" s="289" t="s">
        <v>797</v>
      </c>
      <c r="C140" s="290" t="s">
        <v>1082</v>
      </c>
      <c r="D140" s="290" t="s">
        <v>64</v>
      </c>
      <c r="E140" s="290" t="s">
        <v>943</v>
      </c>
      <c r="F140" s="290">
        <f t="shared" si="58"/>
        <v>6824</v>
      </c>
      <c r="G140" s="333"/>
      <c r="H140" s="290">
        <f t="shared" si="25"/>
        <v>0</v>
      </c>
      <c r="I140" s="291">
        <f>'DETAILED (2)'!I1452</f>
        <v>4</v>
      </c>
      <c r="J140" s="291">
        <f t="shared" si="29"/>
        <v>6824</v>
      </c>
      <c r="K140" s="296">
        <f t="shared" si="30"/>
        <v>4</v>
      </c>
      <c r="L140" s="291">
        <f t="shared" si="31"/>
        <v>6824</v>
      </c>
      <c r="M140" s="297">
        <f t="shared" si="26"/>
        <v>0</v>
      </c>
      <c r="N140" s="297">
        <f t="shared" si="27"/>
        <v>0</v>
      </c>
      <c r="O140" s="292"/>
      <c r="P140" s="290">
        <f t="shared" si="57"/>
        <v>0</v>
      </c>
      <c r="Q140" s="292">
        <f t="shared" si="55"/>
        <v>0</v>
      </c>
      <c r="R140" s="290">
        <f t="shared" si="56"/>
        <v>0</v>
      </c>
      <c r="S140" s="290">
        <f t="shared" si="33"/>
        <v>0</v>
      </c>
      <c r="T140" s="290">
        <f t="shared" si="34"/>
        <v>0</v>
      </c>
      <c r="U140" s="293"/>
      <c r="V140" s="294">
        <v>-31.923383878691141</v>
      </c>
      <c r="W140" s="299"/>
    </row>
    <row r="141" spans="1:23" ht="152.25">
      <c r="A141" s="288">
        <v>134</v>
      </c>
      <c r="B141" s="289" t="s">
        <v>798</v>
      </c>
      <c r="C141" s="290" t="s">
        <v>1083</v>
      </c>
      <c r="D141" s="290" t="s">
        <v>64</v>
      </c>
      <c r="E141" s="290" t="s">
        <v>944</v>
      </c>
      <c r="F141" s="290">
        <f t="shared" si="58"/>
        <v>13104</v>
      </c>
      <c r="G141" s="333"/>
      <c r="H141" s="290">
        <f t="shared" si="25"/>
        <v>0</v>
      </c>
      <c r="I141" s="291">
        <f>'DETAILED (2)'!I1481</f>
        <v>28</v>
      </c>
      <c r="J141" s="291">
        <f t="shared" si="29"/>
        <v>13104</v>
      </c>
      <c r="K141" s="296">
        <f t="shared" si="30"/>
        <v>28</v>
      </c>
      <c r="L141" s="291">
        <f t="shared" si="31"/>
        <v>13104</v>
      </c>
      <c r="M141" s="297">
        <f t="shared" si="26"/>
        <v>0</v>
      </c>
      <c r="N141" s="297">
        <f t="shared" si="27"/>
        <v>0</v>
      </c>
      <c r="O141" s="292"/>
      <c r="P141" s="290">
        <f t="shared" si="57"/>
        <v>0</v>
      </c>
      <c r="Q141" s="292">
        <f t="shared" si="55"/>
        <v>0</v>
      </c>
      <c r="R141" s="290">
        <f t="shared" si="56"/>
        <v>0</v>
      </c>
      <c r="S141" s="290">
        <f t="shared" si="33"/>
        <v>0</v>
      </c>
      <c r="T141" s="290">
        <f t="shared" si="34"/>
        <v>0</v>
      </c>
      <c r="U141" s="293"/>
      <c r="V141" s="294">
        <v>-31.976744186046513</v>
      </c>
      <c r="W141" s="299"/>
    </row>
    <row r="142" spans="1:23" ht="152.25">
      <c r="A142" s="288">
        <v>135</v>
      </c>
      <c r="B142" s="289" t="s">
        <v>799</v>
      </c>
      <c r="C142" s="290" t="s">
        <v>1084</v>
      </c>
      <c r="D142" s="290" t="s">
        <v>64</v>
      </c>
      <c r="E142" s="290" t="s">
        <v>940</v>
      </c>
      <c r="F142" s="290">
        <f t="shared" si="58"/>
        <v>28980</v>
      </c>
      <c r="G142" s="333"/>
      <c r="H142" s="290">
        <f t="shared" si="25"/>
        <v>0</v>
      </c>
      <c r="I142" s="291">
        <f>'DETAILED (2)'!I1502</f>
        <v>45</v>
      </c>
      <c r="J142" s="291">
        <f t="shared" si="29"/>
        <v>28980</v>
      </c>
      <c r="K142" s="296">
        <f t="shared" si="30"/>
        <v>45</v>
      </c>
      <c r="L142" s="291">
        <f t="shared" si="31"/>
        <v>28980</v>
      </c>
      <c r="M142" s="297">
        <f t="shared" si="26"/>
        <v>0</v>
      </c>
      <c r="N142" s="297">
        <f t="shared" si="27"/>
        <v>0</v>
      </c>
      <c r="O142" s="292"/>
      <c r="P142" s="290">
        <f t="shared" si="57"/>
        <v>0</v>
      </c>
      <c r="Q142" s="292">
        <f t="shared" si="55"/>
        <v>0</v>
      </c>
      <c r="R142" s="290">
        <f t="shared" si="56"/>
        <v>0</v>
      </c>
      <c r="S142" s="290">
        <f t="shared" si="33"/>
        <v>0</v>
      </c>
      <c r="T142" s="290">
        <f t="shared" si="34"/>
        <v>0</v>
      </c>
      <c r="U142" s="293"/>
      <c r="V142" s="294">
        <v>-30.901287553648071</v>
      </c>
      <c r="W142" s="299"/>
    </row>
    <row r="143" spans="1:23" ht="65.25">
      <c r="A143" s="288">
        <v>136</v>
      </c>
      <c r="B143" s="289" t="s">
        <v>800</v>
      </c>
      <c r="C143" s="290" t="s">
        <v>1085</v>
      </c>
      <c r="D143" s="290" t="s">
        <v>64</v>
      </c>
      <c r="E143" s="290" t="s">
        <v>902</v>
      </c>
      <c r="F143" s="290">
        <f t="shared" si="58"/>
        <v>29160</v>
      </c>
      <c r="G143" s="333"/>
      <c r="H143" s="290">
        <f t="shared" si="25"/>
        <v>0</v>
      </c>
      <c r="I143" s="291">
        <f>'DETAILED (2)'!I1528</f>
        <v>30</v>
      </c>
      <c r="J143" s="291">
        <f t="shared" si="29"/>
        <v>29160</v>
      </c>
      <c r="K143" s="296">
        <f t="shared" si="30"/>
        <v>30</v>
      </c>
      <c r="L143" s="291">
        <f t="shared" si="31"/>
        <v>29160</v>
      </c>
      <c r="M143" s="297">
        <f t="shared" si="26"/>
        <v>0</v>
      </c>
      <c r="N143" s="297">
        <f t="shared" si="27"/>
        <v>0</v>
      </c>
      <c r="O143" s="292"/>
      <c r="P143" s="290">
        <f t="shared" si="57"/>
        <v>0</v>
      </c>
      <c r="Q143" s="292">
        <f t="shared" si="55"/>
        <v>0</v>
      </c>
      <c r="R143" s="290">
        <f t="shared" si="56"/>
        <v>0</v>
      </c>
      <c r="S143" s="290">
        <f t="shared" si="33"/>
        <v>0</v>
      </c>
      <c r="T143" s="290">
        <f t="shared" si="34"/>
        <v>0</v>
      </c>
      <c r="U143" s="293"/>
      <c r="V143" s="294">
        <v>-24.328532502919423</v>
      </c>
      <c r="W143" s="299"/>
    </row>
    <row r="144" spans="1:23" ht="108.75">
      <c r="A144" s="288">
        <v>137</v>
      </c>
      <c r="B144" s="289" t="s">
        <v>801</v>
      </c>
      <c r="C144" s="290" t="s">
        <v>1086</v>
      </c>
      <c r="D144" s="290" t="s">
        <v>65</v>
      </c>
      <c r="E144" s="290" t="s">
        <v>945</v>
      </c>
      <c r="F144" s="290">
        <f t="shared" si="58"/>
        <v>96285</v>
      </c>
      <c r="G144" s="333"/>
      <c r="H144" s="290">
        <f t="shared" si="25"/>
        <v>0</v>
      </c>
      <c r="I144" s="291">
        <f>'DETAILED (2)'!I1547</f>
        <v>562</v>
      </c>
      <c r="J144" s="291">
        <f t="shared" si="29"/>
        <v>73622</v>
      </c>
      <c r="K144" s="296">
        <f t="shared" si="30"/>
        <v>562</v>
      </c>
      <c r="L144" s="291">
        <f t="shared" si="31"/>
        <v>73622</v>
      </c>
      <c r="M144" s="297">
        <f t="shared" si="26"/>
        <v>0</v>
      </c>
      <c r="N144" s="297">
        <f t="shared" si="27"/>
        <v>22663</v>
      </c>
      <c r="O144" s="292">
        <f t="shared" ref="O144" si="59">ROUND(K144-E144,2)</f>
        <v>-173</v>
      </c>
      <c r="P144" s="290">
        <f t="shared" si="57"/>
        <v>-22663</v>
      </c>
      <c r="Q144" s="292">
        <f t="shared" si="55"/>
        <v>173</v>
      </c>
      <c r="R144" s="290">
        <f t="shared" si="56"/>
        <v>22663</v>
      </c>
      <c r="S144" s="290">
        <f t="shared" si="33"/>
        <v>-22663</v>
      </c>
      <c r="T144" s="290">
        <f t="shared" si="34"/>
        <v>0</v>
      </c>
      <c r="U144" s="293"/>
      <c r="V144" s="294">
        <v>-29.946524064171122</v>
      </c>
      <c r="W144" s="299"/>
    </row>
    <row r="145" spans="1:23" ht="43.5">
      <c r="A145" s="288">
        <v>138</v>
      </c>
      <c r="B145" s="289" t="s">
        <v>802</v>
      </c>
      <c r="C145" s="290" t="s">
        <v>1032</v>
      </c>
      <c r="D145" s="290" t="s">
        <v>64</v>
      </c>
      <c r="E145" s="290" t="s">
        <v>895</v>
      </c>
      <c r="F145" s="290">
        <f t="shared" si="58"/>
        <v>831</v>
      </c>
      <c r="G145" s="333"/>
      <c r="H145" s="290">
        <f t="shared" si="25"/>
        <v>0</v>
      </c>
      <c r="I145" s="291">
        <f>'DETAILED (2)'!I1550</f>
        <v>1</v>
      </c>
      <c r="J145" s="291">
        <f t="shared" si="29"/>
        <v>831</v>
      </c>
      <c r="K145" s="296">
        <f t="shared" si="30"/>
        <v>1</v>
      </c>
      <c r="L145" s="291">
        <f t="shared" si="31"/>
        <v>831</v>
      </c>
      <c r="M145" s="297">
        <f t="shared" si="26"/>
        <v>0</v>
      </c>
      <c r="N145" s="297">
        <f t="shared" si="27"/>
        <v>0</v>
      </c>
      <c r="O145" s="292"/>
      <c r="P145" s="290">
        <f t="shared" si="57"/>
        <v>0</v>
      </c>
      <c r="Q145" s="292">
        <f t="shared" si="55"/>
        <v>0</v>
      </c>
      <c r="R145" s="290">
        <f t="shared" si="56"/>
        <v>0</v>
      </c>
      <c r="S145" s="290">
        <f t="shared" si="33"/>
        <v>0</v>
      </c>
      <c r="T145" s="290">
        <f t="shared" si="34"/>
        <v>0</v>
      </c>
      <c r="U145" s="293"/>
      <c r="V145" s="294">
        <v>-28.974358974358978</v>
      </c>
      <c r="W145" s="299"/>
    </row>
    <row r="146" spans="1:23" ht="43.5">
      <c r="A146" s="288">
        <v>139</v>
      </c>
      <c r="B146" s="289" t="s">
        <v>803</v>
      </c>
      <c r="C146" s="290" t="s">
        <v>1087</v>
      </c>
      <c r="D146" s="290" t="s">
        <v>64</v>
      </c>
      <c r="E146" s="290" t="s">
        <v>883</v>
      </c>
      <c r="F146" s="290">
        <f t="shared" si="58"/>
        <v>17000</v>
      </c>
      <c r="G146" s="337"/>
      <c r="H146" s="290">
        <f t="shared" si="25"/>
        <v>0</v>
      </c>
      <c r="I146" s="291">
        <f>'DETAILED (2)'!I1553</f>
        <v>8</v>
      </c>
      <c r="J146" s="291">
        <f t="shared" si="29"/>
        <v>17000</v>
      </c>
      <c r="K146" s="296">
        <f t="shared" si="30"/>
        <v>8</v>
      </c>
      <c r="L146" s="291">
        <f t="shared" si="31"/>
        <v>17000</v>
      </c>
      <c r="M146" s="297">
        <f t="shared" si="26"/>
        <v>0</v>
      </c>
      <c r="N146" s="297">
        <f t="shared" si="27"/>
        <v>0</v>
      </c>
      <c r="O146" s="292"/>
      <c r="P146" s="290">
        <f t="shared" si="57"/>
        <v>0</v>
      </c>
      <c r="Q146" s="292">
        <f t="shared" si="55"/>
        <v>0</v>
      </c>
      <c r="R146" s="290">
        <f t="shared" si="56"/>
        <v>0</v>
      </c>
      <c r="S146" s="290">
        <f t="shared" si="33"/>
        <v>0</v>
      </c>
      <c r="T146" s="290">
        <f t="shared" si="34"/>
        <v>0</v>
      </c>
      <c r="U146" s="293"/>
      <c r="V146" s="294">
        <v>-29.003374427850719</v>
      </c>
      <c r="W146" s="299"/>
    </row>
    <row r="147" spans="1:23" ht="108.75">
      <c r="A147" s="288">
        <v>140</v>
      </c>
      <c r="B147" s="289" t="s">
        <v>804</v>
      </c>
      <c r="C147" s="290" t="s">
        <v>1088</v>
      </c>
      <c r="D147" s="290" t="s">
        <v>65</v>
      </c>
      <c r="E147" s="290" t="s">
        <v>946</v>
      </c>
      <c r="F147" s="290">
        <f t="shared" si="58"/>
        <v>20150</v>
      </c>
      <c r="G147" s="333"/>
      <c r="H147" s="290">
        <f t="shared" si="25"/>
        <v>0</v>
      </c>
      <c r="I147" s="291">
        <f>'DETAILED (2)'!I1560</f>
        <v>130</v>
      </c>
      <c r="J147" s="291">
        <f t="shared" si="29"/>
        <v>20150</v>
      </c>
      <c r="K147" s="296">
        <f t="shared" si="30"/>
        <v>130</v>
      </c>
      <c r="L147" s="291">
        <f t="shared" si="31"/>
        <v>20150</v>
      </c>
      <c r="M147" s="297">
        <f t="shared" si="26"/>
        <v>0</v>
      </c>
      <c r="N147" s="297">
        <f t="shared" si="27"/>
        <v>0</v>
      </c>
      <c r="O147" s="292"/>
      <c r="P147" s="290">
        <f t="shared" si="57"/>
        <v>0</v>
      </c>
      <c r="Q147" s="292">
        <f t="shared" si="55"/>
        <v>0</v>
      </c>
      <c r="R147" s="290">
        <f t="shared" si="56"/>
        <v>0</v>
      </c>
      <c r="S147" s="290">
        <f t="shared" si="33"/>
        <v>0</v>
      </c>
      <c r="T147" s="290">
        <f t="shared" si="34"/>
        <v>0</v>
      </c>
      <c r="U147" s="293"/>
      <c r="V147" s="294">
        <v>-29.223744292237441</v>
      </c>
      <c r="W147" s="299"/>
    </row>
    <row r="148" spans="1:23" ht="43.5">
      <c r="A148" s="288">
        <v>141</v>
      </c>
      <c r="B148" s="289" t="s">
        <v>805</v>
      </c>
      <c r="C148" s="290" t="s">
        <v>1089</v>
      </c>
      <c r="D148" s="290" t="s">
        <v>65</v>
      </c>
      <c r="E148" s="290" t="s">
        <v>947</v>
      </c>
      <c r="F148" s="290">
        <f t="shared" si="58"/>
        <v>1240</v>
      </c>
      <c r="G148" s="333"/>
      <c r="H148" s="290">
        <f t="shared" si="25"/>
        <v>0</v>
      </c>
      <c r="I148" s="291">
        <f>'DETAILED (2)'!I1563</f>
        <v>10</v>
      </c>
      <c r="J148" s="291">
        <f t="shared" si="29"/>
        <v>1240</v>
      </c>
      <c r="K148" s="296">
        <f t="shared" si="30"/>
        <v>10</v>
      </c>
      <c r="L148" s="291">
        <f t="shared" si="31"/>
        <v>1240</v>
      </c>
      <c r="M148" s="297">
        <f t="shared" si="26"/>
        <v>0</v>
      </c>
      <c r="N148" s="297">
        <f t="shared" si="27"/>
        <v>0</v>
      </c>
      <c r="O148" s="292"/>
      <c r="P148" s="290">
        <f t="shared" si="57"/>
        <v>0</v>
      </c>
      <c r="Q148" s="292">
        <f t="shared" si="55"/>
        <v>0</v>
      </c>
      <c r="R148" s="290">
        <f t="shared" si="56"/>
        <v>0</v>
      </c>
      <c r="S148" s="290">
        <f t="shared" si="33"/>
        <v>0</v>
      </c>
      <c r="T148" s="290">
        <f t="shared" si="34"/>
        <v>0</v>
      </c>
      <c r="U148" s="293"/>
      <c r="V148" s="294">
        <v>-24.848484848484848</v>
      </c>
      <c r="W148" s="299"/>
    </row>
    <row r="149" spans="1:23" ht="43.5">
      <c r="A149" s="288">
        <v>142</v>
      </c>
      <c r="B149" s="289" t="s">
        <v>806</v>
      </c>
      <c r="C149" s="290" t="s">
        <v>1090</v>
      </c>
      <c r="D149" s="290" t="s">
        <v>63</v>
      </c>
      <c r="E149" s="290" t="s">
        <v>948</v>
      </c>
      <c r="F149" s="290">
        <f t="shared" si="58"/>
        <v>3112.6</v>
      </c>
      <c r="G149" s="333"/>
      <c r="H149" s="290">
        <f t="shared" si="25"/>
        <v>0</v>
      </c>
      <c r="I149" s="291">
        <f>'DETAILED (2)'!I1568</f>
        <v>14.47</v>
      </c>
      <c r="J149" s="291">
        <f t="shared" si="29"/>
        <v>2286.2600000000002</v>
      </c>
      <c r="K149" s="296">
        <f t="shared" si="30"/>
        <v>14.47</v>
      </c>
      <c r="L149" s="291">
        <f t="shared" si="31"/>
        <v>2286.2600000000002</v>
      </c>
      <c r="M149" s="297">
        <f t="shared" si="26"/>
        <v>0</v>
      </c>
      <c r="N149" s="297">
        <f t="shared" si="27"/>
        <v>826.33999999999969</v>
      </c>
      <c r="O149" s="292"/>
      <c r="P149" s="290">
        <f t="shared" si="57"/>
        <v>0</v>
      </c>
      <c r="Q149" s="292">
        <f t="shared" si="55"/>
        <v>5.23</v>
      </c>
      <c r="R149" s="290">
        <f t="shared" si="56"/>
        <v>826.34</v>
      </c>
      <c r="S149" s="290">
        <f t="shared" si="33"/>
        <v>0</v>
      </c>
      <c r="T149" s="290">
        <f t="shared" si="34"/>
        <v>0</v>
      </c>
      <c r="U149" s="293"/>
      <c r="V149" s="294">
        <v>-31.696351374719001</v>
      </c>
      <c r="W149" s="299"/>
    </row>
    <row r="150" spans="1:23" ht="108.75">
      <c r="A150" s="288">
        <v>143</v>
      </c>
      <c r="B150" s="289" t="s">
        <v>807</v>
      </c>
      <c r="C150" s="290" t="s">
        <v>1091</v>
      </c>
      <c r="D150" s="290" t="s">
        <v>65</v>
      </c>
      <c r="E150" s="290" t="s">
        <v>949</v>
      </c>
      <c r="F150" s="290">
        <f t="shared" si="58"/>
        <v>19740</v>
      </c>
      <c r="G150" s="333"/>
      <c r="H150" s="290">
        <f t="shared" si="25"/>
        <v>0</v>
      </c>
      <c r="I150" s="291">
        <f>'DETAILED (2)'!I1575</f>
        <v>70</v>
      </c>
      <c r="J150" s="291">
        <f t="shared" si="29"/>
        <v>19740</v>
      </c>
      <c r="K150" s="296">
        <f t="shared" si="30"/>
        <v>70</v>
      </c>
      <c r="L150" s="291">
        <f t="shared" si="31"/>
        <v>19740</v>
      </c>
      <c r="M150" s="297">
        <f t="shared" si="26"/>
        <v>0</v>
      </c>
      <c r="N150" s="297">
        <f t="shared" si="27"/>
        <v>0</v>
      </c>
      <c r="O150" s="292"/>
      <c r="P150" s="290">
        <f t="shared" si="57"/>
        <v>0</v>
      </c>
      <c r="Q150" s="292">
        <f t="shared" si="55"/>
        <v>0</v>
      </c>
      <c r="R150" s="290">
        <f t="shared" si="56"/>
        <v>0</v>
      </c>
      <c r="S150" s="290">
        <f t="shared" si="33"/>
        <v>0</v>
      </c>
      <c r="T150" s="290">
        <f t="shared" si="34"/>
        <v>0</v>
      </c>
      <c r="U150" s="293"/>
      <c r="V150" s="294">
        <v>-30.024813895781637</v>
      </c>
      <c r="W150" s="299"/>
    </row>
    <row r="151" spans="1:23" ht="43.5">
      <c r="A151" s="288">
        <v>144</v>
      </c>
      <c r="B151" s="289" t="s">
        <v>808</v>
      </c>
      <c r="C151" s="290" t="s">
        <v>215</v>
      </c>
      <c r="D151" s="290" t="s">
        <v>64</v>
      </c>
      <c r="E151" s="290" t="s">
        <v>950</v>
      </c>
      <c r="F151" s="290">
        <f t="shared" si="58"/>
        <v>13992</v>
      </c>
      <c r="G151" s="333"/>
      <c r="H151" s="290">
        <f t="shared" si="25"/>
        <v>0</v>
      </c>
      <c r="I151" s="291">
        <f>'DETAILED (2)'!I1581</f>
        <v>10</v>
      </c>
      <c r="J151" s="291">
        <f t="shared" si="29"/>
        <v>12720</v>
      </c>
      <c r="K151" s="296">
        <f t="shared" si="30"/>
        <v>10</v>
      </c>
      <c r="L151" s="291">
        <f t="shared" si="31"/>
        <v>12720</v>
      </c>
      <c r="M151" s="297">
        <f t="shared" si="26"/>
        <v>0</v>
      </c>
      <c r="N151" s="297">
        <f t="shared" si="27"/>
        <v>1272</v>
      </c>
      <c r="O151" s="292"/>
      <c r="P151" s="290">
        <f t="shared" si="57"/>
        <v>0</v>
      </c>
      <c r="Q151" s="292">
        <f t="shared" si="55"/>
        <v>1</v>
      </c>
      <c r="R151" s="290">
        <f t="shared" si="56"/>
        <v>1272</v>
      </c>
      <c r="S151" s="290">
        <f t="shared" si="33"/>
        <v>0</v>
      </c>
      <c r="T151" s="290">
        <f t="shared" si="34"/>
        <v>0</v>
      </c>
      <c r="U151" s="293"/>
      <c r="V151" s="294">
        <v>-28.054298642533936</v>
      </c>
      <c r="W151" s="299"/>
    </row>
    <row r="152" spans="1:23" ht="65.25">
      <c r="A152" s="288">
        <v>145</v>
      </c>
      <c r="B152" s="289" t="s">
        <v>809</v>
      </c>
      <c r="C152" s="290" t="s">
        <v>1092</v>
      </c>
      <c r="D152" s="290" t="s">
        <v>64</v>
      </c>
      <c r="E152" s="290" t="s">
        <v>943</v>
      </c>
      <c r="F152" s="290">
        <f t="shared" si="58"/>
        <v>25268</v>
      </c>
      <c r="G152" s="333"/>
      <c r="H152" s="290">
        <f t="shared" si="25"/>
        <v>0</v>
      </c>
      <c r="I152" s="291">
        <f>'DETAILED (2)'!I1584</f>
        <v>4</v>
      </c>
      <c r="J152" s="291">
        <f t="shared" si="29"/>
        <v>25268</v>
      </c>
      <c r="K152" s="296">
        <f t="shared" si="30"/>
        <v>4</v>
      </c>
      <c r="L152" s="291">
        <f t="shared" si="31"/>
        <v>25268</v>
      </c>
      <c r="M152" s="297">
        <f t="shared" si="26"/>
        <v>0</v>
      </c>
      <c r="N152" s="297">
        <f t="shared" si="27"/>
        <v>0</v>
      </c>
      <c r="O152" s="292"/>
      <c r="P152" s="290">
        <f t="shared" si="57"/>
        <v>0</v>
      </c>
      <c r="Q152" s="292">
        <f t="shared" si="55"/>
        <v>0</v>
      </c>
      <c r="R152" s="290">
        <f t="shared" si="56"/>
        <v>0</v>
      </c>
      <c r="S152" s="290">
        <f t="shared" si="33"/>
        <v>0</v>
      </c>
      <c r="T152" s="290">
        <f t="shared" si="34"/>
        <v>0</v>
      </c>
      <c r="U152" s="293"/>
      <c r="V152" s="294">
        <v>-25.348617348144646</v>
      </c>
      <c r="W152" s="299"/>
    </row>
    <row r="153" spans="1:23" ht="65.25">
      <c r="A153" s="288">
        <v>146</v>
      </c>
      <c r="B153" s="289" t="s">
        <v>810</v>
      </c>
      <c r="C153" s="290" t="s">
        <v>1093</v>
      </c>
      <c r="D153" s="290" t="s">
        <v>64</v>
      </c>
      <c r="E153" s="290" t="s">
        <v>895</v>
      </c>
      <c r="F153" s="290">
        <f t="shared" si="58"/>
        <v>6544</v>
      </c>
      <c r="G153" s="337"/>
      <c r="H153" s="290">
        <f t="shared" si="25"/>
        <v>0</v>
      </c>
      <c r="I153" s="291">
        <f>'DETAILED (2)'!I1587</f>
        <v>1</v>
      </c>
      <c r="J153" s="291">
        <f t="shared" si="29"/>
        <v>6544</v>
      </c>
      <c r="K153" s="296">
        <f t="shared" si="30"/>
        <v>1</v>
      </c>
      <c r="L153" s="291">
        <f t="shared" si="31"/>
        <v>6544</v>
      </c>
      <c r="M153" s="297">
        <f t="shared" si="26"/>
        <v>0</v>
      </c>
      <c r="N153" s="297">
        <f t="shared" si="27"/>
        <v>0</v>
      </c>
      <c r="O153" s="292"/>
      <c r="P153" s="290">
        <f t="shared" si="57"/>
        <v>0</v>
      </c>
      <c r="Q153" s="292">
        <f t="shared" si="55"/>
        <v>0</v>
      </c>
      <c r="R153" s="290">
        <f t="shared" si="56"/>
        <v>0</v>
      </c>
      <c r="S153" s="290">
        <f t="shared" si="33"/>
        <v>0</v>
      </c>
      <c r="T153" s="290">
        <f t="shared" si="34"/>
        <v>0</v>
      </c>
      <c r="U153" s="293"/>
      <c r="V153" s="294">
        <v>-32.939413875720668</v>
      </c>
      <c r="W153" s="299"/>
    </row>
    <row r="154" spans="1:23" ht="108.75">
      <c r="A154" s="288">
        <v>147</v>
      </c>
      <c r="B154" s="289" t="s">
        <v>811</v>
      </c>
      <c r="C154" s="290" t="s">
        <v>1094</v>
      </c>
      <c r="D154" s="290" t="s">
        <v>64</v>
      </c>
      <c r="E154" s="290" t="s">
        <v>895</v>
      </c>
      <c r="F154" s="290">
        <f t="shared" si="58"/>
        <v>21287</v>
      </c>
      <c r="G154" s="337"/>
      <c r="H154" s="290">
        <f t="shared" si="25"/>
        <v>0</v>
      </c>
      <c r="I154" s="291">
        <f>'DETAILED (2)'!I1590</f>
        <v>1</v>
      </c>
      <c r="J154" s="291">
        <f t="shared" si="29"/>
        <v>21287</v>
      </c>
      <c r="K154" s="296">
        <f t="shared" si="30"/>
        <v>1</v>
      </c>
      <c r="L154" s="291">
        <f t="shared" si="31"/>
        <v>21287</v>
      </c>
      <c r="M154" s="297">
        <f t="shared" si="26"/>
        <v>0</v>
      </c>
      <c r="N154" s="297">
        <f t="shared" si="27"/>
        <v>0</v>
      </c>
      <c r="O154" s="292"/>
      <c r="P154" s="290">
        <f t="shared" si="57"/>
        <v>0</v>
      </c>
      <c r="Q154" s="292">
        <f t="shared" si="55"/>
        <v>0</v>
      </c>
      <c r="R154" s="290">
        <f t="shared" si="56"/>
        <v>0</v>
      </c>
      <c r="S154" s="290">
        <f t="shared" si="33"/>
        <v>0</v>
      </c>
      <c r="T154" s="290">
        <f t="shared" si="34"/>
        <v>0</v>
      </c>
      <c r="U154" s="293"/>
      <c r="V154" s="294">
        <v>-25.774957285818889</v>
      </c>
      <c r="W154" s="299"/>
    </row>
    <row r="155" spans="1:23" ht="174">
      <c r="A155" s="288">
        <v>148</v>
      </c>
      <c r="B155" s="289" t="s">
        <v>812</v>
      </c>
      <c r="C155" s="290" t="s">
        <v>1095</v>
      </c>
      <c r="D155" s="290" t="s">
        <v>64</v>
      </c>
      <c r="E155" s="290" t="s">
        <v>943</v>
      </c>
      <c r="F155" s="290">
        <f t="shared" si="58"/>
        <v>23064</v>
      </c>
      <c r="G155" s="333"/>
      <c r="H155" s="290">
        <f t="shared" si="25"/>
        <v>0</v>
      </c>
      <c r="I155" s="291">
        <f>'DETAILED (2)'!I1593</f>
        <v>4</v>
      </c>
      <c r="J155" s="291">
        <f t="shared" si="29"/>
        <v>23064</v>
      </c>
      <c r="K155" s="296">
        <f t="shared" si="30"/>
        <v>4</v>
      </c>
      <c r="L155" s="291">
        <f t="shared" si="31"/>
        <v>23064</v>
      </c>
      <c r="M155" s="297">
        <f t="shared" si="26"/>
        <v>0</v>
      </c>
      <c r="N155" s="297">
        <f t="shared" si="27"/>
        <v>0</v>
      </c>
      <c r="O155" s="292"/>
      <c r="P155" s="290">
        <f t="shared" si="57"/>
        <v>0</v>
      </c>
      <c r="Q155" s="292">
        <f t="shared" si="55"/>
        <v>0</v>
      </c>
      <c r="R155" s="290">
        <f t="shared" si="56"/>
        <v>0</v>
      </c>
      <c r="S155" s="290">
        <f t="shared" si="33"/>
        <v>0</v>
      </c>
      <c r="T155" s="290">
        <f t="shared" si="34"/>
        <v>0</v>
      </c>
      <c r="V155" s="294">
        <v>-23.548130469371522</v>
      </c>
      <c r="W155" s="299"/>
    </row>
    <row r="156" spans="1:23" ht="43.5">
      <c r="A156" s="288">
        <v>149</v>
      </c>
      <c r="B156" s="289" t="s">
        <v>813</v>
      </c>
      <c r="C156" s="290" t="s">
        <v>1096</v>
      </c>
      <c r="D156" s="290" t="s">
        <v>969</v>
      </c>
      <c r="E156" s="290" t="s">
        <v>883</v>
      </c>
      <c r="F156" s="290">
        <f t="shared" si="58"/>
        <v>592</v>
      </c>
      <c r="G156" s="337"/>
      <c r="H156" s="290">
        <f t="shared" si="25"/>
        <v>0</v>
      </c>
      <c r="I156" s="291">
        <f>'DETAILED (2)'!I1596</f>
        <v>8</v>
      </c>
      <c r="J156" s="291">
        <f t="shared" si="29"/>
        <v>592</v>
      </c>
      <c r="K156" s="296">
        <f t="shared" si="30"/>
        <v>8</v>
      </c>
      <c r="L156" s="291">
        <f t="shared" si="31"/>
        <v>592</v>
      </c>
      <c r="M156" s="297">
        <f t="shared" si="26"/>
        <v>0</v>
      </c>
      <c r="N156" s="297">
        <f t="shared" si="27"/>
        <v>0</v>
      </c>
      <c r="O156" s="292">
        <f t="shared" ref="O156:O157" si="60">ROUND(K156-E156,2)</f>
        <v>0</v>
      </c>
      <c r="P156" s="290">
        <f t="shared" si="57"/>
        <v>0</v>
      </c>
      <c r="Q156" s="292"/>
      <c r="R156" s="290">
        <f t="shared" si="56"/>
        <v>0</v>
      </c>
      <c r="S156" s="290">
        <f t="shared" si="33"/>
        <v>0</v>
      </c>
      <c r="T156" s="290">
        <f t="shared" si="34"/>
        <v>0</v>
      </c>
      <c r="U156" s="293"/>
      <c r="V156" s="294">
        <v>-26</v>
      </c>
      <c r="W156" s="299"/>
    </row>
    <row r="157" spans="1:23" ht="65.25">
      <c r="A157" s="288">
        <v>150</v>
      </c>
      <c r="B157" s="289" t="s">
        <v>814</v>
      </c>
      <c r="C157" s="290" t="s">
        <v>1097</v>
      </c>
      <c r="D157" s="290" t="s">
        <v>969</v>
      </c>
      <c r="E157" s="290" t="s">
        <v>947</v>
      </c>
      <c r="F157" s="290">
        <f t="shared" si="58"/>
        <v>1150</v>
      </c>
      <c r="G157" s="337"/>
      <c r="H157" s="290">
        <f t="shared" si="25"/>
        <v>0</v>
      </c>
      <c r="I157" s="291">
        <f>'DETAILED (2)'!I1599</f>
        <v>10</v>
      </c>
      <c r="J157" s="291">
        <f t="shared" si="29"/>
        <v>1150</v>
      </c>
      <c r="K157" s="296">
        <f t="shared" si="30"/>
        <v>10</v>
      </c>
      <c r="L157" s="291">
        <f t="shared" si="31"/>
        <v>1150</v>
      </c>
      <c r="M157" s="297">
        <f t="shared" si="26"/>
        <v>0</v>
      </c>
      <c r="N157" s="297">
        <f t="shared" si="27"/>
        <v>0</v>
      </c>
      <c r="O157" s="292">
        <f t="shared" si="60"/>
        <v>0</v>
      </c>
      <c r="P157" s="290">
        <f t="shared" si="57"/>
        <v>0</v>
      </c>
      <c r="Q157" s="292">
        <f t="shared" ref="Q157:Q199" si="61">ROUND(E157-K157,2)</f>
        <v>0</v>
      </c>
      <c r="R157" s="290">
        <f t="shared" si="56"/>
        <v>0</v>
      </c>
      <c r="S157" s="290">
        <f t="shared" si="33"/>
        <v>0</v>
      </c>
      <c r="T157" s="290">
        <f t="shared" si="34"/>
        <v>0</v>
      </c>
      <c r="U157" s="293"/>
      <c r="V157" s="294">
        <v>-25.806451612903224</v>
      </c>
      <c r="W157" s="299"/>
    </row>
    <row r="158" spans="1:23" ht="43.5">
      <c r="A158" s="288">
        <v>151</v>
      </c>
      <c r="B158" s="289" t="s">
        <v>815</v>
      </c>
      <c r="C158" s="290" t="s">
        <v>1061</v>
      </c>
      <c r="D158" s="290" t="s">
        <v>63</v>
      </c>
      <c r="E158" s="290" t="s">
        <v>951</v>
      </c>
      <c r="F158" s="290">
        <f t="shared" si="58"/>
        <v>150088.79999999999</v>
      </c>
      <c r="G158" s="337"/>
      <c r="H158" s="290">
        <f>ROUND(C158*G158,2)</f>
        <v>0</v>
      </c>
      <c r="I158" s="291">
        <f>'DETAILED (2)'!I1621</f>
        <v>1366.33</v>
      </c>
      <c r="J158" s="291">
        <f t="shared" si="29"/>
        <v>188553.53999999998</v>
      </c>
      <c r="K158" s="296">
        <f t="shared" si="30"/>
        <v>1366.33</v>
      </c>
      <c r="L158" s="291">
        <f t="shared" si="31"/>
        <v>188553.53999999998</v>
      </c>
      <c r="M158" s="297">
        <f t="shared" si="26"/>
        <v>38464.739999999991</v>
      </c>
      <c r="N158" s="297">
        <f t="shared" si="27"/>
        <v>0</v>
      </c>
      <c r="O158" s="292"/>
      <c r="P158" s="290">
        <f t="shared" si="57"/>
        <v>0</v>
      </c>
      <c r="Q158" s="292">
        <f t="shared" si="61"/>
        <v>-278.73</v>
      </c>
      <c r="R158" s="290">
        <f t="shared" si="56"/>
        <v>-38464.74</v>
      </c>
      <c r="S158" s="290">
        <f t="shared" si="33"/>
        <v>-38464.739999999991</v>
      </c>
      <c r="T158" s="290">
        <f t="shared" si="34"/>
        <v>38464.74</v>
      </c>
      <c r="U158" s="293"/>
      <c r="V158" s="294">
        <v>-32.299843014128733</v>
      </c>
      <c r="W158" s="299"/>
    </row>
    <row r="159" spans="1:23" ht="65.25">
      <c r="A159" s="288">
        <v>152</v>
      </c>
      <c r="B159" s="289" t="s">
        <v>816</v>
      </c>
      <c r="C159" s="290" t="s">
        <v>1098</v>
      </c>
      <c r="D159" s="290" t="s">
        <v>64</v>
      </c>
      <c r="E159" s="290" t="s">
        <v>952</v>
      </c>
      <c r="F159" s="290">
        <f t="shared" si="58"/>
        <v>26091</v>
      </c>
      <c r="G159" s="333"/>
      <c r="H159" s="290">
        <f>ROUND(C159*G159,2)</f>
        <v>0</v>
      </c>
      <c r="I159" s="291">
        <f>'DETAILED (2)'!I1629</f>
        <v>17</v>
      </c>
      <c r="J159" s="291">
        <f t="shared" si="29"/>
        <v>34119</v>
      </c>
      <c r="K159" s="296">
        <f t="shared" si="30"/>
        <v>17</v>
      </c>
      <c r="L159" s="291">
        <f t="shared" si="31"/>
        <v>34119</v>
      </c>
      <c r="M159" s="297">
        <f t="shared" si="26"/>
        <v>8028</v>
      </c>
      <c r="N159" s="297">
        <f t="shared" si="27"/>
        <v>0</v>
      </c>
      <c r="O159" s="292"/>
      <c r="P159" s="290">
        <f t="shared" si="57"/>
        <v>0</v>
      </c>
      <c r="Q159" s="292">
        <f t="shared" si="61"/>
        <v>-4</v>
      </c>
      <c r="R159" s="290">
        <f t="shared" si="56"/>
        <v>-8028</v>
      </c>
      <c r="S159" s="290">
        <f t="shared" si="33"/>
        <v>-8028</v>
      </c>
      <c r="T159" s="290">
        <f t="shared" si="34"/>
        <v>8028</v>
      </c>
      <c r="U159" s="293"/>
      <c r="V159" s="294">
        <v>-24.264150943396228</v>
      </c>
      <c r="W159" s="299"/>
    </row>
    <row r="160" spans="1:23" ht="43.5">
      <c r="A160" s="288">
        <v>153</v>
      </c>
      <c r="B160" s="289" t="s">
        <v>817</v>
      </c>
      <c r="C160" s="290" t="s">
        <v>1099</v>
      </c>
      <c r="D160" s="290" t="s">
        <v>64</v>
      </c>
      <c r="E160" s="290" t="s">
        <v>898</v>
      </c>
      <c r="F160" s="290">
        <f t="shared" si="58"/>
        <v>3069</v>
      </c>
      <c r="G160" s="333"/>
      <c r="H160" s="290">
        <f>ROUND(C160*G160,2)</f>
        <v>0</v>
      </c>
      <c r="I160" s="291">
        <f>'DETAILED (2)'!I1632</f>
        <v>13</v>
      </c>
      <c r="J160" s="291">
        <f t="shared" si="29"/>
        <v>4433</v>
      </c>
      <c r="K160" s="296">
        <f t="shared" si="30"/>
        <v>13</v>
      </c>
      <c r="L160" s="291">
        <f t="shared" si="31"/>
        <v>4433</v>
      </c>
      <c r="M160" s="297">
        <f t="shared" si="26"/>
        <v>1364</v>
      </c>
      <c r="N160" s="297">
        <f t="shared" si="27"/>
        <v>0</v>
      </c>
      <c r="O160" s="292"/>
      <c r="P160" s="290">
        <f t="shared" si="57"/>
        <v>0</v>
      </c>
      <c r="Q160" s="292">
        <f t="shared" si="61"/>
        <v>-4</v>
      </c>
      <c r="R160" s="290">
        <f t="shared" si="56"/>
        <v>-1364</v>
      </c>
      <c r="S160" s="290">
        <f t="shared" si="33"/>
        <v>-1364</v>
      </c>
      <c r="T160" s="290">
        <f t="shared" si="34"/>
        <v>1364</v>
      </c>
      <c r="U160" s="293"/>
      <c r="V160" s="294">
        <v>-23.542600896860989</v>
      </c>
      <c r="W160" s="299"/>
    </row>
    <row r="161" spans="1:23" ht="43.5">
      <c r="A161" s="288">
        <v>154</v>
      </c>
      <c r="B161" s="289" t="s">
        <v>818</v>
      </c>
      <c r="C161" s="290" t="s">
        <v>1100</v>
      </c>
      <c r="D161" s="290" t="s">
        <v>66</v>
      </c>
      <c r="E161" s="290" t="s">
        <v>953</v>
      </c>
      <c r="F161" s="290">
        <f t="shared" si="58"/>
        <v>6749.94</v>
      </c>
      <c r="G161" s="333"/>
      <c r="H161" s="290">
        <f>ROUND(C161*G161,2)</f>
        <v>0</v>
      </c>
      <c r="I161" s="291">
        <f>'DETAILED (2)'!I917</f>
        <v>6.2427130000000002</v>
      </c>
      <c r="J161" s="291">
        <f t="shared" si="29"/>
        <v>11030.873871</v>
      </c>
      <c r="K161" s="296">
        <f t="shared" si="30"/>
        <v>6.2427130000000002</v>
      </c>
      <c r="L161" s="291">
        <f t="shared" si="31"/>
        <v>11030.873871</v>
      </c>
      <c r="M161" s="297">
        <f t="shared" si="26"/>
        <v>4280.9338710000002</v>
      </c>
      <c r="N161" s="297">
        <f t="shared" si="27"/>
        <v>0</v>
      </c>
      <c r="O161" s="292"/>
      <c r="P161" s="290">
        <f t="shared" si="57"/>
        <v>0</v>
      </c>
      <c r="Q161" s="292">
        <f t="shared" si="61"/>
        <v>-2.42</v>
      </c>
      <c r="R161" s="290">
        <f t="shared" si="56"/>
        <v>-4276.1400000000003</v>
      </c>
      <c r="S161" s="290">
        <f t="shared" si="33"/>
        <v>-4280.9338710000002</v>
      </c>
      <c r="T161" s="290">
        <f t="shared" si="34"/>
        <v>4276.1400000000003</v>
      </c>
      <c r="U161" s="293"/>
      <c r="V161" s="294">
        <v>-31.151373465809467</v>
      </c>
      <c r="W161" s="299"/>
    </row>
    <row r="162" spans="1:23" ht="65.25">
      <c r="A162" s="288">
        <v>155</v>
      </c>
      <c r="B162" s="289" t="s">
        <v>819</v>
      </c>
      <c r="C162" s="290" t="s">
        <v>1101</v>
      </c>
      <c r="D162" s="290" t="s">
        <v>64</v>
      </c>
      <c r="E162" s="290" t="s">
        <v>894</v>
      </c>
      <c r="F162" s="290">
        <f t="shared" si="58"/>
        <v>1645</v>
      </c>
      <c r="G162" s="333"/>
      <c r="H162" s="290">
        <f t="shared" ref="H162:H199" si="62">ROUND(C162*G162,2)</f>
        <v>0</v>
      </c>
      <c r="I162" s="291">
        <f>'DETAILED (2)'!I1637</f>
        <v>5</v>
      </c>
      <c r="J162" s="291">
        <f t="shared" si="29"/>
        <v>1645</v>
      </c>
      <c r="K162" s="296">
        <f t="shared" si="30"/>
        <v>5</v>
      </c>
      <c r="L162" s="291">
        <f t="shared" si="31"/>
        <v>1645</v>
      </c>
      <c r="M162" s="297">
        <f t="shared" si="26"/>
        <v>0</v>
      </c>
      <c r="N162" s="297">
        <f t="shared" si="27"/>
        <v>0</v>
      </c>
      <c r="O162" s="292"/>
      <c r="P162" s="290">
        <f t="shared" si="57"/>
        <v>0</v>
      </c>
      <c r="Q162" s="292">
        <f t="shared" si="61"/>
        <v>0</v>
      </c>
      <c r="R162" s="290">
        <f t="shared" si="56"/>
        <v>0</v>
      </c>
      <c r="S162" s="290">
        <f t="shared" si="33"/>
        <v>0</v>
      </c>
      <c r="T162" s="290">
        <f t="shared" si="34"/>
        <v>0</v>
      </c>
      <c r="U162" s="293"/>
      <c r="V162" s="294">
        <v>-23.665893271461716</v>
      </c>
      <c r="W162" s="299"/>
    </row>
    <row r="163" spans="1:23" ht="108.75">
      <c r="A163" s="288">
        <v>156</v>
      </c>
      <c r="B163" s="289" t="s">
        <v>820</v>
      </c>
      <c r="C163" s="290" t="s">
        <v>959</v>
      </c>
      <c r="D163" s="290" t="s">
        <v>64</v>
      </c>
      <c r="E163" s="290" t="s">
        <v>954</v>
      </c>
      <c r="F163" s="290">
        <f t="shared" si="58"/>
        <v>2418</v>
      </c>
      <c r="G163" s="333"/>
      <c r="H163" s="290">
        <f t="shared" si="62"/>
        <v>0</v>
      </c>
      <c r="I163" s="291">
        <f>'DETAILED (2)'!I1670</f>
        <v>39</v>
      </c>
      <c r="J163" s="291">
        <f t="shared" si="29"/>
        <v>2418</v>
      </c>
      <c r="K163" s="296">
        <f t="shared" si="30"/>
        <v>39</v>
      </c>
      <c r="L163" s="291">
        <f t="shared" si="31"/>
        <v>2418</v>
      </c>
      <c r="M163" s="297">
        <f t="shared" si="26"/>
        <v>0</v>
      </c>
      <c r="N163" s="297">
        <f t="shared" si="27"/>
        <v>0</v>
      </c>
      <c r="O163" s="292"/>
      <c r="P163" s="290">
        <f t="shared" si="57"/>
        <v>0</v>
      </c>
      <c r="Q163" s="292">
        <f t="shared" si="61"/>
        <v>0</v>
      </c>
      <c r="R163" s="290">
        <f t="shared" si="56"/>
        <v>0</v>
      </c>
      <c r="S163" s="290">
        <f t="shared" si="33"/>
        <v>0</v>
      </c>
      <c r="T163" s="290">
        <f t="shared" si="34"/>
        <v>0</v>
      </c>
      <c r="U163" s="293"/>
      <c r="V163" s="294">
        <v>-23.456790123456788</v>
      </c>
      <c r="W163" s="299"/>
    </row>
    <row r="164" spans="1:23">
      <c r="A164" s="288">
        <v>157</v>
      </c>
      <c r="B164" s="289" t="s">
        <v>821</v>
      </c>
      <c r="C164" s="290" t="s">
        <v>946</v>
      </c>
      <c r="D164" s="290" t="s">
        <v>64</v>
      </c>
      <c r="E164" s="290" t="s">
        <v>894</v>
      </c>
      <c r="F164" s="290">
        <f t="shared" si="58"/>
        <v>650</v>
      </c>
      <c r="G164" s="333"/>
      <c r="H164" s="290">
        <f t="shared" si="62"/>
        <v>0</v>
      </c>
      <c r="I164" s="291">
        <f>'DETAILED (2)'!I1675</f>
        <v>5</v>
      </c>
      <c r="J164" s="291">
        <f t="shared" si="29"/>
        <v>650</v>
      </c>
      <c r="K164" s="296">
        <f t="shared" si="30"/>
        <v>5</v>
      </c>
      <c r="L164" s="291">
        <f t="shared" si="31"/>
        <v>650</v>
      </c>
      <c r="M164" s="297">
        <f t="shared" si="26"/>
        <v>0</v>
      </c>
      <c r="N164" s="297">
        <f t="shared" si="27"/>
        <v>0</v>
      </c>
      <c r="O164" s="292"/>
      <c r="P164" s="290">
        <f t="shared" si="57"/>
        <v>0</v>
      </c>
      <c r="Q164" s="292">
        <f t="shared" si="61"/>
        <v>0</v>
      </c>
      <c r="R164" s="290">
        <f t="shared" si="56"/>
        <v>0</v>
      </c>
      <c r="S164" s="290">
        <f t="shared" si="33"/>
        <v>0</v>
      </c>
      <c r="T164" s="290">
        <f t="shared" si="34"/>
        <v>0</v>
      </c>
      <c r="U164" s="293"/>
      <c r="V164" s="294">
        <v>-23.52941176470588</v>
      </c>
      <c r="W164" s="299"/>
    </row>
    <row r="165" spans="1:23" ht="43.5">
      <c r="A165" s="288">
        <v>158</v>
      </c>
      <c r="B165" s="289" t="s">
        <v>822</v>
      </c>
      <c r="C165" s="290" t="s">
        <v>1102</v>
      </c>
      <c r="D165" s="290" t="s">
        <v>64</v>
      </c>
      <c r="E165" s="290" t="s">
        <v>934</v>
      </c>
      <c r="F165" s="290">
        <f t="shared" si="58"/>
        <v>1988</v>
      </c>
      <c r="G165" s="333"/>
      <c r="H165" s="290">
        <f t="shared" si="62"/>
        <v>0</v>
      </c>
      <c r="I165" s="291">
        <f>'DETAILED (2)'!I1679</f>
        <v>10</v>
      </c>
      <c r="J165" s="291">
        <f t="shared" si="29"/>
        <v>2840</v>
      </c>
      <c r="K165" s="296">
        <f t="shared" si="30"/>
        <v>10</v>
      </c>
      <c r="L165" s="291">
        <f t="shared" si="31"/>
        <v>2840</v>
      </c>
      <c r="M165" s="297">
        <f t="shared" si="26"/>
        <v>852</v>
      </c>
      <c r="N165" s="297">
        <f t="shared" si="27"/>
        <v>0</v>
      </c>
      <c r="O165" s="292"/>
      <c r="P165" s="290">
        <f t="shared" si="57"/>
        <v>0</v>
      </c>
      <c r="Q165" s="292">
        <f t="shared" si="61"/>
        <v>-3</v>
      </c>
      <c r="R165" s="290">
        <f t="shared" si="56"/>
        <v>-852</v>
      </c>
      <c r="S165" s="290">
        <f t="shared" si="33"/>
        <v>-852</v>
      </c>
      <c r="T165" s="290">
        <f t="shared" si="34"/>
        <v>852</v>
      </c>
      <c r="U165" s="293"/>
      <c r="V165" s="294">
        <v>-24.407772158637208</v>
      </c>
      <c r="W165" s="299"/>
    </row>
    <row r="166" spans="1:23" ht="43.5">
      <c r="A166" s="288">
        <v>159</v>
      </c>
      <c r="B166" s="289" t="s">
        <v>823</v>
      </c>
      <c r="C166" s="290" t="s">
        <v>1103</v>
      </c>
      <c r="D166" s="290" t="s">
        <v>63</v>
      </c>
      <c r="E166" s="290" t="s">
        <v>955</v>
      </c>
      <c r="F166" s="290">
        <f t="shared" si="58"/>
        <v>68764.800000000003</v>
      </c>
      <c r="G166" s="333"/>
      <c r="H166" s="290">
        <f t="shared" si="62"/>
        <v>0</v>
      </c>
      <c r="I166" s="291">
        <f>'DETAILED (2)'!I1692</f>
        <v>62.800000000000011</v>
      </c>
      <c r="J166" s="291">
        <f t="shared" si="29"/>
        <v>58278.400000000009</v>
      </c>
      <c r="K166" s="296">
        <f t="shared" si="30"/>
        <v>62.800000000000011</v>
      </c>
      <c r="L166" s="291">
        <f t="shared" si="31"/>
        <v>58278.400000000009</v>
      </c>
      <c r="M166" s="297">
        <f t="shared" si="26"/>
        <v>0</v>
      </c>
      <c r="N166" s="297">
        <f t="shared" si="27"/>
        <v>10486.399999999994</v>
      </c>
      <c r="O166" s="292"/>
      <c r="P166" s="290">
        <f t="shared" si="57"/>
        <v>0</v>
      </c>
      <c r="Q166" s="292">
        <f t="shared" si="61"/>
        <v>11.3</v>
      </c>
      <c r="R166" s="290">
        <f t="shared" si="56"/>
        <v>10486.4</v>
      </c>
      <c r="S166" s="290">
        <f t="shared" si="33"/>
        <v>0</v>
      </c>
      <c r="T166" s="290">
        <f t="shared" si="34"/>
        <v>0</v>
      </c>
      <c r="U166" s="293"/>
      <c r="V166" s="294">
        <v>-28.590665999769151</v>
      </c>
      <c r="W166" s="299"/>
    </row>
    <row r="167" spans="1:23" ht="43.5">
      <c r="A167" s="288">
        <v>160</v>
      </c>
      <c r="B167" s="289" t="s">
        <v>824</v>
      </c>
      <c r="C167" s="290" t="s">
        <v>1104</v>
      </c>
      <c r="D167" s="290" t="s">
        <v>63</v>
      </c>
      <c r="E167" s="290" t="s">
        <v>956</v>
      </c>
      <c r="F167" s="290">
        <f t="shared" si="58"/>
        <v>167481.60000000001</v>
      </c>
      <c r="G167" s="333"/>
      <c r="H167" s="290">
        <f t="shared" si="62"/>
        <v>0</v>
      </c>
      <c r="I167" s="291">
        <f>'DETAILED (2)'!I1775</f>
        <v>229.89999999999998</v>
      </c>
      <c r="J167" s="291">
        <f t="shared" si="29"/>
        <v>182310.69999999998</v>
      </c>
      <c r="K167" s="296">
        <f t="shared" si="30"/>
        <v>229.89999999999998</v>
      </c>
      <c r="L167" s="291">
        <f t="shared" si="31"/>
        <v>182310.69999999998</v>
      </c>
      <c r="M167" s="297">
        <f t="shared" si="26"/>
        <v>14829.099999999977</v>
      </c>
      <c r="N167" s="297">
        <f t="shared" si="27"/>
        <v>0</v>
      </c>
      <c r="O167" s="292"/>
      <c r="P167" s="290">
        <f t="shared" si="57"/>
        <v>0</v>
      </c>
      <c r="Q167" s="292">
        <f t="shared" si="61"/>
        <v>-18.7</v>
      </c>
      <c r="R167" s="290">
        <f t="shared" si="56"/>
        <v>-14829.1</v>
      </c>
      <c r="S167" s="290">
        <f t="shared" si="33"/>
        <v>-14829.099999999977</v>
      </c>
      <c r="T167" s="290">
        <f t="shared" si="34"/>
        <v>14829.1</v>
      </c>
      <c r="U167" s="293"/>
      <c r="V167" s="303">
        <v>-29.430191063530632</v>
      </c>
      <c r="W167" s="299"/>
    </row>
    <row r="168" spans="1:23" ht="108.75">
      <c r="A168" s="288">
        <v>161</v>
      </c>
      <c r="B168" s="289" t="s">
        <v>825</v>
      </c>
      <c r="C168" s="290" t="s">
        <v>1105</v>
      </c>
      <c r="D168" s="290" t="s">
        <v>65</v>
      </c>
      <c r="E168" s="290" t="s">
        <v>957</v>
      </c>
      <c r="F168" s="290">
        <f t="shared" si="58"/>
        <v>1324.8</v>
      </c>
      <c r="G168" s="333"/>
      <c r="H168" s="290">
        <f t="shared" si="62"/>
        <v>0</v>
      </c>
      <c r="I168" s="291">
        <f>'DETAILED (2)'!I1783</f>
        <v>24.9</v>
      </c>
      <c r="J168" s="291">
        <f t="shared" si="29"/>
        <v>1718.1</v>
      </c>
      <c r="K168" s="296">
        <f t="shared" si="30"/>
        <v>24.9</v>
      </c>
      <c r="L168" s="291">
        <f t="shared" si="31"/>
        <v>1718.1</v>
      </c>
      <c r="M168" s="297">
        <f t="shared" si="26"/>
        <v>393.29999999999995</v>
      </c>
      <c r="N168" s="297">
        <f t="shared" si="27"/>
        <v>0</v>
      </c>
      <c r="O168" s="292"/>
      <c r="P168" s="290">
        <f t="shared" si="57"/>
        <v>0</v>
      </c>
      <c r="Q168" s="292">
        <f t="shared" si="61"/>
        <v>-5.7</v>
      </c>
      <c r="R168" s="290">
        <f t="shared" si="56"/>
        <v>-393.3</v>
      </c>
      <c r="S168" s="290">
        <f t="shared" si="33"/>
        <v>-393.29999999999995</v>
      </c>
      <c r="T168" s="290">
        <f t="shared" si="34"/>
        <v>393.3</v>
      </c>
      <c r="U168" s="293"/>
      <c r="V168" s="294">
        <v>-23.333333333333332</v>
      </c>
      <c r="W168" s="299"/>
    </row>
    <row r="169" spans="1:23" ht="65.25">
      <c r="A169" s="288">
        <v>162</v>
      </c>
      <c r="B169" s="289" t="s">
        <v>826</v>
      </c>
      <c r="C169" s="290" t="s">
        <v>1106</v>
      </c>
      <c r="D169" s="290" t="s">
        <v>63</v>
      </c>
      <c r="E169" s="290" t="s">
        <v>958</v>
      </c>
      <c r="F169" s="290">
        <f t="shared" si="58"/>
        <v>83920</v>
      </c>
      <c r="G169" s="333"/>
      <c r="H169" s="290">
        <f t="shared" si="62"/>
        <v>0</v>
      </c>
      <c r="I169" s="291">
        <f>'DETAILED (2)'!I1807</f>
        <v>79.91</v>
      </c>
      <c r="J169" s="291">
        <f t="shared" si="29"/>
        <v>83825.59</v>
      </c>
      <c r="K169" s="296">
        <f t="shared" si="30"/>
        <v>79.91</v>
      </c>
      <c r="L169" s="291">
        <f t="shared" si="31"/>
        <v>83825.59</v>
      </c>
      <c r="M169" s="297">
        <f t="shared" si="26"/>
        <v>0</v>
      </c>
      <c r="N169" s="297">
        <f t="shared" si="27"/>
        <v>94.410000000003492</v>
      </c>
      <c r="O169" s="292"/>
      <c r="P169" s="290">
        <f t="shared" si="57"/>
        <v>0</v>
      </c>
      <c r="Q169" s="292">
        <f t="shared" si="61"/>
        <v>0.09</v>
      </c>
      <c r="R169" s="290">
        <f t="shared" si="56"/>
        <v>94.41</v>
      </c>
      <c r="S169" s="290">
        <f t="shared" si="33"/>
        <v>0</v>
      </c>
      <c r="T169" s="290">
        <f t="shared" si="34"/>
        <v>3.4958702599396929E-12</v>
      </c>
      <c r="U169" s="293"/>
      <c r="V169" s="294">
        <v>-28.072352767740217</v>
      </c>
      <c r="W169" s="299"/>
    </row>
    <row r="170" spans="1:23" ht="43.5">
      <c r="A170" s="288">
        <v>163</v>
      </c>
      <c r="B170" s="289" t="s">
        <v>827</v>
      </c>
      <c r="C170" s="290" t="s">
        <v>958</v>
      </c>
      <c r="D170" s="290" t="s">
        <v>64</v>
      </c>
      <c r="E170" s="290" t="s">
        <v>934</v>
      </c>
      <c r="F170" s="290">
        <f t="shared" si="58"/>
        <v>560</v>
      </c>
      <c r="G170" s="333"/>
      <c r="H170" s="290">
        <f t="shared" si="62"/>
        <v>0</v>
      </c>
      <c r="I170" s="291">
        <f>'DETAILED (2)'!I1810</f>
        <v>10</v>
      </c>
      <c r="J170" s="291">
        <f t="shared" si="29"/>
        <v>800</v>
      </c>
      <c r="K170" s="296">
        <f t="shared" si="30"/>
        <v>10</v>
      </c>
      <c r="L170" s="291">
        <f t="shared" si="31"/>
        <v>800</v>
      </c>
      <c r="M170" s="297">
        <f t="shared" si="26"/>
        <v>240</v>
      </c>
      <c r="N170" s="297">
        <f t="shared" si="27"/>
        <v>0</v>
      </c>
      <c r="O170" s="292"/>
      <c r="P170" s="290">
        <f t="shared" si="57"/>
        <v>0</v>
      </c>
      <c r="Q170" s="292">
        <f t="shared" si="61"/>
        <v>-3</v>
      </c>
      <c r="R170" s="290">
        <f t="shared" si="56"/>
        <v>-240</v>
      </c>
      <c r="S170" s="290">
        <f t="shared" si="33"/>
        <v>-240</v>
      </c>
      <c r="T170" s="290">
        <f t="shared" si="34"/>
        <v>240</v>
      </c>
      <c r="U170" s="293"/>
      <c r="V170" s="294">
        <v>-32.24932249322493</v>
      </c>
      <c r="W170" s="299"/>
    </row>
    <row r="171" spans="1:23" ht="65.25">
      <c r="A171" s="288">
        <v>164</v>
      </c>
      <c r="B171" s="289" t="s">
        <v>828</v>
      </c>
      <c r="C171" s="290" t="s">
        <v>949</v>
      </c>
      <c r="D171" s="290" t="s">
        <v>64</v>
      </c>
      <c r="E171" s="290" t="s">
        <v>895</v>
      </c>
      <c r="F171" s="290">
        <f t="shared" si="58"/>
        <v>70</v>
      </c>
      <c r="G171" s="333" t="str">
        <f>'Ex 2'!I172</f>
        <v>1.00</v>
      </c>
      <c r="H171" s="290">
        <f t="shared" si="62"/>
        <v>70</v>
      </c>
      <c r="I171" s="291"/>
      <c r="J171" s="291">
        <f t="shared" si="29"/>
        <v>0</v>
      </c>
      <c r="K171" s="296">
        <f t="shared" si="30"/>
        <v>1</v>
      </c>
      <c r="L171" s="291">
        <f t="shared" si="31"/>
        <v>70</v>
      </c>
      <c r="M171" s="297">
        <f t="shared" si="26"/>
        <v>0</v>
      </c>
      <c r="N171" s="297">
        <f t="shared" si="27"/>
        <v>0</v>
      </c>
      <c r="O171" s="292"/>
      <c r="P171" s="290">
        <f t="shared" si="57"/>
        <v>0</v>
      </c>
      <c r="Q171" s="292">
        <f t="shared" si="61"/>
        <v>0</v>
      </c>
      <c r="R171" s="290">
        <f t="shared" si="56"/>
        <v>0</v>
      </c>
      <c r="S171" s="290">
        <f t="shared" si="33"/>
        <v>0</v>
      </c>
      <c r="T171" s="290">
        <f t="shared" si="34"/>
        <v>0</v>
      </c>
      <c r="U171" s="293"/>
      <c r="V171" s="294">
        <v>-27.835051546391753</v>
      </c>
      <c r="W171" s="299"/>
    </row>
    <row r="172" spans="1:23" ht="43.5">
      <c r="A172" s="288">
        <v>165</v>
      </c>
      <c r="B172" s="289" t="s">
        <v>829</v>
      </c>
      <c r="C172" s="290" t="s">
        <v>1107</v>
      </c>
      <c r="D172" s="290" t="s">
        <v>969</v>
      </c>
      <c r="E172" s="290" t="s">
        <v>959</v>
      </c>
      <c r="F172" s="290">
        <f t="shared" si="58"/>
        <v>2852</v>
      </c>
      <c r="G172" s="337"/>
      <c r="H172" s="290">
        <f t="shared" si="62"/>
        <v>0</v>
      </c>
      <c r="I172" s="291">
        <f>'DETAILED (2)'!I1813</f>
        <v>62</v>
      </c>
      <c r="J172" s="291">
        <f t="shared" si="29"/>
        <v>2852</v>
      </c>
      <c r="K172" s="296">
        <f t="shared" si="30"/>
        <v>62</v>
      </c>
      <c r="L172" s="291">
        <f t="shared" si="31"/>
        <v>2852</v>
      </c>
      <c r="M172" s="297">
        <f t="shared" si="26"/>
        <v>0</v>
      </c>
      <c r="N172" s="297">
        <f t="shared" si="27"/>
        <v>0</v>
      </c>
      <c r="O172" s="292"/>
      <c r="P172" s="290">
        <f t="shared" si="57"/>
        <v>0</v>
      </c>
      <c r="Q172" s="292">
        <f t="shared" si="61"/>
        <v>0</v>
      </c>
      <c r="R172" s="290">
        <f t="shared" si="56"/>
        <v>0</v>
      </c>
      <c r="S172" s="290">
        <f t="shared" si="33"/>
        <v>0</v>
      </c>
      <c r="T172" s="290">
        <f t="shared" si="34"/>
        <v>0</v>
      </c>
      <c r="U172" s="293"/>
      <c r="V172" s="294">
        <v>-24.092409240924095</v>
      </c>
      <c r="W172" s="299"/>
    </row>
    <row r="173" spans="1:23" ht="108.75">
      <c r="A173" s="288">
        <v>166</v>
      </c>
      <c r="B173" s="289" t="s">
        <v>830</v>
      </c>
      <c r="C173" s="290" t="s">
        <v>1108</v>
      </c>
      <c r="D173" s="290" t="s">
        <v>65</v>
      </c>
      <c r="E173" s="290" t="s">
        <v>960</v>
      </c>
      <c r="F173" s="290">
        <f t="shared" si="58"/>
        <v>8050</v>
      </c>
      <c r="G173" s="333" t="str">
        <f>'Ex 2'!I174</f>
        <v>25.00</v>
      </c>
      <c r="H173" s="290">
        <f t="shared" si="62"/>
        <v>8050</v>
      </c>
      <c r="I173" s="291"/>
      <c r="J173" s="291">
        <f t="shared" si="29"/>
        <v>0</v>
      </c>
      <c r="K173" s="296">
        <f t="shared" si="30"/>
        <v>25</v>
      </c>
      <c r="L173" s="291">
        <f t="shared" si="31"/>
        <v>8050</v>
      </c>
      <c r="M173" s="297">
        <f t="shared" si="26"/>
        <v>0</v>
      </c>
      <c r="N173" s="297">
        <f t="shared" si="27"/>
        <v>0</v>
      </c>
      <c r="O173" s="292">
        <f t="shared" ref="O173" si="63">ROUND(K173-E173,2)</f>
        <v>0</v>
      </c>
      <c r="P173" s="290">
        <f t="shared" si="57"/>
        <v>0</v>
      </c>
      <c r="Q173" s="292">
        <f t="shared" si="61"/>
        <v>0</v>
      </c>
      <c r="R173" s="290">
        <f t="shared" si="56"/>
        <v>0</v>
      </c>
      <c r="S173" s="290">
        <f t="shared" si="33"/>
        <v>0</v>
      </c>
      <c r="T173" s="290">
        <f t="shared" si="34"/>
        <v>0</v>
      </c>
      <c r="U173" s="293"/>
      <c r="V173" s="294">
        <v>-27.149321266968325</v>
      </c>
      <c r="W173" s="299"/>
    </row>
    <row r="174" spans="1:23" ht="130.5">
      <c r="A174" s="288">
        <v>167</v>
      </c>
      <c r="B174" s="289" t="s">
        <v>831</v>
      </c>
      <c r="C174" s="290" t="s">
        <v>1109</v>
      </c>
      <c r="D174" s="290" t="s">
        <v>65</v>
      </c>
      <c r="E174" s="290" t="s">
        <v>961</v>
      </c>
      <c r="F174" s="290">
        <f t="shared" si="58"/>
        <v>19320</v>
      </c>
      <c r="G174" s="333">
        <f>'Ex 2'!I175</f>
        <v>34</v>
      </c>
      <c r="H174" s="290">
        <f t="shared" si="62"/>
        <v>18768</v>
      </c>
      <c r="I174" s="291"/>
      <c r="J174" s="291">
        <f t="shared" si="29"/>
        <v>0</v>
      </c>
      <c r="K174" s="296">
        <f t="shared" si="30"/>
        <v>34</v>
      </c>
      <c r="L174" s="291">
        <f t="shared" si="31"/>
        <v>18768</v>
      </c>
      <c r="M174" s="297">
        <f t="shared" si="26"/>
        <v>0</v>
      </c>
      <c r="N174" s="297">
        <f t="shared" si="27"/>
        <v>552</v>
      </c>
      <c r="O174" s="292"/>
      <c r="P174" s="290">
        <f t="shared" si="57"/>
        <v>0</v>
      </c>
      <c r="Q174" s="292">
        <f t="shared" si="61"/>
        <v>1</v>
      </c>
      <c r="R174" s="290">
        <f t="shared" si="56"/>
        <v>552</v>
      </c>
      <c r="S174" s="290">
        <f t="shared" si="33"/>
        <v>0</v>
      </c>
      <c r="T174" s="290">
        <f t="shared" si="34"/>
        <v>0</v>
      </c>
      <c r="U174" s="293"/>
      <c r="V174" s="294">
        <v>-23.545706371191137</v>
      </c>
      <c r="W174" s="299"/>
    </row>
    <row r="175" spans="1:23" ht="130.5">
      <c r="A175" s="288">
        <v>168</v>
      </c>
      <c r="B175" s="289" t="s">
        <v>832</v>
      </c>
      <c r="C175" s="290" t="s">
        <v>1110</v>
      </c>
      <c r="D175" s="290" t="s">
        <v>969</v>
      </c>
      <c r="E175" s="290" t="s">
        <v>223</v>
      </c>
      <c r="F175" s="290">
        <f t="shared" si="58"/>
        <v>13140</v>
      </c>
      <c r="G175" s="333">
        <f>'Ex 2'!I176</f>
        <v>59</v>
      </c>
      <c r="H175" s="290">
        <f t="shared" si="62"/>
        <v>12921</v>
      </c>
      <c r="I175" s="291"/>
      <c r="J175" s="291">
        <f t="shared" si="29"/>
        <v>0</v>
      </c>
      <c r="K175" s="296">
        <f t="shared" si="30"/>
        <v>59</v>
      </c>
      <c r="L175" s="291">
        <f t="shared" si="31"/>
        <v>12921</v>
      </c>
      <c r="M175" s="297">
        <f t="shared" si="26"/>
        <v>0</v>
      </c>
      <c r="N175" s="297">
        <f t="shared" si="27"/>
        <v>219</v>
      </c>
      <c r="O175" s="292"/>
      <c r="P175" s="290">
        <f t="shared" si="57"/>
        <v>0</v>
      </c>
      <c r="Q175" s="292">
        <f t="shared" si="61"/>
        <v>1</v>
      </c>
      <c r="R175" s="290">
        <f t="shared" si="56"/>
        <v>219</v>
      </c>
      <c r="S175" s="290">
        <f t="shared" si="33"/>
        <v>0</v>
      </c>
      <c r="T175" s="290">
        <f t="shared" si="34"/>
        <v>0</v>
      </c>
      <c r="U175" s="293"/>
      <c r="V175" s="294">
        <v>-32.801472844430805</v>
      </c>
      <c r="W175" s="299"/>
    </row>
    <row r="176" spans="1:23" ht="87">
      <c r="A176" s="288">
        <v>169</v>
      </c>
      <c r="B176" s="289" t="s">
        <v>833</v>
      </c>
      <c r="C176" s="290" t="s">
        <v>1111</v>
      </c>
      <c r="D176" s="290" t="s">
        <v>64</v>
      </c>
      <c r="E176" s="290" t="s">
        <v>895</v>
      </c>
      <c r="F176" s="290">
        <f t="shared" si="58"/>
        <v>4205</v>
      </c>
      <c r="G176" s="337"/>
      <c r="H176" s="290">
        <f t="shared" si="62"/>
        <v>0</v>
      </c>
      <c r="I176" s="291">
        <f>'DETAILED (2)'!I1816</f>
        <v>1</v>
      </c>
      <c r="J176" s="291">
        <f t="shared" si="29"/>
        <v>4205</v>
      </c>
      <c r="K176" s="296">
        <f t="shared" si="30"/>
        <v>1</v>
      </c>
      <c r="L176" s="291">
        <f t="shared" si="31"/>
        <v>4205</v>
      </c>
      <c r="M176" s="297">
        <f t="shared" si="26"/>
        <v>0</v>
      </c>
      <c r="N176" s="297">
        <f t="shared" si="27"/>
        <v>0</v>
      </c>
      <c r="O176" s="292"/>
      <c r="P176" s="290">
        <f t="shared" si="57"/>
        <v>0</v>
      </c>
      <c r="Q176" s="292">
        <f t="shared" si="61"/>
        <v>0</v>
      </c>
      <c r="R176" s="290">
        <f t="shared" si="56"/>
        <v>0</v>
      </c>
      <c r="S176" s="290">
        <f t="shared" si="33"/>
        <v>0</v>
      </c>
      <c r="T176" s="290">
        <f t="shared" si="34"/>
        <v>0</v>
      </c>
      <c r="U176" s="293"/>
      <c r="V176" s="294">
        <v>-24.152236652236653</v>
      </c>
      <c r="W176" s="299"/>
    </row>
    <row r="177" spans="1:32" ht="43.5">
      <c r="A177" s="288">
        <v>170</v>
      </c>
      <c r="B177" s="289" t="s">
        <v>834</v>
      </c>
      <c r="C177" s="290" t="s">
        <v>1112</v>
      </c>
      <c r="D177" s="290" t="s">
        <v>969</v>
      </c>
      <c r="E177" s="290" t="s">
        <v>962</v>
      </c>
      <c r="F177" s="290">
        <f t="shared" si="58"/>
        <v>2800</v>
      </c>
      <c r="G177" s="337"/>
      <c r="H177" s="290">
        <f t="shared" si="62"/>
        <v>0</v>
      </c>
      <c r="I177" s="291">
        <f>'DETAILED (2)'!I1819</f>
        <v>50</v>
      </c>
      <c r="J177" s="291">
        <f t="shared" si="29"/>
        <v>2800</v>
      </c>
      <c r="K177" s="296">
        <f t="shared" si="30"/>
        <v>50</v>
      </c>
      <c r="L177" s="291">
        <f t="shared" si="31"/>
        <v>2800</v>
      </c>
      <c r="M177" s="297">
        <f t="shared" si="26"/>
        <v>0</v>
      </c>
      <c r="N177" s="297">
        <f t="shared" si="27"/>
        <v>0</v>
      </c>
      <c r="O177" s="292"/>
      <c r="P177" s="290">
        <f t="shared" si="57"/>
        <v>0</v>
      </c>
      <c r="Q177" s="292">
        <f t="shared" si="61"/>
        <v>0</v>
      </c>
      <c r="R177" s="290">
        <f t="shared" si="56"/>
        <v>0</v>
      </c>
      <c r="S177" s="290">
        <f t="shared" si="33"/>
        <v>0</v>
      </c>
      <c r="T177" s="290">
        <f t="shared" si="34"/>
        <v>0</v>
      </c>
      <c r="U177" s="293"/>
      <c r="V177" s="294">
        <v>-24.221921515561576</v>
      </c>
      <c r="W177" s="299"/>
    </row>
    <row r="178" spans="1:32" ht="87">
      <c r="A178" s="288">
        <v>171</v>
      </c>
      <c r="B178" s="289" t="s">
        <v>835</v>
      </c>
      <c r="C178" s="290" t="s">
        <v>1113</v>
      </c>
      <c r="D178" s="290" t="s">
        <v>64</v>
      </c>
      <c r="E178" s="290" t="s">
        <v>895</v>
      </c>
      <c r="F178" s="290">
        <f t="shared" si="58"/>
        <v>647</v>
      </c>
      <c r="G178" s="337"/>
      <c r="H178" s="290">
        <f t="shared" si="62"/>
        <v>0</v>
      </c>
      <c r="I178" s="291">
        <f>'DETAILED (2)'!I1822</f>
        <v>1</v>
      </c>
      <c r="J178" s="291">
        <f t="shared" si="29"/>
        <v>647</v>
      </c>
      <c r="K178" s="296">
        <f t="shared" si="30"/>
        <v>1</v>
      </c>
      <c r="L178" s="291">
        <f t="shared" si="31"/>
        <v>647</v>
      </c>
      <c r="M178" s="297">
        <f t="shared" si="26"/>
        <v>0</v>
      </c>
      <c r="N178" s="297">
        <f t="shared" si="27"/>
        <v>0</v>
      </c>
      <c r="O178" s="292"/>
      <c r="P178" s="290">
        <f t="shared" si="57"/>
        <v>0</v>
      </c>
      <c r="Q178" s="292">
        <f t="shared" si="61"/>
        <v>0</v>
      </c>
      <c r="R178" s="290">
        <f t="shared" si="56"/>
        <v>0</v>
      </c>
      <c r="S178" s="290">
        <f t="shared" si="33"/>
        <v>0</v>
      </c>
      <c r="T178" s="290">
        <f t="shared" si="34"/>
        <v>0</v>
      </c>
      <c r="U178" s="293"/>
      <c r="V178" s="294">
        <v>-13.270777479892763</v>
      </c>
      <c r="W178" s="299"/>
    </row>
    <row r="179" spans="1:32" ht="43.5">
      <c r="A179" s="288">
        <v>172</v>
      </c>
      <c r="B179" s="289" t="s">
        <v>836</v>
      </c>
      <c r="C179" s="290" t="s">
        <v>1114</v>
      </c>
      <c r="D179" s="290" t="s">
        <v>65</v>
      </c>
      <c r="E179" s="290" t="s">
        <v>223</v>
      </c>
      <c r="F179" s="290">
        <f t="shared" si="58"/>
        <v>4980</v>
      </c>
      <c r="G179" s="337"/>
      <c r="H179" s="290">
        <f t="shared" si="62"/>
        <v>0</v>
      </c>
      <c r="I179" s="291">
        <f>'DETAILED (2)'!I1825</f>
        <v>75</v>
      </c>
      <c r="J179" s="291">
        <f t="shared" si="29"/>
        <v>6225</v>
      </c>
      <c r="K179" s="296">
        <f t="shared" si="30"/>
        <v>75</v>
      </c>
      <c r="L179" s="291">
        <f t="shared" si="31"/>
        <v>6225</v>
      </c>
      <c r="M179" s="297">
        <f t="shared" si="26"/>
        <v>1245</v>
      </c>
      <c r="N179" s="297">
        <f t="shared" si="27"/>
        <v>0</v>
      </c>
      <c r="O179" s="292"/>
      <c r="P179" s="290">
        <f t="shared" si="57"/>
        <v>0</v>
      </c>
      <c r="Q179" s="292">
        <f t="shared" si="61"/>
        <v>-15</v>
      </c>
      <c r="R179" s="290">
        <f t="shared" si="56"/>
        <v>-1245</v>
      </c>
      <c r="S179" s="290">
        <f t="shared" si="33"/>
        <v>-1245</v>
      </c>
      <c r="T179" s="290">
        <f t="shared" si="34"/>
        <v>1245</v>
      </c>
      <c r="U179" s="293"/>
      <c r="V179" s="294">
        <v>-25.225225225225223</v>
      </c>
      <c r="W179" s="299"/>
    </row>
    <row r="180" spans="1:32" ht="87">
      <c r="A180" s="288">
        <v>173</v>
      </c>
      <c r="B180" s="289" t="s">
        <v>837</v>
      </c>
      <c r="C180" s="290" t="s">
        <v>1115</v>
      </c>
      <c r="D180" s="290" t="s">
        <v>65</v>
      </c>
      <c r="E180" s="290" t="s">
        <v>942</v>
      </c>
      <c r="F180" s="290">
        <f t="shared" si="58"/>
        <v>27525</v>
      </c>
      <c r="G180" s="337"/>
      <c r="H180" s="290">
        <f t="shared" si="62"/>
        <v>0</v>
      </c>
      <c r="I180" s="291">
        <f>'DETAILED (2)'!I1829</f>
        <v>75</v>
      </c>
      <c r="J180" s="291">
        <f t="shared" si="29"/>
        <v>27525</v>
      </c>
      <c r="K180" s="296">
        <f t="shared" si="30"/>
        <v>75</v>
      </c>
      <c r="L180" s="291">
        <f t="shared" si="31"/>
        <v>27525</v>
      </c>
      <c r="M180" s="297">
        <f t="shared" si="26"/>
        <v>0</v>
      </c>
      <c r="N180" s="297">
        <f t="shared" si="27"/>
        <v>0</v>
      </c>
      <c r="O180" s="292"/>
      <c r="P180" s="290">
        <f t="shared" si="57"/>
        <v>0</v>
      </c>
      <c r="Q180" s="292">
        <f t="shared" si="61"/>
        <v>0</v>
      </c>
      <c r="R180" s="290">
        <f t="shared" si="56"/>
        <v>0</v>
      </c>
      <c r="S180" s="290">
        <f t="shared" si="33"/>
        <v>0</v>
      </c>
      <c r="T180" s="290">
        <f t="shared" si="34"/>
        <v>0</v>
      </c>
      <c r="U180" s="293"/>
      <c r="V180" s="294">
        <v>-23.541666666666668</v>
      </c>
      <c r="W180" s="299"/>
    </row>
    <row r="181" spans="1:32" ht="130.5">
      <c r="A181" s="288">
        <v>174</v>
      </c>
      <c r="B181" s="289" t="s">
        <v>838</v>
      </c>
      <c r="C181" s="290" t="s">
        <v>1116</v>
      </c>
      <c r="D181" s="290" t="s">
        <v>64</v>
      </c>
      <c r="E181" s="290" t="s">
        <v>943</v>
      </c>
      <c r="F181" s="290">
        <f t="shared" si="58"/>
        <v>5432</v>
      </c>
      <c r="G181" s="333"/>
      <c r="H181" s="290">
        <f t="shared" si="62"/>
        <v>0</v>
      </c>
      <c r="I181" s="291">
        <f>'DETAILED (2)'!I1832</f>
        <v>4</v>
      </c>
      <c r="J181" s="291">
        <f t="shared" si="29"/>
        <v>5432</v>
      </c>
      <c r="K181" s="296">
        <f t="shared" si="30"/>
        <v>4</v>
      </c>
      <c r="L181" s="291">
        <f t="shared" si="31"/>
        <v>5432</v>
      </c>
      <c r="M181" s="297">
        <f t="shared" si="26"/>
        <v>0</v>
      </c>
      <c r="N181" s="297">
        <f t="shared" si="27"/>
        <v>0</v>
      </c>
      <c r="O181" s="292"/>
      <c r="P181" s="290">
        <f t="shared" si="57"/>
        <v>0</v>
      </c>
      <c r="Q181" s="292">
        <f t="shared" si="61"/>
        <v>0</v>
      </c>
      <c r="R181" s="290">
        <f t="shared" si="56"/>
        <v>0</v>
      </c>
      <c r="S181" s="290">
        <f t="shared" si="33"/>
        <v>0</v>
      </c>
      <c r="T181" s="290">
        <f t="shared" si="34"/>
        <v>0</v>
      </c>
      <c r="U181" s="293"/>
      <c r="V181" s="294">
        <v>-25.792349726775953</v>
      </c>
      <c r="W181" s="299"/>
    </row>
    <row r="182" spans="1:32" ht="174">
      <c r="A182" s="288">
        <v>175</v>
      </c>
      <c r="B182" s="289" t="s">
        <v>839</v>
      </c>
      <c r="C182" s="290" t="s">
        <v>1117</v>
      </c>
      <c r="D182" s="290" t="s">
        <v>969</v>
      </c>
      <c r="E182" s="290" t="s">
        <v>223</v>
      </c>
      <c r="F182" s="290">
        <f t="shared" si="58"/>
        <v>43740</v>
      </c>
      <c r="G182" s="333">
        <f>'Ex 2'!I183</f>
        <v>59</v>
      </c>
      <c r="H182" s="290">
        <f t="shared" si="62"/>
        <v>43011</v>
      </c>
      <c r="I182" s="291"/>
      <c r="J182" s="291">
        <f t="shared" si="29"/>
        <v>0</v>
      </c>
      <c r="K182" s="296">
        <f t="shared" si="30"/>
        <v>59</v>
      </c>
      <c r="L182" s="291">
        <f t="shared" si="31"/>
        <v>43011</v>
      </c>
      <c r="M182" s="297">
        <f t="shared" si="26"/>
        <v>0</v>
      </c>
      <c r="N182" s="297">
        <f t="shared" si="27"/>
        <v>729</v>
      </c>
      <c r="O182" s="292"/>
      <c r="P182" s="290">
        <f t="shared" si="57"/>
        <v>0</v>
      </c>
      <c r="Q182" s="292">
        <f t="shared" si="61"/>
        <v>1</v>
      </c>
      <c r="R182" s="290">
        <f t="shared" si="56"/>
        <v>729</v>
      </c>
      <c r="S182" s="290">
        <f t="shared" si="33"/>
        <v>0</v>
      </c>
      <c r="T182" s="290">
        <f t="shared" si="34"/>
        <v>0</v>
      </c>
      <c r="U182" s="293"/>
      <c r="V182" s="294">
        <v>-51.119425502383685</v>
      </c>
      <c r="W182" s="299"/>
    </row>
    <row r="183" spans="1:32" ht="130.5">
      <c r="A183" s="288">
        <v>176</v>
      </c>
      <c r="B183" s="289" t="s">
        <v>840</v>
      </c>
      <c r="C183" s="290" t="s">
        <v>1118</v>
      </c>
      <c r="D183" s="290" t="s">
        <v>65</v>
      </c>
      <c r="E183" s="290" t="s">
        <v>223</v>
      </c>
      <c r="F183" s="290">
        <f t="shared" si="58"/>
        <v>12360</v>
      </c>
      <c r="G183" s="333">
        <f>'Ex 2'!I184</f>
        <v>59</v>
      </c>
      <c r="H183" s="290">
        <f t="shared" si="62"/>
        <v>12154</v>
      </c>
      <c r="I183" s="291"/>
      <c r="J183" s="291">
        <f t="shared" si="29"/>
        <v>0</v>
      </c>
      <c r="K183" s="296">
        <f t="shared" si="30"/>
        <v>59</v>
      </c>
      <c r="L183" s="291">
        <f t="shared" si="31"/>
        <v>12154</v>
      </c>
      <c r="M183" s="297">
        <f t="shared" si="26"/>
        <v>0</v>
      </c>
      <c r="N183" s="297">
        <f t="shared" si="27"/>
        <v>206</v>
      </c>
      <c r="O183" s="292"/>
      <c r="P183" s="290">
        <f t="shared" si="57"/>
        <v>0</v>
      </c>
      <c r="Q183" s="292">
        <f t="shared" si="61"/>
        <v>1</v>
      </c>
      <c r="R183" s="290">
        <f t="shared" si="56"/>
        <v>206</v>
      </c>
      <c r="S183" s="290">
        <f t="shared" si="33"/>
        <v>0</v>
      </c>
      <c r="T183" s="290">
        <f t="shared" si="34"/>
        <v>0</v>
      </c>
      <c r="U183" s="293"/>
      <c r="V183" s="294">
        <v>-44.99332443257677</v>
      </c>
      <c r="W183" s="299"/>
    </row>
    <row r="184" spans="1:32" ht="87">
      <c r="A184" s="288">
        <v>177</v>
      </c>
      <c r="B184" s="289" t="s">
        <v>841</v>
      </c>
      <c r="C184" s="290" t="s">
        <v>1119</v>
      </c>
      <c r="D184" s="290" t="s">
        <v>970</v>
      </c>
      <c r="E184" s="290" t="s">
        <v>883</v>
      </c>
      <c r="F184" s="290">
        <f t="shared" si="58"/>
        <v>9168</v>
      </c>
      <c r="G184" s="333" t="str">
        <f>'Ex 2'!I185</f>
        <v>8.00</v>
      </c>
      <c r="H184" s="290">
        <f t="shared" si="62"/>
        <v>9168</v>
      </c>
      <c r="I184" s="291"/>
      <c r="J184" s="291">
        <f t="shared" si="29"/>
        <v>0</v>
      </c>
      <c r="K184" s="296">
        <f t="shared" si="30"/>
        <v>8</v>
      </c>
      <c r="L184" s="291">
        <f t="shared" si="31"/>
        <v>9168</v>
      </c>
      <c r="M184" s="297">
        <f t="shared" si="26"/>
        <v>0</v>
      </c>
      <c r="N184" s="297">
        <f t="shared" si="27"/>
        <v>0</v>
      </c>
      <c r="O184" s="292"/>
      <c r="P184" s="290">
        <f t="shared" si="57"/>
        <v>0</v>
      </c>
      <c r="Q184" s="292">
        <f t="shared" si="61"/>
        <v>0</v>
      </c>
      <c r="R184" s="290">
        <f t="shared" si="56"/>
        <v>0</v>
      </c>
      <c r="S184" s="290">
        <f t="shared" si="33"/>
        <v>0</v>
      </c>
      <c r="T184" s="290">
        <f t="shared" si="34"/>
        <v>0</v>
      </c>
      <c r="U184" s="293"/>
      <c r="V184" s="294">
        <v>-39.982717536463383</v>
      </c>
      <c r="W184" s="299"/>
    </row>
    <row r="185" spans="1:32" ht="152.25">
      <c r="A185" s="288">
        <v>178</v>
      </c>
      <c r="B185" s="289" t="s">
        <v>842</v>
      </c>
      <c r="C185" s="290" t="s">
        <v>1120</v>
      </c>
      <c r="D185" s="290" t="s">
        <v>64</v>
      </c>
      <c r="E185" s="290" t="s">
        <v>895</v>
      </c>
      <c r="F185" s="290">
        <f t="shared" si="58"/>
        <v>25300</v>
      </c>
      <c r="G185" s="333"/>
      <c r="H185" s="290">
        <f t="shared" si="62"/>
        <v>0</v>
      </c>
      <c r="I185" s="291">
        <f>'DETAILED (2)'!I1835</f>
        <v>1</v>
      </c>
      <c r="J185" s="291">
        <f t="shared" si="29"/>
        <v>25300</v>
      </c>
      <c r="K185" s="296">
        <f t="shared" si="30"/>
        <v>1</v>
      </c>
      <c r="L185" s="291">
        <f t="shared" si="31"/>
        <v>25300</v>
      </c>
      <c r="M185" s="297">
        <f t="shared" si="26"/>
        <v>0</v>
      </c>
      <c r="N185" s="297">
        <f t="shared" si="27"/>
        <v>0</v>
      </c>
      <c r="O185" s="292"/>
      <c r="P185" s="290">
        <f t="shared" si="57"/>
        <v>0</v>
      </c>
      <c r="Q185" s="292">
        <f t="shared" si="61"/>
        <v>0</v>
      </c>
      <c r="R185" s="290">
        <f t="shared" si="56"/>
        <v>0</v>
      </c>
      <c r="S185" s="290">
        <f t="shared" si="33"/>
        <v>0</v>
      </c>
      <c r="T185" s="290">
        <f t="shared" si="34"/>
        <v>0</v>
      </c>
      <c r="U185" s="293"/>
      <c r="V185" s="294">
        <v>-35.204630435896121</v>
      </c>
      <c r="W185" s="299"/>
    </row>
    <row r="186" spans="1:32" ht="152.25">
      <c r="A186" s="288">
        <v>179</v>
      </c>
      <c r="B186" s="289" t="s">
        <v>843</v>
      </c>
      <c r="C186" s="290" t="s">
        <v>1121</v>
      </c>
      <c r="D186" s="290" t="s">
        <v>64</v>
      </c>
      <c r="E186" s="290" t="s">
        <v>923</v>
      </c>
      <c r="F186" s="290">
        <f t="shared" si="58"/>
        <v>4242</v>
      </c>
      <c r="G186" s="337"/>
      <c r="H186" s="290">
        <f t="shared" si="62"/>
        <v>0</v>
      </c>
      <c r="I186" s="291">
        <f>'DETAILED (2)'!I1838</f>
        <v>3</v>
      </c>
      <c r="J186" s="291">
        <f t="shared" si="29"/>
        <v>4242</v>
      </c>
      <c r="K186" s="296">
        <f t="shared" si="30"/>
        <v>3</v>
      </c>
      <c r="L186" s="291">
        <f t="shared" si="31"/>
        <v>4242</v>
      </c>
      <c r="M186" s="297">
        <f t="shared" si="26"/>
        <v>0</v>
      </c>
      <c r="N186" s="297">
        <f t="shared" si="27"/>
        <v>0</v>
      </c>
      <c r="O186" s="292"/>
      <c r="P186" s="290">
        <f t="shared" si="57"/>
        <v>0</v>
      </c>
      <c r="Q186" s="292">
        <f t="shared" si="61"/>
        <v>0</v>
      </c>
      <c r="R186" s="290">
        <f t="shared" si="56"/>
        <v>0</v>
      </c>
      <c r="S186" s="290">
        <f t="shared" si="33"/>
        <v>0</v>
      </c>
      <c r="T186" s="290">
        <f t="shared" si="34"/>
        <v>0</v>
      </c>
      <c r="U186" s="293"/>
      <c r="V186" s="294">
        <v>-23.567567567567568</v>
      </c>
      <c r="W186" s="299"/>
    </row>
    <row r="187" spans="1:32" ht="130.5">
      <c r="A187" s="288">
        <v>180</v>
      </c>
      <c r="B187" s="289" t="s">
        <v>844</v>
      </c>
      <c r="C187" s="290" t="s">
        <v>1122</v>
      </c>
      <c r="D187" s="290" t="s">
        <v>64</v>
      </c>
      <c r="E187" s="290" t="s">
        <v>941</v>
      </c>
      <c r="F187" s="290">
        <f t="shared" si="58"/>
        <v>8792</v>
      </c>
      <c r="G187" s="337"/>
      <c r="H187" s="290">
        <f t="shared" si="62"/>
        <v>0</v>
      </c>
      <c r="I187" s="291">
        <f>'DETAILED (2)'!I1840</f>
        <v>2</v>
      </c>
      <c r="J187" s="291">
        <f t="shared" si="29"/>
        <v>8792</v>
      </c>
      <c r="K187" s="296">
        <f t="shared" si="30"/>
        <v>2</v>
      </c>
      <c r="L187" s="291">
        <f t="shared" si="31"/>
        <v>8792</v>
      </c>
      <c r="M187" s="297">
        <f t="shared" si="26"/>
        <v>0</v>
      </c>
      <c r="N187" s="297">
        <f t="shared" si="27"/>
        <v>0</v>
      </c>
      <c r="O187" s="292"/>
      <c r="P187" s="290">
        <f t="shared" si="57"/>
        <v>0</v>
      </c>
      <c r="Q187" s="292">
        <f t="shared" si="61"/>
        <v>0</v>
      </c>
      <c r="R187" s="290">
        <f t="shared" si="56"/>
        <v>0</v>
      </c>
      <c r="S187" s="290">
        <f t="shared" si="33"/>
        <v>0</v>
      </c>
      <c r="T187" s="290">
        <f t="shared" si="34"/>
        <v>0</v>
      </c>
      <c r="U187" s="293"/>
      <c r="V187" s="294">
        <v>-23.547826086956523</v>
      </c>
      <c r="W187" s="299"/>
    </row>
    <row r="188" spans="1:32" ht="87">
      <c r="A188" s="288">
        <v>181</v>
      </c>
      <c r="B188" s="289" t="s">
        <v>845</v>
      </c>
      <c r="C188" s="290" t="s">
        <v>1123</v>
      </c>
      <c r="D188" s="290" t="s">
        <v>64</v>
      </c>
      <c r="E188" s="290" t="s">
        <v>223</v>
      </c>
      <c r="F188" s="290">
        <f t="shared" si="58"/>
        <v>27540</v>
      </c>
      <c r="G188" s="333"/>
      <c r="H188" s="290">
        <f t="shared" si="62"/>
        <v>0</v>
      </c>
      <c r="I188" s="291">
        <f>'DETAILED (2)'!I1869</f>
        <v>60</v>
      </c>
      <c r="J188" s="291">
        <f t="shared" si="29"/>
        <v>27540</v>
      </c>
      <c r="K188" s="296">
        <f t="shared" si="30"/>
        <v>60</v>
      </c>
      <c r="L188" s="291">
        <f t="shared" si="31"/>
        <v>27540</v>
      </c>
      <c r="M188" s="297">
        <f t="shared" si="26"/>
        <v>0</v>
      </c>
      <c r="N188" s="297">
        <f t="shared" si="27"/>
        <v>0</v>
      </c>
      <c r="O188" s="292"/>
      <c r="P188" s="290">
        <f t="shared" si="57"/>
        <v>0</v>
      </c>
      <c r="Q188" s="292">
        <f t="shared" si="61"/>
        <v>0</v>
      </c>
      <c r="R188" s="290">
        <f t="shared" si="56"/>
        <v>0</v>
      </c>
      <c r="S188" s="290">
        <f t="shared" si="33"/>
        <v>0</v>
      </c>
      <c r="T188" s="290">
        <f t="shared" si="34"/>
        <v>0</v>
      </c>
      <c r="U188" s="293"/>
      <c r="V188" s="294">
        <v>-23.5</v>
      </c>
      <c r="W188" s="299"/>
    </row>
    <row r="189" spans="1:32" ht="87">
      <c r="A189" s="288">
        <v>182</v>
      </c>
      <c r="B189" s="289" t="s">
        <v>846</v>
      </c>
      <c r="C189" s="290" t="s">
        <v>1124</v>
      </c>
      <c r="D189" s="290" t="s">
        <v>64</v>
      </c>
      <c r="E189" s="290" t="s">
        <v>895</v>
      </c>
      <c r="F189" s="290">
        <f t="shared" si="58"/>
        <v>3211</v>
      </c>
      <c r="G189" s="333"/>
      <c r="H189" s="290">
        <f t="shared" si="62"/>
        <v>0</v>
      </c>
      <c r="I189" s="291">
        <f>'DETAILED (2)'!I1872</f>
        <v>1</v>
      </c>
      <c r="J189" s="291">
        <f t="shared" si="29"/>
        <v>3211</v>
      </c>
      <c r="K189" s="296">
        <f t="shared" si="30"/>
        <v>1</v>
      </c>
      <c r="L189" s="291">
        <f t="shared" si="31"/>
        <v>3211</v>
      </c>
      <c r="M189" s="297">
        <f t="shared" si="26"/>
        <v>0</v>
      </c>
      <c r="N189" s="297">
        <f t="shared" si="27"/>
        <v>0</v>
      </c>
      <c r="O189" s="292">
        <f t="shared" ref="O189" si="64">ROUND(K189-E189,2)</f>
        <v>0</v>
      </c>
      <c r="P189" s="290">
        <f t="shared" si="57"/>
        <v>0</v>
      </c>
      <c r="Q189" s="292">
        <f t="shared" si="61"/>
        <v>0</v>
      </c>
      <c r="R189" s="290">
        <f t="shared" si="56"/>
        <v>0</v>
      </c>
      <c r="S189" s="290">
        <f t="shared" si="33"/>
        <v>0</v>
      </c>
      <c r="T189" s="290">
        <f t="shared" si="34"/>
        <v>0</v>
      </c>
      <c r="U189" s="293"/>
      <c r="V189" s="294">
        <v>-23.547619047619047</v>
      </c>
      <c r="W189" s="299"/>
      <c r="AF189" s="295" t="s">
        <v>1443</v>
      </c>
    </row>
    <row r="190" spans="1:32" ht="108.75">
      <c r="A190" s="288">
        <v>183</v>
      </c>
      <c r="B190" s="289" t="s">
        <v>847</v>
      </c>
      <c r="C190" s="290" t="s">
        <v>1125</v>
      </c>
      <c r="D190" s="290" t="s">
        <v>64</v>
      </c>
      <c r="E190" s="290" t="s">
        <v>903</v>
      </c>
      <c r="F190" s="290">
        <f t="shared" si="58"/>
        <v>12840</v>
      </c>
      <c r="G190" s="333"/>
      <c r="H190" s="290">
        <f t="shared" si="62"/>
        <v>0</v>
      </c>
      <c r="I190" s="291">
        <f>'DETAILED (2)'!I1875</f>
        <v>20</v>
      </c>
      <c r="J190" s="291">
        <f t="shared" si="29"/>
        <v>12840</v>
      </c>
      <c r="K190" s="296">
        <f t="shared" si="30"/>
        <v>20</v>
      </c>
      <c r="L190" s="291">
        <f t="shared" si="31"/>
        <v>12840</v>
      </c>
      <c r="M190" s="297">
        <f t="shared" si="26"/>
        <v>0</v>
      </c>
      <c r="N190" s="297">
        <f t="shared" si="27"/>
        <v>0</v>
      </c>
      <c r="O190" s="292"/>
      <c r="P190" s="290">
        <f t="shared" si="57"/>
        <v>0</v>
      </c>
      <c r="Q190" s="292">
        <f t="shared" si="61"/>
        <v>0</v>
      </c>
      <c r="R190" s="290">
        <f t="shared" si="56"/>
        <v>0</v>
      </c>
      <c r="S190" s="290">
        <f t="shared" si="33"/>
        <v>0</v>
      </c>
      <c r="T190" s="290">
        <f t="shared" si="34"/>
        <v>0</v>
      </c>
      <c r="U190" s="293"/>
      <c r="V190" s="294">
        <v>-23.571428571428569</v>
      </c>
      <c r="W190" s="299"/>
    </row>
    <row r="191" spans="1:32">
      <c r="A191" s="288">
        <v>184</v>
      </c>
      <c r="B191" s="289" t="s">
        <v>848</v>
      </c>
      <c r="C191" s="290" t="s">
        <v>1126</v>
      </c>
      <c r="D191" s="290" t="s">
        <v>64</v>
      </c>
      <c r="E191" s="290" t="s">
        <v>963</v>
      </c>
      <c r="F191" s="290">
        <f t="shared" si="58"/>
        <v>8250</v>
      </c>
      <c r="G191" s="333"/>
      <c r="H191" s="290">
        <f t="shared" si="62"/>
        <v>0</v>
      </c>
      <c r="I191" s="291">
        <f>'DETAILED (2)'!I1878</f>
        <v>15</v>
      </c>
      <c r="J191" s="291">
        <f t="shared" si="29"/>
        <v>8250</v>
      </c>
      <c r="K191" s="296">
        <f t="shared" si="30"/>
        <v>15</v>
      </c>
      <c r="L191" s="291">
        <f t="shared" si="31"/>
        <v>8250</v>
      </c>
      <c r="M191" s="297">
        <f t="shared" si="26"/>
        <v>0</v>
      </c>
      <c r="N191" s="297">
        <f t="shared" si="27"/>
        <v>0</v>
      </c>
      <c r="O191" s="292"/>
      <c r="P191" s="290">
        <f t="shared" si="57"/>
        <v>0</v>
      </c>
      <c r="Q191" s="292">
        <f t="shared" si="61"/>
        <v>0</v>
      </c>
      <c r="R191" s="290">
        <f t="shared" si="56"/>
        <v>0</v>
      </c>
      <c r="S191" s="290">
        <f t="shared" si="33"/>
        <v>0</v>
      </c>
      <c r="T191" s="290">
        <f t="shared" si="34"/>
        <v>0</v>
      </c>
      <c r="U191" s="293"/>
      <c r="V191" s="294">
        <v>-23.611111111111111</v>
      </c>
      <c r="W191" s="299"/>
    </row>
    <row r="192" spans="1:32" ht="108.75">
      <c r="A192" s="288">
        <v>185</v>
      </c>
      <c r="B192" s="289" t="s">
        <v>849</v>
      </c>
      <c r="C192" s="290" t="s">
        <v>1127</v>
      </c>
      <c r="D192" s="290" t="s">
        <v>64</v>
      </c>
      <c r="E192" s="290" t="s">
        <v>964</v>
      </c>
      <c r="F192" s="290">
        <f t="shared" si="58"/>
        <v>7105</v>
      </c>
      <c r="G192" s="333"/>
      <c r="H192" s="290">
        <f t="shared" si="62"/>
        <v>0</v>
      </c>
      <c r="I192" s="291">
        <f>'DETAILED (2)'!I1885</f>
        <v>29</v>
      </c>
      <c r="J192" s="291">
        <f>C192*I192</f>
        <v>7105</v>
      </c>
      <c r="K192" s="296">
        <f t="shared" si="30"/>
        <v>29</v>
      </c>
      <c r="L192" s="291">
        <f t="shared" si="31"/>
        <v>7105</v>
      </c>
      <c r="M192" s="297">
        <f t="shared" si="26"/>
        <v>0</v>
      </c>
      <c r="N192" s="297">
        <f t="shared" si="27"/>
        <v>0</v>
      </c>
      <c r="O192" s="292"/>
      <c r="P192" s="290">
        <f t="shared" si="57"/>
        <v>0</v>
      </c>
      <c r="Q192" s="292">
        <f t="shared" si="61"/>
        <v>0</v>
      </c>
      <c r="R192" s="290">
        <f t="shared" si="56"/>
        <v>0</v>
      </c>
      <c r="S192" s="290">
        <f t="shared" si="33"/>
        <v>0</v>
      </c>
      <c r="T192" s="290">
        <f t="shared" si="34"/>
        <v>0</v>
      </c>
      <c r="U192" s="293"/>
      <c r="V192" s="294">
        <v>-23.4375</v>
      </c>
      <c r="W192" s="299"/>
      <c r="AE192" s="295">
        <v>59</v>
      </c>
    </row>
    <row r="193" spans="1:23">
      <c r="A193" s="288">
        <v>186</v>
      </c>
      <c r="B193" s="289" t="s">
        <v>850</v>
      </c>
      <c r="C193" s="290" t="s">
        <v>1128</v>
      </c>
      <c r="D193" s="290" t="s">
        <v>64</v>
      </c>
      <c r="E193" s="290" t="s">
        <v>895</v>
      </c>
      <c r="F193" s="290">
        <f t="shared" si="58"/>
        <v>344</v>
      </c>
      <c r="G193" s="333"/>
      <c r="H193" s="290">
        <f t="shared" si="62"/>
        <v>0</v>
      </c>
      <c r="I193" s="291">
        <f>'DETAILED (2)'!I1888</f>
        <v>1</v>
      </c>
      <c r="J193" s="291">
        <f t="shared" si="29"/>
        <v>344</v>
      </c>
      <c r="K193" s="296">
        <f t="shared" si="30"/>
        <v>1</v>
      </c>
      <c r="L193" s="291">
        <f t="shared" si="31"/>
        <v>344</v>
      </c>
      <c r="M193" s="297">
        <f t="shared" si="26"/>
        <v>0</v>
      </c>
      <c r="N193" s="297">
        <f t="shared" si="27"/>
        <v>0</v>
      </c>
      <c r="O193" s="292"/>
      <c r="P193" s="290">
        <f t="shared" si="57"/>
        <v>0</v>
      </c>
      <c r="Q193" s="292">
        <f t="shared" si="61"/>
        <v>0</v>
      </c>
      <c r="R193" s="290">
        <f t="shared" si="56"/>
        <v>0</v>
      </c>
      <c r="S193" s="290">
        <f t="shared" si="33"/>
        <v>0</v>
      </c>
      <c r="T193" s="290">
        <f t="shared" si="34"/>
        <v>0</v>
      </c>
      <c r="U193" s="293"/>
      <c r="V193" s="294">
        <v>-23.555555555555554</v>
      </c>
      <c r="W193" s="299"/>
    </row>
    <row r="194" spans="1:23" ht="152.25">
      <c r="A194" s="288">
        <v>187</v>
      </c>
      <c r="B194" s="289" t="s">
        <v>851</v>
      </c>
      <c r="C194" s="290" t="s">
        <v>1129</v>
      </c>
      <c r="D194" s="290" t="s">
        <v>63</v>
      </c>
      <c r="E194" s="290" t="s">
        <v>965</v>
      </c>
      <c r="F194" s="290">
        <f t="shared" si="58"/>
        <v>35910</v>
      </c>
      <c r="G194" s="333"/>
      <c r="H194" s="290">
        <f t="shared" si="62"/>
        <v>0</v>
      </c>
      <c r="I194" s="291">
        <f>'DETAILED (2)'!I1896</f>
        <v>71.94</v>
      </c>
      <c r="J194" s="291">
        <f>C194*I194</f>
        <v>45322.2</v>
      </c>
      <c r="K194" s="296">
        <f t="shared" si="30"/>
        <v>71.94</v>
      </c>
      <c r="L194" s="291">
        <f t="shared" si="31"/>
        <v>45322.2</v>
      </c>
      <c r="M194" s="297">
        <f t="shared" si="26"/>
        <v>9412.1999999999971</v>
      </c>
      <c r="N194" s="297">
        <f t="shared" si="27"/>
        <v>0</v>
      </c>
      <c r="O194" s="292"/>
      <c r="P194" s="290">
        <f t="shared" si="57"/>
        <v>0</v>
      </c>
      <c r="Q194" s="292">
        <f t="shared" si="61"/>
        <v>-14.94</v>
      </c>
      <c r="R194" s="290">
        <f t="shared" si="56"/>
        <v>-9412.2000000000007</v>
      </c>
      <c r="S194" s="290">
        <f t="shared" si="33"/>
        <v>-9412.1999999999971</v>
      </c>
      <c r="T194" s="290">
        <f t="shared" si="34"/>
        <v>9412.2000000000007</v>
      </c>
      <c r="U194" s="293"/>
      <c r="V194" s="294">
        <v>-31.3897389542925</v>
      </c>
      <c r="W194" s="299"/>
    </row>
    <row r="195" spans="1:23" ht="150.75" customHeight="1">
      <c r="A195" s="288">
        <v>188</v>
      </c>
      <c r="B195" s="289" t="s">
        <v>852</v>
      </c>
      <c r="C195" s="290" t="s">
        <v>214</v>
      </c>
      <c r="D195" s="290" t="s">
        <v>64</v>
      </c>
      <c r="E195" s="290" t="s">
        <v>963</v>
      </c>
      <c r="F195" s="290">
        <f t="shared" si="58"/>
        <v>6675</v>
      </c>
      <c r="G195" s="333"/>
      <c r="H195" s="290">
        <f t="shared" si="62"/>
        <v>0</v>
      </c>
      <c r="I195" s="291">
        <f>'DETAILED (2)'!I1899</f>
        <v>20</v>
      </c>
      <c r="J195" s="291">
        <f t="shared" si="29"/>
        <v>8900</v>
      </c>
      <c r="K195" s="296">
        <f t="shared" si="30"/>
        <v>20</v>
      </c>
      <c r="L195" s="291">
        <f t="shared" si="31"/>
        <v>8900</v>
      </c>
      <c r="M195" s="297">
        <f t="shared" si="26"/>
        <v>2225</v>
      </c>
      <c r="N195" s="297">
        <f t="shared" si="27"/>
        <v>0</v>
      </c>
      <c r="O195" s="292"/>
      <c r="P195" s="290">
        <f t="shared" si="57"/>
        <v>0</v>
      </c>
      <c r="Q195" s="292">
        <f t="shared" si="61"/>
        <v>-5</v>
      </c>
      <c r="R195" s="290">
        <f t="shared" si="56"/>
        <v>-2225</v>
      </c>
      <c r="S195" s="290">
        <f t="shared" si="33"/>
        <v>-2225</v>
      </c>
      <c r="T195" s="290">
        <f t="shared" si="34"/>
        <v>2225</v>
      </c>
      <c r="U195" s="293"/>
      <c r="V195" s="294">
        <v>-30.089705119947212</v>
      </c>
      <c r="W195" s="299"/>
    </row>
    <row r="196" spans="1:23" ht="105.75" customHeight="1">
      <c r="A196" s="288"/>
      <c r="B196" s="301" t="s">
        <v>1668</v>
      </c>
      <c r="C196" s="290">
        <v>5260</v>
      </c>
      <c r="D196" s="290" t="s">
        <v>176</v>
      </c>
      <c r="E196" s="290"/>
      <c r="F196" s="290">
        <f t="shared" si="58"/>
        <v>0</v>
      </c>
      <c r="G196" s="290"/>
      <c r="H196" s="290">
        <f t="shared" si="62"/>
        <v>0</v>
      </c>
      <c r="I196" s="291">
        <f>'DETAILED (2)'!I1909</f>
        <v>58.522500000000008</v>
      </c>
      <c r="J196" s="291">
        <f t="shared" si="29"/>
        <v>307828.35000000003</v>
      </c>
      <c r="K196" s="296">
        <f t="shared" si="30"/>
        <v>58.522500000000008</v>
      </c>
      <c r="L196" s="291">
        <f t="shared" si="31"/>
        <v>307828.35000000003</v>
      </c>
      <c r="M196" s="297">
        <f t="shared" si="26"/>
        <v>307828.35000000003</v>
      </c>
      <c r="N196" s="297">
        <f t="shared" si="27"/>
        <v>0</v>
      </c>
      <c r="O196" s="292"/>
      <c r="P196" s="290">
        <f t="shared" si="57"/>
        <v>0</v>
      </c>
      <c r="Q196" s="292">
        <f t="shared" si="61"/>
        <v>-58.52</v>
      </c>
      <c r="R196" s="290">
        <f t="shared" si="56"/>
        <v>-307815.2</v>
      </c>
      <c r="S196" s="290">
        <f t="shared" si="33"/>
        <v>-307828.35000000003</v>
      </c>
      <c r="T196" s="290">
        <f t="shared" si="34"/>
        <v>307815.2</v>
      </c>
      <c r="U196" s="293" t="s">
        <v>1669</v>
      </c>
      <c r="V196" s="294"/>
      <c r="W196" s="299"/>
    </row>
    <row r="197" spans="1:23" ht="120.75" customHeight="1">
      <c r="A197" s="288"/>
      <c r="B197" s="301" t="s">
        <v>1670</v>
      </c>
      <c r="C197" s="290">
        <v>5680</v>
      </c>
      <c r="D197" s="290" t="s">
        <v>176</v>
      </c>
      <c r="E197" s="290"/>
      <c r="F197" s="290">
        <f t="shared" si="58"/>
        <v>0</v>
      </c>
      <c r="G197" s="290"/>
      <c r="H197" s="290">
        <f t="shared" si="62"/>
        <v>0</v>
      </c>
      <c r="I197" s="291">
        <f>'DETAILED (2)'!I1917</f>
        <v>7.1999999999999993</v>
      </c>
      <c r="J197" s="291">
        <f t="shared" si="29"/>
        <v>40895.999999999993</v>
      </c>
      <c r="K197" s="296">
        <f t="shared" si="30"/>
        <v>7.1999999999999993</v>
      </c>
      <c r="L197" s="291">
        <f t="shared" si="31"/>
        <v>40895.999999999993</v>
      </c>
      <c r="M197" s="297">
        <f t="shared" si="26"/>
        <v>40895.999999999993</v>
      </c>
      <c r="N197" s="297">
        <f t="shared" si="27"/>
        <v>0</v>
      </c>
      <c r="O197" s="292"/>
      <c r="P197" s="290">
        <f t="shared" si="57"/>
        <v>0</v>
      </c>
      <c r="Q197" s="292">
        <f t="shared" si="61"/>
        <v>-7.2</v>
      </c>
      <c r="R197" s="290">
        <f t="shared" si="56"/>
        <v>-40896</v>
      </c>
      <c r="S197" s="290">
        <f t="shared" si="33"/>
        <v>-40895.999999999993</v>
      </c>
      <c r="T197" s="290">
        <f t="shared" si="34"/>
        <v>40896</v>
      </c>
      <c r="U197" s="293" t="s">
        <v>1671</v>
      </c>
      <c r="V197" s="294"/>
      <c r="W197" s="299"/>
    </row>
    <row r="198" spans="1:23" ht="126.75" customHeight="1">
      <c r="A198" s="288"/>
      <c r="B198" s="301" t="s">
        <v>1672</v>
      </c>
      <c r="C198" s="290">
        <v>170</v>
      </c>
      <c r="D198" s="290" t="s">
        <v>1673</v>
      </c>
      <c r="E198" s="290"/>
      <c r="F198" s="290">
        <f t="shared" si="58"/>
        <v>0</v>
      </c>
      <c r="G198" s="290"/>
      <c r="H198" s="290">
        <f t="shared" si="62"/>
        <v>0</v>
      </c>
      <c r="I198" s="291">
        <f>'DETAILED (2)'!I1924</f>
        <v>788.86560959999997</v>
      </c>
      <c r="J198" s="291">
        <f>C198*I198</f>
        <v>134107.153632</v>
      </c>
      <c r="K198" s="296">
        <f t="shared" si="30"/>
        <v>788.86560959999997</v>
      </c>
      <c r="L198" s="291">
        <f t="shared" si="31"/>
        <v>134107.153632</v>
      </c>
      <c r="M198" s="297">
        <f t="shared" si="26"/>
        <v>134107.153632</v>
      </c>
      <c r="N198" s="297">
        <f t="shared" si="27"/>
        <v>0</v>
      </c>
      <c r="O198" s="292"/>
      <c r="P198" s="290">
        <f t="shared" si="57"/>
        <v>0</v>
      </c>
      <c r="Q198" s="292">
        <f t="shared" si="61"/>
        <v>-788.87</v>
      </c>
      <c r="R198" s="290">
        <f t="shared" si="56"/>
        <v>-134107.9</v>
      </c>
      <c r="S198" s="290">
        <f t="shared" si="33"/>
        <v>-134107.153632</v>
      </c>
      <c r="T198" s="290">
        <f t="shared" si="34"/>
        <v>134107.9</v>
      </c>
      <c r="U198" s="293" t="s">
        <v>1674</v>
      </c>
      <c r="V198" s="294"/>
      <c r="W198" s="299"/>
    </row>
    <row r="199" spans="1:23" ht="25.5" customHeight="1">
      <c r="A199" s="288"/>
      <c r="B199" s="289"/>
      <c r="C199" s="290"/>
      <c r="D199" s="290"/>
      <c r="E199" s="290"/>
      <c r="F199" s="290">
        <f t="shared" si="58"/>
        <v>0</v>
      </c>
      <c r="G199" s="332"/>
      <c r="H199" s="290">
        <f t="shared" si="62"/>
        <v>0</v>
      </c>
      <c r="I199" s="291"/>
      <c r="J199" s="291" t="e">
        <f>SUM(J8:J198)</f>
        <v>#REF!</v>
      </c>
      <c r="K199" s="296">
        <f t="shared" si="30"/>
        <v>0</v>
      </c>
      <c r="L199" s="291">
        <f t="shared" si="31"/>
        <v>0</v>
      </c>
      <c r="M199" s="297">
        <f t="shared" si="26"/>
        <v>0</v>
      </c>
      <c r="N199" s="297">
        <f t="shared" si="27"/>
        <v>0</v>
      </c>
      <c r="O199" s="292"/>
      <c r="P199" s="290">
        <f t="shared" si="57"/>
        <v>0</v>
      </c>
      <c r="Q199" s="292">
        <f t="shared" si="61"/>
        <v>0</v>
      </c>
      <c r="R199" s="290">
        <f t="shared" si="56"/>
        <v>0</v>
      </c>
      <c r="S199" s="290">
        <f t="shared" si="33"/>
        <v>0</v>
      </c>
      <c r="T199" s="290">
        <f t="shared" si="34"/>
        <v>0</v>
      </c>
      <c r="U199" s="293"/>
      <c r="V199" s="294"/>
      <c r="W199" s="299"/>
    </row>
    <row r="200" spans="1:23" ht="54.75" customHeight="1">
      <c r="A200" s="288"/>
      <c r="B200" s="301" t="s">
        <v>1390</v>
      </c>
      <c r="C200" s="304"/>
      <c r="D200" s="304"/>
      <c r="E200" s="304"/>
      <c r="F200" s="305">
        <f>SUM(F8:F198)</f>
        <v>8933289.7300000004</v>
      </c>
      <c r="G200" s="334"/>
      <c r="H200" s="305">
        <f>SUM(H8:H198)</f>
        <v>4516171.3599999994</v>
      </c>
      <c r="I200" s="304"/>
      <c r="J200" s="305">
        <v>4872538.55</v>
      </c>
      <c r="K200" s="304"/>
      <c r="L200" s="305">
        <v>9388709.9100000001</v>
      </c>
      <c r="M200" s="297">
        <v>1225088.5900000001</v>
      </c>
      <c r="N200" s="297">
        <v>769668.41</v>
      </c>
      <c r="O200" s="306"/>
      <c r="P200" s="304"/>
      <c r="Q200" s="306"/>
      <c r="R200" s="305"/>
      <c r="S200" s="305"/>
      <c r="T200" s="305"/>
      <c r="U200" s="293"/>
      <c r="V200" s="307"/>
    </row>
    <row r="201" spans="1:23" ht="54.75" customHeight="1">
      <c r="A201" s="288"/>
      <c r="B201" s="301" t="s">
        <v>1391</v>
      </c>
      <c r="C201" s="304"/>
      <c r="D201" s="304"/>
      <c r="E201" s="304"/>
      <c r="F201" s="305">
        <f>F200*0.12</f>
        <v>1071994.7675999999</v>
      </c>
      <c r="G201" s="334"/>
      <c r="H201" s="305">
        <f>H200*0.12</f>
        <v>541940.56319999986</v>
      </c>
      <c r="I201" s="304"/>
      <c r="J201" s="305">
        <f>J200*0.12</f>
        <v>584704.62599999993</v>
      </c>
      <c r="K201" s="304"/>
      <c r="L201" s="305">
        <f>L200*0.12</f>
        <v>1126645.1891999999</v>
      </c>
      <c r="M201" s="305">
        <f>M200*0.12</f>
        <v>147010.63080000001</v>
      </c>
      <c r="N201" s="305">
        <f>N200*0.12</f>
        <v>92360.209199999998</v>
      </c>
      <c r="O201" s="306"/>
      <c r="P201" s="304"/>
      <c r="Q201" s="306"/>
      <c r="R201" s="304"/>
      <c r="S201" s="304"/>
      <c r="T201" s="304"/>
      <c r="U201" s="293"/>
      <c r="V201" s="307"/>
    </row>
    <row r="202" spans="1:23" ht="54.75" customHeight="1">
      <c r="A202" s="288"/>
      <c r="B202" s="301" t="s">
        <v>1392</v>
      </c>
      <c r="C202" s="304"/>
      <c r="D202" s="304"/>
      <c r="E202" s="304"/>
      <c r="F202" s="305">
        <f>SUM(F200:F201)</f>
        <v>10005284.4976</v>
      </c>
      <c r="G202" s="334"/>
      <c r="H202" s="305">
        <f>SUM(H200:H201)</f>
        <v>5058111.9231999991</v>
      </c>
      <c r="I202" s="304"/>
      <c r="J202" s="305">
        <f>SUM(J200:J201)</f>
        <v>5457243.176</v>
      </c>
      <c r="K202" s="304"/>
      <c r="L202" s="304">
        <f>SUM(L200:L201)</f>
        <v>10515355.099199999</v>
      </c>
      <c r="M202" s="304">
        <f>SUM(M200:M201)</f>
        <v>1372099.2208</v>
      </c>
      <c r="N202" s="304">
        <f>SUM(N200:N201)</f>
        <v>862028.61920000007</v>
      </c>
      <c r="O202" s="308"/>
      <c r="P202" s="304"/>
      <c r="Q202" s="306"/>
      <c r="R202" s="304"/>
      <c r="S202" s="304"/>
      <c r="T202" s="304"/>
      <c r="U202" s="293"/>
      <c r="V202" s="309"/>
    </row>
    <row r="203" spans="1:23" ht="54.75" customHeight="1">
      <c r="A203" s="288"/>
      <c r="B203" s="289"/>
      <c r="C203" s="290"/>
      <c r="D203" s="290"/>
      <c r="E203" s="290"/>
      <c r="F203" s="310"/>
      <c r="G203" s="332"/>
      <c r="H203" s="290"/>
      <c r="I203" s="290"/>
      <c r="J203" s="290"/>
      <c r="K203" s="290"/>
      <c r="L203" s="437">
        <f>F202-L202</f>
        <v>-510070.60159999877</v>
      </c>
      <c r="M203" s="312"/>
      <c r="N203" s="312">
        <f>M202-N202</f>
        <v>510070.60159999994</v>
      </c>
      <c r="O203" s="313"/>
      <c r="P203" s="314"/>
      <c r="Q203" s="292"/>
      <c r="R203" s="304">
        <f>P202-R202</f>
        <v>0</v>
      </c>
      <c r="S203" s="304">
        <f>R203-N203</f>
        <v>-510070.60159999994</v>
      </c>
      <c r="T203" s="304"/>
      <c r="U203" s="293"/>
      <c r="V203" s="315"/>
    </row>
    <row r="204" spans="1:23" ht="54.75" customHeight="1">
      <c r="A204" s="288"/>
      <c r="B204" s="289"/>
      <c r="C204" s="290"/>
      <c r="D204" s="290"/>
      <c r="E204" s="290"/>
      <c r="F204" s="304"/>
      <c r="G204" s="332"/>
      <c r="H204" s="290"/>
      <c r="I204" s="290"/>
      <c r="J204" s="532" t="s">
        <v>1393</v>
      </c>
      <c r="K204" s="533"/>
      <c r="L204" s="290">
        <f>(L203/F202)*100</f>
        <v>-5.0980119727964857</v>
      </c>
      <c r="M204" s="290"/>
      <c r="N204" s="290"/>
      <c r="O204" s="292" t="s">
        <v>1394</v>
      </c>
      <c r="P204" s="290"/>
      <c r="Q204" s="292">
        <f>(Q203/F202)*100</f>
        <v>0</v>
      </c>
      <c r="R204" s="290"/>
      <c r="S204" s="290"/>
      <c r="T204" s="290"/>
      <c r="U204" s="293"/>
      <c r="V204" s="294"/>
    </row>
    <row r="205" spans="1:23">
      <c r="F205" s="523"/>
      <c r="G205" s="523"/>
      <c r="H205" s="318"/>
      <c r="O205" s="319"/>
      <c r="P205" s="318"/>
      <c r="Q205" s="319"/>
      <c r="R205" s="318"/>
      <c r="S205" s="318"/>
      <c r="T205" s="318"/>
      <c r="V205" s="320"/>
    </row>
    <row r="206" spans="1:23" ht="42.75" customHeight="1">
      <c r="A206" s="436"/>
      <c r="D206" s="318"/>
      <c r="F206" s="318"/>
      <c r="G206" s="336"/>
      <c r="H206" s="318">
        <f>H200+J200</f>
        <v>9388709.9100000001</v>
      </c>
      <c r="I206" s="321"/>
      <c r="J206" s="529" t="s">
        <v>1395</v>
      </c>
      <c r="K206" s="530"/>
      <c r="L206" s="531"/>
      <c r="M206" s="527">
        <v>14239539.77</v>
      </c>
      <c r="N206" s="528"/>
      <c r="O206" s="322"/>
      <c r="P206" s="323"/>
      <c r="Q206" s="527">
        <v>359031340.31999999</v>
      </c>
      <c r="R206" s="528"/>
      <c r="S206" s="324"/>
      <c r="T206" s="324"/>
      <c r="V206" s="325"/>
    </row>
    <row r="207" spans="1:23" ht="42.75" customHeight="1">
      <c r="A207" s="436"/>
      <c r="D207" s="318"/>
      <c r="F207" s="432">
        <v>10651752.52</v>
      </c>
      <c r="H207" s="318"/>
      <c r="I207" s="321"/>
      <c r="J207" s="529" t="s">
        <v>1396</v>
      </c>
      <c r="K207" s="530"/>
      <c r="L207" s="531"/>
      <c r="M207" s="527">
        <v>10005284.5</v>
      </c>
      <c r="N207" s="528"/>
      <c r="O207" s="322"/>
      <c r="P207" s="323"/>
      <c r="Q207" s="527">
        <v>299814466.33999997</v>
      </c>
      <c r="R207" s="528"/>
      <c r="S207" s="324"/>
      <c r="T207" s="324"/>
      <c r="V207" s="325"/>
    </row>
    <row r="208" spans="1:23" ht="42.75" customHeight="1">
      <c r="A208" s="436"/>
      <c r="F208" s="432">
        <f>-L202</f>
        <v>-10515355.099199999</v>
      </c>
      <c r="G208" s="449">
        <f>H206-L200</f>
        <v>0</v>
      </c>
      <c r="I208" s="321"/>
      <c r="J208" s="529" t="s">
        <v>1397</v>
      </c>
      <c r="K208" s="530"/>
      <c r="L208" s="531"/>
      <c r="M208" s="527">
        <f>M206-M207</f>
        <v>4234255.2699999996</v>
      </c>
      <c r="N208" s="528"/>
      <c r="O208" s="322"/>
      <c r="P208" s="323"/>
      <c r="Q208" s="527">
        <v>59216873.979999997</v>
      </c>
      <c r="R208" s="528"/>
      <c r="S208" s="324"/>
      <c r="T208" s="324"/>
      <c r="V208" s="325"/>
    </row>
    <row r="209" spans="1:22" ht="42.75" customHeight="1">
      <c r="A209" s="436"/>
      <c r="F209" s="432">
        <f>SUM(F207:F208)</f>
        <v>136397.42080000043</v>
      </c>
      <c r="H209" s="318">
        <f>H206-L200</f>
        <v>0</v>
      </c>
      <c r="I209" s="321"/>
      <c r="J209" s="529" t="s">
        <v>1398</v>
      </c>
      <c r="K209" s="530"/>
      <c r="L209" s="531"/>
      <c r="M209" s="527">
        <f>-M208/M206*100</f>
        <v>-29.73589974390022</v>
      </c>
      <c r="N209" s="528"/>
      <c r="O209" s="322"/>
      <c r="P209" s="323"/>
      <c r="Q209" s="527">
        <v>16.489999999999998</v>
      </c>
      <c r="R209" s="528"/>
      <c r="S209" s="324"/>
      <c r="T209" s="324"/>
      <c r="U209" s="299"/>
      <c r="V209" s="325"/>
    </row>
    <row r="210" spans="1:22" ht="67.5" customHeight="1">
      <c r="A210" s="436"/>
      <c r="I210" s="321"/>
      <c r="J210" s="529" t="s">
        <v>1399</v>
      </c>
      <c r="K210" s="530"/>
      <c r="L210" s="531"/>
      <c r="M210" s="527">
        <f>L202</f>
        <v>10515355.099199999</v>
      </c>
      <c r="N210" s="528"/>
      <c r="O210" s="322"/>
      <c r="P210" s="323"/>
      <c r="Q210" s="527">
        <f>L202</f>
        <v>10515355.099199999</v>
      </c>
      <c r="R210" s="528"/>
      <c r="S210" s="324"/>
      <c r="T210" s="324"/>
      <c r="V210" s="325"/>
    </row>
    <row r="211" spans="1:22" ht="42.75" customHeight="1">
      <c r="A211" s="436"/>
      <c r="I211" s="321"/>
      <c r="J211" s="529" t="s">
        <v>1741</v>
      </c>
      <c r="K211" s="530"/>
      <c r="L211" s="531"/>
      <c r="M211" s="527">
        <f>M210-F202</f>
        <v>510070.60159999877</v>
      </c>
      <c r="N211" s="528"/>
      <c r="O211" s="322"/>
      <c r="P211" s="323"/>
      <c r="Q211" s="527" t="s">
        <v>1400</v>
      </c>
      <c r="R211" s="528"/>
      <c r="S211" s="324"/>
      <c r="T211" s="324"/>
      <c r="V211" s="325"/>
    </row>
    <row r="212" spans="1:22" ht="42.75" customHeight="1">
      <c r="A212" s="436"/>
      <c r="I212" s="321"/>
      <c r="J212" s="529" t="s">
        <v>1401</v>
      </c>
      <c r="K212" s="530"/>
      <c r="L212" s="531"/>
      <c r="M212" s="527">
        <f>M211/F202%</f>
        <v>5.0980119727964857</v>
      </c>
      <c r="N212" s="528"/>
      <c r="O212" s="322"/>
      <c r="P212" s="323"/>
      <c r="Q212" s="527" t="s">
        <v>1400</v>
      </c>
      <c r="R212" s="528"/>
      <c r="S212" s="324"/>
      <c r="T212" s="324"/>
      <c r="U212" s="326"/>
      <c r="V212" s="325"/>
    </row>
    <row r="213" spans="1:22" ht="42.75" customHeight="1">
      <c r="A213" s="436"/>
      <c r="J213" s="529" t="s">
        <v>1402</v>
      </c>
      <c r="K213" s="530"/>
      <c r="L213" s="531"/>
      <c r="M213" s="527"/>
      <c r="N213" s="528"/>
      <c r="O213" s="322"/>
      <c r="P213" s="323"/>
      <c r="Q213" s="527">
        <f>L203</f>
        <v>-510070.60159999877</v>
      </c>
      <c r="R213" s="528"/>
      <c r="S213" s="324"/>
      <c r="T213" s="324"/>
      <c r="V213" s="320"/>
    </row>
    <row r="214" spans="1:22" ht="42.75" customHeight="1">
      <c r="A214" s="436"/>
      <c r="J214" s="529" t="s">
        <v>1401</v>
      </c>
      <c r="K214" s="530"/>
      <c r="L214" s="531"/>
      <c r="M214" s="527">
        <f>M213/F202%</f>
        <v>0</v>
      </c>
      <c r="N214" s="528"/>
      <c r="O214" s="322"/>
      <c r="P214" s="323"/>
      <c r="Q214" s="527">
        <f>Q213/F202%</f>
        <v>-5.0980119727964857</v>
      </c>
      <c r="R214" s="528"/>
      <c r="S214" s="324"/>
      <c r="T214" s="324"/>
      <c r="V214" s="320"/>
    </row>
    <row r="215" spans="1:22" ht="42.75" customHeight="1">
      <c r="A215" s="436"/>
      <c r="J215" s="529" t="s">
        <v>1403</v>
      </c>
      <c r="K215" s="530"/>
      <c r="L215" s="531"/>
      <c r="M215" s="527">
        <f>M206-L202</f>
        <v>3724184.6708000004</v>
      </c>
      <c r="N215" s="528"/>
      <c r="O215" s="322"/>
      <c r="P215" s="323"/>
      <c r="Q215" s="527">
        <f>Q206-L202</f>
        <v>348515985.22079998</v>
      </c>
      <c r="R215" s="528"/>
      <c r="S215" s="324"/>
      <c r="T215" s="324"/>
      <c r="V215" s="320"/>
    </row>
    <row r="216" spans="1:22" ht="42.75" customHeight="1">
      <c r="A216" s="436"/>
      <c r="J216" s="529" t="s">
        <v>1401</v>
      </c>
      <c r="K216" s="530"/>
      <c r="L216" s="531"/>
      <c r="M216" s="527">
        <f>M215/M206%</f>
        <v>26.153827517980243</v>
      </c>
      <c r="N216" s="528"/>
      <c r="O216" s="322"/>
      <c r="P216" s="323"/>
      <c r="Q216" s="527">
        <f>Q215/Q206%</f>
        <v>97.071187409481354</v>
      </c>
      <c r="R216" s="528"/>
      <c r="S216" s="324"/>
      <c r="T216" s="324"/>
      <c r="V216" s="320"/>
    </row>
    <row r="217" spans="1:22" ht="52.5" customHeight="1">
      <c r="A217" s="436"/>
      <c r="J217" s="529" t="s">
        <v>1404</v>
      </c>
      <c r="K217" s="530"/>
      <c r="L217" s="531"/>
      <c r="M217" s="527">
        <v>10651752.52</v>
      </c>
      <c r="N217" s="528"/>
      <c r="O217" s="319"/>
      <c r="P217" s="436"/>
      <c r="Q217" s="319"/>
      <c r="R217" s="436"/>
      <c r="S217" s="436"/>
      <c r="T217" s="436"/>
      <c r="U217" s="295"/>
      <c r="V217" s="320"/>
    </row>
    <row r="218" spans="1:22" ht="52.5" customHeight="1">
      <c r="A218" s="436"/>
      <c r="J218" s="529" t="s">
        <v>1405</v>
      </c>
      <c r="K218" s="530"/>
      <c r="L218" s="531"/>
      <c r="M218" s="527">
        <f>M217-L202</f>
        <v>136397.42080000043</v>
      </c>
      <c r="N218" s="528"/>
      <c r="O218" s="319"/>
      <c r="P218" s="436"/>
      <c r="Q218" s="319"/>
      <c r="R218" s="436"/>
      <c r="S218" s="436"/>
      <c r="T218" s="436"/>
      <c r="U218" s="295"/>
      <c r="V218" s="320"/>
    </row>
    <row r="219" spans="1:22" ht="52.5" customHeight="1">
      <c r="A219" s="436"/>
      <c r="J219" s="529" t="s">
        <v>1401</v>
      </c>
      <c r="K219" s="530"/>
      <c r="L219" s="531"/>
      <c r="M219" s="527">
        <f>M218/M217*100</f>
        <v>1.2805162394065877</v>
      </c>
      <c r="N219" s="528"/>
      <c r="O219" s="319"/>
      <c r="P219" s="436"/>
      <c r="Q219" s="319"/>
      <c r="R219" s="436"/>
      <c r="S219" s="436"/>
      <c r="T219" s="436"/>
      <c r="U219" s="295"/>
      <c r="V219" s="320"/>
    </row>
    <row r="220" spans="1:22" ht="52.5" customHeight="1">
      <c r="A220" s="436"/>
      <c r="O220" s="319"/>
      <c r="P220" s="436"/>
      <c r="Q220" s="319"/>
      <c r="R220" s="436"/>
      <c r="S220" s="436"/>
      <c r="T220" s="436"/>
      <c r="U220" s="295"/>
      <c r="V220" s="320"/>
    </row>
    <row r="221" spans="1:22" ht="52.5" customHeight="1">
      <c r="A221" s="436"/>
      <c r="O221" s="319"/>
      <c r="P221" s="436"/>
      <c r="Q221" s="319"/>
      <c r="R221" s="436"/>
      <c r="S221" s="436"/>
      <c r="T221" s="436"/>
      <c r="U221" s="295"/>
      <c r="V221" s="320"/>
    </row>
    <row r="222" spans="1:22">
      <c r="A222" s="436"/>
      <c r="O222" s="319"/>
      <c r="P222" s="436"/>
      <c r="Q222" s="319"/>
      <c r="R222" s="436"/>
      <c r="S222" s="436"/>
      <c r="T222" s="436"/>
      <c r="U222" s="295"/>
      <c r="V222" s="320"/>
    </row>
    <row r="223" spans="1:22">
      <c r="A223" s="436"/>
      <c r="O223" s="319"/>
      <c r="P223" s="436"/>
      <c r="Q223" s="319"/>
      <c r="R223" s="436"/>
      <c r="S223" s="436"/>
      <c r="T223" s="436"/>
      <c r="U223" s="295"/>
      <c r="V223" s="320"/>
    </row>
    <row r="224" spans="1:22">
      <c r="A224" s="436"/>
      <c r="O224" s="319"/>
      <c r="P224" s="436"/>
      <c r="Q224" s="319"/>
      <c r="R224" s="436"/>
      <c r="S224" s="436"/>
      <c r="T224" s="436"/>
      <c r="U224" s="295"/>
      <c r="V224" s="320"/>
    </row>
    <row r="225" spans="1:22">
      <c r="A225" s="436"/>
      <c r="O225" s="319"/>
      <c r="P225" s="436"/>
      <c r="Q225" s="319"/>
      <c r="R225" s="436"/>
      <c r="S225" s="436"/>
      <c r="T225" s="436"/>
      <c r="U225" s="295"/>
      <c r="V225" s="320"/>
    </row>
    <row r="226" spans="1:22">
      <c r="A226" s="436"/>
      <c r="O226" s="319"/>
      <c r="P226" s="436"/>
      <c r="Q226" s="319"/>
      <c r="R226" s="436"/>
      <c r="S226" s="436"/>
      <c r="T226" s="436"/>
      <c r="U226" s="295"/>
      <c r="V226" s="320"/>
    </row>
    <row r="227" spans="1:22">
      <c r="A227" s="436"/>
      <c r="O227" s="319"/>
      <c r="P227" s="436"/>
      <c r="Q227" s="319"/>
      <c r="R227" s="436"/>
      <c r="S227" s="436"/>
      <c r="T227" s="436"/>
      <c r="U227" s="295"/>
      <c r="V227" s="320"/>
    </row>
    <row r="228" spans="1:22">
      <c r="A228" s="436"/>
      <c r="O228" s="319"/>
      <c r="P228" s="436"/>
      <c r="Q228" s="319"/>
      <c r="R228" s="436"/>
      <c r="S228" s="436"/>
      <c r="T228" s="436"/>
      <c r="U228" s="295"/>
      <c r="V228" s="320"/>
    </row>
    <row r="229" spans="1:22">
      <c r="A229" s="436"/>
      <c r="O229" s="319"/>
      <c r="P229" s="436"/>
      <c r="Q229" s="319"/>
      <c r="R229" s="436"/>
      <c r="S229" s="436"/>
      <c r="T229" s="436"/>
      <c r="U229" s="295"/>
      <c r="V229" s="320"/>
    </row>
    <row r="230" spans="1:22">
      <c r="A230" s="436"/>
      <c r="O230" s="319"/>
      <c r="P230" s="436"/>
      <c r="Q230" s="319"/>
      <c r="R230" s="436"/>
      <c r="S230" s="436"/>
      <c r="T230" s="436"/>
      <c r="U230" s="295"/>
      <c r="V230" s="320"/>
    </row>
    <row r="231" spans="1:22">
      <c r="A231" s="436"/>
      <c r="O231" s="319"/>
      <c r="P231" s="436"/>
      <c r="Q231" s="319"/>
      <c r="R231" s="436"/>
      <c r="S231" s="436"/>
      <c r="T231" s="436"/>
      <c r="U231" s="295"/>
      <c r="V231" s="320"/>
    </row>
    <row r="232" spans="1:22">
      <c r="A232" s="436"/>
      <c r="O232" s="319"/>
      <c r="P232" s="436"/>
      <c r="Q232" s="319"/>
      <c r="R232" s="436"/>
      <c r="S232" s="436"/>
      <c r="T232" s="436"/>
      <c r="U232" s="295"/>
      <c r="V232" s="320"/>
    </row>
    <row r="233" spans="1:22">
      <c r="A233" s="436"/>
      <c r="O233" s="319"/>
      <c r="P233" s="436"/>
      <c r="Q233" s="319"/>
      <c r="R233" s="436"/>
      <c r="S233" s="436"/>
      <c r="T233" s="436"/>
      <c r="U233" s="295"/>
      <c r="V233" s="320"/>
    </row>
    <row r="234" spans="1:22">
      <c r="A234" s="436"/>
      <c r="O234" s="319"/>
      <c r="P234" s="436"/>
      <c r="Q234" s="319"/>
      <c r="R234" s="436"/>
      <c r="S234" s="436"/>
      <c r="T234" s="436"/>
      <c r="U234" s="295"/>
      <c r="V234" s="320"/>
    </row>
    <row r="235" spans="1:22">
      <c r="A235" s="436"/>
      <c r="O235" s="319"/>
      <c r="P235" s="436"/>
      <c r="Q235" s="319"/>
      <c r="R235" s="436"/>
      <c r="S235" s="436"/>
      <c r="T235" s="436"/>
      <c r="U235" s="295"/>
      <c r="V235" s="320"/>
    </row>
    <row r="236" spans="1:22">
      <c r="A236" s="436"/>
      <c r="O236" s="319"/>
      <c r="P236" s="436"/>
      <c r="Q236" s="319"/>
      <c r="R236" s="436"/>
      <c r="S236" s="436"/>
      <c r="T236" s="436"/>
      <c r="U236" s="295"/>
      <c r="V236" s="320"/>
    </row>
    <row r="237" spans="1:22">
      <c r="A237" s="436"/>
      <c r="O237" s="319"/>
      <c r="P237" s="436"/>
      <c r="Q237" s="319"/>
      <c r="R237" s="436"/>
      <c r="S237" s="436"/>
      <c r="T237" s="436"/>
      <c r="U237" s="295"/>
      <c r="V237" s="320"/>
    </row>
    <row r="238" spans="1:22">
      <c r="A238" s="436"/>
      <c r="O238" s="319"/>
      <c r="P238" s="436"/>
      <c r="Q238" s="319"/>
      <c r="R238" s="436"/>
      <c r="S238" s="436"/>
      <c r="T238" s="436"/>
      <c r="U238" s="295"/>
      <c r="V238" s="320"/>
    </row>
    <row r="239" spans="1:22">
      <c r="A239" s="436"/>
      <c r="O239" s="319"/>
      <c r="P239" s="436"/>
      <c r="Q239" s="319"/>
      <c r="R239" s="436"/>
      <c r="S239" s="436"/>
      <c r="T239" s="436"/>
      <c r="U239" s="295"/>
      <c r="V239" s="320"/>
    </row>
    <row r="240" spans="1:22">
      <c r="A240" s="436"/>
      <c r="O240" s="319"/>
      <c r="P240" s="436"/>
      <c r="Q240" s="319"/>
      <c r="R240" s="436"/>
      <c r="S240" s="436"/>
      <c r="T240" s="436"/>
      <c r="U240" s="295"/>
      <c r="V240" s="320"/>
    </row>
    <row r="241" spans="1:22">
      <c r="A241" s="436"/>
      <c r="O241" s="319"/>
      <c r="P241" s="436"/>
      <c r="Q241" s="319"/>
      <c r="R241" s="436"/>
      <c r="S241" s="436"/>
      <c r="T241" s="436"/>
      <c r="U241" s="295"/>
      <c r="V241" s="320"/>
    </row>
    <row r="242" spans="1:22">
      <c r="A242" s="436"/>
      <c r="O242" s="319"/>
      <c r="P242" s="436"/>
      <c r="Q242" s="319"/>
      <c r="R242" s="436"/>
      <c r="S242" s="436"/>
      <c r="T242" s="436"/>
      <c r="U242" s="295"/>
      <c r="V242" s="320"/>
    </row>
    <row r="243" spans="1:22">
      <c r="A243" s="436"/>
      <c r="O243" s="319"/>
      <c r="P243" s="436"/>
      <c r="Q243" s="319"/>
      <c r="R243" s="436"/>
      <c r="S243" s="436"/>
      <c r="T243" s="436"/>
      <c r="U243" s="295"/>
      <c r="V243" s="320"/>
    </row>
    <row r="244" spans="1:22">
      <c r="A244" s="436"/>
      <c r="O244" s="319"/>
      <c r="P244" s="436"/>
      <c r="Q244" s="319"/>
      <c r="R244" s="436"/>
      <c r="S244" s="436"/>
      <c r="T244" s="436"/>
      <c r="U244" s="295"/>
      <c r="V244" s="320"/>
    </row>
    <row r="245" spans="1:22">
      <c r="A245" s="436"/>
      <c r="O245" s="319"/>
      <c r="P245" s="436"/>
      <c r="Q245" s="319"/>
      <c r="R245" s="436"/>
      <c r="S245" s="436"/>
      <c r="T245" s="436"/>
      <c r="U245" s="295"/>
      <c r="V245" s="320"/>
    </row>
    <row r="246" spans="1:22">
      <c r="A246" s="436"/>
      <c r="O246" s="319"/>
      <c r="P246" s="436"/>
      <c r="Q246" s="319"/>
      <c r="R246" s="436"/>
      <c r="S246" s="436"/>
      <c r="T246" s="436"/>
      <c r="U246" s="295"/>
      <c r="V246" s="320"/>
    </row>
    <row r="247" spans="1:22">
      <c r="A247" s="436"/>
      <c r="O247" s="319"/>
      <c r="P247" s="436"/>
      <c r="Q247" s="319"/>
      <c r="R247" s="436"/>
      <c r="S247" s="436"/>
      <c r="T247" s="436"/>
      <c r="U247" s="295"/>
      <c r="V247" s="320"/>
    </row>
    <row r="248" spans="1:22">
      <c r="A248" s="436"/>
      <c r="O248" s="319"/>
      <c r="P248" s="436"/>
      <c r="Q248" s="319"/>
      <c r="R248" s="436"/>
      <c r="S248" s="436"/>
      <c r="T248" s="436"/>
      <c r="U248" s="295"/>
      <c r="V248" s="320"/>
    </row>
    <row r="249" spans="1:22">
      <c r="A249" s="436"/>
      <c r="O249" s="319"/>
      <c r="P249" s="436"/>
      <c r="Q249" s="319"/>
      <c r="R249" s="436"/>
      <c r="S249" s="436"/>
      <c r="T249" s="436"/>
      <c r="U249" s="295"/>
      <c r="V249" s="320"/>
    </row>
    <row r="250" spans="1:22">
      <c r="A250" s="436"/>
      <c r="O250" s="319"/>
      <c r="P250" s="436"/>
      <c r="Q250" s="319"/>
      <c r="R250" s="436"/>
      <c r="S250" s="436"/>
      <c r="T250" s="436"/>
      <c r="U250" s="295"/>
      <c r="V250" s="320"/>
    </row>
    <row r="251" spans="1:22">
      <c r="A251" s="436"/>
      <c r="O251" s="319"/>
      <c r="P251" s="436"/>
      <c r="Q251" s="319"/>
      <c r="R251" s="436"/>
      <c r="S251" s="436"/>
      <c r="T251" s="436"/>
      <c r="U251" s="295"/>
      <c r="V251" s="320"/>
    </row>
    <row r="252" spans="1:22">
      <c r="A252" s="436"/>
      <c r="O252" s="319"/>
      <c r="P252" s="436"/>
      <c r="Q252" s="319"/>
      <c r="R252" s="436"/>
      <c r="S252" s="436"/>
      <c r="T252" s="436"/>
      <c r="U252" s="295"/>
      <c r="V252" s="320"/>
    </row>
    <row r="253" spans="1:22">
      <c r="A253" s="436"/>
      <c r="O253" s="319"/>
      <c r="P253" s="436"/>
      <c r="Q253" s="319"/>
      <c r="R253" s="436"/>
      <c r="S253" s="436"/>
      <c r="T253" s="436"/>
      <c r="U253" s="295"/>
      <c r="V253" s="320"/>
    </row>
    <row r="254" spans="1:22">
      <c r="A254" s="436"/>
      <c r="O254" s="319"/>
      <c r="P254" s="436"/>
      <c r="Q254" s="319"/>
      <c r="R254" s="436"/>
      <c r="S254" s="436"/>
      <c r="T254" s="436"/>
      <c r="U254" s="295"/>
      <c r="V254" s="320"/>
    </row>
    <row r="255" spans="1:22">
      <c r="A255" s="436"/>
      <c r="O255" s="319"/>
      <c r="P255" s="436"/>
      <c r="Q255" s="319"/>
      <c r="R255" s="436"/>
      <c r="S255" s="436"/>
      <c r="T255" s="436"/>
      <c r="U255" s="295"/>
      <c r="V255" s="320"/>
    </row>
    <row r="256" spans="1:22">
      <c r="A256" s="436"/>
      <c r="O256" s="319"/>
      <c r="P256" s="436"/>
      <c r="Q256" s="319"/>
      <c r="R256" s="436"/>
      <c r="S256" s="436"/>
      <c r="T256" s="436"/>
      <c r="U256" s="295"/>
      <c r="V256" s="320"/>
    </row>
    <row r="257" spans="1:22">
      <c r="A257" s="436"/>
      <c r="O257" s="319"/>
      <c r="P257" s="436"/>
      <c r="Q257" s="319"/>
      <c r="R257" s="436"/>
      <c r="S257" s="436"/>
      <c r="T257" s="436"/>
      <c r="U257" s="295"/>
      <c r="V257" s="320"/>
    </row>
    <row r="258" spans="1:22">
      <c r="A258" s="436"/>
      <c r="O258" s="319"/>
      <c r="P258" s="436"/>
      <c r="Q258" s="319"/>
      <c r="R258" s="436"/>
      <c r="S258" s="436"/>
      <c r="T258" s="436"/>
      <c r="U258" s="295"/>
      <c r="V258" s="320"/>
    </row>
    <row r="259" spans="1:22">
      <c r="A259" s="436"/>
      <c r="O259" s="319"/>
      <c r="P259" s="436"/>
      <c r="Q259" s="319"/>
      <c r="R259" s="436"/>
      <c r="S259" s="436"/>
      <c r="T259" s="436"/>
      <c r="U259" s="295"/>
      <c r="V259" s="320"/>
    </row>
    <row r="260" spans="1:22">
      <c r="A260" s="436"/>
      <c r="O260" s="319"/>
      <c r="P260" s="436"/>
      <c r="Q260" s="319"/>
      <c r="R260" s="436"/>
      <c r="S260" s="436"/>
      <c r="T260" s="436"/>
      <c r="U260" s="295"/>
      <c r="V260" s="320"/>
    </row>
    <row r="261" spans="1:22">
      <c r="A261" s="436"/>
      <c r="O261" s="319"/>
      <c r="P261" s="436"/>
      <c r="Q261" s="319"/>
      <c r="R261" s="436"/>
      <c r="S261" s="436"/>
      <c r="T261" s="436"/>
      <c r="U261" s="295"/>
      <c r="V261" s="320"/>
    </row>
    <row r="262" spans="1:22">
      <c r="A262" s="436"/>
      <c r="O262" s="319"/>
      <c r="P262" s="436"/>
      <c r="Q262" s="319"/>
      <c r="R262" s="436"/>
      <c r="S262" s="436"/>
      <c r="T262" s="436"/>
      <c r="U262" s="295"/>
      <c r="V262" s="320"/>
    </row>
    <row r="263" spans="1:22">
      <c r="A263" s="436"/>
      <c r="O263" s="319"/>
      <c r="P263" s="436"/>
      <c r="Q263" s="319"/>
      <c r="R263" s="436"/>
      <c r="S263" s="436"/>
      <c r="T263" s="436"/>
      <c r="U263" s="295"/>
      <c r="V263" s="320"/>
    </row>
    <row r="264" spans="1:22">
      <c r="A264" s="436"/>
      <c r="O264" s="319"/>
      <c r="P264" s="436"/>
      <c r="Q264" s="319"/>
      <c r="R264" s="436"/>
      <c r="S264" s="436"/>
      <c r="T264" s="436"/>
      <c r="U264" s="295"/>
      <c r="V264" s="320"/>
    </row>
    <row r="265" spans="1:22">
      <c r="A265" s="436"/>
      <c r="O265" s="319"/>
      <c r="P265" s="436"/>
      <c r="Q265" s="319"/>
      <c r="R265" s="436"/>
      <c r="S265" s="436"/>
      <c r="T265" s="436"/>
      <c r="U265" s="295"/>
      <c r="V265" s="320"/>
    </row>
    <row r="266" spans="1:22">
      <c r="A266" s="436"/>
      <c r="O266" s="319"/>
      <c r="P266" s="436"/>
      <c r="Q266" s="319"/>
      <c r="R266" s="436"/>
      <c r="S266" s="436"/>
      <c r="T266" s="436"/>
      <c r="U266" s="295"/>
      <c r="V266" s="320"/>
    </row>
    <row r="267" spans="1:22">
      <c r="A267" s="436"/>
      <c r="O267" s="319"/>
      <c r="P267" s="436"/>
      <c r="Q267" s="319"/>
      <c r="R267" s="436"/>
      <c r="S267" s="436"/>
      <c r="T267" s="436"/>
      <c r="U267" s="295"/>
      <c r="V267" s="320"/>
    </row>
    <row r="268" spans="1:22">
      <c r="A268" s="436"/>
      <c r="O268" s="319"/>
      <c r="P268" s="436"/>
      <c r="Q268" s="319"/>
      <c r="R268" s="436"/>
      <c r="S268" s="436"/>
      <c r="T268" s="436"/>
      <c r="U268" s="295"/>
      <c r="V268" s="320"/>
    </row>
    <row r="269" spans="1:22">
      <c r="A269" s="436"/>
      <c r="O269" s="319"/>
      <c r="P269" s="436"/>
      <c r="Q269" s="319"/>
      <c r="R269" s="436"/>
      <c r="S269" s="436"/>
      <c r="T269" s="436"/>
      <c r="U269" s="295"/>
      <c r="V269" s="320"/>
    </row>
    <row r="270" spans="1:22">
      <c r="A270" s="436"/>
      <c r="O270" s="319"/>
      <c r="P270" s="436"/>
      <c r="Q270" s="319"/>
      <c r="R270" s="436"/>
      <c r="S270" s="436"/>
      <c r="T270" s="436"/>
      <c r="U270" s="295"/>
      <c r="V270" s="320"/>
    </row>
    <row r="271" spans="1:22">
      <c r="A271" s="436"/>
      <c r="O271" s="319"/>
      <c r="P271" s="436"/>
      <c r="Q271" s="319"/>
      <c r="R271" s="436"/>
      <c r="S271" s="436"/>
      <c r="T271" s="436"/>
      <c r="U271" s="295"/>
      <c r="V271" s="320"/>
    </row>
    <row r="272" spans="1:22">
      <c r="A272" s="436"/>
      <c r="O272" s="319"/>
      <c r="P272" s="436"/>
      <c r="Q272" s="319"/>
      <c r="R272" s="436"/>
      <c r="S272" s="436"/>
      <c r="T272" s="436"/>
      <c r="U272" s="295"/>
      <c r="V272" s="320"/>
    </row>
    <row r="273" spans="1:22">
      <c r="A273" s="436"/>
      <c r="O273" s="319"/>
      <c r="P273" s="436"/>
      <c r="Q273" s="319"/>
      <c r="R273" s="436"/>
      <c r="S273" s="436"/>
      <c r="T273" s="436"/>
      <c r="U273" s="295"/>
      <c r="V273" s="320"/>
    </row>
    <row r="274" spans="1:22">
      <c r="A274" s="436"/>
      <c r="O274" s="319"/>
      <c r="P274" s="436"/>
      <c r="Q274" s="319"/>
      <c r="R274" s="436"/>
      <c r="S274" s="436"/>
      <c r="T274" s="436"/>
      <c r="U274" s="295"/>
      <c r="V274" s="320"/>
    </row>
    <row r="275" spans="1:22">
      <c r="A275" s="436"/>
      <c r="O275" s="319"/>
      <c r="P275" s="436"/>
      <c r="Q275" s="319"/>
      <c r="R275" s="436"/>
      <c r="S275" s="436"/>
      <c r="T275" s="436"/>
      <c r="U275" s="295"/>
      <c r="V275" s="320"/>
    </row>
    <row r="276" spans="1:22">
      <c r="A276" s="436"/>
      <c r="O276" s="319"/>
      <c r="P276" s="436"/>
      <c r="Q276" s="319"/>
      <c r="R276" s="436"/>
      <c r="S276" s="436"/>
      <c r="T276" s="436"/>
      <c r="U276" s="295"/>
      <c r="V276" s="320"/>
    </row>
    <row r="277" spans="1:22">
      <c r="A277" s="436"/>
      <c r="O277" s="319"/>
      <c r="P277" s="436"/>
      <c r="Q277" s="319"/>
      <c r="R277" s="436"/>
      <c r="S277" s="436"/>
      <c r="T277" s="436"/>
      <c r="U277" s="295"/>
      <c r="V277" s="320"/>
    </row>
    <row r="278" spans="1:22">
      <c r="A278" s="436"/>
      <c r="O278" s="319"/>
      <c r="P278" s="436"/>
      <c r="Q278" s="319"/>
      <c r="R278" s="436"/>
      <c r="S278" s="436"/>
      <c r="T278" s="436"/>
      <c r="U278" s="295"/>
      <c r="V278" s="320"/>
    </row>
    <row r="279" spans="1:22">
      <c r="A279" s="436"/>
      <c r="O279" s="319"/>
      <c r="P279" s="436"/>
      <c r="Q279" s="319"/>
      <c r="R279" s="436"/>
      <c r="S279" s="436"/>
      <c r="T279" s="436"/>
      <c r="U279" s="295"/>
      <c r="V279" s="320"/>
    </row>
    <row r="280" spans="1:22">
      <c r="A280" s="436"/>
      <c r="O280" s="319"/>
      <c r="P280" s="436"/>
      <c r="Q280" s="319"/>
      <c r="R280" s="436"/>
      <c r="S280" s="436"/>
      <c r="T280" s="436"/>
      <c r="U280" s="295"/>
      <c r="V280" s="320"/>
    </row>
    <row r="281" spans="1:22">
      <c r="A281" s="436"/>
      <c r="O281" s="319"/>
      <c r="P281" s="436"/>
      <c r="Q281" s="319"/>
      <c r="R281" s="436"/>
      <c r="S281" s="436"/>
      <c r="T281" s="436"/>
      <c r="U281" s="295"/>
      <c r="V281" s="320"/>
    </row>
    <row r="282" spans="1:22">
      <c r="A282" s="436"/>
      <c r="O282" s="319"/>
      <c r="P282" s="436"/>
      <c r="Q282" s="319"/>
      <c r="R282" s="436"/>
      <c r="S282" s="436"/>
      <c r="T282" s="436"/>
      <c r="U282" s="295"/>
      <c r="V282" s="320"/>
    </row>
    <row r="283" spans="1:22">
      <c r="A283" s="436"/>
      <c r="O283" s="319"/>
      <c r="P283" s="436"/>
      <c r="Q283" s="319"/>
      <c r="R283" s="436"/>
      <c r="S283" s="436"/>
      <c r="T283" s="436"/>
      <c r="U283" s="295"/>
      <c r="V283" s="320"/>
    </row>
    <row r="284" spans="1:22">
      <c r="A284" s="436"/>
      <c r="O284" s="319"/>
      <c r="P284" s="436"/>
      <c r="Q284" s="319"/>
      <c r="R284" s="436"/>
      <c r="S284" s="436"/>
      <c r="T284" s="436"/>
      <c r="U284" s="295"/>
      <c r="V284" s="320"/>
    </row>
    <row r="285" spans="1:22">
      <c r="A285" s="436"/>
      <c r="O285" s="319"/>
      <c r="P285" s="436"/>
      <c r="Q285" s="319"/>
      <c r="R285" s="436"/>
      <c r="S285" s="436"/>
      <c r="T285" s="436"/>
      <c r="U285" s="295"/>
      <c r="V285" s="320"/>
    </row>
    <row r="286" spans="1:22">
      <c r="A286" s="436"/>
      <c r="O286" s="319"/>
      <c r="P286" s="436"/>
      <c r="Q286" s="319"/>
      <c r="R286" s="436"/>
      <c r="S286" s="436"/>
      <c r="T286" s="436"/>
      <c r="U286" s="295"/>
      <c r="V286" s="320"/>
    </row>
    <row r="287" spans="1:22">
      <c r="A287" s="436"/>
      <c r="O287" s="319"/>
      <c r="P287" s="436"/>
      <c r="Q287" s="319"/>
      <c r="R287" s="436"/>
      <c r="S287" s="436"/>
      <c r="T287" s="436"/>
      <c r="U287" s="295"/>
      <c r="V287" s="320"/>
    </row>
    <row r="288" spans="1:22">
      <c r="A288" s="436"/>
      <c r="O288" s="319"/>
      <c r="P288" s="436"/>
      <c r="Q288" s="319"/>
      <c r="R288" s="436"/>
      <c r="S288" s="436"/>
      <c r="T288" s="436"/>
      <c r="U288" s="295"/>
      <c r="V288" s="320"/>
    </row>
    <row r="289" spans="1:22">
      <c r="A289" s="436"/>
      <c r="O289" s="319"/>
      <c r="P289" s="436"/>
      <c r="Q289" s="319"/>
      <c r="R289" s="436"/>
      <c r="S289" s="436"/>
      <c r="T289" s="436"/>
      <c r="U289" s="295"/>
      <c r="V289" s="320"/>
    </row>
    <row r="290" spans="1:22">
      <c r="A290" s="436"/>
      <c r="O290" s="319"/>
      <c r="P290" s="436"/>
      <c r="Q290" s="319"/>
      <c r="R290" s="436"/>
      <c r="S290" s="436"/>
      <c r="T290" s="436"/>
      <c r="U290" s="295"/>
      <c r="V290" s="320"/>
    </row>
    <row r="291" spans="1:22">
      <c r="A291" s="436"/>
      <c r="O291" s="319"/>
      <c r="P291" s="436"/>
      <c r="Q291" s="319"/>
      <c r="R291" s="436"/>
      <c r="S291" s="436"/>
      <c r="T291" s="436"/>
      <c r="U291" s="295"/>
      <c r="V291" s="320"/>
    </row>
    <row r="292" spans="1:22">
      <c r="A292" s="436"/>
      <c r="O292" s="319"/>
      <c r="P292" s="436"/>
      <c r="Q292" s="319"/>
      <c r="R292" s="436"/>
      <c r="S292" s="436"/>
      <c r="T292" s="436"/>
      <c r="U292" s="295"/>
      <c r="V292" s="320"/>
    </row>
    <row r="293" spans="1:22">
      <c r="A293" s="436"/>
      <c r="O293" s="319"/>
      <c r="P293" s="436"/>
      <c r="Q293" s="319"/>
      <c r="R293" s="436"/>
      <c r="S293" s="436"/>
      <c r="T293" s="436"/>
      <c r="U293" s="295"/>
      <c r="V293" s="320"/>
    </row>
    <row r="294" spans="1:22">
      <c r="A294" s="436"/>
      <c r="O294" s="319"/>
      <c r="P294" s="436"/>
      <c r="Q294" s="319"/>
      <c r="R294" s="436"/>
      <c r="S294" s="436"/>
      <c r="T294" s="436"/>
      <c r="U294" s="295"/>
      <c r="V294" s="320"/>
    </row>
    <row r="295" spans="1:22">
      <c r="A295" s="436"/>
      <c r="O295" s="319"/>
      <c r="P295" s="436"/>
      <c r="Q295" s="319"/>
      <c r="R295" s="436"/>
      <c r="S295" s="436"/>
      <c r="T295" s="436"/>
      <c r="U295" s="295"/>
      <c r="V295" s="320"/>
    </row>
    <row r="296" spans="1:22">
      <c r="A296" s="436"/>
      <c r="O296" s="319"/>
      <c r="P296" s="436"/>
      <c r="Q296" s="319"/>
      <c r="R296" s="436"/>
      <c r="S296" s="436"/>
      <c r="T296" s="436"/>
      <c r="U296" s="295"/>
      <c r="V296" s="320"/>
    </row>
    <row r="297" spans="1:22">
      <c r="A297" s="436"/>
      <c r="O297" s="319"/>
      <c r="P297" s="436"/>
      <c r="Q297" s="319"/>
      <c r="R297" s="436"/>
      <c r="S297" s="436"/>
      <c r="T297" s="436"/>
      <c r="U297" s="295"/>
      <c r="V297" s="320"/>
    </row>
    <row r="298" spans="1:22">
      <c r="A298" s="436"/>
      <c r="O298" s="319"/>
      <c r="P298" s="436"/>
      <c r="Q298" s="319"/>
      <c r="R298" s="436"/>
      <c r="S298" s="436"/>
      <c r="T298" s="436"/>
      <c r="U298" s="295"/>
      <c r="V298" s="320"/>
    </row>
    <row r="299" spans="1:22">
      <c r="A299" s="436"/>
      <c r="O299" s="319"/>
      <c r="P299" s="436"/>
      <c r="Q299" s="319"/>
      <c r="R299" s="436"/>
      <c r="S299" s="436"/>
      <c r="T299" s="436"/>
      <c r="U299" s="295"/>
      <c r="V299" s="320"/>
    </row>
    <row r="300" spans="1:22">
      <c r="A300" s="436"/>
      <c r="O300" s="319"/>
      <c r="P300" s="436"/>
      <c r="Q300" s="319"/>
      <c r="R300" s="436"/>
      <c r="S300" s="436"/>
      <c r="T300" s="436"/>
      <c r="U300" s="295"/>
      <c r="V300" s="320"/>
    </row>
    <row r="301" spans="1:22">
      <c r="A301" s="436"/>
      <c r="O301" s="319"/>
      <c r="P301" s="436"/>
      <c r="Q301" s="319"/>
      <c r="R301" s="436"/>
      <c r="S301" s="436"/>
      <c r="T301" s="436"/>
      <c r="U301" s="295"/>
      <c r="V301" s="320"/>
    </row>
    <row r="302" spans="1:22">
      <c r="A302" s="436"/>
      <c r="O302" s="319"/>
      <c r="P302" s="436"/>
      <c r="Q302" s="319"/>
      <c r="R302" s="436"/>
      <c r="S302" s="436"/>
      <c r="T302" s="436"/>
      <c r="U302" s="295"/>
      <c r="V302" s="320"/>
    </row>
    <row r="303" spans="1:22">
      <c r="A303" s="436"/>
      <c r="O303" s="319"/>
      <c r="P303" s="436"/>
      <c r="Q303" s="319"/>
      <c r="R303" s="436"/>
      <c r="S303" s="436"/>
      <c r="T303" s="436"/>
      <c r="U303" s="295"/>
      <c r="V303" s="320"/>
    </row>
    <row r="304" spans="1:22">
      <c r="A304" s="436"/>
      <c r="O304" s="319"/>
      <c r="P304" s="436"/>
      <c r="Q304" s="319"/>
      <c r="R304" s="436"/>
      <c r="S304" s="436"/>
      <c r="T304" s="436"/>
      <c r="U304" s="295"/>
      <c r="V304" s="320"/>
    </row>
    <row r="305" spans="1:22">
      <c r="A305" s="436"/>
      <c r="O305" s="319"/>
      <c r="P305" s="436"/>
      <c r="Q305" s="319"/>
      <c r="R305" s="436"/>
      <c r="S305" s="436"/>
      <c r="T305" s="436"/>
      <c r="U305" s="295"/>
      <c r="V305" s="320"/>
    </row>
    <row r="306" spans="1:22">
      <c r="A306" s="436"/>
      <c r="O306" s="319"/>
      <c r="P306" s="436"/>
      <c r="Q306" s="319"/>
      <c r="R306" s="436"/>
      <c r="S306" s="436"/>
      <c r="T306" s="436"/>
      <c r="U306" s="295"/>
      <c r="V306" s="320"/>
    </row>
    <row r="307" spans="1:22">
      <c r="A307" s="436"/>
      <c r="O307" s="319"/>
      <c r="P307" s="436"/>
      <c r="Q307" s="319"/>
      <c r="R307" s="436"/>
      <c r="S307" s="436"/>
      <c r="T307" s="436"/>
      <c r="U307" s="295"/>
      <c r="V307" s="320"/>
    </row>
    <row r="308" spans="1:22">
      <c r="A308" s="436"/>
      <c r="O308" s="319"/>
      <c r="P308" s="436"/>
      <c r="Q308" s="319"/>
      <c r="R308" s="436"/>
      <c r="S308" s="436"/>
      <c r="T308" s="436"/>
      <c r="U308" s="295"/>
      <c r="V308" s="320"/>
    </row>
    <row r="309" spans="1:22">
      <c r="A309" s="436"/>
      <c r="O309" s="319"/>
      <c r="P309" s="436"/>
      <c r="Q309" s="319"/>
      <c r="R309" s="436"/>
      <c r="S309" s="436"/>
      <c r="T309" s="436"/>
      <c r="U309" s="295"/>
      <c r="V309" s="320"/>
    </row>
    <row r="310" spans="1:22">
      <c r="A310" s="436"/>
      <c r="O310" s="319"/>
      <c r="P310" s="436"/>
      <c r="Q310" s="319"/>
      <c r="R310" s="436"/>
      <c r="S310" s="436"/>
      <c r="T310" s="436"/>
      <c r="U310" s="295"/>
      <c r="V310" s="320"/>
    </row>
    <row r="311" spans="1:22">
      <c r="A311" s="436"/>
      <c r="O311" s="319"/>
      <c r="P311" s="436"/>
      <c r="Q311" s="319"/>
      <c r="R311" s="436"/>
      <c r="S311" s="436"/>
      <c r="T311" s="436"/>
      <c r="U311" s="295"/>
      <c r="V311" s="320"/>
    </row>
    <row r="312" spans="1:22">
      <c r="A312" s="436"/>
      <c r="O312" s="319"/>
      <c r="P312" s="436"/>
      <c r="Q312" s="319"/>
      <c r="R312" s="436"/>
      <c r="S312" s="436"/>
      <c r="T312" s="436"/>
      <c r="U312" s="295"/>
      <c r="V312" s="320"/>
    </row>
    <row r="313" spans="1:22">
      <c r="A313" s="436"/>
      <c r="O313" s="319"/>
      <c r="P313" s="436"/>
      <c r="Q313" s="319"/>
      <c r="R313" s="436"/>
      <c r="S313" s="436"/>
      <c r="T313" s="436"/>
      <c r="U313" s="295"/>
      <c r="V313" s="320"/>
    </row>
    <row r="314" spans="1:22">
      <c r="A314" s="436"/>
      <c r="O314" s="319"/>
      <c r="P314" s="436"/>
      <c r="Q314" s="319"/>
      <c r="R314" s="436"/>
      <c r="S314" s="436"/>
      <c r="T314" s="436"/>
      <c r="U314" s="295"/>
      <c r="V314" s="320"/>
    </row>
    <row r="315" spans="1:22">
      <c r="A315" s="436"/>
      <c r="O315" s="319"/>
      <c r="P315" s="436"/>
      <c r="Q315" s="319"/>
      <c r="R315" s="436"/>
      <c r="S315" s="436"/>
      <c r="T315" s="436"/>
      <c r="U315" s="295"/>
      <c r="V315" s="320"/>
    </row>
    <row r="316" spans="1:22">
      <c r="A316" s="436"/>
      <c r="O316" s="319"/>
      <c r="P316" s="436"/>
      <c r="Q316" s="319"/>
      <c r="R316" s="436"/>
      <c r="S316" s="436"/>
      <c r="T316" s="436"/>
      <c r="U316" s="295"/>
      <c r="V316" s="320"/>
    </row>
    <row r="317" spans="1:22">
      <c r="A317" s="436"/>
      <c r="O317" s="319"/>
      <c r="P317" s="436"/>
      <c r="Q317" s="319"/>
      <c r="R317" s="436"/>
      <c r="S317" s="436"/>
      <c r="T317" s="436"/>
      <c r="U317" s="295"/>
      <c r="V317" s="320"/>
    </row>
    <row r="318" spans="1:22">
      <c r="A318" s="436"/>
      <c r="O318" s="319"/>
      <c r="P318" s="436"/>
      <c r="Q318" s="319"/>
      <c r="R318" s="436"/>
      <c r="S318" s="436"/>
      <c r="T318" s="436"/>
      <c r="U318" s="295"/>
      <c r="V318" s="320"/>
    </row>
    <row r="319" spans="1:22">
      <c r="A319" s="436"/>
      <c r="O319" s="319"/>
      <c r="P319" s="436"/>
      <c r="Q319" s="319"/>
      <c r="R319" s="436"/>
      <c r="S319" s="436"/>
      <c r="T319" s="436"/>
      <c r="U319" s="295"/>
      <c r="V319" s="320"/>
    </row>
    <row r="320" spans="1:22">
      <c r="A320" s="436"/>
      <c r="O320" s="319"/>
      <c r="P320" s="436"/>
      <c r="Q320" s="319"/>
      <c r="R320" s="436"/>
      <c r="S320" s="436"/>
      <c r="T320" s="436"/>
      <c r="U320" s="295"/>
      <c r="V320" s="320"/>
    </row>
    <row r="321" spans="1:22">
      <c r="A321" s="436"/>
      <c r="O321" s="319"/>
      <c r="P321" s="436"/>
      <c r="Q321" s="319"/>
      <c r="R321" s="436"/>
      <c r="S321" s="436"/>
      <c r="T321" s="436"/>
      <c r="U321" s="295"/>
      <c r="V321" s="320"/>
    </row>
    <row r="322" spans="1:22">
      <c r="A322" s="436"/>
      <c r="O322" s="319"/>
      <c r="P322" s="436"/>
      <c r="Q322" s="319"/>
      <c r="R322" s="436"/>
      <c r="S322" s="436"/>
      <c r="T322" s="436"/>
      <c r="U322" s="295"/>
      <c r="V322" s="320"/>
    </row>
    <row r="323" spans="1:22">
      <c r="A323" s="436"/>
      <c r="O323" s="319"/>
      <c r="P323" s="436"/>
      <c r="Q323" s="319"/>
      <c r="R323" s="436"/>
      <c r="S323" s="436"/>
      <c r="T323" s="436"/>
      <c r="U323" s="295"/>
      <c r="V323" s="320"/>
    </row>
    <row r="324" spans="1:22">
      <c r="A324" s="436"/>
      <c r="O324" s="319"/>
      <c r="P324" s="436"/>
      <c r="Q324" s="319"/>
      <c r="R324" s="436"/>
      <c r="S324" s="436"/>
      <c r="T324" s="436"/>
      <c r="U324" s="295"/>
      <c r="V324" s="320"/>
    </row>
    <row r="325" spans="1:22">
      <c r="A325" s="436"/>
      <c r="O325" s="319"/>
      <c r="P325" s="436"/>
      <c r="Q325" s="319"/>
      <c r="R325" s="436"/>
      <c r="S325" s="436"/>
      <c r="T325" s="436"/>
      <c r="U325" s="295"/>
      <c r="V325" s="320"/>
    </row>
    <row r="326" spans="1:22">
      <c r="A326" s="436"/>
      <c r="O326" s="319"/>
      <c r="P326" s="436"/>
      <c r="Q326" s="319"/>
      <c r="R326" s="436"/>
      <c r="S326" s="436"/>
      <c r="T326" s="436"/>
      <c r="U326" s="295"/>
      <c r="V326" s="320"/>
    </row>
    <row r="327" spans="1:22">
      <c r="A327" s="436"/>
      <c r="O327" s="319"/>
      <c r="P327" s="436"/>
      <c r="Q327" s="319"/>
      <c r="R327" s="436"/>
      <c r="S327" s="436"/>
      <c r="T327" s="436"/>
      <c r="U327" s="295"/>
      <c r="V327" s="320"/>
    </row>
    <row r="328" spans="1:22">
      <c r="A328" s="436"/>
      <c r="O328" s="319"/>
      <c r="P328" s="436"/>
      <c r="Q328" s="319"/>
      <c r="R328" s="436"/>
      <c r="S328" s="436"/>
      <c r="T328" s="436"/>
      <c r="U328" s="295"/>
      <c r="V328" s="320"/>
    </row>
    <row r="329" spans="1:22">
      <c r="A329" s="436"/>
      <c r="O329" s="319"/>
      <c r="P329" s="436"/>
      <c r="Q329" s="319"/>
      <c r="R329" s="436"/>
      <c r="S329" s="436"/>
      <c r="T329" s="436"/>
      <c r="U329" s="295"/>
      <c r="V329" s="320"/>
    </row>
    <row r="330" spans="1:22">
      <c r="A330" s="436"/>
      <c r="O330" s="319"/>
      <c r="P330" s="436"/>
      <c r="Q330" s="319"/>
      <c r="R330" s="436"/>
      <c r="S330" s="436"/>
      <c r="T330" s="436"/>
      <c r="U330" s="295"/>
      <c r="V330" s="320"/>
    </row>
    <row r="331" spans="1:22">
      <c r="A331" s="436"/>
      <c r="O331" s="319"/>
      <c r="P331" s="436"/>
      <c r="Q331" s="319"/>
      <c r="R331" s="436"/>
      <c r="S331" s="436"/>
      <c r="T331" s="436"/>
      <c r="U331" s="295"/>
      <c r="V331" s="320"/>
    </row>
    <row r="332" spans="1:22">
      <c r="A332" s="436"/>
      <c r="O332" s="319"/>
      <c r="P332" s="436"/>
      <c r="Q332" s="319"/>
      <c r="R332" s="436"/>
      <c r="S332" s="436"/>
      <c r="T332" s="436"/>
      <c r="U332" s="295"/>
      <c r="V332" s="320"/>
    </row>
    <row r="333" spans="1:22">
      <c r="A333" s="436"/>
      <c r="O333" s="319"/>
      <c r="P333" s="436"/>
      <c r="Q333" s="319"/>
      <c r="R333" s="436"/>
      <c r="S333" s="436"/>
      <c r="T333" s="436"/>
      <c r="U333" s="295"/>
      <c r="V333" s="320"/>
    </row>
    <row r="334" spans="1:22">
      <c r="A334" s="436"/>
      <c r="O334" s="319"/>
      <c r="P334" s="436"/>
      <c r="Q334" s="319"/>
      <c r="R334" s="436"/>
      <c r="S334" s="436"/>
      <c r="T334" s="436"/>
      <c r="U334" s="295"/>
      <c r="V334" s="320"/>
    </row>
    <row r="335" spans="1:22">
      <c r="A335" s="436"/>
      <c r="O335" s="319"/>
      <c r="P335" s="436"/>
      <c r="Q335" s="319"/>
      <c r="R335" s="436"/>
      <c r="S335" s="436"/>
      <c r="T335" s="436"/>
      <c r="U335" s="295"/>
      <c r="V335" s="320"/>
    </row>
    <row r="336" spans="1:22">
      <c r="A336" s="436"/>
      <c r="O336" s="319"/>
      <c r="P336" s="436"/>
      <c r="Q336" s="319"/>
      <c r="R336" s="436"/>
      <c r="S336" s="436"/>
      <c r="T336" s="436"/>
      <c r="U336" s="295"/>
      <c r="V336" s="320"/>
    </row>
    <row r="337" spans="1:22">
      <c r="A337" s="436"/>
      <c r="O337" s="319"/>
      <c r="P337" s="436"/>
      <c r="Q337" s="319"/>
      <c r="R337" s="436"/>
      <c r="S337" s="436"/>
      <c r="T337" s="436"/>
      <c r="U337" s="295"/>
      <c r="V337" s="320"/>
    </row>
    <row r="338" spans="1:22">
      <c r="A338" s="436"/>
      <c r="O338" s="319"/>
      <c r="P338" s="436"/>
      <c r="Q338" s="319"/>
      <c r="R338" s="436"/>
      <c r="S338" s="436"/>
      <c r="T338" s="436"/>
      <c r="U338" s="295"/>
      <c r="V338" s="320"/>
    </row>
    <row r="339" spans="1:22">
      <c r="A339" s="436"/>
      <c r="O339" s="319"/>
      <c r="P339" s="436"/>
      <c r="Q339" s="319"/>
      <c r="R339" s="436"/>
      <c r="S339" s="436"/>
      <c r="T339" s="436"/>
      <c r="U339" s="295"/>
      <c r="V339" s="320"/>
    </row>
    <row r="340" spans="1:22">
      <c r="A340" s="436"/>
      <c r="O340" s="319"/>
      <c r="P340" s="436"/>
      <c r="Q340" s="319"/>
      <c r="R340" s="436"/>
      <c r="S340" s="436"/>
      <c r="T340" s="436"/>
      <c r="U340" s="295"/>
      <c r="V340" s="320"/>
    </row>
    <row r="341" spans="1:22">
      <c r="A341" s="436"/>
      <c r="O341" s="319"/>
      <c r="P341" s="436"/>
      <c r="Q341" s="319"/>
      <c r="R341" s="436"/>
      <c r="S341" s="436"/>
      <c r="T341" s="436"/>
      <c r="U341" s="295"/>
      <c r="V341" s="320"/>
    </row>
    <row r="342" spans="1:22">
      <c r="A342" s="436"/>
      <c r="O342" s="319"/>
      <c r="P342" s="436"/>
      <c r="Q342" s="319"/>
      <c r="R342" s="436"/>
      <c r="S342" s="436"/>
      <c r="T342" s="436"/>
      <c r="U342" s="295"/>
      <c r="V342" s="320"/>
    </row>
    <row r="343" spans="1:22">
      <c r="A343" s="436"/>
      <c r="O343" s="319"/>
      <c r="P343" s="436"/>
      <c r="Q343" s="319"/>
      <c r="R343" s="436"/>
      <c r="S343" s="436"/>
      <c r="T343" s="436"/>
      <c r="U343" s="295"/>
      <c r="V343" s="320"/>
    </row>
    <row r="344" spans="1:22">
      <c r="A344" s="436"/>
      <c r="O344" s="319"/>
      <c r="P344" s="436"/>
      <c r="Q344" s="319"/>
      <c r="R344" s="436"/>
      <c r="S344" s="436"/>
      <c r="T344" s="436"/>
      <c r="U344" s="295"/>
      <c r="V344" s="320"/>
    </row>
    <row r="345" spans="1:22">
      <c r="A345" s="436"/>
      <c r="O345" s="319"/>
      <c r="P345" s="436"/>
      <c r="Q345" s="319"/>
      <c r="R345" s="436"/>
      <c r="S345" s="436"/>
      <c r="T345" s="436"/>
      <c r="U345" s="295"/>
      <c r="V345" s="320"/>
    </row>
    <row r="346" spans="1:22">
      <c r="A346" s="436"/>
      <c r="O346" s="319"/>
      <c r="P346" s="436"/>
      <c r="Q346" s="319"/>
      <c r="R346" s="436"/>
      <c r="S346" s="436"/>
      <c r="T346" s="436"/>
      <c r="U346" s="295"/>
      <c r="V346" s="320"/>
    </row>
    <row r="347" spans="1:22">
      <c r="A347" s="436"/>
      <c r="O347" s="319"/>
      <c r="P347" s="436"/>
      <c r="Q347" s="319"/>
      <c r="R347" s="436"/>
      <c r="S347" s="436"/>
      <c r="T347" s="436"/>
      <c r="U347" s="295"/>
      <c r="V347" s="320"/>
    </row>
    <row r="348" spans="1:22">
      <c r="A348" s="436"/>
      <c r="O348" s="319"/>
      <c r="P348" s="436"/>
      <c r="Q348" s="319"/>
      <c r="R348" s="436"/>
      <c r="S348" s="436"/>
      <c r="T348" s="436"/>
      <c r="U348" s="295"/>
      <c r="V348" s="320"/>
    </row>
    <row r="349" spans="1:22">
      <c r="A349" s="436"/>
      <c r="O349" s="319"/>
      <c r="P349" s="436"/>
      <c r="Q349" s="319"/>
      <c r="R349" s="436"/>
      <c r="S349" s="436"/>
      <c r="T349" s="436"/>
      <c r="U349" s="295"/>
      <c r="V349" s="320"/>
    </row>
    <row r="350" spans="1:22">
      <c r="A350" s="436"/>
      <c r="O350" s="319"/>
      <c r="P350" s="436"/>
      <c r="Q350" s="319"/>
      <c r="R350" s="436"/>
      <c r="S350" s="436"/>
      <c r="T350" s="436"/>
      <c r="U350" s="295"/>
      <c r="V350" s="320"/>
    </row>
    <row r="351" spans="1:22">
      <c r="A351" s="436"/>
      <c r="O351" s="319"/>
      <c r="P351" s="436"/>
      <c r="Q351" s="319"/>
      <c r="R351" s="436"/>
      <c r="S351" s="436"/>
      <c r="T351" s="436"/>
      <c r="U351" s="295"/>
      <c r="V351" s="320"/>
    </row>
    <row r="352" spans="1:22">
      <c r="A352" s="436"/>
      <c r="O352" s="319"/>
      <c r="P352" s="436"/>
      <c r="Q352" s="319"/>
      <c r="R352" s="436"/>
      <c r="S352" s="436"/>
      <c r="T352" s="436"/>
      <c r="U352" s="295"/>
      <c r="V352" s="320"/>
    </row>
    <row r="353" spans="1:22">
      <c r="A353" s="436"/>
      <c r="O353" s="319"/>
      <c r="P353" s="436"/>
      <c r="Q353" s="319"/>
      <c r="R353" s="436"/>
      <c r="S353" s="436"/>
      <c r="T353" s="436"/>
      <c r="U353" s="295"/>
      <c r="V353" s="320"/>
    </row>
    <row r="354" spans="1:22">
      <c r="A354" s="436"/>
      <c r="O354" s="319"/>
      <c r="P354" s="436"/>
      <c r="Q354" s="319"/>
      <c r="R354" s="436"/>
      <c r="S354" s="436"/>
      <c r="T354" s="436"/>
      <c r="U354" s="295"/>
      <c r="V354" s="320"/>
    </row>
    <row r="355" spans="1:22">
      <c r="A355" s="436"/>
      <c r="O355" s="319"/>
      <c r="P355" s="436"/>
      <c r="Q355" s="319"/>
      <c r="R355" s="436"/>
      <c r="S355" s="436"/>
      <c r="T355" s="436"/>
      <c r="U355" s="295"/>
      <c r="V355" s="320"/>
    </row>
    <row r="356" spans="1:22">
      <c r="A356" s="436"/>
      <c r="O356" s="319"/>
      <c r="P356" s="436"/>
      <c r="Q356" s="319"/>
      <c r="R356" s="436"/>
      <c r="S356" s="436"/>
      <c r="T356" s="436"/>
      <c r="U356" s="295"/>
      <c r="V356" s="320"/>
    </row>
    <row r="357" spans="1:22">
      <c r="A357" s="436"/>
      <c r="O357" s="319"/>
      <c r="P357" s="436"/>
      <c r="Q357" s="319"/>
      <c r="R357" s="436"/>
      <c r="S357" s="436"/>
      <c r="T357" s="436"/>
      <c r="U357" s="295"/>
      <c r="V357" s="320"/>
    </row>
    <row r="358" spans="1:22">
      <c r="A358" s="436"/>
      <c r="O358" s="319"/>
      <c r="P358" s="436"/>
      <c r="Q358" s="319"/>
      <c r="R358" s="436"/>
      <c r="S358" s="436"/>
      <c r="T358" s="436"/>
      <c r="U358" s="295"/>
      <c r="V358" s="320"/>
    </row>
    <row r="359" spans="1:22">
      <c r="A359" s="436"/>
      <c r="O359" s="319"/>
      <c r="P359" s="436"/>
      <c r="Q359" s="319"/>
      <c r="R359" s="436"/>
      <c r="S359" s="436"/>
      <c r="T359" s="436"/>
      <c r="U359" s="295"/>
      <c r="V359" s="320"/>
    </row>
    <row r="360" spans="1:22">
      <c r="A360" s="436"/>
      <c r="O360" s="319"/>
      <c r="P360" s="436"/>
      <c r="Q360" s="319"/>
      <c r="R360" s="436"/>
      <c r="S360" s="436"/>
      <c r="T360" s="436"/>
      <c r="U360" s="295"/>
      <c r="V360" s="320"/>
    </row>
    <row r="361" spans="1:22">
      <c r="A361" s="436"/>
      <c r="O361" s="319"/>
      <c r="P361" s="436"/>
      <c r="Q361" s="319"/>
      <c r="R361" s="436"/>
      <c r="S361" s="436"/>
      <c r="T361" s="436"/>
      <c r="U361" s="295"/>
      <c r="V361" s="320"/>
    </row>
    <row r="362" spans="1:22">
      <c r="A362" s="436"/>
      <c r="O362" s="319"/>
      <c r="P362" s="436"/>
      <c r="Q362" s="319"/>
      <c r="R362" s="436"/>
      <c r="S362" s="436"/>
      <c r="T362" s="436"/>
      <c r="U362" s="295"/>
      <c r="V362" s="320"/>
    </row>
    <row r="363" spans="1:22">
      <c r="A363" s="436"/>
      <c r="O363" s="319"/>
      <c r="P363" s="436"/>
      <c r="Q363" s="319"/>
      <c r="R363" s="436"/>
      <c r="S363" s="436"/>
      <c r="T363" s="436"/>
      <c r="U363" s="295"/>
      <c r="V363" s="320"/>
    </row>
    <row r="364" spans="1:22">
      <c r="A364" s="436"/>
      <c r="O364" s="319"/>
      <c r="P364" s="436"/>
      <c r="Q364" s="319"/>
      <c r="R364" s="436"/>
      <c r="S364" s="436"/>
      <c r="T364" s="436"/>
      <c r="U364" s="295"/>
      <c r="V364" s="320"/>
    </row>
    <row r="365" spans="1:22">
      <c r="A365" s="436"/>
      <c r="O365" s="319"/>
      <c r="P365" s="436"/>
      <c r="Q365" s="319"/>
      <c r="R365" s="436"/>
      <c r="S365" s="436"/>
      <c r="T365" s="436"/>
      <c r="U365" s="295"/>
      <c r="V365" s="320"/>
    </row>
    <row r="366" spans="1:22">
      <c r="A366" s="436"/>
      <c r="O366" s="319"/>
      <c r="P366" s="436"/>
      <c r="Q366" s="319"/>
      <c r="R366" s="436"/>
      <c r="S366" s="436"/>
      <c r="T366" s="436"/>
      <c r="U366" s="295"/>
      <c r="V366" s="320"/>
    </row>
    <row r="367" spans="1:22">
      <c r="A367" s="436"/>
      <c r="O367" s="319"/>
      <c r="P367" s="436"/>
      <c r="Q367" s="319"/>
      <c r="R367" s="436"/>
      <c r="S367" s="436"/>
      <c r="T367" s="436"/>
      <c r="U367" s="295"/>
      <c r="V367" s="320"/>
    </row>
    <row r="368" spans="1:22">
      <c r="A368" s="436"/>
      <c r="O368" s="319"/>
      <c r="P368" s="436"/>
      <c r="Q368" s="319"/>
      <c r="R368" s="436"/>
      <c r="S368" s="436"/>
      <c r="T368" s="436"/>
      <c r="U368" s="295"/>
      <c r="V368" s="320"/>
    </row>
    <row r="369" spans="1:22">
      <c r="A369" s="436"/>
      <c r="O369" s="319"/>
      <c r="P369" s="436"/>
      <c r="Q369" s="319"/>
      <c r="R369" s="436"/>
      <c r="S369" s="436"/>
      <c r="T369" s="436"/>
      <c r="U369" s="295"/>
      <c r="V369" s="320"/>
    </row>
    <row r="370" spans="1:22">
      <c r="A370" s="436"/>
      <c r="O370" s="319"/>
      <c r="P370" s="436"/>
      <c r="Q370" s="319"/>
      <c r="R370" s="436"/>
      <c r="S370" s="436"/>
      <c r="T370" s="436"/>
      <c r="U370" s="295"/>
      <c r="V370" s="320"/>
    </row>
    <row r="371" spans="1:22">
      <c r="A371" s="436"/>
      <c r="O371" s="319"/>
      <c r="P371" s="436"/>
      <c r="Q371" s="319"/>
      <c r="R371" s="436"/>
      <c r="S371" s="436"/>
      <c r="T371" s="436"/>
      <c r="U371" s="295"/>
      <c r="V371" s="320"/>
    </row>
    <row r="372" spans="1:22">
      <c r="A372" s="436"/>
      <c r="O372" s="319"/>
      <c r="P372" s="436"/>
      <c r="Q372" s="319"/>
      <c r="R372" s="436"/>
      <c r="S372" s="436"/>
      <c r="T372" s="436"/>
      <c r="U372" s="295"/>
      <c r="V372" s="320"/>
    </row>
    <row r="373" spans="1:22">
      <c r="A373" s="436"/>
      <c r="O373" s="319"/>
      <c r="P373" s="436"/>
      <c r="Q373" s="319"/>
      <c r="R373" s="436"/>
      <c r="S373" s="436"/>
      <c r="T373" s="436"/>
      <c r="U373" s="295"/>
      <c r="V373" s="320"/>
    </row>
    <row r="374" spans="1:22">
      <c r="A374" s="436"/>
      <c r="O374" s="319"/>
      <c r="P374" s="436"/>
      <c r="Q374" s="319"/>
      <c r="R374" s="436"/>
      <c r="S374" s="436"/>
      <c r="T374" s="436"/>
      <c r="U374" s="295"/>
      <c r="V374" s="320"/>
    </row>
    <row r="375" spans="1:22">
      <c r="A375" s="436"/>
      <c r="O375" s="319"/>
      <c r="P375" s="436"/>
      <c r="Q375" s="319"/>
      <c r="R375" s="436"/>
      <c r="S375" s="436"/>
      <c r="T375" s="436"/>
      <c r="U375" s="295"/>
      <c r="V375" s="320"/>
    </row>
    <row r="376" spans="1:22">
      <c r="A376" s="436"/>
      <c r="O376" s="319"/>
      <c r="P376" s="436"/>
      <c r="Q376" s="319"/>
      <c r="R376" s="436"/>
      <c r="S376" s="436"/>
      <c r="T376" s="436"/>
      <c r="U376" s="295"/>
      <c r="V376" s="320"/>
    </row>
    <row r="377" spans="1:22">
      <c r="A377" s="436"/>
      <c r="O377" s="319"/>
      <c r="P377" s="436"/>
      <c r="Q377" s="319"/>
      <c r="R377" s="436"/>
      <c r="S377" s="436"/>
      <c r="T377" s="436"/>
      <c r="U377" s="295"/>
      <c r="V377" s="320"/>
    </row>
    <row r="378" spans="1:22">
      <c r="A378" s="436"/>
      <c r="O378" s="319"/>
      <c r="P378" s="436"/>
      <c r="Q378" s="319"/>
      <c r="R378" s="436"/>
      <c r="S378" s="436"/>
      <c r="T378" s="436"/>
      <c r="U378" s="295"/>
      <c r="V378" s="320"/>
    </row>
    <row r="379" spans="1:22">
      <c r="A379" s="436"/>
      <c r="O379" s="319"/>
      <c r="P379" s="436"/>
      <c r="Q379" s="319"/>
      <c r="R379" s="436"/>
      <c r="S379" s="436"/>
      <c r="T379" s="436"/>
      <c r="U379" s="295"/>
      <c r="V379" s="320"/>
    </row>
    <row r="380" spans="1:22">
      <c r="A380" s="436"/>
      <c r="O380" s="319"/>
      <c r="P380" s="436"/>
      <c r="Q380" s="319"/>
      <c r="R380" s="436"/>
      <c r="S380" s="436"/>
      <c r="T380" s="436"/>
      <c r="U380" s="295"/>
      <c r="V380" s="320"/>
    </row>
    <row r="381" spans="1:22">
      <c r="A381" s="436"/>
      <c r="O381" s="319"/>
      <c r="P381" s="436"/>
      <c r="Q381" s="319"/>
      <c r="R381" s="436"/>
      <c r="S381" s="436"/>
      <c r="T381" s="436"/>
      <c r="U381" s="295"/>
      <c r="V381" s="320"/>
    </row>
    <row r="382" spans="1:22">
      <c r="A382" s="436"/>
      <c r="O382" s="319"/>
      <c r="P382" s="436"/>
      <c r="Q382" s="319"/>
      <c r="R382" s="436"/>
      <c r="S382" s="436"/>
      <c r="T382" s="436"/>
      <c r="U382" s="295"/>
      <c r="V382" s="320"/>
    </row>
    <row r="383" spans="1:22">
      <c r="A383" s="436"/>
      <c r="O383" s="319"/>
      <c r="P383" s="436"/>
      <c r="Q383" s="319"/>
      <c r="R383" s="436"/>
      <c r="S383" s="436"/>
      <c r="T383" s="436"/>
      <c r="U383" s="295"/>
      <c r="V383" s="320"/>
    </row>
    <row r="384" spans="1:22">
      <c r="A384" s="436"/>
      <c r="O384" s="319"/>
      <c r="P384" s="436"/>
      <c r="Q384" s="319"/>
      <c r="R384" s="436"/>
      <c r="S384" s="436"/>
      <c r="T384" s="436"/>
      <c r="U384" s="295"/>
      <c r="V384" s="320"/>
    </row>
    <row r="385" spans="1:22">
      <c r="A385" s="436"/>
      <c r="O385" s="319"/>
      <c r="P385" s="436"/>
      <c r="Q385" s="319"/>
      <c r="R385" s="436"/>
      <c r="S385" s="436"/>
      <c r="T385" s="436"/>
      <c r="U385" s="295"/>
      <c r="V385" s="320"/>
    </row>
    <row r="386" spans="1:22">
      <c r="A386" s="436"/>
      <c r="O386" s="319"/>
      <c r="P386" s="436"/>
      <c r="Q386" s="319"/>
      <c r="R386" s="436"/>
      <c r="S386" s="436"/>
      <c r="T386" s="436"/>
      <c r="U386" s="295"/>
      <c r="V386" s="320"/>
    </row>
    <row r="387" spans="1:22">
      <c r="A387" s="436"/>
      <c r="O387" s="319"/>
      <c r="P387" s="436"/>
      <c r="Q387" s="319"/>
      <c r="R387" s="436"/>
      <c r="S387" s="436"/>
      <c r="T387" s="436"/>
      <c r="U387" s="295"/>
      <c r="V387" s="320"/>
    </row>
    <row r="388" spans="1:22">
      <c r="A388" s="436"/>
      <c r="O388" s="319"/>
      <c r="P388" s="436"/>
      <c r="Q388" s="319"/>
      <c r="R388" s="436"/>
      <c r="S388" s="436"/>
      <c r="T388" s="436"/>
      <c r="U388" s="295"/>
      <c r="V388" s="320"/>
    </row>
    <row r="389" spans="1:22">
      <c r="A389" s="436"/>
      <c r="O389" s="319"/>
      <c r="P389" s="436"/>
      <c r="Q389" s="319"/>
      <c r="R389" s="436"/>
      <c r="S389" s="436"/>
      <c r="T389" s="436"/>
      <c r="U389" s="295"/>
      <c r="V389" s="320"/>
    </row>
    <row r="390" spans="1:22">
      <c r="A390" s="436"/>
      <c r="O390" s="319"/>
      <c r="P390" s="436"/>
      <c r="Q390" s="319"/>
      <c r="R390" s="436"/>
      <c r="S390" s="436"/>
      <c r="T390" s="436"/>
      <c r="U390" s="295"/>
      <c r="V390" s="320"/>
    </row>
    <row r="391" spans="1:22">
      <c r="A391" s="436"/>
      <c r="O391" s="319"/>
      <c r="P391" s="436"/>
      <c r="Q391" s="319"/>
      <c r="R391" s="436"/>
      <c r="S391" s="436"/>
      <c r="T391" s="436"/>
      <c r="U391" s="295"/>
      <c r="V391" s="320"/>
    </row>
    <row r="392" spans="1:22">
      <c r="A392" s="436"/>
      <c r="O392" s="319"/>
      <c r="P392" s="436"/>
      <c r="Q392" s="319"/>
      <c r="R392" s="436"/>
      <c r="S392" s="436"/>
      <c r="T392" s="436"/>
      <c r="U392" s="295"/>
      <c r="V392" s="320"/>
    </row>
    <row r="393" spans="1:22">
      <c r="A393" s="436"/>
      <c r="O393" s="319"/>
      <c r="P393" s="436"/>
      <c r="Q393" s="319"/>
      <c r="R393" s="436"/>
      <c r="S393" s="436"/>
      <c r="T393" s="436"/>
      <c r="U393" s="295"/>
      <c r="V393" s="320"/>
    </row>
    <row r="394" spans="1:22">
      <c r="A394" s="436"/>
      <c r="O394" s="319"/>
      <c r="P394" s="436"/>
      <c r="Q394" s="319"/>
      <c r="R394" s="436"/>
      <c r="S394" s="436"/>
      <c r="T394" s="436"/>
      <c r="U394" s="295"/>
      <c r="V394" s="320"/>
    </row>
    <row r="395" spans="1:22">
      <c r="A395" s="436"/>
      <c r="O395" s="319"/>
      <c r="P395" s="436"/>
      <c r="Q395" s="319"/>
      <c r="R395" s="436"/>
      <c r="S395" s="436"/>
      <c r="T395" s="436"/>
      <c r="U395" s="295"/>
      <c r="V395" s="320"/>
    </row>
    <row r="396" spans="1:22">
      <c r="A396" s="436"/>
      <c r="O396" s="319"/>
      <c r="P396" s="436"/>
      <c r="Q396" s="319"/>
      <c r="R396" s="436"/>
      <c r="S396" s="436"/>
      <c r="T396" s="436"/>
      <c r="U396" s="295"/>
      <c r="V396" s="320"/>
    </row>
    <row r="397" spans="1:22">
      <c r="A397" s="436"/>
      <c r="O397" s="319"/>
      <c r="P397" s="436"/>
      <c r="Q397" s="319"/>
      <c r="R397" s="436"/>
      <c r="S397" s="436"/>
      <c r="T397" s="436"/>
      <c r="U397" s="295"/>
      <c r="V397" s="320"/>
    </row>
    <row r="398" spans="1:22">
      <c r="A398" s="436"/>
      <c r="O398" s="319"/>
      <c r="P398" s="436"/>
      <c r="Q398" s="319"/>
      <c r="R398" s="436"/>
      <c r="S398" s="436"/>
      <c r="T398" s="436"/>
      <c r="U398" s="295"/>
      <c r="V398" s="320"/>
    </row>
    <row r="399" spans="1:22">
      <c r="A399" s="436"/>
      <c r="O399" s="319"/>
      <c r="P399" s="436"/>
      <c r="Q399" s="319"/>
      <c r="R399" s="436"/>
      <c r="S399" s="436"/>
      <c r="T399" s="436"/>
      <c r="U399" s="295"/>
      <c r="V399" s="320"/>
    </row>
    <row r="400" spans="1:22">
      <c r="A400" s="436"/>
      <c r="O400" s="319"/>
      <c r="P400" s="436"/>
      <c r="Q400" s="319"/>
      <c r="R400" s="436"/>
      <c r="S400" s="436"/>
      <c r="T400" s="436"/>
      <c r="U400" s="295"/>
      <c r="V400" s="320"/>
    </row>
    <row r="401" spans="1:22">
      <c r="A401" s="436"/>
      <c r="O401" s="319"/>
      <c r="P401" s="436"/>
      <c r="Q401" s="319"/>
      <c r="R401" s="436"/>
      <c r="S401" s="436"/>
      <c r="T401" s="436"/>
      <c r="U401" s="295"/>
      <c r="V401" s="320"/>
    </row>
    <row r="402" spans="1:22">
      <c r="A402" s="436"/>
      <c r="O402" s="319"/>
      <c r="P402" s="436"/>
      <c r="Q402" s="319"/>
      <c r="R402" s="436"/>
      <c r="S402" s="436"/>
      <c r="T402" s="436"/>
      <c r="U402" s="295"/>
      <c r="V402" s="320"/>
    </row>
    <row r="403" spans="1:22">
      <c r="A403" s="436"/>
      <c r="O403" s="319"/>
      <c r="P403" s="436"/>
      <c r="Q403" s="319"/>
      <c r="R403" s="436"/>
      <c r="S403" s="436"/>
      <c r="T403" s="436"/>
      <c r="U403" s="295"/>
      <c r="V403" s="320"/>
    </row>
    <row r="404" spans="1:22">
      <c r="A404" s="436"/>
      <c r="O404" s="319"/>
      <c r="P404" s="436"/>
      <c r="Q404" s="319"/>
      <c r="R404" s="436"/>
      <c r="S404" s="436"/>
      <c r="T404" s="436"/>
      <c r="U404" s="295"/>
      <c r="V404" s="320"/>
    </row>
    <row r="405" spans="1:22">
      <c r="A405" s="436"/>
      <c r="O405" s="319"/>
      <c r="P405" s="436"/>
      <c r="Q405" s="319"/>
      <c r="R405" s="436"/>
      <c r="S405" s="436"/>
      <c r="T405" s="436"/>
      <c r="U405" s="295"/>
      <c r="V405" s="320"/>
    </row>
    <row r="406" spans="1:22">
      <c r="A406" s="436"/>
      <c r="O406" s="319"/>
      <c r="P406" s="436"/>
      <c r="Q406" s="319"/>
      <c r="R406" s="436"/>
      <c r="S406" s="436"/>
      <c r="T406" s="436"/>
      <c r="U406" s="295"/>
      <c r="V406" s="320"/>
    </row>
    <row r="407" spans="1:22">
      <c r="A407" s="436"/>
      <c r="O407" s="319"/>
      <c r="P407" s="436"/>
      <c r="Q407" s="319"/>
      <c r="R407" s="436"/>
      <c r="S407" s="436"/>
      <c r="T407" s="436"/>
      <c r="U407" s="295"/>
      <c r="V407" s="320"/>
    </row>
    <row r="408" spans="1:22">
      <c r="A408" s="436"/>
      <c r="O408" s="319"/>
      <c r="P408" s="436"/>
      <c r="Q408" s="319"/>
      <c r="R408" s="436"/>
      <c r="S408" s="436"/>
      <c r="T408" s="436"/>
      <c r="U408" s="295"/>
      <c r="V408" s="320"/>
    </row>
    <row r="409" spans="1:22">
      <c r="A409" s="436"/>
      <c r="O409" s="319"/>
      <c r="P409" s="436"/>
      <c r="Q409" s="319"/>
      <c r="R409" s="436"/>
      <c r="S409" s="436"/>
      <c r="T409" s="436"/>
      <c r="U409" s="295"/>
      <c r="V409" s="320"/>
    </row>
    <row r="410" spans="1:22">
      <c r="A410" s="436"/>
      <c r="O410" s="319"/>
      <c r="P410" s="436"/>
      <c r="Q410" s="319"/>
      <c r="R410" s="436"/>
      <c r="S410" s="436"/>
      <c r="T410" s="436"/>
      <c r="U410" s="295"/>
      <c r="V410" s="320"/>
    </row>
    <row r="411" spans="1:22">
      <c r="A411" s="436"/>
      <c r="O411" s="319"/>
      <c r="P411" s="436"/>
      <c r="Q411" s="319"/>
      <c r="R411" s="436"/>
      <c r="S411" s="436"/>
      <c r="T411" s="436"/>
      <c r="U411" s="295"/>
      <c r="V411" s="320"/>
    </row>
    <row r="412" spans="1:22">
      <c r="A412" s="436"/>
      <c r="O412" s="319"/>
      <c r="P412" s="436"/>
      <c r="Q412" s="319"/>
      <c r="R412" s="436"/>
      <c r="S412" s="436"/>
      <c r="T412" s="436"/>
      <c r="U412" s="295"/>
      <c r="V412" s="320"/>
    </row>
    <row r="413" spans="1:22">
      <c r="A413" s="436"/>
      <c r="O413" s="319"/>
      <c r="P413" s="436"/>
      <c r="Q413" s="319"/>
      <c r="R413" s="436"/>
      <c r="S413" s="436"/>
      <c r="T413" s="436"/>
      <c r="U413" s="295"/>
      <c r="V413" s="320"/>
    </row>
    <row r="414" spans="1:22">
      <c r="A414" s="436"/>
      <c r="O414" s="319"/>
      <c r="P414" s="436"/>
      <c r="Q414" s="319"/>
      <c r="R414" s="436"/>
      <c r="S414" s="436"/>
      <c r="T414" s="436"/>
      <c r="U414" s="295"/>
      <c r="V414" s="320"/>
    </row>
    <row r="415" spans="1:22">
      <c r="A415" s="436"/>
      <c r="O415" s="319"/>
      <c r="P415" s="436"/>
      <c r="Q415" s="319"/>
      <c r="R415" s="436"/>
      <c r="S415" s="436"/>
      <c r="T415" s="436"/>
      <c r="U415" s="295"/>
      <c r="V415" s="320"/>
    </row>
    <row r="416" spans="1:22">
      <c r="A416" s="436"/>
      <c r="O416" s="319"/>
      <c r="P416" s="436"/>
      <c r="Q416" s="319"/>
      <c r="R416" s="436"/>
      <c r="S416" s="436"/>
      <c r="T416" s="436"/>
      <c r="U416" s="295"/>
      <c r="V416" s="320"/>
    </row>
    <row r="417" spans="1:22">
      <c r="A417" s="436"/>
      <c r="O417" s="319"/>
      <c r="P417" s="436"/>
      <c r="Q417" s="319"/>
      <c r="R417" s="436"/>
      <c r="S417" s="436"/>
      <c r="T417" s="436"/>
      <c r="U417" s="295"/>
      <c r="V417" s="320"/>
    </row>
    <row r="418" spans="1:22">
      <c r="A418" s="436"/>
      <c r="O418" s="319"/>
      <c r="P418" s="436"/>
      <c r="Q418" s="319"/>
      <c r="R418" s="436"/>
      <c r="S418" s="436"/>
      <c r="T418" s="436"/>
      <c r="U418" s="295"/>
      <c r="V418" s="320"/>
    </row>
    <row r="419" spans="1:22">
      <c r="A419" s="436"/>
      <c r="O419" s="319"/>
      <c r="P419" s="436"/>
      <c r="Q419" s="319"/>
      <c r="R419" s="436"/>
      <c r="S419" s="436"/>
      <c r="T419" s="436"/>
      <c r="U419" s="295"/>
      <c r="V419" s="320"/>
    </row>
    <row r="420" spans="1:22">
      <c r="A420" s="436"/>
      <c r="O420" s="319"/>
      <c r="P420" s="436"/>
      <c r="Q420" s="319"/>
      <c r="R420" s="436"/>
      <c r="S420" s="436"/>
      <c r="T420" s="436"/>
      <c r="U420" s="295"/>
      <c r="V420" s="320"/>
    </row>
    <row r="421" spans="1:22">
      <c r="A421" s="436"/>
      <c r="O421" s="319"/>
      <c r="P421" s="436"/>
      <c r="Q421" s="319"/>
      <c r="R421" s="436"/>
      <c r="S421" s="436"/>
      <c r="T421" s="436"/>
      <c r="U421" s="295"/>
      <c r="V421" s="320"/>
    </row>
    <row r="422" spans="1:22">
      <c r="A422" s="436"/>
      <c r="O422" s="319"/>
      <c r="P422" s="436"/>
      <c r="Q422" s="319"/>
      <c r="R422" s="436"/>
      <c r="S422" s="436"/>
      <c r="T422" s="436"/>
      <c r="U422" s="295"/>
      <c r="V422" s="320"/>
    </row>
    <row r="423" spans="1:22">
      <c r="A423" s="436"/>
      <c r="O423" s="319"/>
      <c r="P423" s="436"/>
      <c r="Q423" s="319"/>
      <c r="R423" s="436"/>
      <c r="S423" s="436"/>
      <c r="T423" s="436"/>
      <c r="U423" s="295"/>
      <c r="V423" s="320"/>
    </row>
    <row r="424" spans="1:22">
      <c r="A424" s="436"/>
      <c r="O424" s="319"/>
      <c r="P424" s="436"/>
      <c r="Q424" s="319"/>
      <c r="R424" s="436"/>
      <c r="S424" s="436"/>
      <c r="T424" s="436"/>
      <c r="U424" s="295"/>
      <c r="V424" s="320"/>
    </row>
    <row r="425" spans="1:22">
      <c r="A425" s="436"/>
      <c r="O425" s="319"/>
      <c r="P425" s="436"/>
      <c r="Q425" s="319"/>
      <c r="R425" s="436"/>
      <c r="S425" s="436"/>
      <c r="T425" s="436"/>
      <c r="U425" s="295"/>
      <c r="V425" s="320"/>
    </row>
    <row r="426" spans="1:22">
      <c r="A426" s="436"/>
      <c r="O426" s="319"/>
      <c r="P426" s="436"/>
      <c r="Q426" s="319"/>
      <c r="R426" s="436"/>
      <c r="S426" s="436"/>
      <c r="T426" s="436"/>
      <c r="U426" s="295"/>
      <c r="V426" s="320"/>
    </row>
    <row r="427" spans="1:22">
      <c r="A427" s="436"/>
      <c r="O427" s="319"/>
      <c r="P427" s="436"/>
      <c r="Q427" s="319"/>
      <c r="R427" s="436"/>
      <c r="S427" s="436"/>
      <c r="T427" s="436"/>
      <c r="U427" s="295"/>
      <c r="V427" s="320"/>
    </row>
    <row r="428" spans="1:22">
      <c r="A428" s="436"/>
      <c r="O428" s="319"/>
      <c r="P428" s="436"/>
      <c r="Q428" s="319"/>
      <c r="R428" s="436"/>
      <c r="S428" s="436"/>
      <c r="T428" s="436"/>
      <c r="U428" s="295"/>
      <c r="V428" s="320"/>
    </row>
    <row r="429" spans="1:22">
      <c r="A429" s="436"/>
      <c r="O429" s="319"/>
      <c r="P429" s="436"/>
      <c r="Q429" s="319"/>
      <c r="R429" s="436"/>
      <c r="S429" s="436"/>
      <c r="T429" s="436"/>
      <c r="U429" s="295"/>
      <c r="V429" s="320"/>
    </row>
    <row r="430" spans="1:22">
      <c r="A430" s="436"/>
      <c r="O430" s="319"/>
      <c r="P430" s="436"/>
      <c r="Q430" s="319"/>
      <c r="R430" s="436"/>
      <c r="S430" s="436"/>
      <c r="T430" s="436"/>
      <c r="U430" s="295"/>
      <c r="V430" s="320"/>
    </row>
    <row r="431" spans="1:22">
      <c r="A431" s="436"/>
      <c r="O431" s="319"/>
      <c r="P431" s="436"/>
      <c r="Q431" s="319"/>
      <c r="R431" s="436"/>
      <c r="S431" s="436"/>
      <c r="T431" s="436"/>
      <c r="U431" s="295"/>
      <c r="V431" s="320"/>
    </row>
    <row r="432" spans="1:22">
      <c r="A432" s="436"/>
      <c r="O432" s="319"/>
      <c r="P432" s="436"/>
      <c r="Q432" s="319"/>
      <c r="R432" s="436"/>
      <c r="S432" s="436"/>
      <c r="T432" s="436"/>
      <c r="U432" s="295"/>
      <c r="V432" s="320"/>
    </row>
    <row r="433" spans="1:22">
      <c r="A433" s="436"/>
      <c r="O433" s="319"/>
      <c r="P433" s="436"/>
      <c r="Q433" s="319"/>
      <c r="R433" s="436"/>
      <c r="S433" s="436"/>
      <c r="T433" s="436"/>
      <c r="U433" s="295"/>
      <c r="V433" s="320"/>
    </row>
    <row r="434" spans="1:22">
      <c r="A434" s="436"/>
      <c r="O434" s="319"/>
      <c r="P434" s="436"/>
      <c r="Q434" s="319"/>
      <c r="R434" s="436"/>
      <c r="S434" s="436"/>
      <c r="T434" s="436"/>
      <c r="U434" s="295"/>
      <c r="V434" s="320"/>
    </row>
    <row r="435" spans="1:22">
      <c r="A435" s="436"/>
      <c r="O435" s="319"/>
      <c r="P435" s="436"/>
      <c r="Q435" s="319"/>
      <c r="R435" s="436"/>
      <c r="S435" s="436"/>
      <c r="T435" s="436"/>
      <c r="U435" s="295"/>
      <c r="V435" s="320"/>
    </row>
    <row r="436" spans="1:22">
      <c r="A436" s="436"/>
      <c r="O436" s="319"/>
      <c r="P436" s="436"/>
      <c r="Q436" s="319"/>
      <c r="R436" s="436"/>
      <c r="S436" s="436"/>
      <c r="T436" s="436"/>
      <c r="U436" s="295"/>
      <c r="V436" s="320"/>
    </row>
    <row r="437" spans="1:22">
      <c r="A437" s="436"/>
      <c r="O437" s="319"/>
      <c r="P437" s="436"/>
      <c r="Q437" s="319"/>
      <c r="R437" s="436"/>
      <c r="S437" s="436"/>
      <c r="T437" s="436"/>
      <c r="U437" s="295"/>
      <c r="V437" s="320"/>
    </row>
    <row r="438" spans="1:22">
      <c r="A438" s="436"/>
      <c r="O438" s="319"/>
      <c r="P438" s="436"/>
      <c r="Q438" s="319"/>
      <c r="R438" s="436"/>
      <c r="S438" s="436"/>
      <c r="T438" s="436"/>
      <c r="U438" s="295"/>
      <c r="V438" s="320"/>
    </row>
    <row r="439" spans="1:22">
      <c r="A439" s="436"/>
      <c r="O439" s="319"/>
      <c r="P439" s="436"/>
      <c r="Q439" s="319"/>
      <c r="R439" s="436"/>
      <c r="S439" s="436"/>
      <c r="T439" s="436"/>
      <c r="U439" s="295"/>
      <c r="V439" s="320"/>
    </row>
    <row r="440" spans="1:22">
      <c r="A440" s="436"/>
      <c r="O440" s="319"/>
      <c r="P440" s="436"/>
      <c r="Q440" s="319"/>
      <c r="R440" s="436"/>
      <c r="S440" s="436"/>
      <c r="T440" s="436"/>
      <c r="U440" s="295"/>
      <c r="V440" s="320"/>
    </row>
    <row r="441" spans="1:22">
      <c r="A441" s="436"/>
      <c r="O441" s="319"/>
      <c r="P441" s="436"/>
      <c r="Q441" s="319"/>
      <c r="R441" s="436"/>
      <c r="S441" s="436"/>
      <c r="T441" s="436"/>
      <c r="U441" s="295"/>
      <c r="V441" s="320"/>
    </row>
    <row r="442" spans="1:22">
      <c r="A442" s="436"/>
      <c r="O442" s="319"/>
      <c r="P442" s="436"/>
      <c r="Q442" s="319"/>
      <c r="R442" s="436"/>
      <c r="S442" s="436"/>
      <c r="T442" s="436"/>
      <c r="U442" s="295"/>
      <c r="V442" s="320"/>
    </row>
    <row r="443" spans="1:22">
      <c r="A443" s="436"/>
      <c r="O443" s="319"/>
      <c r="P443" s="436"/>
      <c r="Q443" s="319"/>
      <c r="R443" s="436"/>
      <c r="S443" s="436"/>
      <c r="T443" s="436"/>
      <c r="U443" s="295"/>
      <c r="V443" s="320"/>
    </row>
    <row r="444" spans="1:22">
      <c r="A444" s="436"/>
      <c r="O444" s="319"/>
      <c r="P444" s="436"/>
      <c r="Q444" s="319"/>
      <c r="R444" s="436"/>
      <c r="S444" s="436"/>
      <c r="T444" s="436"/>
      <c r="U444" s="295"/>
      <c r="V444" s="320"/>
    </row>
    <row r="445" spans="1:22">
      <c r="A445" s="436"/>
      <c r="O445" s="319"/>
      <c r="P445" s="436"/>
      <c r="Q445" s="319"/>
      <c r="R445" s="436"/>
      <c r="S445" s="436"/>
      <c r="T445" s="436"/>
      <c r="U445" s="295"/>
      <c r="V445" s="320"/>
    </row>
    <row r="446" spans="1:22">
      <c r="A446" s="436"/>
      <c r="O446" s="319"/>
      <c r="P446" s="436"/>
      <c r="Q446" s="319"/>
      <c r="R446" s="436"/>
      <c r="S446" s="436"/>
      <c r="T446" s="436"/>
      <c r="U446" s="295"/>
      <c r="V446" s="320"/>
    </row>
    <row r="447" spans="1:22">
      <c r="A447" s="436"/>
      <c r="O447" s="319"/>
      <c r="P447" s="436"/>
      <c r="Q447" s="319"/>
      <c r="R447" s="436"/>
      <c r="S447" s="436"/>
      <c r="T447" s="436"/>
      <c r="U447" s="295"/>
      <c r="V447" s="320"/>
    </row>
    <row r="448" spans="1:22">
      <c r="A448" s="436"/>
      <c r="O448" s="319"/>
      <c r="P448" s="436"/>
      <c r="Q448" s="319"/>
      <c r="R448" s="436"/>
      <c r="S448" s="436"/>
      <c r="T448" s="436"/>
      <c r="U448" s="295"/>
      <c r="V448" s="320"/>
    </row>
    <row r="449" spans="1:22">
      <c r="A449" s="436"/>
      <c r="O449" s="319"/>
      <c r="P449" s="436"/>
      <c r="Q449" s="319"/>
      <c r="R449" s="436"/>
      <c r="S449" s="436"/>
      <c r="T449" s="436"/>
      <c r="U449" s="295"/>
      <c r="V449" s="320"/>
    </row>
    <row r="450" spans="1:22">
      <c r="A450" s="436"/>
      <c r="O450" s="319"/>
      <c r="P450" s="436"/>
      <c r="Q450" s="319"/>
      <c r="R450" s="436"/>
      <c r="S450" s="436"/>
      <c r="T450" s="436"/>
      <c r="U450" s="295"/>
      <c r="V450" s="320"/>
    </row>
    <row r="451" spans="1:22">
      <c r="A451" s="436"/>
      <c r="O451" s="319"/>
      <c r="P451" s="436"/>
      <c r="Q451" s="319"/>
      <c r="R451" s="436"/>
      <c r="S451" s="436"/>
      <c r="T451" s="436"/>
      <c r="U451" s="295"/>
      <c r="V451" s="320"/>
    </row>
    <row r="452" spans="1:22">
      <c r="A452" s="436"/>
      <c r="O452" s="319"/>
      <c r="P452" s="436"/>
      <c r="Q452" s="319"/>
      <c r="R452" s="436"/>
      <c r="S452" s="436"/>
      <c r="T452" s="436"/>
      <c r="U452" s="295"/>
      <c r="V452" s="320"/>
    </row>
    <row r="453" spans="1:22">
      <c r="A453" s="436"/>
      <c r="O453" s="319"/>
      <c r="P453" s="436"/>
      <c r="Q453" s="319"/>
      <c r="R453" s="436"/>
      <c r="S453" s="436"/>
      <c r="T453" s="436"/>
      <c r="U453" s="295"/>
      <c r="V453" s="320"/>
    </row>
    <row r="454" spans="1:22">
      <c r="A454" s="436"/>
      <c r="O454" s="319"/>
      <c r="P454" s="436"/>
      <c r="Q454" s="319"/>
      <c r="R454" s="436"/>
      <c r="S454" s="436"/>
      <c r="T454" s="436"/>
      <c r="U454" s="295"/>
      <c r="V454" s="320"/>
    </row>
    <row r="455" spans="1:22">
      <c r="A455" s="436"/>
      <c r="O455" s="319"/>
      <c r="P455" s="436"/>
      <c r="Q455" s="319"/>
      <c r="R455" s="436"/>
      <c r="S455" s="436"/>
      <c r="T455" s="436"/>
      <c r="U455" s="295"/>
      <c r="V455" s="320"/>
    </row>
    <row r="456" spans="1:22">
      <c r="A456" s="436"/>
      <c r="O456" s="319"/>
      <c r="P456" s="436"/>
      <c r="Q456" s="319"/>
      <c r="R456" s="436"/>
      <c r="S456" s="436"/>
      <c r="T456" s="436"/>
      <c r="U456" s="295"/>
      <c r="V456" s="320"/>
    </row>
    <row r="457" spans="1:22">
      <c r="A457" s="436"/>
      <c r="O457" s="319"/>
      <c r="P457" s="436"/>
      <c r="Q457" s="319"/>
      <c r="R457" s="436"/>
      <c r="S457" s="436"/>
      <c r="T457" s="436"/>
      <c r="U457" s="295"/>
      <c r="V457" s="320"/>
    </row>
    <row r="458" spans="1:22">
      <c r="A458" s="436"/>
      <c r="O458" s="319"/>
      <c r="P458" s="436"/>
      <c r="Q458" s="319"/>
      <c r="R458" s="436"/>
      <c r="S458" s="436"/>
      <c r="T458" s="436"/>
      <c r="U458" s="295"/>
      <c r="V458" s="320"/>
    </row>
    <row r="459" spans="1:22">
      <c r="A459" s="436"/>
      <c r="O459" s="319"/>
      <c r="P459" s="436"/>
      <c r="Q459" s="319"/>
      <c r="R459" s="436"/>
      <c r="S459" s="436"/>
      <c r="T459" s="436"/>
      <c r="U459" s="295"/>
      <c r="V459" s="320"/>
    </row>
    <row r="460" spans="1:22">
      <c r="A460" s="436"/>
      <c r="O460" s="319"/>
      <c r="P460" s="436"/>
      <c r="Q460" s="319"/>
      <c r="R460" s="436"/>
      <c r="S460" s="436"/>
      <c r="T460" s="436"/>
      <c r="U460" s="295"/>
      <c r="V460" s="320"/>
    </row>
    <row r="461" spans="1:22">
      <c r="A461" s="436"/>
      <c r="O461" s="319"/>
      <c r="P461" s="436"/>
      <c r="Q461" s="319"/>
      <c r="R461" s="436"/>
      <c r="S461" s="436"/>
      <c r="T461" s="436"/>
      <c r="U461" s="295"/>
      <c r="V461" s="320"/>
    </row>
    <row r="462" spans="1:22">
      <c r="A462" s="436"/>
      <c r="O462" s="319"/>
      <c r="P462" s="436"/>
      <c r="Q462" s="319"/>
      <c r="R462" s="436"/>
      <c r="S462" s="436"/>
      <c r="T462" s="436"/>
      <c r="U462" s="295"/>
      <c r="V462" s="320"/>
    </row>
    <row r="463" spans="1:22">
      <c r="A463" s="436"/>
      <c r="O463" s="319"/>
      <c r="P463" s="436"/>
      <c r="Q463" s="319"/>
      <c r="R463" s="436"/>
      <c r="S463" s="436"/>
      <c r="T463" s="436"/>
      <c r="U463" s="295"/>
      <c r="V463" s="320"/>
    </row>
    <row r="464" spans="1:22">
      <c r="A464" s="436"/>
      <c r="O464" s="319"/>
      <c r="P464" s="436"/>
      <c r="Q464" s="319"/>
      <c r="R464" s="436"/>
      <c r="S464" s="436"/>
      <c r="T464" s="436"/>
      <c r="U464" s="295"/>
      <c r="V464" s="320"/>
    </row>
    <row r="465" spans="1:22">
      <c r="A465" s="436"/>
      <c r="O465" s="319"/>
      <c r="P465" s="436"/>
      <c r="Q465" s="319"/>
      <c r="R465" s="436"/>
      <c r="S465" s="436"/>
      <c r="T465" s="436"/>
      <c r="U465" s="295"/>
      <c r="V465" s="320"/>
    </row>
    <row r="466" spans="1:22">
      <c r="A466" s="436"/>
      <c r="O466" s="319"/>
      <c r="P466" s="436"/>
      <c r="Q466" s="319"/>
      <c r="R466" s="436"/>
      <c r="S466" s="436"/>
      <c r="T466" s="436"/>
      <c r="U466" s="295"/>
      <c r="V466" s="320"/>
    </row>
    <row r="467" spans="1:22">
      <c r="A467" s="436"/>
      <c r="O467" s="319"/>
      <c r="P467" s="436"/>
      <c r="Q467" s="319"/>
      <c r="R467" s="436"/>
      <c r="S467" s="436"/>
      <c r="T467" s="436"/>
      <c r="U467" s="295"/>
      <c r="V467" s="320"/>
    </row>
    <row r="468" spans="1:22">
      <c r="A468" s="436"/>
      <c r="O468" s="319"/>
      <c r="P468" s="436"/>
      <c r="Q468" s="319"/>
      <c r="R468" s="436"/>
      <c r="S468" s="436"/>
      <c r="T468" s="436"/>
      <c r="U468" s="295"/>
      <c r="V468" s="320"/>
    </row>
    <row r="469" spans="1:22">
      <c r="A469" s="436"/>
      <c r="O469" s="319"/>
      <c r="P469" s="436"/>
      <c r="Q469" s="319"/>
      <c r="R469" s="436"/>
      <c r="S469" s="436"/>
      <c r="T469" s="436"/>
      <c r="U469" s="295"/>
      <c r="V469" s="320"/>
    </row>
    <row r="470" spans="1:22">
      <c r="A470" s="436"/>
      <c r="O470" s="319"/>
      <c r="P470" s="436"/>
      <c r="Q470" s="319"/>
      <c r="R470" s="436"/>
      <c r="S470" s="436"/>
      <c r="T470" s="436"/>
      <c r="U470" s="295"/>
      <c r="V470" s="320"/>
    </row>
    <row r="471" spans="1:22">
      <c r="A471" s="436"/>
      <c r="O471" s="319"/>
      <c r="P471" s="436"/>
      <c r="Q471" s="319"/>
      <c r="R471" s="436"/>
      <c r="S471" s="436"/>
      <c r="T471" s="436"/>
      <c r="U471" s="295"/>
      <c r="V471" s="320"/>
    </row>
    <row r="472" spans="1:22">
      <c r="A472" s="436"/>
      <c r="O472" s="319"/>
      <c r="P472" s="436"/>
      <c r="Q472" s="319"/>
      <c r="R472" s="436"/>
      <c r="S472" s="436"/>
      <c r="T472" s="436"/>
      <c r="U472" s="295"/>
      <c r="V472" s="320"/>
    </row>
    <row r="473" spans="1:22">
      <c r="A473" s="436"/>
      <c r="O473" s="319"/>
      <c r="P473" s="436"/>
      <c r="Q473" s="319"/>
      <c r="R473" s="436"/>
      <c r="S473" s="436"/>
      <c r="T473" s="436"/>
      <c r="U473" s="295"/>
      <c r="V473" s="320"/>
    </row>
    <row r="474" spans="1:22">
      <c r="A474" s="436"/>
      <c r="O474" s="319"/>
      <c r="P474" s="436"/>
      <c r="Q474" s="319"/>
      <c r="R474" s="436"/>
      <c r="S474" s="436"/>
      <c r="T474" s="436"/>
      <c r="U474" s="295"/>
      <c r="V474" s="320"/>
    </row>
    <row r="475" spans="1:22">
      <c r="A475" s="436"/>
      <c r="O475" s="319"/>
      <c r="P475" s="436"/>
      <c r="Q475" s="319"/>
      <c r="R475" s="436"/>
      <c r="S475" s="436"/>
      <c r="T475" s="436"/>
      <c r="U475" s="295"/>
      <c r="V475" s="320"/>
    </row>
    <row r="476" spans="1:22">
      <c r="A476" s="436"/>
      <c r="O476" s="319"/>
      <c r="P476" s="436"/>
      <c r="Q476" s="319"/>
      <c r="R476" s="436"/>
      <c r="S476" s="436"/>
      <c r="T476" s="436"/>
      <c r="U476" s="295"/>
      <c r="V476" s="320"/>
    </row>
    <row r="477" spans="1:22">
      <c r="A477" s="436"/>
      <c r="O477" s="319"/>
      <c r="P477" s="436"/>
      <c r="Q477" s="319"/>
      <c r="R477" s="436"/>
      <c r="S477" s="436"/>
      <c r="T477" s="436"/>
      <c r="U477" s="295"/>
      <c r="V477" s="320"/>
    </row>
    <row r="478" spans="1:22">
      <c r="A478" s="436"/>
      <c r="O478" s="319"/>
      <c r="P478" s="436"/>
      <c r="Q478" s="319"/>
      <c r="R478" s="436"/>
      <c r="S478" s="436"/>
      <c r="T478" s="436"/>
      <c r="U478" s="295"/>
      <c r="V478" s="320"/>
    </row>
    <row r="479" spans="1:22">
      <c r="A479" s="436"/>
      <c r="O479" s="319"/>
      <c r="P479" s="436"/>
      <c r="Q479" s="319"/>
      <c r="R479" s="436"/>
      <c r="S479" s="436"/>
      <c r="T479" s="436"/>
      <c r="U479" s="295"/>
      <c r="V479" s="320"/>
    </row>
    <row r="480" spans="1:22">
      <c r="A480" s="436"/>
      <c r="O480" s="319"/>
      <c r="P480" s="436"/>
      <c r="Q480" s="319"/>
      <c r="R480" s="436"/>
      <c r="S480" s="436"/>
      <c r="T480" s="436"/>
      <c r="U480" s="295"/>
      <c r="V480" s="320"/>
    </row>
    <row r="481" spans="1:22">
      <c r="A481" s="436"/>
      <c r="O481" s="319"/>
      <c r="P481" s="436"/>
      <c r="Q481" s="319"/>
      <c r="R481" s="436"/>
      <c r="S481" s="436"/>
      <c r="T481" s="436"/>
      <c r="U481" s="295"/>
      <c r="V481" s="320"/>
    </row>
    <row r="482" spans="1:22">
      <c r="A482" s="436"/>
      <c r="O482" s="319"/>
      <c r="P482" s="436"/>
      <c r="Q482" s="319"/>
      <c r="R482" s="436"/>
      <c r="S482" s="436"/>
      <c r="T482" s="436"/>
      <c r="U482" s="295"/>
      <c r="V482" s="320"/>
    </row>
    <row r="483" spans="1:22">
      <c r="A483" s="436"/>
      <c r="O483" s="319"/>
      <c r="P483" s="436"/>
      <c r="Q483" s="319"/>
      <c r="R483" s="436"/>
      <c r="S483" s="436"/>
      <c r="T483" s="436"/>
      <c r="U483" s="295"/>
      <c r="V483" s="320"/>
    </row>
    <row r="484" spans="1:22">
      <c r="A484" s="436"/>
      <c r="O484" s="319"/>
      <c r="P484" s="436"/>
      <c r="Q484" s="319"/>
      <c r="R484" s="436"/>
      <c r="S484" s="436"/>
      <c r="T484" s="436"/>
      <c r="U484" s="295"/>
      <c r="V484" s="320"/>
    </row>
    <row r="485" spans="1:22">
      <c r="A485" s="436"/>
      <c r="O485" s="319"/>
      <c r="P485" s="436"/>
      <c r="Q485" s="319"/>
      <c r="R485" s="436"/>
      <c r="S485" s="436"/>
      <c r="T485" s="436"/>
      <c r="U485" s="295"/>
      <c r="V485" s="320"/>
    </row>
    <row r="486" spans="1:22">
      <c r="A486" s="436"/>
      <c r="O486" s="319"/>
      <c r="P486" s="436"/>
      <c r="Q486" s="319"/>
      <c r="R486" s="436"/>
      <c r="S486" s="436"/>
      <c r="T486" s="436"/>
      <c r="U486" s="295"/>
      <c r="V486" s="320"/>
    </row>
    <row r="487" spans="1:22">
      <c r="A487" s="436"/>
      <c r="O487" s="319"/>
      <c r="P487" s="436"/>
      <c r="Q487" s="319"/>
      <c r="R487" s="436"/>
      <c r="S487" s="436"/>
      <c r="T487" s="436"/>
      <c r="U487" s="295"/>
      <c r="V487" s="320"/>
    </row>
    <row r="488" spans="1:22">
      <c r="A488" s="436"/>
      <c r="O488" s="319"/>
      <c r="P488" s="436"/>
      <c r="Q488" s="319"/>
      <c r="R488" s="436"/>
      <c r="S488" s="436"/>
      <c r="T488" s="436"/>
      <c r="U488" s="295"/>
      <c r="V488" s="320"/>
    </row>
    <row r="489" spans="1:22">
      <c r="A489" s="436"/>
      <c r="O489" s="319"/>
      <c r="P489" s="436"/>
      <c r="Q489" s="319"/>
      <c r="R489" s="436"/>
      <c r="S489" s="436"/>
      <c r="T489" s="436"/>
      <c r="U489" s="295"/>
      <c r="V489" s="320"/>
    </row>
    <row r="490" spans="1:22">
      <c r="A490" s="436"/>
      <c r="O490" s="319"/>
      <c r="P490" s="436"/>
      <c r="Q490" s="319"/>
      <c r="R490" s="436"/>
      <c r="S490" s="436"/>
      <c r="T490" s="436"/>
      <c r="U490" s="295"/>
      <c r="V490" s="320"/>
    </row>
    <row r="491" spans="1:22">
      <c r="A491" s="436"/>
      <c r="O491" s="319"/>
      <c r="P491" s="436"/>
      <c r="Q491" s="319"/>
      <c r="R491" s="436"/>
      <c r="S491" s="436"/>
      <c r="T491" s="436"/>
      <c r="U491" s="295"/>
      <c r="V491" s="320"/>
    </row>
    <row r="492" spans="1:22">
      <c r="A492" s="436"/>
      <c r="O492" s="319"/>
      <c r="P492" s="436"/>
      <c r="Q492" s="319"/>
      <c r="R492" s="436"/>
      <c r="S492" s="436"/>
      <c r="T492" s="436"/>
      <c r="U492" s="295"/>
      <c r="V492" s="320"/>
    </row>
    <row r="493" spans="1:22">
      <c r="A493" s="436"/>
      <c r="O493" s="319"/>
      <c r="P493" s="436"/>
      <c r="Q493" s="319"/>
      <c r="R493" s="436"/>
      <c r="S493" s="436"/>
      <c r="T493" s="436"/>
      <c r="U493" s="295"/>
      <c r="V493" s="320"/>
    </row>
    <row r="494" spans="1:22">
      <c r="A494" s="436"/>
      <c r="O494" s="319"/>
      <c r="P494" s="436"/>
      <c r="Q494" s="319"/>
      <c r="R494" s="436"/>
      <c r="S494" s="436"/>
      <c r="T494" s="436"/>
      <c r="U494" s="295"/>
      <c r="V494" s="320"/>
    </row>
    <row r="495" spans="1:22">
      <c r="A495" s="436"/>
      <c r="O495" s="319"/>
      <c r="P495" s="436"/>
      <c r="Q495" s="319"/>
      <c r="R495" s="436"/>
      <c r="S495" s="436"/>
      <c r="T495" s="436"/>
      <c r="U495" s="295"/>
      <c r="V495" s="320"/>
    </row>
    <row r="496" spans="1:22">
      <c r="A496" s="436"/>
      <c r="O496" s="319"/>
      <c r="P496" s="436"/>
      <c r="Q496" s="319"/>
      <c r="R496" s="436"/>
      <c r="S496" s="436"/>
      <c r="T496" s="436"/>
      <c r="U496" s="295"/>
      <c r="V496" s="320"/>
    </row>
    <row r="497" spans="1:22">
      <c r="A497" s="436"/>
      <c r="O497" s="319"/>
      <c r="P497" s="436"/>
      <c r="Q497" s="319"/>
      <c r="R497" s="436"/>
      <c r="S497" s="436"/>
      <c r="T497" s="436"/>
      <c r="U497" s="295"/>
      <c r="V497" s="320"/>
    </row>
    <row r="498" spans="1:22">
      <c r="A498" s="436"/>
      <c r="O498" s="319"/>
      <c r="P498" s="436"/>
      <c r="Q498" s="319"/>
      <c r="R498" s="436"/>
      <c r="S498" s="436"/>
      <c r="T498" s="436"/>
      <c r="U498" s="295"/>
      <c r="V498" s="320"/>
    </row>
    <row r="499" spans="1:22">
      <c r="A499" s="436"/>
      <c r="O499" s="319"/>
      <c r="P499" s="436"/>
      <c r="Q499" s="319"/>
      <c r="R499" s="436"/>
      <c r="S499" s="436"/>
      <c r="T499" s="436"/>
      <c r="U499" s="295"/>
      <c r="V499" s="320"/>
    </row>
    <row r="500" spans="1:22">
      <c r="A500" s="436"/>
      <c r="O500" s="319"/>
      <c r="P500" s="436"/>
      <c r="Q500" s="319"/>
      <c r="R500" s="436"/>
      <c r="S500" s="436"/>
      <c r="T500" s="436"/>
      <c r="U500" s="295"/>
      <c r="V500" s="320"/>
    </row>
    <row r="501" spans="1:22">
      <c r="A501" s="436"/>
      <c r="O501" s="319"/>
      <c r="P501" s="436"/>
      <c r="Q501" s="319"/>
      <c r="R501" s="436"/>
      <c r="S501" s="436"/>
      <c r="T501" s="436"/>
      <c r="U501" s="295"/>
      <c r="V501" s="320"/>
    </row>
    <row r="502" spans="1:22">
      <c r="A502" s="436"/>
      <c r="O502" s="319"/>
      <c r="P502" s="436"/>
      <c r="Q502" s="319"/>
      <c r="R502" s="436"/>
      <c r="S502" s="436"/>
      <c r="T502" s="436"/>
      <c r="U502" s="295"/>
      <c r="V502" s="320"/>
    </row>
    <row r="503" spans="1:22">
      <c r="A503" s="436"/>
      <c r="O503" s="319"/>
      <c r="P503" s="436"/>
      <c r="Q503" s="319"/>
      <c r="R503" s="436"/>
      <c r="S503" s="436"/>
      <c r="T503" s="436"/>
      <c r="U503" s="295"/>
      <c r="V503" s="320"/>
    </row>
    <row r="504" spans="1:22">
      <c r="A504" s="436"/>
      <c r="O504" s="319"/>
      <c r="P504" s="436"/>
      <c r="Q504" s="319"/>
      <c r="R504" s="436"/>
      <c r="S504" s="436"/>
      <c r="T504" s="436"/>
      <c r="U504" s="295"/>
      <c r="V504" s="320"/>
    </row>
    <row r="505" spans="1:22">
      <c r="A505" s="436"/>
      <c r="O505" s="319"/>
      <c r="P505" s="436"/>
      <c r="Q505" s="319"/>
      <c r="R505" s="436"/>
      <c r="S505" s="436"/>
      <c r="T505" s="436"/>
      <c r="U505" s="295"/>
      <c r="V505" s="320"/>
    </row>
    <row r="506" spans="1:22">
      <c r="A506" s="436"/>
      <c r="O506" s="319"/>
      <c r="P506" s="436"/>
      <c r="Q506" s="319"/>
      <c r="R506" s="436"/>
      <c r="S506" s="436"/>
      <c r="T506" s="436"/>
      <c r="U506" s="295"/>
      <c r="V506" s="320"/>
    </row>
    <row r="507" spans="1:22">
      <c r="A507" s="436"/>
      <c r="O507" s="319"/>
      <c r="P507" s="436"/>
      <c r="Q507" s="319"/>
      <c r="R507" s="436"/>
      <c r="S507" s="436"/>
      <c r="T507" s="436"/>
      <c r="U507" s="295"/>
      <c r="V507" s="320"/>
    </row>
    <row r="508" spans="1:22">
      <c r="A508" s="436"/>
      <c r="O508" s="319"/>
      <c r="P508" s="436"/>
      <c r="Q508" s="319"/>
      <c r="R508" s="436"/>
      <c r="S508" s="436"/>
      <c r="T508" s="436"/>
      <c r="U508" s="295"/>
      <c r="V508" s="320"/>
    </row>
    <row r="509" spans="1:22">
      <c r="A509" s="436"/>
      <c r="O509" s="319"/>
      <c r="P509" s="436"/>
      <c r="Q509" s="319"/>
      <c r="R509" s="436"/>
      <c r="S509" s="436"/>
      <c r="T509" s="436"/>
      <c r="U509" s="295"/>
      <c r="V509" s="320"/>
    </row>
    <row r="510" spans="1:22">
      <c r="A510" s="436"/>
      <c r="O510" s="319"/>
      <c r="P510" s="436"/>
      <c r="Q510" s="319"/>
      <c r="R510" s="436"/>
      <c r="S510" s="436"/>
      <c r="T510" s="436"/>
      <c r="U510" s="295"/>
      <c r="V510" s="320"/>
    </row>
    <row r="511" spans="1:22">
      <c r="A511" s="436"/>
      <c r="O511" s="319"/>
      <c r="P511" s="436"/>
      <c r="Q511" s="319"/>
      <c r="R511" s="436"/>
      <c r="S511" s="436"/>
      <c r="T511" s="436"/>
      <c r="U511" s="295"/>
      <c r="V511" s="320"/>
    </row>
    <row r="512" spans="1:22">
      <c r="A512" s="436"/>
      <c r="O512" s="319"/>
      <c r="P512" s="436"/>
      <c r="Q512" s="319"/>
      <c r="R512" s="436"/>
      <c r="S512" s="436"/>
      <c r="T512" s="436"/>
      <c r="U512" s="295"/>
      <c r="V512" s="320"/>
    </row>
    <row r="513" spans="1:22">
      <c r="A513" s="436"/>
      <c r="O513" s="319"/>
      <c r="P513" s="436"/>
      <c r="Q513" s="319"/>
      <c r="R513" s="436"/>
      <c r="S513" s="436"/>
      <c r="T513" s="436"/>
      <c r="U513" s="295"/>
      <c r="V513" s="320"/>
    </row>
    <row r="514" spans="1:22">
      <c r="A514" s="436"/>
      <c r="O514" s="319"/>
      <c r="P514" s="436"/>
      <c r="Q514" s="319"/>
      <c r="R514" s="436"/>
      <c r="S514" s="436"/>
      <c r="T514" s="436"/>
      <c r="U514" s="295"/>
      <c r="V514" s="320"/>
    </row>
    <row r="515" spans="1:22">
      <c r="A515" s="436"/>
      <c r="O515" s="319"/>
      <c r="P515" s="436"/>
      <c r="Q515" s="319"/>
      <c r="R515" s="436"/>
      <c r="S515" s="436"/>
      <c r="T515" s="436"/>
      <c r="U515" s="295"/>
      <c r="V515" s="320"/>
    </row>
    <row r="516" spans="1:22">
      <c r="A516" s="436"/>
      <c r="O516" s="319"/>
      <c r="P516" s="436"/>
      <c r="Q516" s="319"/>
      <c r="R516" s="436"/>
      <c r="S516" s="436"/>
      <c r="T516" s="436"/>
      <c r="U516" s="295"/>
      <c r="V516" s="320"/>
    </row>
    <row r="517" spans="1:22">
      <c r="A517" s="436"/>
      <c r="O517" s="319"/>
      <c r="P517" s="436"/>
      <c r="Q517" s="319"/>
      <c r="R517" s="436"/>
      <c r="S517" s="436"/>
      <c r="T517" s="436"/>
      <c r="U517" s="295"/>
      <c r="V517" s="320"/>
    </row>
    <row r="518" spans="1:22">
      <c r="A518" s="436"/>
      <c r="O518" s="319"/>
      <c r="P518" s="436"/>
      <c r="Q518" s="319"/>
      <c r="R518" s="436"/>
      <c r="S518" s="436"/>
      <c r="T518" s="436"/>
      <c r="U518" s="295"/>
      <c r="V518" s="320"/>
    </row>
    <row r="519" spans="1:22">
      <c r="A519" s="436"/>
      <c r="O519" s="319"/>
      <c r="P519" s="436"/>
      <c r="Q519" s="319"/>
      <c r="R519" s="436"/>
      <c r="S519" s="436"/>
      <c r="T519" s="436"/>
      <c r="U519" s="295"/>
      <c r="V519" s="320"/>
    </row>
    <row r="520" spans="1:22">
      <c r="A520" s="436"/>
      <c r="O520" s="319"/>
      <c r="P520" s="436"/>
      <c r="Q520" s="319"/>
      <c r="R520" s="436"/>
      <c r="S520" s="436"/>
      <c r="T520" s="436"/>
      <c r="U520" s="295"/>
      <c r="V520" s="320"/>
    </row>
    <row r="521" spans="1:22">
      <c r="A521" s="436"/>
      <c r="O521" s="319"/>
      <c r="P521" s="436"/>
      <c r="Q521" s="319"/>
      <c r="R521" s="436"/>
      <c r="S521" s="436"/>
      <c r="T521" s="436"/>
      <c r="U521" s="295"/>
      <c r="V521" s="320"/>
    </row>
    <row r="522" spans="1:22">
      <c r="A522" s="436"/>
      <c r="O522" s="319"/>
      <c r="P522" s="436"/>
      <c r="Q522" s="319"/>
      <c r="R522" s="436"/>
      <c r="S522" s="436"/>
      <c r="T522" s="436"/>
      <c r="U522" s="295"/>
      <c r="V522" s="320"/>
    </row>
    <row r="523" spans="1:22">
      <c r="A523" s="436"/>
      <c r="O523" s="319"/>
      <c r="P523" s="436"/>
      <c r="Q523" s="319"/>
      <c r="R523" s="436"/>
      <c r="S523" s="436"/>
      <c r="T523" s="436"/>
      <c r="U523" s="295"/>
      <c r="V523" s="320"/>
    </row>
    <row r="524" spans="1:22">
      <c r="A524" s="436"/>
      <c r="O524" s="319"/>
      <c r="P524" s="436"/>
      <c r="Q524" s="319"/>
      <c r="R524" s="436"/>
      <c r="S524" s="436"/>
      <c r="T524" s="436"/>
      <c r="U524" s="295"/>
      <c r="V524" s="320"/>
    </row>
    <row r="525" spans="1:22">
      <c r="A525" s="436"/>
      <c r="O525" s="319"/>
      <c r="P525" s="436"/>
      <c r="Q525" s="319"/>
      <c r="R525" s="436"/>
      <c r="S525" s="436"/>
      <c r="T525" s="436"/>
      <c r="U525" s="295"/>
      <c r="V525" s="320"/>
    </row>
    <row r="526" spans="1:22">
      <c r="A526" s="436"/>
      <c r="O526" s="319"/>
      <c r="P526" s="436"/>
      <c r="Q526" s="319"/>
      <c r="R526" s="436"/>
      <c r="S526" s="436"/>
      <c r="T526" s="436"/>
      <c r="U526" s="295"/>
      <c r="V526" s="320"/>
    </row>
    <row r="527" spans="1:22">
      <c r="A527" s="436"/>
      <c r="O527" s="319"/>
      <c r="P527" s="436"/>
      <c r="Q527" s="319"/>
      <c r="R527" s="436"/>
      <c r="S527" s="436"/>
      <c r="T527" s="436"/>
      <c r="U527" s="295"/>
      <c r="V527" s="320"/>
    </row>
    <row r="528" spans="1:22">
      <c r="A528" s="436"/>
      <c r="O528" s="319"/>
      <c r="P528" s="436"/>
      <c r="Q528" s="319"/>
      <c r="R528" s="436"/>
      <c r="S528" s="436"/>
      <c r="T528" s="436"/>
      <c r="U528" s="295"/>
      <c r="V528" s="320"/>
    </row>
  </sheetData>
  <sheetProtection selectLockedCells="1" selectUnlockedCells="1"/>
  <mergeCells count="60">
    <mergeCell ref="J215:L215"/>
    <mergeCell ref="M215:N215"/>
    <mergeCell ref="Q215:R215"/>
    <mergeCell ref="J219:L219"/>
    <mergeCell ref="M219:N219"/>
    <mergeCell ref="J216:L216"/>
    <mergeCell ref="M216:N216"/>
    <mergeCell ref="Q216:R216"/>
    <mergeCell ref="J217:L217"/>
    <mergeCell ref="M217:N217"/>
    <mergeCell ref="J218:L218"/>
    <mergeCell ref="M218:N218"/>
    <mergeCell ref="J213:L213"/>
    <mergeCell ref="M213:N213"/>
    <mergeCell ref="Q213:R213"/>
    <mergeCell ref="J214:L214"/>
    <mergeCell ref="M214:N214"/>
    <mergeCell ref="Q214:R214"/>
    <mergeCell ref="J211:L211"/>
    <mergeCell ref="M211:N211"/>
    <mergeCell ref="Q211:R211"/>
    <mergeCell ref="J212:L212"/>
    <mergeCell ref="M212:N212"/>
    <mergeCell ref="Q212:R212"/>
    <mergeCell ref="J209:L209"/>
    <mergeCell ref="M209:N209"/>
    <mergeCell ref="Q209:R209"/>
    <mergeCell ref="J210:L210"/>
    <mergeCell ref="M210:N210"/>
    <mergeCell ref="Q210:R210"/>
    <mergeCell ref="J207:L207"/>
    <mergeCell ref="M207:N207"/>
    <mergeCell ref="Q207:R207"/>
    <mergeCell ref="J208:L208"/>
    <mergeCell ref="M208:N208"/>
    <mergeCell ref="Q208:R208"/>
    <mergeCell ref="O5:P5"/>
    <mergeCell ref="Q5:R5"/>
    <mergeCell ref="U5:U6"/>
    <mergeCell ref="F205:G205"/>
    <mergeCell ref="J206:L206"/>
    <mergeCell ref="M206:N206"/>
    <mergeCell ref="Q206:R206"/>
    <mergeCell ref="J204:K204"/>
    <mergeCell ref="G5:H5"/>
    <mergeCell ref="I5:J5"/>
    <mergeCell ref="K5:L5"/>
    <mergeCell ref="A5:A6"/>
    <mergeCell ref="B5:B6"/>
    <mergeCell ref="C5:C6"/>
    <mergeCell ref="D5:D6"/>
    <mergeCell ref="E5:F5"/>
    <mergeCell ref="A1:AF1"/>
    <mergeCell ref="A2:AF2"/>
    <mergeCell ref="A3:AF3"/>
    <mergeCell ref="A4:B4"/>
    <mergeCell ref="C4:F4"/>
    <mergeCell ref="G4:J4"/>
    <mergeCell ref="K4:N4"/>
    <mergeCell ref="U4:V4"/>
  </mergeCells>
  <pageMargins left="0.39370078740157483" right="3.937007874015748E-2" top="0.35433070866141736" bottom="0.39370078740157483" header="0.19685039370078741" footer="0.31496062992125984"/>
  <pageSetup paperSize="8" scale="50" orientation="landscape" r:id="rId1"/>
  <headerFooter>
    <oddHeader>&amp;R&amp;18&amp;P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Sheet3</vt:lpstr>
      <vt:lpstr>DETAILED</vt:lpstr>
      <vt:lpstr>Final</vt:lpstr>
      <vt:lpstr>Main BBS -Revised ok</vt:lpstr>
      <vt:lpstr>Electrical</vt:lpstr>
      <vt:lpstr>Ex 2</vt:lpstr>
      <vt:lpstr>excess</vt:lpstr>
      <vt:lpstr>DETAILED (2)</vt:lpstr>
      <vt:lpstr>excess (2)</vt:lpstr>
      <vt:lpstr>DETAILED!Print_Area</vt:lpstr>
      <vt:lpstr>'DETAILED (2)'!Print_Area</vt:lpstr>
      <vt:lpstr>Electrical!Print_Area</vt:lpstr>
      <vt:lpstr>'Ex 2'!Print_Area</vt:lpstr>
      <vt:lpstr>excess!Print_Area</vt:lpstr>
      <vt:lpstr>'excess (2)'!Print_Area</vt:lpstr>
      <vt:lpstr>Final!Print_Area</vt:lpstr>
      <vt:lpstr>'Main BBS -Revised ok'!Print_Area</vt:lpstr>
      <vt:lpstr>DETAILED!Print_Titles</vt:lpstr>
      <vt:lpstr>'DETAILED (2)'!Print_Titles</vt:lpstr>
      <vt:lpstr>Electrical!Print_Titles</vt:lpstr>
      <vt:lpstr>'Ex 2'!Print_Titles</vt:lpstr>
      <vt:lpstr>excess!Print_Titles</vt:lpstr>
      <vt:lpstr>'excess (2)'!Print_Titles</vt:lpstr>
      <vt:lpstr>Final!Print_Titles</vt:lpstr>
      <vt:lpstr>'Main BBS -Revised ok'!Print_Titles</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pavilion</dc:creator>
  <cp:lastModifiedBy>Administrator</cp:lastModifiedBy>
  <cp:lastPrinted>2022-05-04T11:58:21Z</cp:lastPrinted>
  <dcterms:created xsi:type="dcterms:W3CDTF">2020-02-19T18:55:57Z</dcterms:created>
  <dcterms:modified xsi:type="dcterms:W3CDTF">2023-03-30T10:43:07Z</dcterms:modified>
</cp:coreProperties>
</file>