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285" windowWidth="14805" windowHeight="7830" firstSheet="19" activeTab="25"/>
  </bookViews>
  <sheets>
    <sheet name="Detail" sheetId="1" r:id="rId1"/>
    <sheet name="Sheet1" sheetId="5" r:id="rId2"/>
    <sheet name="Abs" sheetId="4" r:id="rId3"/>
    <sheet name="Abst" sheetId="6" r:id="rId4"/>
    <sheet name="Detail (2)" sheetId="7" r:id="rId5"/>
    <sheet name="Renovation admin Det" sheetId="19" r:id="rId6"/>
    <sheet name="Detail (3)" sheetId="8" r:id="rId7"/>
    <sheet name="Abst (2)" sheetId="9" r:id="rId8"/>
    <sheet name="Abst (3)" sheetId="10" r:id="rId9"/>
    <sheet name="DETAIL (4)" sheetId="11" r:id="rId10"/>
    <sheet name="abstract" sheetId="12" r:id="rId11"/>
    <sheet name="Guard - Data " sheetId="13" r:id="rId12"/>
    <sheet name="Renovation Barracks Det" sheetId="14" r:id="rId13"/>
    <sheet name="Renovation Barracks Abs" sheetId="15" r:id="rId14"/>
    <sheet name="Bund Abs" sheetId="16" r:id="rId15"/>
    <sheet name="Bund detail" sheetId="17" r:id="rId16"/>
    <sheet name="Renovation admin Abs" sheetId="18" r:id="rId17"/>
    <sheet name="otthi obs ab" sheetId="20" r:id="rId18"/>
    <sheet name="otthi obs det" sheetId="21" r:id="rId19"/>
    <sheet name="Abst (4)" sheetId="22" r:id="rId20"/>
    <sheet name="Detail (5)" sheetId="23" r:id="rId21"/>
    <sheet name="sullage drain abs" sheetId="24" r:id="rId22"/>
    <sheet name="sullage drain det" sheetId="25" r:id="rId23"/>
    <sheet name="detail estimate main" sheetId="26" r:id="rId24"/>
    <sheet name="ABS (2)" sheetId="27" r:id="rId25"/>
    <sheet name="Abst (5)" sheetId="29"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ahfk" localSheetId="25">#REF!</definedName>
    <definedName name="ahfk" localSheetId="14">#REF!</definedName>
    <definedName name="ahfk" localSheetId="15">#REF!</definedName>
    <definedName name="ahfk" localSheetId="17">#REF!</definedName>
    <definedName name="ahfk" localSheetId="18">#REF!</definedName>
    <definedName name="ahfk" localSheetId="16">#REF!</definedName>
    <definedName name="ahfk" localSheetId="5">#REF!</definedName>
    <definedName name="ahfk" localSheetId="13">#REF!</definedName>
    <definedName name="ahfk" localSheetId="12">#REF!</definedName>
    <definedName name="ahfk">#REF!</definedName>
    <definedName name="c.data" localSheetId="25">#REF!</definedName>
    <definedName name="c.data" localSheetId="14">#REF!</definedName>
    <definedName name="c.data" localSheetId="15">#REF!</definedName>
    <definedName name="c.data" localSheetId="16">#REF!</definedName>
    <definedName name="c.data" localSheetId="5">#REF!</definedName>
    <definedName name="c.data" localSheetId="13">#REF!</definedName>
    <definedName name="c.data" localSheetId="12">#REF!</definedName>
    <definedName name="c.data">#REF!</definedName>
    <definedName name="c641." localSheetId="24">#REF!</definedName>
    <definedName name="c641." localSheetId="25">#REF!</definedName>
    <definedName name="c641." localSheetId="10">#REF!</definedName>
    <definedName name="c641." localSheetId="14">#REF!</definedName>
    <definedName name="c641." localSheetId="15">#REF!</definedName>
    <definedName name="c641." localSheetId="23">#REF!</definedName>
    <definedName name="c641." localSheetId="16">#REF!</definedName>
    <definedName name="c641." localSheetId="5">#REF!</definedName>
    <definedName name="c641." localSheetId="13">#REF!</definedName>
    <definedName name="c641." localSheetId="12">#REF!</definedName>
    <definedName name="c641.">#REF!</definedName>
    <definedName name="detpada">#REF!</definedName>
    <definedName name="electri" localSheetId="25">#REF!</definedName>
    <definedName name="electri" localSheetId="14">#REF!</definedName>
    <definedName name="electri" localSheetId="15">#REF!</definedName>
    <definedName name="electri" localSheetId="17">#REF!</definedName>
    <definedName name="electri" localSheetId="18">#REF!</definedName>
    <definedName name="electri" localSheetId="16">#REF!</definedName>
    <definedName name="electri" localSheetId="5">#REF!</definedName>
    <definedName name="electri" localSheetId="13">#REF!</definedName>
    <definedName name="electri" localSheetId="12">#REF!</definedName>
    <definedName name="electri">#REF!</definedName>
    <definedName name="fhd" localSheetId="25">#REF!</definedName>
    <definedName name="fhd" localSheetId="14">#REF!</definedName>
    <definedName name="fhd" localSheetId="15">#REF!</definedName>
    <definedName name="fhd" localSheetId="17">#REF!</definedName>
    <definedName name="fhd" localSheetId="18">#REF!</definedName>
    <definedName name="fhd" localSheetId="16">#REF!</definedName>
    <definedName name="fhd" localSheetId="5">#REF!</definedName>
    <definedName name="fhd" localSheetId="13">#REF!</definedName>
    <definedName name="fhd" localSheetId="12">#REF!</definedName>
    <definedName name="fhd">#REF!</definedName>
    <definedName name="hia" localSheetId="25">#REF!</definedName>
    <definedName name="hia" localSheetId="14">#REF!</definedName>
    <definedName name="hia" localSheetId="15">#REF!</definedName>
    <definedName name="hia" localSheetId="17">#REF!</definedName>
    <definedName name="hia" localSheetId="18">#REF!</definedName>
    <definedName name="hia" localSheetId="16">#REF!</definedName>
    <definedName name="hia" localSheetId="5">#REF!</definedName>
    <definedName name="hia" localSheetId="13">#REF!</definedName>
    <definedName name="hia" localSheetId="12">#REF!</definedName>
    <definedName name="hia">#REF!</definedName>
    <definedName name="hj" localSheetId="24">#REF!</definedName>
    <definedName name="hj" localSheetId="25">#REF!</definedName>
    <definedName name="hj" localSheetId="14">#REF!</definedName>
    <definedName name="hj" localSheetId="15">#REF!</definedName>
    <definedName name="hj" localSheetId="23">#REF!</definedName>
    <definedName name="hj" localSheetId="16">#REF!</definedName>
    <definedName name="hj" localSheetId="5">#REF!</definedName>
    <definedName name="hj" localSheetId="13">#REF!</definedName>
    <definedName name="hj" localSheetId="12">#REF!</definedName>
    <definedName name="hj">#REF!</definedName>
    <definedName name="ins" localSheetId="25">#REF!</definedName>
    <definedName name="ins" localSheetId="14">#REF!</definedName>
    <definedName name="ins" localSheetId="15">#REF!</definedName>
    <definedName name="ins" localSheetId="17">#REF!</definedName>
    <definedName name="ins" localSheetId="18">#REF!</definedName>
    <definedName name="ins" localSheetId="16">#REF!</definedName>
    <definedName name="ins" localSheetId="5">#REF!</definedName>
    <definedName name="ins" localSheetId="13">#REF!</definedName>
    <definedName name="ins" localSheetId="12">#REF!</definedName>
    <definedName name="ins">#REF!</definedName>
    <definedName name="k404." localSheetId="25">#REF!</definedName>
    <definedName name="k404." localSheetId="14">#REF!</definedName>
    <definedName name="k404." localSheetId="15">#REF!</definedName>
    <definedName name="k404." localSheetId="17">#REF!</definedName>
    <definedName name="k404." localSheetId="18">#REF!</definedName>
    <definedName name="k404." localSheetId="16">#REF!</definedName>
    <definedName name="k404." localSheetId="5">#REF!</definedName>
    <definedName name="k404." localSheetId="13">#REF!</definedName>
    <definedName name="k404." localSheetId="12">#REF!</definedName>
    <definedName name="k404.">#REF!</definedName>
    <definedName name="pc" localSheetId="25">#REF!</definedName>
    <definedName name="pc" localSheetId="14">#REF!</definedName>
    <definedName name="pc" localSheetId="15">#REF!</definedName>
    <definedName name="pc" localSheetId="17">#REF!</definedName>
    <definedName name="pc" localSheetId="18">#REF!</definedName>
    <definedName name="pc" localSheetId="16">#REF!</definedName>
    <definedName name="pc" localSheetId="5">#REF!</definedName>
    <definedName name="pc" localSheetId="13">#REF!</definedName>
    <definedName name="pc" localSheetId="12">#REF!</definedName>
    <definedName name="pc">#REF!</definedName>
    <definedName name="print" localSheetId="25">#REF!</definedName>
    <definedName name="print" localSheetId="14">#REF!</definedName>
    <definedName name="print" localSheetId="15">#REF!</definedName>
    <definedName name="print" localSheetId="17">#REF!</definedName>
    <definedName name="print" localSheetId="18">#REF!</definedName>
    <definedName name="print" localSheetId="16">#REF!</definedName>
    <definedName name="print" localSheetId="5">#REF!</definedName>
    <definedName name="print" localSheetId="13">#REF!</definedName>
    <definedName name="print" localSheetId="12">#REF!</definedName>
    <definedName name="print">#REF!</definedName>
    <definedName name="_xlnm.Print_Area" localSheetId="2">Abs!$A$1:$H$54</definedName>
    <definedName name="_xlnm.Print_Area" localSheetId="24">'ABS (2)'!$A$1:$K$57</definedName>
    <definedName name="_xlnm.Print_Area" localSheetId="3">Abst!$A$1:$K$12</definedName>
    <definedName name="_xlnm.Print_Area" localSheetId="7">'Abst (2)'!$A$1:$K$13</definedName>
    <definedName name="_xlnm.Print_Area" localSheetId="8">'Abst (3)'!$A$1:$K$16</definedName>
    <definedName name="_xlnm.Print_Area" localSheetId="19">'Abst (4)'!$A$1:$K$13</definedName>
    <definedName name="_xlnm.Print_Area" localSheetId="25">'Abst (5)'!$A$1:$J$24</definedName>
    <definedName name="_xlnm.Print_Area" localSheetId="10">abstract!$A$1:$F$45</definedName>
    <definedName name="_xlnm.Print_Area" localSheetId="14">'Bund Abs'!$A$1:$F$21</definedName>
    <definedName name="_xlnm.Print_Area" localSheetId="15">'Bund detail'!$A$1:$J$17</definedName>
    <definedName name="_xlnm.Print_Area" localSheetId="0">Detail!$A$1:$J$77</definedName>
    <definedName name="_xlnm.Print_Area" localSheetId="6">#REF!</definedName>
    <definedName name="_xlnm.Print_Area" localSheetId="9">'DETAIL (4)'!$A$1:$J$150</definedName>
    <definedName name="_xlnm.Print_Area" localSheetId="20">#REF!</definedName>
    <definedName name="_xlnm.Print_Area" localSheetId="23">'detail estimate main'!$A$1:$J$160</definedName>
    <definedName name="_xlnm.Print_Area" localSheetId="11">'Guard - Data '!$A$1:$F$355</definedName>
    <definedName name="_xlnm.Print_Area" localSheetId="17">'otthi obs ab'!$A$1:$F$23</definedName>
    <definedName name="_xlnm.Print_Area" localSheetId="18">'otthi obs det'!$A$1:$J$371</definedName>
    <definedName name="_xlnm.Print_Area" localSheetId="16">'Renovation admin Abs'!$A$1:$F$72</definedName>
    <definedName name="_xlnm.Print_Area" localSheetId="5">'Renovation admin Det'!$A$1:$J$501</definedName>
    <definedName name="_xlnm.Print_Area" localSheetId="13">'Renovation Barracks Abs'!$A$1:$F$66</definedName>
    <definedName name="_xlnm.Print_Area" localSheetId="12">'Renovation Barracks Det'!$A$1:$J$462</definedName>
    <definedName name="_xlnm.Print_Area" localSheetId="21">'sullage drain abs'!$A$1:$F$32</definedName>
    <definedName name="_xlnm.Print_Area" localSheetId="22">'sullage drain det'!$A$1:$J$68</definedName>
    <definedName name="_xlnm.Print_Area">#REF!</definedName>
    <definedName name="PRINT_AREA_MI" localSheetId="24">#REF!</definedName>
    <definedName name="PRINT_AREA_MI" localSheetId="7">#REF!</definedName>
    <definedName name="PRINT_AREA_MI" localSheetId="8">#REF!</definedName>
    <definedName name="PRINT_AREA_MI" localSheetId="19">#REF!</definedName>
    <definedName name="PRINT_AREA_MI" localSheetId="25">#REF!</definedName>
    <definedName name="PRINT_AREA_MI" localSheetId="10">#REF!</definedName>
    <definedName name="PRINT_AREA_MI" localSheetId="14">#REF!</definedName>
    <definedName name="PRINT_AREA_MI" localSheetId="15">#REF!</definedName>
    <definedName name="PRINT_AREA_MI" localSheetId="6">#REF!</definedName>
    <definedName name="PRINT_AREA_MI" localSheetId="9">#REF!</definedName>
    <definedName name="PRINT_AREA_MI" localSheetId="20">#REF!</definedName>
    <definedName name="PRINT_AREA_MI" localSheetId="23">#REF!</definedName>
    <definedName name="PRINT_AREA_MI" localSheetId="11">#REF!</definedName>
    <definedName name="PRINT_AREA_MI" localSheetId="17">#REF!</definedName>
    <definedName name="PRINT_AREA_MI" localSheetId="18">#REF!</definedName>
    <definedName name="PRINT_AREA_MI" localSheetId="16">#REF!</definedName>
    <definedName name="PRINT_AREA_MI" localSheetId="5">#REF!</definedName>
    <definedName name="PRINT_AREA_MI" localSheetId="13">#REF!</definedName>
    <definedName name="PRINT_AREA_MI" localSheetId="12">#REF!</definedName>
    <definedName name="PRINT_AREA_MI" localSheetId="21">#REF!</definedName>
    <definedName name="PRINT_AREA_MI" localSheetId="22">#REF!</definedName>
    <definedName name="PRINT_AREA_MI">#REF!</definedName>
    <definedName name="_xlnm.Print_Titles" localSheetId="2">Abs!$6:$7</definedName>
    <definedName name="_xlnm.Print_Titles" localSheetId="24">'ABS (2)'!$A$3:$IV$4</definedName>
    <definedName name="_xlnm.Print_Titles" localSheetId="3">Abst!$A$3:$IV$3</definedName>
    <definedName name="_xlnm.Print_Titles" localSheetId="7">'Abst (2)'!$A$3:$IV$3</definedName>
    <definedName name="_xlnm.Print_Titles" localSheetId="8">'Abst (3)'!$A$3:$IV$3</definedName>
    <definedName name="_xlnm.Print_Titles" localSheetId="19">'Abst (4)'!$A$3:$IV$3</definedName>
    <definedName name="_xlnm.Print_Titles" localSheetId="25">'Abst (5)'!$A$3:$IU$3</definedName>
    <definedName name="_xlnm.Print_Titles" localSheetId="10">abstract!$6:$7</definedName>
    <definedName name="_xlnm.Print_Titles" localSheetId="14">'Bund Abs'!$6:$7</definedName>
    <definedName name="_xlnm.Print_Titles" localSheetId="15">'Bund detail'!$6:$7</definedName>
    <definedName name="_xlnm.Print_Titles" localSheetId="0">Detail!$5:$6</definedName>
    <definedName name="_xlnm.Print_Titles" localSheetId="6">#REF!</definedName>
    <definedName name="_xlnm.Print_Titles" localSheetId="9">'DETAIL (4)'!$6:$7</definedName>
    <definedName name="_xlnm.Print_Titles" localSheetId="20">#REF!</definedName>
    <definedName name="_xlnm.Print_Titles" localSheetId="23">'detail estimate main'!$A$3:$IV$4</definedName>
    <definedName name="_xlnm.Print_Titles" localSheetId="11">#REF!</definedName>
    <definedName name="_xlnm.Print_Titles" localSheetId="17">#REF!</definedName>
    <definedName name="_xlnm.Print_Titles" localSheetId="18">#REF!</definedName>
    <definedName name="_xlnm.Print_Titles" localSheetId="16">'Renovation admin Abs'!$6:$7</definedName>
    <definedName name="_xlnm.Print_Titles" localSheetId="5">'Renovation admin Det'!$6:$7</definedName>
    <definedName name="_xlnm.Print_Titles" localSheetId="13">'Renovation Barracks Abs'!$6:$7</definedName>
    <definedName name="_xlnm.Print_Titles" localSheetId="12">'Renovation Barracks Det'!$6:$7</definedName>
    <definedName name="_xlnm.Print_Titles" localSheetId="21">'sullage drain abs'!$4:$4</definedName>
    <definedName name="_xlnm.Print_Titles" localSheetId="22">'sullage drain det'!#REF!</definedName>
    <definedName name="_xlnm.Print_Titles">#REF!</definedName>
    <definedName name="PRINT_TITLES_MI" localSheetId="24">#REF!</definedName>
    <definedName name="PRINT_TITLES_MI" localSheetId="7">#REF!</definedName>
    <definedName name="PRINT_TITLES_MI" localSheetId="8">#REF!</definedName>
    <definedName name="PRINT_TITLES_MI" localSheetId="19">#REF!</definedName>
    <definedName name="PRINT_TITLES_MI" localSheetId="25">#REF!</definedName>
    <definedName name="PRINT_TITLES_MI" localSheetId="10">#REF!</definedName>
    <definedName name="PRINT_TITLES_MI" localSheetId="14">#REF!</definedName>
    <definedName name="PRINT_TITLES_MI" localSheetId="15">#REF!</definedName>
    <definedName name="PRINT_TITLES_MI" localSheetId="6">#REF!</definedName>
    <definedName name="PRINT_TITLES_MI" localSheetId="9">#REF!</definedName>
    <definedName name="PRINT_TITLES_MI" localSheetId="20">#REF!</definedName>
    <definedName name="PRINT_TITLES_MI" localSheetId="23">#REF!</definedName>
    <definedName name="PRINT_TITLES_MI" localSheetId="11">#REF!</definedName>
    <definedName name="PRINT_TITLES_MI" localSheetId="17">#REF!</definedName>
    <definedName name="PRINT_TITLES_MI" localSheetId="18">#REF!</definedName>
    <definedName name="PRINT_TITLES_MI" localSheetId="16">#REF!</definedName>
    <definedName name="PRINT_TITLES_MI" localSheetId="5">#REF!</definedName>
    <definedName name="PRINT_TITLES_MI" localSheetId="13">#REF!</definedName>
    <definedName name="PRINT_TITLES_MI" localSheetId="12">#REF!</definedName>
    <definedName name="PRINT_TITLES_MI" localSheetId="21">#REF!</definedName>
    <definedName name="PRINT_TITLES_MI" localSheetId="22">#REF!</definedName>
    <definedName name="PRINT_TITLES_MI">#REF!</definedName>
    <definedName name="QQE" localSheetId="25">#REF!</definedName>
    <definedName name="QQE" localSheetId="14">#REF!</definedName>
    <definedName name="QQE" localSheetId="15">#REF!</definedName>
    <definedName name="QQE" localSheetId="17">#REF!</definedName>
    <definedName name="QQE" localSheetId="18">#REF!</definedName>
    <definedName name="QQE" localSheetId="16">#REF!</definedName>
    <definedName name="QQE" localSheetId="5">#REF!</definedName>
    <definedName name="QQE" localSheetId="13">#REF!</definedName>
    <definedName name="QQE" localSheetId="12">#REF!</definedName>
    <definedName name="QQE">#REF!</definedName>
    <definedName name="QWE" localSheetId="25">#REF!</definedName>
    <definedName name="QWE" localSheetId="14">#REF!</definedName>
    <definedName name="QWE" localSheetId="15">#REF!</definedName>
    <definedName name="QWE" localSheetId="17">#REF!</definedName>
    <definedName name="QWE" localSheetId="18">#REF!</definedName>
    <definedName name="QWE" localSheetId="16">#REF!</definedName>
    <definedName name="QWE" localSheetId="5">#REF!</definedName>
    <definedName name="QWE" localSheetId="13">#REF!</definedName>
    <definedName name="QWE" localSheetId="12">#REF!</definedName>
    <definedName name="QWE">#REF!</definedName>
    <definedName name="roya" localSheetId="24">#REF!</definedName>
    <definedName name="roya" localSheetId="7">#REF!</definedName>
    <definedName name="roya" localSheetId="8">#REF!</definedName>
    <definedName name="roya" localSheetId="19">#REF!</definedName>
    <definedName name="roya" localSheetId="25">#REF!</definedName>
    <definedName name="roya" localSheetId="6">#REF!</definedName>
    <definedName name="roya" localSheetId="20">#REF!</definedName>
    <definedName name="roya" localSheetId="23">#REF!</definedName>
    <definedName name="roya">#REF!</definedName>
    <definedName name="w" localSheetId="25">#REF!</definedName>
    <definedName name="w" localSheetId="14">#REF!</definedName>
    <definedName name="w" localSheetId="15">#REF!</definedName>
    <definedName name="w" localSheetId="16">#REF!</definedName>
    <definedName name="w" localSheetId="5">#REF!</definedName>
    <definedName name="w" localSheetId="13">#REF!</definedName>
    <definedName name="w" localSheetId="12">#REF!</definedName>
    <definedName name="w">#REF!</definedName>
  </definedNames>
  <calcPr calcId="124519" calcMode="manual"/>
</workbook>
</file>

<file path=xl/calcChain.xml><?xml version="1.0" encoding="utf-8"?>
<calcChain xmlns="http://schemas.openxmlformats.org/spreadsheetml/2006/main">
  <c r="F14" i="29"/>
  <c r="F13"/>
  <c r="F12"/>
  <c r="F11"/>
  <c r="F10"/>
  <c r="F9"/>
  <c r="F8"/>
  <c r="F7"/>
  <c r="F6"/>
  <c r="F5"/>
  <c r="F4"/>
  <c r="F15" s="1"/>
  <c r="J15"/>
  <c r="H15"/>
  <c r="J4"/>
  <c r="H4"/>
  <c r="K3508" i="27"/>
  <c r="K3507"/>
  <c r="K3506"/>
  <c r="K3510" s="1"/>
  <c r="K3497"/>
  <c r="K3496"/>
  <c r="K3495"/>
  <c r="K3499" s="1"/>
  <c r="K3488"/>
  <c r="K3487"/>
  <c r="K3486"/>
  <c r="K3490" s="1"/>
  <c r="K3478"/>
  <c r="K3477"/>
  <c r="K3464"/>
  <c r="K3463"/>
  <c r="K3462"/>
  <c r="K3461"/>
  <c r="K3466" s="1"/>
  <c r="M43"/>
  <c r="L43"/>
  <c r="K43"/>
  <c r="J43"/>
  <c r="I43"/>
  <c r="H43"/>
  <c r="G42"/>
  <c r="D42"/>
  <c r="B42"/>
  <c r="G41"/>
  <c r="D41"/>
  <c r="E40"/>
  <c r="D40"/>
  <c r="B40"/>
  <c r="G40" s="1"/>
  <c r="E39"/>
  <c r="D39"/>
  <c r="B39"/>
  <c r="G39" s="1"/>
  <c r="G38"/>
  <c r="D37"/>
  <c r="B37"/>
  <c r="G37" s="1"/>
  <c r="E36"/>
  <c r="D36"/>
  <c r="B36"/>
  <c r="G36" s="1"/>
  <c r="G35"/>
  <c r="D34"/>
  <c r="B34"/>
  <c r="G34" s="1"/>
  <c r="G33"/>
  <c r="B32"/>
  <c r="G32" s="1"/>
  <c r="G31"/>
  <c r="G30"/>
  <c r="B30"/>
  <c r="G29"/>
  <c r="E29"/>
  <c r="D29"/>
  <c r="B29"/>
  <c r="G28"/>
  <c r="B28"/>
  <c r="E27"/>
  <c r="D27"/>
  <c r="B27"/>
  <c r="G27" s="1"/>
  <c r="E26"/>
  <c r="D26"/>
  <c r="B26"/>
  <c r="G26" s="1"/>
  <c r="E25"/>
  <c r="D25"/>
  <c r="B25"/>
  <c r="G25" s="1"/>
  <c r="E24"/>
  <c r="D24"/>
  <c r="B24"/>
  <c r="G24" s="1"/>
  <c r="E23"/>
  <c r="D23"/>
  <c r="B23"/>
  <c r="G23" s="1"/>
  <c r="E22"/>
  <c r="D22"/>
  <c r="B22"/>
  <c r="G22" s="1"/>
  <c r="G21"/>
  <c r="E20"/>
  <c r="D20"/>
  <c r="B20"/>
  <c r="G20" s="1"/>
  <c r="E19"/>
  <c r="D19"/>
  <c r="B19"/>
  <c r="G19" s="1"/>
  <c r="D18"/>
  <c r="E17"/>
  <c r="D17"/>
  <c r="B17"/>
  <c r="G17" s="1"/>
  <c r="E16"/>
  <c r="D16"/>
  <c r="B16"/>
  <c r="G16" s="1"/>
  <c r="E15"/>
  <c r="D15"/>
  <c r="B15"/>
  <c r="G15" s="1"/>
  <c r="E14"/>
  <c r="D14"/>
  <c r="B14"/>
  <c r="G14" s="1"/>
  <c r="G13"/>
  <c r="E13"/>
  <c r="B13"/>
  <c r="G12"/>
  <c r="E12"/>
  <c r="D12"/>
  <c r="B12"/>
  <c r="D11"/>
  <c r="E10"/>
  <c r="D10"/>
  <c r="B10"/>
  <c r="G10" s="1"/>
  <c r="E8"/>
  <c r="D8"/>
  <c r="B8"/>
  <c r="G8" s="1"/>
  <c r="E7"/>
  <c r="D7"/>
  <c r="B7"/>
  <c r="G7" s="1"/>
  <c r="E6"/>
  <c r="D6"/>
  <c r="B6"/>
  <c r="G6" s="1"/>
  <c r="G43" s="1"/>
  <c r="D5"/>
  <c r="I150" i="26"/>
  <c r="I147"/>
  <c r="I144"/>
  <c r="I141"/>
  <c r="I140"/>
  <c r="I137"/>
  <c r="I135"/>
  <c r="I134"/>
  <c r="I133"/>
  <c r="I130"/>
  <c r="I128"/>
  <c r="I125"/>
  <c r="I120"/>
  <c r="I119"/>
  <c r="I121" s="1"/>
  <c r="I116"/>
  <c r="I113"/>
  <c r="I108"/>
  <c r="I109" s="1"/>
  <c r="I103"/>
  <c r="I102"/>
  <c r="I101"/>
  <c r="I100"/>
  <c r="I104" s="1"/>
  <c r="I99"/>
  <c r="I94"/>
  <c r="I93"/>
  <c r="I92"/>
  <c r="I95" s="1"/>
  <c r="I87"/>
  <c r="I86"/>
  <c r="I85"/>
  <c r="I84"/>
  <c r="I83"/>
  <c r="I82"/>
  <c r="I81"/>
  <c r="I88" s="1"/>
  <c r="I77"/>
  <c r="I76"/>
  <c r="I75"/>
  <c r="I74"/>
  <c r="I78" s="1"/>
  <c r="I69"/>
  <c r="K67"/>
  <c r="I65"/>
  <c r="I64"/>
  <c r="I63"/>
  <c r="I62"/>
  <c r="I66" s="1"/>
  <c r="I57"/>
  <c r="I54"/>
  <c r="I53"/>
  <c r="I52"/>
  <c r="I51"/>
  <c r="I47"/>
  <c r="I46"/>
  <c r="I45"/>
  <c r="I44"/>
  <c r="I43"/>
  <c r="I42"/>
  <c r="K41"/>
  <c r="I41"/>
  <c r="I48" s="1"/>
  <c r="I38"/>
  <c r="I37"/>
  <c r="I36"/>
  <c r="I32"/>
  <c r="I31"/>
  <c r="I30"/>
  <c r="I26"/>
  <c r="K25"/>
  <c r="I25"/>
  <c r="I27" s="1"/>
  <c r="I20"/>
  <c r="I19"/>
  <c r="I21" s="1"/>
  <c r="I15"/>
  <c r="I11"/>
  <c r="I7"/>
  <c r="I61" i="25"/>
  <c r="I60"/>
  <c r="I55"/>
  <c r="I54"/>
  <c r="I56" s="1"/>
  <c r="G54"/>
  <c r="M49"/>
  <c r="I49"/>
  <c r="I48"/>
  <c r="M47"/>
  <c r="I47"/>
  <c r="I46"/>
  <c r="I50" s="1"/>
  <c r="I41"/>
  <c r="I40"/>
  <c r="I42" s="1"/>
  <c r="I36"/>
  <c r="I35"/>
  <c r="I34"/>
  <c r="I33"/>
  <c r="I37" s="1"/>
  <c r="I28"/>
  <c r="I27"/>
  <c r="I29" s="1"/>
  <c r="I22"/>
  <c r="F22"/>
  <c r="I21"/>
  <c r="I23" s="1"/>
  <c r="G21"/>
  <c r="F21"/>
  <c r="I16"/>
  <c r="F16"/>
  <c r="G15"/>
  <c r="F15"/>
  <c r="I15" s="1"/>
  <c r="I17" s="1"/>
  <c r="I10"/>
  <c r="F10"/>
  <c r="I9"/>
  <c r="I11" s="1"/>
  <c r="G9"/>
  <c r="F9"/>
  <c r="D23" i="24"/>
  <c r="B23"/>
  <c r="F23" s="1"/>
  <c r="F21"/>
  <c r="D21"/>
  <c r="B21"/>
  <c r="F18"/>
  <c r="D18"/>
  <c r="B18"/>
  <c r="D16"/>
  <c r="B16"/>
  <c r="F16" s="1"/>
  <c r="D14"/>
  <c r="B14"/>
  <c r="F14" s="1"/>
  <c r="F12"/>
  <c r="D12"/>
  <c r="B12"/>
  <c r="F10"/>
  <c r="D10"/>
  <c r="B10"/>
  <c r="A10"/>
  <c r="A12" s="1"/>
  <c r="F8"/>
  <c r="D8"/>
  <c r="B8"/>
  <c r="F6"/>
  <c r="D6"/>
  <c r="B6"/>
  <c r="G45" i="27" l="1"/>
  <c r="G44"/>
  <c r="K3476"/>
  <c r="K3480" s="1"/>
  <c r="K3481" s="1"/>
  <c r="K3468"/>
  <c r="K3469" s="1"/>
  <c r="F20" i="29"/>
  <c r="F16"/>
  <c r="F17"/>
  <c r="F19" s="1"/>
  <c r="F24" i="24"/>
  <c r="I13" i="23"/>
  <c r="I12"/>
  <c r="I10"/>
  <c r="I9"/>
  <c r="K6" i="22"/>
  <c r="E5"/>
  <c r="G5" s="1"/>
  <c r="K4"/>
  <c r="I4"/>
  <c r="I6" s="1"/>
  <c r="E4"/>
  <c r="G4" s="1"/>
  <c r="G6" s="1"/>
  <c r="I363" i="21"/>
  <c r="I358"/>
  <c r="I357"/>
  <c r="I356"/>
  <c r="I354"/>
  <c r="I353"/>
  <c r="I350"/>
  <c r="I348"/>
  <c r="I347"/>
  <c r="I346"/>
  <c r="I345"/>
  <c r="I343"/>
  <c r="I342"/>
  <c r="I341"/>
  <c r="I340"/>
  <c r="I337"/>
  <c r="I336"/>
  <c r="I334"/>
  <c r="I333"/>
  <c r="I332"/>
  <c r="I330"/>
  <c r="I327"/>
  <c r="I326"/>
  <c r="I325"/>
  <c r="I322"/>
  <c r="I321"/>
  <c r="I320"/>
  <c r="I319"/>
  <c r="I318"/>
  <c r="I359" s="1"/>
  <c r="I317"/>
  <c r="I312"/>
  <c r="I310"/>
  <c r="I308"/>
  <c r="I306"/>
  <c r="I304"/>
  <c r="I302"/>
  <c r="I300"/>
  <c r="I298"/>
  <c r="I296"/>
  <c r="I294"/>
  <c r="I292"/>
  <c r="I290"/>
  <c r="I288"/>
  <c r="I286"/>
  <c r="I284"/>
  <c r="I282"/>
  <c r="I280"/>
  <c r="I278"/>
  <c r="I276"/>
  <c r="I274"/>
  <c r="I313" s="1"/>
  <c r="I273"/>
  <c r="F269"/>
  <c r="I269" s="1"/>
  <c r="F267"/>
  <c r="I267" s="1"/>
  <c r="F265"/>
  <c r="I265" s="1"/>
  <c r="F263"/>
  <c r="I263" s="1"/>
  <c r="F261"/>
  <c r="I261" s="1"/>
  <c r="F259"/>
  <c r="I259" s="1"/>
  <c r="F257"/>
  <c r="I257" s="1"/>
  <c r="F255"/>
  <c r="I255" s="1"/>
  <c r="F253"/>
  <c r="I253" s="1"/>
  <c r="F251"/>
  <c r="I251" s="1"/>
  <c r="F249"/>
  <c r="I249" s="1"/>
  <c r="F247"/>
  <c r="I247" s="1"/>
  <c r="F245"/>
  <c r="I245" s="1"/>
  <c r="F243"/>
  <c r="I243" s="1"/>
  <c r="F241"/>
  <c r="I241" s="1"/>
  <c r="F239"/>
  <c r="I239" s="1"/>
  <c r="F237"/>
  <c r="I237" s="1"/>
  <c r="F235"/>
  <c r="I235" s="1"/>
  <c r="F233"/>
  <c r="I233" s="1"/>
  <c r="F231"/>
  <c r="I231" s="1"/>
  <c r="F230"/>
  <c r="I230" s="1"/>
  <c r="I270" s="1"/>
  <c r="I224"/>
  <c r="F224"/>
  <c r="I222"/>
  <c r="F222"/>
  <c r="I220"/>
  <c r="F220"/>
  <c r="I218"/>
  <c r="F218"/>
  <c r="I216"/>
  <c r="F216"/>
  <c r="I214"/>
  <c r="F214"/>
  <c r="I212"/>
  <c r="F212"/>
  <c r="I210"/>
  <c r="F210"/>
  <c r="I208"/>
  <c r="F208"/>
  <c r="I206"/>
  <c r="F206"/>
  <c r="I204"/>
  <c r="F204"/>
  <c r="I202"/>
  <c r="F202"/>
  <c r="I200"/>
  <c r="F200"/>
  <c r="I198"/>
  <c r="F198"/>
  <c r="I196"/>
  <c r="F196"/>
  <c r="I194"/>
  <c r="F194"/>
  <c r="I192"/>
  <c r="F192"/>
  <c r="I190"/>
  <c r="F190"/>
  <c r="I188"/>
  <c r="F188"/>
  <c r="I186"/>
  <c r="F186"/>
  <c r="I185"/>
  <c r="I225" s="1"/>
  <c r="F185"/>
  <c r="F179"/>
  <c r="I179" s="1"/>
  <c r="F177"/>
  <c r="I177" s="1"/>
  <c r="F175"/>
  <c r="I175" s="1"/>
  <c r="F173"/>
  <c r="I173" s="1"/>
  <c r="F171"/>
  <c r="I171" s="1"/>
  <c r="F169"/>
  <c r="I169" s="1"/>
  <c r="F167"/>
  <c r="I167" s="1"/>
  <c r="F165"/>
  <c r="I165" s="1"/>
  <c r="F163"/>
  <c r="I163" s="1"/>
  <c r="F161"/>
  <c r="I161" s="1"/>
  <c r="F159"/>
  <c r="I159" s="1"/>
  <c r="F157"/>
  <c r="I157" s="1"/>
  <c r="F155"/>
  <c r="I155" s="1"/>
  <c r="F153"/>
  <c r="I153" s="1"/>
  <c r="F151"/>
  <c r="I151" s="1"/>
  <c r="F149"/>
  <c r="I149" s="1"/>
  <c r="F147"/>
  <c r="I147" s="1"/>
  <c r="F145"/>
  <c r="I145" s="1"/>
  <c r="F143"/>
  <c r="I143" s="1"/>
  <c r="F141"/>
  <c r="I141" s="1"/>
  <c r="F140"/>
  <c r="I140" s="1"/>
  <c r="I135"/>
  <c r="F135"/>
  <c r="L134"/>
  <c r="F133"/>
  <c r="I133" s="1"/>
  <c r="F131"/>
  <c r="I131" s="1"/>
  <c r="F129"/>
  <c r="I129" s="1"/>
  <c r="F127"/>
  <c r="I127" s="1"/>
  <c r="F125"/>
  <c r="I125" s="1"/>
  <c r="F123"/>
  <c r="I123" s="1"/>
  <c r="F121"/>
  <c r="I121" s="1"/>
  <c r="F119"/>
  <c r="I119" s="1"/>
  <c r="F117"/>
  <c r="I117" s="1"/>
  <c r="F115"/>
  <c r="I115" s="1"/>
  <c r="F113"/>
  <c r="I113" s="1"/>
  <c r="F111"/>
  <c r="I111" s="1"/>
  <c r="F109"/>
  <c r="I109" s="1"/>
  <c r="F107"/>
  <c r="I107" s="1"/>
  <c r="F105"/>
  <c r="I105" s="1"/>
  <c r="F103"/>
  <c r="I103" s="1"/>
  <c r="F101"/>
  <c r="I101" s="1"/>
  <c r="F99"/>
  <c r="I99" s="1"/>
  <c r="F97"/>
  <c r="I97" s="1"/>
  <c r="F96"/>
  <c r="I96" s="1"/>
  <c r="I91"/>
  <c r="F91"/>
  <c r="I89"/>
  <c r="F89"/>
  <c r="I87"/>
  <c r="F87"/>
  <c r="I85"/>
  <c r="F85"/>
  <c r="I83"/>
  <c r="F83"/>
  <c r="I81"/>
  <c r="F81"/>
  <c r="I79"/>
  <c r="F79"/>
  <c r="I77"/>
  <c r="F77"/>
  <c r="I75"/>
  <c r="F75"/>
  <c r="I73"/>
  <c r="F73"/>
  <c r="I71"/>
  <c r="F71"/>
  <c r="I69"/>
  <c r="F69"/>
  <c r="I67"/>
  <c r="F67"/>
  <c r="I65"/>
  <c r="F65"/>
  <c r="I63"/>
  <c r="F63"/>
  <c r="I61"/>
  <c r="F61"/>
  <c r="I59"/>
  <c r="F59"/>
  <c r="I57"/>
  <c r="F57"/>
  <c r="I55"/>
  <c r="F55"/>
  <c r="I53"/>
  <c r="F53"/>
  <c r="I52"/>
  <c r="I92" s="1"/>
  <c r="F52"/>
  <c r="F47"/>
  <c r="I47" s="1"/>
  <c r="F45"/>
  <c r="I45" s="1"/>
  <c r="F43"/>
  <c r="I43" s="1"/>
  <c r="F41"/>
  <c r="I41" s="1"/>
  <c r="F39"/>
  <c r="I39" s="1"/>
  <c r="F37"/>
  <c r="I37" s="1"/>
  <c r="F35"/>
  <c r="I35" s="1"/>
  <c r="F33"/>
  <c r="I33" s="1"/>
  <c r="F31"/>
  <c r="I31" s="1"/>
  <c r="F29"/>
  <c r="I29" s="1"/>
  <c r="F27"/>
  <c r="I27" s="1"/>
  <c r="F25"/>
  <c r="I25" s="1"/>
  <c r="F23"/>
  <c r="I23" s="1"/>
  <c r="F21"/>
  <c r="I21" s="1"/>
  <c r="F19"/>
  <c r="I19" s="1"/>
  <c r="F17"/>
  <c r="I17" s="1"/>
  <c r="F15"/>
  <c r="I15" s="1"/>
  <c r="F13"/>
  <c r="I13" s="1"/>
  <c r="F11"/>
  <c r="I11" s="1"/>
  <c r="F9"/>
  <c r="I9" s="1"/>
  <c r="F8"/>
  <c r="I8" s="1"/>
  <c r="F15" i="20"/>
  <c r="B15"/>
  <c r="D14"/>
  <c r="B14"/>
  <c r="F14" s="1"/>
  <c r="D13"/>
  <c r="F13" s="1"/>
  <c r="B13"/>
  <c r="D12"/>
  <c r="F12" s="1"/>
  <c r="B12"/>
  <c r="A12"/>
  <c r="A13" s="1"/>
  <c r="D11"/>
  <c r="F11" s="1"/>
  <c r="B11"/>
  <c r="F10"/>
  <c r="D10"/>
  <c r="B10"/>
  <c r="B9"/>
  <c r="F9" s="1"/>
  <c r="A9"/>
  <c r="D8"/>
  <c r="B8"/>
  <c r="F8" s="1"/>
  <c r="D7"/>
  <c r="F7" s="1"/>
  <c r="F16" s="1"/>
  <c r="B7"/>
  <c r="I496" i="19"/>
  <c r="I493"/>
  <c r="I489"/>
  <c r="I486"/>
  <c r="I483"/>
  <c r="I479"/>
  <c r="I475"/>
  <c r="I473"/>
  <c r="I470"/>
  <c r="I466"/>
  <c r="I465"/>
  <c r="I467" s="1"/>
  <c r="I462"/>
  <c r="I461"/>
  <c r="I457"/>
  <c r="I456"/>
  <c r="I455"/>
  <c r="I454"/>
  <c r="I453"/>
  <c r="I452"/>
  <c r="I451"/>
  <c r="I450"/>
  <c r="I449"/>
  <c r="I448"/>
  <c r="I447"/>
  <c r="I446"/>
  <c r="I445"/>
  <c r="I444"/>
  <c r="I458" s="1"/>
  <c r="I443"/>
  <c r="I438"/>
  <c r="I437"/>
  <c r="I436"/>
  <c r="I435"/>
  <c r="I439" s="1"/>
  <c r="I434"/>
  <c r="I429"/>
  <c r="I428"/>
  <c r="I427"/>
  <c r="I426"/>
  <c r="I425"/>
  <c r="I424"/>
  <c r="I423"/>
  <c r="I422"/>
  <c r="I430" s="1"/>
  <c r="I421"/>
  <c r="I420"/>
  <c r="I419"/>
  <c r="I413"/>
  <c r="I412"/>
  <c r="I411"/>
  <c r="I410"/>
  <c r="I409"/>
  <c r="I408"/>
  <c r="I407"/>
  <c r="I406"/>
  <c r="I405"/>
  <c r="I404"/>
  <c r="I403"/>
  <c r="I402"/>
  <c r="I414" s="1"/>
  <c r="I401"/>
  <c r="I400"/>
  <c r="I399"/>
  <c r="I395"/>
  <c r="I394"/>
  <c r="I393"/>
  <c r="I390"/>
  <c r="I387"/>
  <c r="I385"/>
  <c r="I383"/>
  <c r="I378"/>
  <c r="I377"/>
  <c r="I376"/>
  <c r="I375"/>
  <c r="I374"/>
  <c r="I379" s="1"/>
  <c r="I368"/>
  <c r="I367"/>
  <c r="I366"/>
  <c r="I365"/>
  <c r="I364"/>
  <c r="I363"/>
  <c r="I369" s="1"/>
  <c r="I357"/>
  <c r="I356"/>
  <c r="I355"/>
  <c r="I354"/>
  <c r="K353"/>
  <c r="I353"/>
  <c r="K352"/>
  <c r="I352"/>
  <c r="I358" s="1"/>
  <c r="K347"/>
  <c r="I347"/>
  <c r="I346"/>
  <c r="K345"/>
  <c r="I345"/>
  <c r="I344"/>
  <c r="I343"/>
  <c r="K342"/>
  <c r="I342"/>
  <c r="I341"/>
  <c r="I340"/>
  <c r="K339"/>
  <c r="I339"/>
  <c r="I338"/>
  <c r="K337"/>
  <c r="I337"/>
  <c r="I336"/>
  <c r="K335"/>
  <c r="I335"/>
  <c r="I334"/>
  <c r="I333"/>
  <c r="I332"/>
  <c r="I331"/>
  <c r="I330"/>
  <c r="I329"/>
  <c r="I328"/>
  <c r="K327"/>
  <c r="I327"/>
  <c r="I326"/>
  <c r="I325"/>
  <c r="I324"/>
  <c r="K323"/>
  <c r="I323"/>
  <c r="I348" s="1"/>
  <c r="I317"/>
  <c r="I316"/>
  <c r="I315"/>
  <c r="I314"/>
  <c r="I313"/>
  <c r="I312"/>
  <c r="I311"/>
  <c r="K310"/>
  <c r="I310"/>
  <c r="I309"/>
  <c r="I308"/>
  <c r="K307"/>
  <c r="I307"/>
  <c r="K306"/>
  <c r="I306"/>
  <c r="I318" s="1"/>
  <c r="L305"/>
  <c r="K305"/>
  <c r="I301"/>
  <c r="I300"/>
  <c r="I299"/>
  <c r="I298"/>
  <c r="I297"/>
  <c r="I296"/>
  <c r="I295"/>
  <c r="I294"/>
  <c r="I302" s="1"/>
  <c r="I289"/>
  <c r="I288"/>
  <c r="I287"/>
  <c r="I286"/>
  <c r="I285"/>
  <c r="I284"/>
  <c r="I283"/>
  <c r="I282"/>
  <c r="I290" s="1"/>
  <c r="I277"/>
  <c r="I276"/>
  <c r="I275"/>
  <c r="I274"/>
  <c r="I273"/>
  <c r="I272"/>
  <c r="I271"/>
  <c r="I270"/>
  <c r="I278" s="1"/>
  <c r="I266"/>
  <c r="I265"/>
  <c r="I264"/>
  <c r="I259"/>
  <c r="I258"/>
  <c r="I257"/>
  <c r="I256"/>
  <c r="I255"/>
  <c r="I254"/>
  <c r="I260" s="1"/>
  <c r="L253"/>
  <c r="I250"/>
  <c r="I246"/>
  <c r="I245"/>
  <c r="I244"/>
  <c r="I239"/>
  <c r="I238"/>
  <c r="I237"/>
  <c r="I236"/>
  <c r="I235"/>
  <c r="I234"/>
  <c r="I240" s="1"/>
  <c r="I229"/>
  <c r="I228"/>
  <c r="I230" s="1"/>
  <c r="I224"/>
  <c r="I225" s="1"/>
  <c r="I219"/>
  <c r="I220" s="1"/>
  <c r="I214"/>
  <c r="I215" s="1"/>
  <c r="I210"/>
  <c r="I209"/>
  <c r="I211" s="1"/>
  <c r="I203"/>
  <c r="I202"/>
  <c r="I204" s="1"/>
  <c r="I198"/>
  <c r="I195"/>
  <c r="I190"/>
  <c r="I189"/>
  <c r="I188"/>
  <c r="I187"/>
  <c r="I191" s="1"/>
  <c r="I192" s="1"/>
  <c r="I186"/>
  <c r="I183"/>
  <c r="I182"/>
  <c r="I177"/>
  <c r="I176"/>
  <c r="I175"/>
  <c r="I174"/>
  <c r="I178" s="1"/>
  <c r="I169"/>
  <c r="I168"/>
  <c r="I167"/>
  <c r="I166"/>
  <c r="I164"/>
  <c r="I163"/>
  <c r="I162"/>
  <c r="I161"/>
  <c r="I160"/>
  <c r="I159"/>
  <c r="I158"/>
  <c r="I156"/>
  <c r="I155"/>
  <c r="I154"/>
  <c r="I153"/>
  <c r="I152"/>
  <c r="I151"/>
  <c r="I150"/>
  <c r="I149"/>
  <c r="I148"/>
  <c r="I147"/>
  <c r="I146"/>
  <c r="I145"/>
  <c r="I144"/>
  <c r="I143"/>
  <c r="I142"/>
  <c r="I141"/>
  <c r="I139"/>
  <c r="I138"/>
  <c r="I137"/>
  <c r="I136"/>
  <c r="I133"/>
  <c r="I132"/>
  <c r="I131"/>
  <c r="I130"/>
  <c r="I129"/>
  <c r="I127"/>
  <c r="I126"/>
  <c r="I125"/>
  <c r="I124"/>
  <c r="I123"/>
  <c r="I122"/>
  <c r="I121"/>
  <c r="I120"/>
  <c r="I119"/>
  <c r="I118"/>
  <c r="I117"/>
  <c r="I116"/>
  <c r="I115"/>
  <c r="I114"/>
  <c r="I113"/>
  <c r="I112"/>
  <c r="I111"/>
  <c r="I110"/>
  <c r="I109"/>
  <c r="I108"/>
  <c r="I170" s="1"/>
  <c r="I101"/>
  <c r="I100"/>
  <c r="I99"/>
  <c r="I98"/>
  <c r="I97"/>
  <c r="I96"/>
  <c r="I95"/>
  <c r="I94"/>
  <c r="I93"/>
  <c r="I92"/>
  <c r="I91"/>
  <c r="I90"/>
  <c r="I89"/>
  <c r="I87"/>
  <c r="I86"/>
  <c r="I85"/>
  <c r="I84"/>
  <c r="I83"/>
  <c r="I82"/>
  <c r="I81"/>
  <c r="I80"/>
  <c r="I79"/>
  <c r="I78"/>
  <c r="I76"/>
  <c r="L75"/>
  <c r="I75"/>
  <c r="K74"/>
  <c r="I74"/>
  <c r="I73"/>
  <c r="I72"/>
  <c r="I71"/>
  <c r="I70"/>
  <c r="I69"/>
  <c r="I68"/>
  <c r="I67"/>
  <c r="I66"/>
  <c r="I65"/>
  <c r="I64"/>
  <c r="I63"/>
  <c r="I62"/>
  <c r="I61"/>
  <c r="I60"/>
  <c r="I59"/>
  <c r="I58"/>
  <c r="I56"/>
  <c r="I55"/>
  <c r="I54"/>
  <c r="I53"/>
  <c r="I52"/>
  <c r="I51"/>
  <c r="I50"/>
  <c r="I49"/>
  <c r="I48"/>
  <c r="I47"/>
  <c r="I46"/>
  <c r="I45"/>
  <c r="I44"/>
  <c r="I43"/>
  <c r="I42"/>
  <c r="I41"/>
  <c r="I102" s="1"/>
  <c r="I34"/>
  <c r="I33"/>
  <c r="I32"/>
  <c r="I31"/>
  <c r="I30"/>
  <c r="I29"/>
  <c r="I28"/>
  <c r="I27"/>
  <c r="I26"/>
  <c r="I25"/>
  <c r="M24"/>
  <c r="I24"/>
  <c r="I23"/>
  <c r="I22"/>
  <c r="I21"/>
  <c r="I20"/>
  <c r="I19"/>
  <c r="O18"/>
  <c r="I18"/>
  <c r="I17"/>
  <c r="I16"/>
  <c r="I15"/>
  <c r="I14"/>
  <c r="M13"/>
  <c r="I13"/>
  <c r="L12"/>
  <c r="I12"/>
  <c r="I11"/>
  <c r="I10"/>
  <c r="I35" s="1"/>
  <c r="D59" i="18"/>
  <c r="B59"/>
  <c r="F59" s="1"/>
  <c r="F58"/>
  <c r="D58"/>
  <c r="B58"/>
  <c r="D56"/>
  <c r="B56"/>
  <c r="F56" s="1"/>
  <c r="D55"/>
  <c r="B55"/>
  <c r="F55" s="1"/>
  <c r="D54"/>
  <c r="B54"/>
  <c r="F54" s="1"/>
  <c r="F52"/>
  <c r="B52"/>
  <c r="F51"/>
  <c r="D51"/>
  <c r="C51"/>
  <c r="B51"/>
  <c r="F50"/>
  <c r="D50"/>
  <c r="C50"/>
  <c r="B50"/>
  <c r="C49"/>
  <c r="D48"/>
  <c r="C48"/>
  <c r="B48"/>
  <c r="F48" s="1"/>
  <c r="D47"/>
  <c r="C47"/>
  <c r="B47"/>
  <c r="F47" s="1"/>
  <c r="D46"/>
  <c r="C46"/>
  <c r="B46"/>
  <c r="F46" s="1"/>
  <c r="C45"/>
  <c r="B45"/>
  <c r="F45" s="1"/>
  <c r="C44"/>
  <c r="B44"/>
  <c r="F44" s="1"/>
  <c r="F43"/>
  <c r="C43"/>
  <c r="B43"/>
  <c r="C42"/>
  <c r="F41"/>
  <c r="C41"/>
  <c r="B41"/>
  <c r="F40"/>
  <c r="D40"/>
  <c r="C40"/>
  <c r="B40"/>
  <c r="F39"/>
  <c r="D39"/>
  <c r="C39"/>
  <c r="B39"/>
  <c r="F38"/>
  <c r="D38"/>
  <c r="C38"/>
  <c r="B38"/>
  <c r="F37"/>
  <c r="D37"/>
  <c r="C37"/>
  <c r="B37"/>
  <c r="F36"/>
  <c r="D36"/>
  <c r="C36"/>
  <c r="B36"/>
  <c r="F35"/>
  <c r="C35"/>
  <c r="B35"/>
  <c r="D34"/>
  <c r="C34"/>
  <c r="B34"/>
  <c r="F34" s="1"/>
  <c r="D33"/>
  <c r="C33"/>
  <c r="B33"/>
  <c r="F33" s="1"/>
  <c r="D32"/>
  <c r="C32"/>
  <c r="B32"/>
  <c r="F32" s="1"/>
  <c r="D31"/>
  <c r="C31"/>
  <c r="B31"/>
  <c r="F31" s="1"/>
  <c r="D30"/>
  <c r="C30"/>
  <c r="B30"/>
  <c r="F30" s="1"/>
  <c r="D29"/>
  <c r="C29"/>
  <c r="B29"/>
  <c r="F29" s="1"/>
  <c r="C28"/>
  <c r="B28"/>
  <c r="F28" s="1"/>
  <c r="C27"/>
  <c r="B27"/>
  <c r="F27" s="1"/>
  <c r="D26"/>
  <c r="C26"/>
  <c r="B26"/>
  <c r="F26" s="1"/>
  <c r="D25"/>
  <c r="C25"/>
  <c r="B25"/>
  <c r="F25" s="1"/>
  <c r="D24"/>
  <c r="C24"/>
  <c r="B24"/>
  <c r="F24" s="1"/>
  <c r="D23"/>
  <c r="C23"/>
  <c r="B23"/>
  <c r="F23" s="1"/>
  <c r="D22"/>
  <c r="F22" s="1"/>
  <c r="B22"/>
  <c r="F21"/>
  <c r="D21"/>
  <c r="B21"/>
  <c r="C20"/>
  <c r="F19"/>
  <c r="D19"/>
  <c r="C19"/>
  <c r="B19"/>
  <c r="F18"/>
  <c r="D18"/>
  <c r="C18"/>
  <c r="B18"/>
  <c r="F17"/>
  <c r="C17"/>
  <c r="B17"/>
  <c r="D16"/>
  <c r="C16"/>
  <c r="B16"/>
  <c r="F16" s="1"/>
  <c r="D15"/>
  <c r="C15"/>
  <c r="B15"/>
  <c r="F15" s="1"/>
  <c r="D14"/>
  <c r="C14"/>
  <c r="B14"/>
  <c r="F14" s="1"/>
  <c r="D13"/>
  <c r="C13"/>
  <c r="B13"/>
  <c r="F13" s="1"/>
  <c r="D12"/>
  <c r="C12"/>
  <c r="B12"/>
  <c r="F12" s="1"/>
  <c r="C11"/>
  <c r="B11"/>
  <c r="F11" s="1"/>
  <c r="D10"/>
  <c r="B10"/>
  <c r="F10" s="1"/>
  <c r="D9"/>
  <c r="F9" s="1"/>
  <c r="B9"/>
  <c r="F8"/>
  <c r="D8"/>
  <c r="B8"/>
  <c r="A5"/>
  <c r="I11" i="17"/>
  <c r="I10"/>
  <c r="I9"/>
  <c r="F8" i="16"/>
  <c r="F9" s="1"/>
  <c r="D8"/>
  <c r="C8"/>
  <c r="B8"/>
  <c r="A5"/>
  <c r="F18" i="20" l="1"/>
  <c r="F17"/>
  <c r="F60" i="18"/>
  <c r="I48" i="21"/>
  <c r="I136"/>
  <c r="F11" i="16"/>
  <c r="F10"/>
  <c r="G7" i="22"/>
  <c r="G8"/>
  <c r="I180" i="21"/>
  <c r="G46" i="27"/>
  <c r="G47"/>
  <c r="G49" s="1"/>
  <c r="G48"/>
  <c r="F21" i="29"/>
  <c r="F22"/>
  <c r="F23"/>
  <c r="F26" i="24"/>
  <c r="F25"/>
  <c r="C52" i="15"/>
  <c r="B52"/>
  <c r="F52" s="1"/>
  <c r="D51"/>
  <c r="C51"/>
  <c r="B51"/>
  <c r="F51" s="1"/>
  <c r="D50"/>
  <c r="C50"/>
  <c r="B50"/>
  <c r="F50" s="1"/>
  <c r="D49"/>
  <c r="C49"/>
  <c r="B49"/>
  <c r="F49" s="1"/>
  <c r="C48"/>
  <c r="B48"/>
  <c r="F48" s="1"/>
  <c r="F47"/>
  <c r="C47"/>
  <c r="B47"/>
  <c r="F46"/>
  <c r="C46"/>
  <c r="B46"/>
  <c r="C45"/>
  <c r="F44"/>
  <c r="C44"/>
  <c r="B44"/>
  <c r="C43"/>
  <c r="B43"/>
  <c r="F43" s="1"/>
  <c r="C42"/>
  <c r="B42"/>
  <c r="F42" s="1"/>
  <c r="F41"/>
  <c r="C41"/>
  <c r="B41"/>
  <c r="F40"/>
  <c r="C40"/>
  <c r="B40"/>
  <c r="C39"/>
  <c r="B39"/>
  <c r="F39" s="1"/>
  <c r="C38"/>
  <c r="B38"/>
  <c r="F38" s="1"/>
  <c r="D37"/>
  <c r="C37"/>
  <c r="B37"/>
  <c r="F37" s="1"/>
  <c r="D36"/>
  <c r="C36"/>
  <c r="B36"/>
  <c r="F36" s="1"/>
  <c r="D35"/>
  <c r="C35"/>
  <c r="B35"/>
  <c r="F35" s="1"/>
  <c r="D34"/>
  <c r="C34"/>
  <c r="B34"/>
  <c r="F34" s="1"/>
  <c r="D33"/>
  <c r="C33"/>
  <c r="B33"/>
  <c r="F33" s="1"/>
  <c r="C32"/>
  <c r="D31"/>
  <c r="B31"/>
  <c r="F31" s="1"/>
  <c r="F30"/>
  <c r="D30"/>
  <c r="B30"/>
  <c r="F29"/>
  <c r="D29"/>
  <c r="B29"/>
  <c r="C28"/>
  <c r="F27"/>
  <c r="D27"/>
  <c r="C27"/>
  <c r="B27"/>
  <c r="F26"/>
  <c r="D26"/>
  <c r="C26"/>
  <c r="B26"/>
  <c r="F25"/>
  <c r="D25"/>
  <c r="C25"/>
  <c r="B25"/>
  <c r="F24"/>
  <c r="D24"/>
  <c r="C24"/>
  <c r="B24"/>
  <c r="F23"/>
  <c r="D23"/>
  <c r="C23"/>
  <c r="B23"/>
  <c r="F22"/>
  <c r="C22"/>
  <c r="B22"/>
  <c r="C21"/>
  <c r="B21"/>
  <c r="F21" s="1"/>
  <c r="D20"/>
  <c r="C20"/>
  <c r="B20"/>
  <c r="F20" s="1"/>
  <c r="D19"/>
  <c r="C19"/>
  <c r="B19"/>
  <c r="F19" s="1"/>
  <c r="D18"/>
  <c r="C18"/>
  <c r="B18"/>
  <c r="F18" s="1"/>
  <c r="D17"/>
  <c r="C17"/>
  <c r="B17"/>
  <c r="F17" s="1"/>
  <c r="D16"/>
  <c r="C16"/>
  <c r="B16"/>
  <c r="F16" s="1"/>
  <c r="D15"/>
  <c r="C15"/>
  <c r="B15"/>
  <c r="F15" s="1"/>
  <c r="C14"/>
  <c r="B14"/>
  <c r="F14" s="1"/>
  <c r="D13"/>
  <c r="C13"/>
  <c r="B13"/>
  <c r="F13" s="1"/>
  <c r="D12"/>
  <c r="C12"/>
  <c r="B12"/>
  <c r="F12" s="1"/>
  <c r="D11"/>
  <c r="C11"/>
  <c r="B11"/>
  <c r="F11" s="1"/>
  <c r="F10"/>
  <c r="D10"/>
  <c r="B10"/>
  <c r="F9"/>
  <c r="D9"/>
  <c r="B9"/>
  <c r="D8"/>
  <c r="B8"/>
  <c r="F8" s="1"/>
  <c r="A5"/>
  <c r="I451" i="14"/>
  <c r="I448"/>
  <c r="I445"/>
  <c r="I444"/>
  <c r="I443"/>
  <c r="I440"/>
  <c r="I439"/>
  <c r="I435"/>
  <c r="I434"/>
  <c r="I433"/>
  <c r="I436" s="1"/>
  <c r="I429"/>
  <c r="I428"/>
  <c r="I424"/>
  <c r="I423"/>
  <c r="I422"/>
  <c r="I416"/>
  <c r="I415"/>
  <c r="I414"/>
  <c r="I413"/>
  <c r="I411"/>
  <c r="I410"/>
  <c r="I409"/>
  <c r="I408"/>
  <c r="I407"/>
  <c r="I406"/>
  <c r="I405"/>
  <c r="I404"/>
  <c r="I403"/>
  <c r="I402"/>
  <c r="I417" s="1"/>
  <c r="I397"/>
  <c r="I396"/>
  <c r="I395"/>
  <c r="I394"/>
  <c r="I393"/>
  <c r="I392"/>
  <c r="I391"/>
  <c r="I389"/>
  <c r="I388"/>
  <c r="I387"/>
  <c r="I386"/>
  <c r="I385"/>
  <c r="I384"/>
  <c r="I383"/>
  <c r="I382"/>
  <c r="I381"/>
  <c r="I380"/>
  <c r="I379"/>
  <c r="I378"/>
  <c r="I377"/>
  <c r="I376"/>
  <c r="I398" s="1"/>
  <c r="I371"/>
  <c r="I368"/>
  <c r="I365"/>
  <c r="I362"/>
  <c r="I358"/>
  <c r="I357"/>
  <c r="I356"/>
  <c r="I352"/>
  <c r="I351"/>
  <c r="I350"/>
  <c r="I353" s="1"/>
  <c r="I347"/>
  <c r="I344"/>
  <c r="I342"/>
  <c r="I341"/>
  <c r="I337"/>
  <c r="I338" s="1"/>
  <c r="I333"/>
  <c r="I332"/>
  <c r="I329"/>
  <c r="I328"/>
  <c r="I327"/>
  <c r="I330" s="1"/>
  <c r="I324"/>
  <c r="I318"/>
  <c r="I317"/>
  <c r="I316"/>
  <c r="I315"/>
  <c r="I310"/>
  <c r="I309"/>
  <c r="I308"/>
  <c r="I307"/>
  <c r="I311" s="1"/>
  <c r="I306"/>
  <c r="I302"/>
  <c r="I303" s="1"/>
  <c r="I297"/>
  <c r="I296"/>
  <c r="I295"/>
  <c r="I294"/>
  <c r="I298" s="1"/>
  <c r="I290"/>
  <c r="I289"/>
  <c r="I288"/>
  <c r="I284"/>
  <c r="I283"/>
  <c r="I282"/>
  <c r="I277"/>
  <c r="I276"/>
  <c r="I275"/>
  <c r="I274"/>
  <c r="I273"/>
  <c r="I278" s="1"/>
  <c r="I268"/>
  <c r="I267"/>
  <c r="I266"/>
  <c r="I265"/>
  <c r="I264"/>
  <c r="I263"/>
  <c r="I262"/>
  <c r="I261"/>
  <c r="I260"/>
  <c r="I259"/>
  <c r="I258"/>
  <c r="I257"/>
  <c r="I256"/>
  <c r="I255"/>
  <c r="I254"/>
  <c r="I269" s="1"/>
  <c r="L253"/>
  <c r="I249"/>
  <c r="I248"/>
  <c r="I250" s="1"/>
  <c r="I243"/>
  <c r="I242"/>
  <c r="I241"/>
  <c r="I240"/>
  <c r="I244" s="1"/>
  <c r="I235"/>
  <c r="I234"/>
  <c r="I236" s="1"/>
  <c r="I231"/>
  <c r="I230"/>
  <c r="I225"/>
  <c r="I226" s="1"/>
  <c r="I221"/>
  <c r="I220"/>
  <c r="I219"/>
  <c r="I222" s="1"/>
  <c r="I215"/>
  <c r="I209"/>
  <c r="I208"/>
  <c r="I207"/>
  <c r="I206"/>
  <c r="I205"/>
  <c r="I204"/>
  <c r="I203"/>
  <c r="I210" s="1"/>
  <c r="I211" s="1"/>
  <c r="I199"/>
  <c r="I200" s="1"/>
  <c r="I194"/>
  <c r="I193"/>
  <c r="I192"/>
  <c r="I191"/>
  <c r="I190"/>
  <c r="I189"/>
  <c r="I188"/>
  <c r="I195" s="1"/>
  <c r="I181"/>
  <c r="I180"/>
  <c r="I179"/>
  <c r="I178"/>
  <c r="I177"/>
  <c r="I176"/>
  <c r="I175"/>
  <c r="I174"/>
  <c r="I173"/>
  <c r="I172"/>
  <c r="I171"/>
  <c r="I170"/>
  <c r="I169"/>
  <c r="I168"/>
  <c r="I167"/>
  <c r="I166"/>
  <c r="I164"/>
  <c r="I163"/>
  <c r="I162"/>
  <c r="I161"/>
  <c r="S160"/>
  <c r="I160"/>
  <c r="S159"/>
  <c r="I159"/>
  <c r="S158"/>
  <c r="I158"/>
  <c r="S157"/>
  <c r="I157"/>
  <c r="S156"/>
  <c r="I156"/>
  <c r="S155"/>
  <c r="I155"/>
  <c r="S154"/>
  <c r="I154"/>
  <c r="S153"/>
  <c r="I153"/>
  <c r="S152"/>
  <c r="I152"/>
  <c r="S151"/>
  <c r="I151"/>
  <c r="I150"/>
  <c r="I149"/>
  <c r="I148"/>
  <c r="I147"/>
  <c r="I146"/>
  <c r="I145"/>
  <c r="I144"/>
  <c r="I143"/>
  <c r="I142"/>
  <c r="I141"/>
  <c r="I140"/>
  <c r="I139"/>
  <c r="I138"/>
  <c r="I137"/>
  <c r="I136"/>
  <c r="I135"/>
  <c r="I134"/>
  <c r="I133"/>
  <c r="I132"/>
  <c r="I130"/>
  <c r="I129"/>
  <c r="I128"/>
  <c r="I127"/>
  <c r="I126"/>
  <c r="I125"/>
  <c r="I124"/>
  <c r="I123"/>
  <c r="I122"/>
  <c r="I120"/>
  <c r="I119"/>
  <c r="I118"/>
  <c r="I117"/>
  <c r="I116"/>
  <c r="I115"/>
  <c r="I114"/>
  <c r="I113"/>
  <c r="I112"/>
  <c r="I111"/>
  <c r="I110"/>
  <c r="I109"/>
  <c r="I108"/>
  <c r="I107"/>
  <c r="I106"/>
  <c r="I105"/>
  <c r="I104"/>
  <c r="I103"/>
  <c r="I102"/>
  <c r="I101"/>
  <c r="I100"/>
  <c r="I98"/>
  <c r="I97"/>
  <c r="I96"/>
  <c r="I95"/>
  <c r="I94"/>
  <c r="I93"/>
  <c r="I92"/>
  <c r="I91"/>
  <c r="I90"/>
  <c r="I88"/>
  <c r="K87"/>
  <c r="I87"/>
  <c r="I86"/>
  <c r="I85"/>
  <c r="I84"/>
  <c r="I83"/>
  <c r="I82"/>
  <c r="I81"/>
  <c r="I80"/>
  <c r="I79"/>
  <c r="I78"/>
  <c r="I77"/>
  <c r="I76"/>
  <c r="I75"/>
  <c r="I74"/>
  <c r="I73"/>
  <c r="I72"/>
  <c r="I71"/>
  <c r="I69"/>
  <c r="I68"/>
  <c r="I67"/>
  <c r="I66"/>
  <c r="I65"/>
  <c r="I64"/>
  <c r="I63"/>
  <c r="I62"/>
  <c r="I61"/>
  <c r="I60"/>
  <c r="I59"/>
  <c r="I58"/>
  <c r="I57"/>
  <c r="I56"/>
  <c r="I55"/>
  <c r="I54"/>
  <c r="I53"/>
  <c r="I52"/>
  <c r="I51"/>
  <c r="I182" s="1"/>
  <c r="I50"/>
  <c r="I49"/>
  <c r="I42"/>
  <c r="I41"/>
  <c r="I40"/>
  <c r="I39"/>
  <c r="I38"/>
  <c r="I37"/>
  <c r="I36"/>
  <c r="I35"/>
  <c r="I34"/>
  <c r="I33"/>
  <c r="I32"/>
  <c r="I31"/>
  <c r="I30"/>
  <c r="M29"/>
  <c r="I28"/>
  <c r="I27"/>
  <c r="I26"/>
  <c r="I25"/>
  <c r="I24"/>
  <c r="O23"/>
  <c r="I23"/>
  <c r="I22"/>
  <c r="I21"/>
  <c r="I20"/>
  <c r="I19"/>
  <c r="M18"/>
  <c r="I18"/>
  <c r="L17"/>
  <c r="I17"/>
  <c r="I16"/>
  <c r="I15"/>
  <c r="I14"/>
  <c r="I43" s="1"/>
  <c r="I12"/>
  <c r="I11"/>
  <c r="I10"/>
  <c r="F54" i="15" l="1"/>
  <c r="G9" i="22"/>
  <c r="G10"/>
  <c r="G11"/>
  <c r="G12"/>
  <c r="F61" i="18"/>
  <c r="F62" s="1"/>
  <c r="F19" i="20"/>
  <c r="F22" s="1"/>
  <c r="F20"/>
  <c r="F21"/>
  <c r="F29" i="24"/>
  <c r="F27"/>
  <c r="F30" s="1"/>
  <c r="F28"/>
  <c r="F13" i="16"/>
  <c r="F14"/>
  <c r="F15" s="1"/>
  <c r="F12"/>
  <c r="F95" i="13"/>
  <c r="D95"/>
  <c r="D94"/>
  <c r="F94" s="1"/>
  <c r="F99" s="1"/>
  <c r="F101" s="1"/>
  <c r="F93"/>
  <c r="D93"/>
  <c r="F92"/>
  <c r="F32" i="12"/>
  <c r="D32"/>
  <c r="B32"/>
  <c r="D31"/>
  <c r="B31"/>
  <c r="F31" s="1"/>
  <c r="F30"/>
  <c r="B30"/>
  <c r="F29"/>
  <c r="D29"/>
  <c r="B29"/>
  <c r="D28"/>
  <c r="B28"/>
  <c r="F28" s="1"/>
  <c r="D27"/>
  <c r="B27"/>
  <c r="F27" s="1"/>
  <c r="D26"/>
  <c r="C26"/>
  <c r="B26"/>
  <c r="F26" s="1"/>
  <c r="D25"/>
  <c r="C25"/>
  <c r="B25"/>
  <c r="F25" s="1"/>
  <c r="D24"/>
  <c r="C24"/>
  <c r="B24"/>
  <c r="F24" s="1"/>
  <c r="F23"/>
  <c r="D23"/>
  <c r="B23"/>
  <c r="F22"/>
  <c r="D22"/>
  <c r="C22"/>
  <c r="B22"/>
  <c r="F21"/>
  <c r="D21"/>
  <c r="C21"/>
  <c r="B21"/>
  <c r="F20"/>
  <c r="D20"/>
  <c r="C20"/>
  <c r="B20"/>
  <c r="C19"/>
  <c r="D18"/>
  <c r="C18"/>
  <c r="B18"/>
  <c r="F18" s="1"/>
  <c r="F17"/>
  <c r="C17"/>
  <c r="C16"/>
  <c r="B16"/>
  <c r="F16" s="1"/>
  <c r="D15"/>
  <c r="C15"/>
  <c r="B15"/>
  <c r="F15" s="1"/>
  <c r="D14"/>
  <c r="B14"/>
  <c r="F14" s="1"/>
  <c r="F13"/>
  <c r="D13"/>
  <c r="B13"/>
  <c r="F12"/>
  <c r="D12"/>
  <c r="C12"/>
  <c r="B12"/>
  <c r="F11"/>
  <c r="D11"/>
  <c r="B11"/>
  <c r="D10"/>
  <c r="F10" s="1"/>
  <c r="C10"/>
  <c r="B10"/>
  <c r="D9"/>
  <c r="B9"/>
  <c r="F9" s="1"/>
  <c r="I138" i="11"/>
  <c r="I139" s="1"/>
  <c r="I134"/>
  <c r="I133"/>
  <c r="I132"/>
  <c r="I131"/>
  <c r="I135" s="1"/>
  <c r="I130"/>
  <c r="I129"/>
  <c r="I124"/>
  <c r="I123"/>
  <c r="I119"/>
  <c r="I120" s="1"/>
  <c r="I121" s="1"/>
  <c r="I114"/>
  <c r="I115" s="1"/>
  <c r="I116" s="1"/>
  <c r="I109"/>
  <c r="I108"/>
  <c r="I107"/>
  <c r="I110" s="1"/>
  <c r="I111" s="1"/>
  <c r="I126" s="1"/>
  <c r="I103"/>
  <c r="I101"/>
  <c r="I98"/>
  <c r="I95"/>
  <c r="L93"/>
  <c r="I93"/>
  <c r="I91"/>
  <c r="I89"/>
  <c r="I87"/>
  <c r="I85"/>
  <c r="I83"/>
  <c r="I80"/>
  <c r="I79"/>
  <c r="I78"/>
  <c r="I72"/>
  <c r="I71"/>
  <c r="I70"/>
  <c r="I69"/>
  <c r="I68"/>
  <c r="I67"/>
  <c r="I66"/>
  <c r="I65"/>
  <c r="I64"/>
  <c r="I63"/>
  <c r="I62"/>
  <c r="I61"/>
  <c r="I60"/>
  <c r="I59"/>
  <c r="I58"/>
  <c r="I57"/>
  <c r="I73" s="1"/>
  <c r="I50"/>
  <c r="I49"/>
  <c r="I48"/>
  <c r="I51" s="1"/>
  <c r="I52" s="1"/>
  <c r="I43"/>
  <c r="I42"/>
  <c r="I41"/>
  <c r="I44" s="1"/>
  <c r="I45" s="1"/>
  <c r="I35"/>
  <c r="I36" s="1"/>
  <c r="I37" s="1"/>
  <c r="I30"/>
  <c r="I29"/>
  <c r="I31" s="1"/>
  <c r="I32" s="1"/>
  <c r="I25"/>
  <c r="M24"/>
  <c r="I24"/>
  <c r="L23"/>
  <c r="I23"/>
  <c r="I26" s="1"/>
  <c r="I27" s="1"/>
  <c r="M22"/>
  <c r="I18"/>
  <c r="I17"/>
  <c r="O16"/>
  <c r="I16"/>
  <c r="I19" s="1"/>
  <c r="I20" s="1"/>
  <c r="I12"/>
  <c r="I13" s="1"/>
  <c r="I11"/>
  <c r="L10"/>
  <c r="I10"/>
  <c r="F63" i="18" l="1"/>
  <c r="F66" s="1"/>
  <c r="F67" s="1"/>
  <c r="F64"/>
  <c r="F65"/>
  <c r="F33" i="12"/>
  <c r="F55" i="15"/>
  <c r="F56" s="1"/>
  <c r="K9" i="10"/>
  <c r="G8"/>
  <c r="K7"/>
  <c r="I7"/>
  <c r="G7"/>
  <c r="K6"/>
  <c r="I6"/>
  <c r="G6"/>
  <c r="G5"/>
  <c r="G9" s="1"/>
  <c r="K4"/>
  <c r="I4"/>
  <c r="I9" s="1"/>
  <c r="G4"/>
  <c r="G5" i="9"/>
  <c r="K4"/>
  <c r="K6" s="1"/>
  <c r="I4"/>
  <c r="I6" s="1"/>
  <c r="G4"/>
  <c r="G6" s="1"/>
  <c r="I19" i="8"/>
  <c r="I18"/>
  <c r="I16"/>
  <c r="I15"/>
  <c r="I13"/>
  <c r="I12"/>
  <c r="I10"/>
  <c r="I9"/>
  <c r="I19" i="7"/>
  <c r="I18"/>
  <c r="I16"/>
  <c r="I15"/>
  <c r="I13"/>
  <c r="I12"/>
  <c r="I10"/>
  <c r="I9"/>
  <c r="I5" i="6"/>
  <c r="K4"/>
  <c r="K5" s="1"/>
  <c r="I4"/>
  <c r="G4"/>
  <c r="G5" s="1"/>
  <c r="F52" i="4"/>
  <c r="F51"/>
  <c r="F49"/>
  <c r="C43"/>
  <c r="B44"/>
  <c r="F44" s="1"/>
  <c r="I71" i="1"/>
  <c r="G12" i="10" l="1"/>
  <c r="G10"/>
  <c r="G11"/>
  <c r="G8" i="6"/>
  <c r="G6"/>
  <c r="G7" s="1"/>
  <c r="G7" i="9"/>
  <c r="G8" s="1"/>
  <c r="G9"/>
  <c r="F57" i="15"/>
  <c r="F60"/>
  <c r="F61" s="1"/>
  <c r="F58"/>
  <c r="F59"/>
  <c r="F34" i="12"/>
  <c r="F35"/>
  <c r="B43" i="4"/>
  <c r="F43" s="1"/>
  <c r="I68" i="1"/>
  <c r="G11" i="6" l="1"/>
  <c r="G12" s="1"/>
  <c r="G9"/>
  <c r="G10"/>
  <c r="G10" i="9"/>
  <c r="G11"/>
  <c r="G12" s="1"/>
  <c r="G13" s="1"/>
  <c r="F37" i="12"/>
  <c r="F36"/>
  <c r="F39" s="1"/>
  <c r="F40" s="1"/>
  <c r="F38"/>
  <c r="G13" i="10"/>
  <c r="G14"/>
  <c r="G15"/>
  <c r="G16" s="1"/>
  <c r="C40" i="4"/>
  <c r="D42"/>
  <c r="C42"/>
  <c r="I65" i="1"/>
  <c r="B42" i="4" s="1"/>
  <c r="F42" l="1"/>
  <c r="D35"/>
  <c r="D117" i="5"/>
  <c r="F110"/>
  <c r="F108"/>
  <c r="F100"/>
  <c r="D116"/>
  <c r="I62" i="1" l="1"/>
  <c r="B40" i="4" s="1"/>
  <c r="F40" s="1"/>
  <c r="I51" i="1"/>
  <c r="I41"/>
  <c r="I37"/>
  <c r="A3" l="1"/>
  <c r="F125" i="5" l="1"/>
  <c r="F124"/>
  <c r="F116"/>
  <c r="F115"/>
  <c r="F127" l="1"/>
  <c r="F117" l="1"/>
  <c r="F119" s="1"/>
  <c r="I9" i="1" l="1"/>
  <c r="I10"/>
  <c r="I11"/>
  <c r="I12"/>
  <c r="B13" i="4" s="1"/>
  <c r="F13" s="1"/>
  <c r="I8" i="1"/>
  <c r="C39" i="4"/>
  <c r="I59" i="1"/>
  <c r="B39" i="4" s="1"/>
  <c r="F39" s="1"/>
  <c r="I57" i="1"/>
  <c r="B38" i="4" s="1"/>
  <c r="F38" s="1"/>
  <c r="B56" i="1"/>
  <c r="C33" i="4" l="1"/>
  <c r="B30" l="1"/>
  <c r="F30" s="1"/>
  <c r="C29"/>
  <c r="B12" l="1"/>
  <c r="F12" s="1"/>
  <c r="I55" i="1"/>
  <c r="B36" i="4" s="1"/>
  <c r="F36" s="1"/>
  <c r="I50" i="1"/>
  <c r="I47"/>
  <c r="B33" i="4" s="1"/>
  <c r="F33" s="1"/>
  <c r="I44" i="1"/>
  <c r="B31" i="4" s="1"/>
  <c r="F31" s="1"/>
  <c r="I36" i="1"/>
  <c r="I32"/>
  <c r="B27" i="4" s="1"/>
  <c r="B35" l="1"/>
  <c r="F35" s="1"/>
  <c r="I52" i="1"/>
  <c r="B29" i="4"/>
  <c r="F29" s="1"/>
  <c r="I38" i="1"/>
  <c r="D92" i="5"/>
  <c r="F92" s="1"/>
  <c r="F91"/>
  <c r="F83"/>
  <c r="F82"/>
  <c r="F81"/>
  <c r="F86" l="1"/>
  <c r="F88" s="1"/>
  <c r="D93" l="1"/>
  <c r="F93" s="1"/>
  <c r="F95" s="1"/>
  <c r="F27" i="4" s="1"/>
  <c r="C15" l="1"/>
  <c r="I22" i="1"/>
  <c r="B20" i="4" s="1"/>
  <c r="F20" s="1"/>
  <c r="I16" i="1"/>
  <c r="B15" i="4" s="1"/>
  <c r="F15" s="1"/>
  <c r="B11"/>
  <c r="F11" s="1"/>
  <c r="B10"/>
  <c r="F10" s="1"/>
  <c r="C8" l="1"/>
  <c r="H18" l="1"/>
  <c r="I28" i="1" l="1"/>
  <c r="B24" i="4" s="1"/>
  <c r="F24" s="1"/>
  <c r="I25" i="1"/>
  <c r="B22" i="4" s="1"/>
  <c r="F22" s="1"/>
  <c r="I19" i="1"/>
  <c r="B9" i="4"/>
  <c r="F9" s="1"/>
  <c r="B17" l="1"/>
  <c r="F17" s="1"/>
  <c r="F45" s="1"/>
  <c r="F50" l="1"/>
  <c r="F46"/>
  <c r="F47" s="1"/>
  <c r="F53" l="1"/>
  <c r="F54" s="1"/>
</calcChain>
</file>

<file path=xl/sharedStrings.xml><?xml version="1.0" encoding="utf-8"?>
<sst xmlns="http://schemas.openxmlformats.org/spreadsheetml/2006/main" count="3838" uniqueCount="1008">
  <si>
    <t>SI.NO</t>
  </si>
  <si>
    <t xml:space="preserve">DESCRIPTION </t>
  </si>
  <si>
    <t>NOS</t>
  </si>
  <si>
    <t>DIMENSION</t>
  </si>
  <si>
    <t>QTY</t>
  </si>
  <si>
    <t>L</t>
  </si>
  <si>
    <t>B</t>
  </si>
  <si>
    <t>D</t>
  </si>
  <si>
    <t>RATE</t>
  </si>
  <si>
    <t>PER</t>
  </si>
  <si>
    <t>AMOUNT</t>
  </si>
  <si>
    <t>TAMIL NADU POLICE HOUSING CORPORATION LTD</t>
  </si>
  <si>
    <t>CHENNAI DIVISION-II</t>
  </si>
  <si>
    <t>DETAILED ESTIMATE</t>
  </si>
  <si>
    <t>X</t>
  </si>
  <si>
    <t>Rmt</t>
  </si>
  <si>
    <t>Labour Charges for inserting PVC casing pipes assembly (with slots or without slots) in the drilled hole including jointing the pipes with PVC Couplers with Cement paste etc., complete supply and packing the annular space with pebbles of size quality as approved by the departmental officers</t>
  </si>
  <si>
    <t>Charges for developing the borewell for the entire depth with air compressor of 300cfm capacity [Minimum 8 hours] including transportation, labour and fuel charges for compressor and conducting yield tests by V-notch method etc., all complete as directed by the departmental officers.</t>
  </si>
  <si>
    <t>Each</t>
  </si>
  <si>
    <t>Hours</t>
  </si>
  <si>
    <t>Supply and delivery of 150mm OD of PVC casing pipes (6kg/cm2) as per IS 12818 /1992 of approved quality for borewells with average wall thickness of 6.1mm and inner/outer threaded ends in standard length of 3m including transporting charges to site of work and all other taxes etc., all complete as directed by the departmental officers. (The PVC casing pipe should be got approved from the EE before use )</t>
  </si>
  <si>
    <t>Supply and delivery of 150mm OD ribbed screen pipes (6kg/cm2) as per IS 12818 /1992 of approved quality for borewells with average wall thickness of 8.0mm and inner/outer threaded ends in standard length of 1m to 8mm both in horizontal and vertical cutting including transporting charges to site of work and all other taxes etc., all complete as directed by the departmental officers. (The PVC ribbed screen pipe should be got approved from the EE before use )</t>
  </si>
  <si>
    <t>(i) 150mm dia casing pipes assembly</t>
  </si>
  <si>
    <t>Hrs</t>
  </si>
  <si>
    <t>Total Amount</t>
  </si>
  <si>
    <t>Say</t>
  </si>
  <si>
    <t>Rs.</t>
  </si>
  <si>
    <t>Labour welfare fund @ 1.00%</t>
  </si>
  <si>
    <t>x</t>
  </si>
  <si>
    <t>Charges for driving point</t>
  </si>
  <si>
    <t>LS</t>
  </si>
  <si>
    <t>G S T 12%</t>
  </si>
  <si>
    <t>Supervision charges @ 7.5%</t>
  </si>
  <si>
    <t>Supply and fixing of PVC 160mm dia top end cap of approved make 6.1mm thick with inner thread etc., all complete as directed by the departmental officers.</t>
  </si>
  <si>
    <t>Total</t>
  </si>
  <si>
    <t>Sub Total</t>
  </si>
  <si>
    <r>
      <t xml:space="preserve">Supplying and laying 3 core 4 sqmm </t>
    </r>
    <r>
      <rPr>
        <b/>
        <sz val="11"/>
        <color theme="1"/>
        <rFont val="Times New Roman"/>
        <family val="1"/>
      </rPr>
      <t xml:space="preserve">FLAT COPPER CABLE </t>
    </r>
    <r>
      <rPr>
        <sz val="11"/>
        <color theme="1"/>
        <rFont val="Times New Roman"/>
        <family val="1"/>
      </rPr>
      <t>with ISI mark including cost of all materials specials etc. all complete.</t>
    </r>
  </si>
  <si>
    <t>Nos</t>
  </si>
  <si>
    <t>L.S</t>
  </si>
  <si>
    <t>SUNDRIES</t>
  </si>
  <si>
    <t>-</t>
  </si>
  <si>
    <t>TAMIL NADU POLICE HOUSING CORPORATION</t>
  </si>
  <si>
    <t>======================================</t>
  </si>
  <si>
    <t>PLACE:-</t>
  </si>
  <si>
    <t xml:space="preserve"> </t>
  </si>
  <si>
    <t>COST OF MATERIALS</t>
  </si>
  <si>
    <t>*</t>
  </si>
  <si>
    <t>CEMENT MORTAR(1:1.5)</t>
  </si>
  <si>
    <t>M.T</t>
  </si>
  <si>
    <t>CEMENT</t>
  </si>
  <si>
    <t>CUM</t>
  </si>
  <si>
    <t>SAND</t>
  </si>
  <si>
    <t>MIXING OF MORTAR</t>
  </si>
  <si>
    <t>TOTAL FOR 1 CUM</t>
  </si>
  <si>
    <t>CEMENT MORTAR(1:2)</t>
  </si>
  <si>
    <t>CEMENT MORTAR(1:3)</t>
  </si>
  <si>
    <t>CEMENT MORTAR(1:4)</t>
  </si>
  <si>
    <t>CEMENT MORTAR(1:5)</t>
  </si>
  <si>
    <t>CEMENT MORTAR(1:6)</t>
  </si>
  <si>
    <t>CEMENT MORTAR(1:7)</t>
  </si>
  <si>
    <t>CEMENT MORTAR(1:8)</t>
  </si>
  <si>
    <t>40mm dia HDPE pipe</t>
  </si>
  <si>
    <t>Cost of clamps &amp; plugs</t>
  </si>
  <si>
    <t>FOR 30 Rmt</t>
  </si>
  <si>
    <t>FOR 1 Rmt</t>
  </si>
  <si>
    <t>main data</t>
  </si>
  <si>
    <t xml:space="preserve">20% Specials </t>
  </si>
  <si>
    <t>Labour charges</t>
  </si>
  <si>
    <t>Rate For 1 Rmt</t>
  </si>
  <si>
    <t>each</t>
  </si>
  <si>
    <t>LABOUR charges for FIXING</t>
  </si>
  <si>
    <t>TOTAL FOR 1 RMT</t>
  </si>
  <si>
    <t>=</t>
  </si>
  <si>
    <t>Sundries</t>
  </si>
  <si>
    <t>No</t>
  </si>
  <si>
    <t>Supplying and delivery of the following dia HDPE pipes of approved make ISI Suitable for borewell including the cost of suitable HDPE etc. all complete and as directed by the departmental officers. (The HDPE pipe should be got approved from the EE before use).</t>
  </si>
  <si>
    <t>a). 40 mm dia HDPE 10 Kg/cm2 pipe</t>
  </si>
  <si>
    <t>For borewell</t>
  </si>
  <si>
    <r>
      <t xml:space="preserve">Supplying and fixing delivery of </t>
    </r>
    <r>
      <rPr>
        <b/>
        <sz val="11"/>
        <color theme="1"/>
        <rFont val="Times New Roman"/>
        <family val="1"/>
      </rPr>
      <t>12 mm thick nylon rope</t>
    </r>
  </si>
  <si>
    <t>Labour charges for the erection of submersible pumpset in Borewell/open 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t>
  </si>
  <si>
    <t xml:space="preserve">Supplying and delivery of the following dia HDPE pipes of approved make ISI Suitable for borewell including the cost of suitable HDPE etc. all complete and as directed by the departmental officers. </t>
  </si>
  <si>
    <t>Supplying, laying, fixing and jointing the following UPVC pipes as per  D- 1785 of schedule 40 of wall thickness</t>
  </si>
  <si>
    <t>Supplying and fixing 1 No of 375 x 300 x 20 m   thick TW plank varnished with 1 No 15 amps 250 volts fuse unit and 1 No of copper earth plate of suitable size bolts and nute on walls for EB service connections including cost of all materials, etc., all complete.</t>
  </si>
  <si>
    <t>Pump room</t>
  </si>
  <si>
    <t>Run of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19/20mm dia rigid PVC conduit pipe with ISI mark etc. including cost of all materials, specials etc. all complete and as directed by the departmental officers.</t>
  </si>
  <si>
    <t>pump room</t>
  </si>
  <si>
    <t>b).32 mm dia UPVC pipes</t>
  </si>
  <si>
    <t>TWAD SR Rate page no 26/2018-19 (Sl.no 11)</t>
  </si>
  <si>
    <t>CUTTING CHARGES</t>
  </si>
  <si>
    <t>a.</t>
  </si>
  <si>
    <t>ADD 20% FOR PVC/GI SPECIALS</t>
  </si>
  <si>
    <t>LABOUR FOR LAYING &amp; FIXING</t>
  </si>
  <si>
    <t>b.</t>
  </si>
  <si>
    <t xml:space="preserve"> 32 MM DIA UPVC PIPE below G.L:-</t>
  </si>
  <si>
    <t xml:space="preserve">Supply and Delivery of  submersible motor Pumpset with ISI mark IS 8034 without Panel Board of 1.5 H.P capacity 20 LPM X 150 m of electric motor pump set with accessories at bore well for Single  phase  operation etc..,all complete and as directed by the departmental officiers.(The brand of pumpset should got approved by the Executive Engineer before erection).                                                         </t>
  </si>
  <si>
    <t>DATA   - 14</t>
  </si>
  <si>
    <t>2 X 4 Sq mm in fully concealed PVC conduit</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</si>
  <si>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</si>
  <si>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 xml:space="preserve"> Rmt</t>
  </si>
  <si>
    <t>PVC rigid conduit pipe 19 mm / 20mm heavy duty with ISI mark</t>
  </si>
  <si>
    <t>Bag</t>
  </si>
  <si>
    <t>Cement</t>
  </si>
  <si>
    <t>2.5 sqmm copper PVC insulated unsheathed single core cable for continuous earth connectionp-79, it- 2 c</t>
  </si>
  <si>
    <t>Total for 90 Metres</t>
  </si>
  <si>
    <t>Rate for 1 Rmt</t>
  </si>
  <si>
    <t>EB service connection Board for single phase</t>
  </si>
  <si>
    <t>Supplying and fixing 1 No of 375 x 300 x 20 m   thick TW plank well varnished with 1 No 15 amps 250 volts fuse unit and 1 No of copper earth plate of suitable size bolts and nuta on walls for EB service connections including cost of all materials, etc., all complete.</t>
  </si>
  <si>
    <t xml:space="preserve">TW plank 375 x 300 x 20 mm </t>
  </si>
  <si>
    <t>Earth plate ( copper ) with bolts &amp; nuts.</t>
  </si>
  <si>
    <t>LR</t>
  </si>
  <si>
    <t>Labour Charges</t>
  </si>
  <si>
    <t>Sundries such as TW plugs screws, etc.,</t>
  </si>
  <si>
    <t>Rate for  Each</t>
  </si>
  <si>
    <t>TW plank 375 x 300 x 20 mm</t>
  </si>
  <si>
    <t>Wiremen Grade I</t>
  </si>
  <si>
    <t xml:space="preserve">Helper </t>
  </si>
  <si>
    <t>Total for 4 Nos</t>
  </si>
  <si>
    <t>Rate for 1 No</t>
  </si>
  <si>
    <t>Supply and delivery of MS Fabricated DOL panel control board with ISI Mark for single phase wall moulded type Ammeter, voltmeter ON/OFF Switch etc. complete and as directed by the departmental officers.</t>
  </si>
  <si>
    <t>a) Upto 76m depth ending below Ground level</t>
  </si>
  <si>
    <t>c). From 91m upto 107m depth</t>
  </si>
  <si>
    <t>b). From 76m upto 91m depth</t>
  </si>
  <si>
    <t>d). From 107m upto 122m depth</t>
  </si>
  <si>
    <t>Drilling of Borewell anywhere inculding transportation from one place to another place in alluvial soil or sedimentary starts mud circulation method 150 mm dia of clay and sand or sand stone shale pebbles boulders etc., by first taking a pilot bore of 165 dia (6 " to 8 ") by direct or reverse rotary mud and circulations method using contractors rig, fuel, labour driling betonite mud and water required for drilling at the site shown and as directed by departmental officers.</t>
  </si>
  <si>
    <t>e). From 122m upto 150m depth</t>
  </si>
  <si>
    <t>bore 1 to sump</t>
  </si>
  <si>
    <t>bore 2 to sump</t>
  </si>
  <si>
    <t>For borewell 1 to phanel board</t>
  </si>
  <si>
    <t>For borewell 2 to phanel board</t>
  </si>
  <si>
    <r>
      <t xml:space="preserve">Supplying and delivery of </t>
    </r>
    <r>
      <rPr>
        <b/>
        <sz val="13"/>
        <rFont val="Cambria"/>
        <family val="1"/>
      </rPr>
      <t xml:space="preserve">40mm dia MS clamp sets </t>
    </r>
    <r>
      <rPr>
        <sz val="13"/>
        <rFont val="Cambria"/>
        <family val="1"/>
      </rPr>
      <t>for erection of submersible pumpset in wells including cost of all materials, labour charges for fixing  etc., all complete and as directed by the departmental officers. (The materials quality &amp; brand should be got approved from the EE before use )</t>
    </r>
  </si>
  <si>
    <t xml:space="preserve">Borewell </t>
  </si>
  <si>
    <t>TWAD SR Rate page no 22/2021-22</t>
  </si>
  <si>
    <t>TWAD SR Rate page no 283/2021-22 (Sl.no 13.a)</t>
  </si>
  <si>
    <t>TWAD SR Rate page no 284/2021-22 (Sl.no 14.e.)</t>
  </si>
  <si>
    <t xml:space="preserve">Laying an jointing </t>
  </si>
  <si>
    <t>Othivakkam</t>
  </si>
  <si>
    <t>2021 - 2022</t>
  </si>
  <si>
    <t>32mm</t>
  </si>
  <si>
    <t>RMT</t>
  </si>
  <si>
    <t>LAYING JOINTING INCLUDING</t>
  </si>
  <si>
    <t>ALIGNING</t>
  </si>
  <si>
    <t>NO.</t>
  </si>
  <si>
    <t>THREADING CHARGES</t>
  </si>
  <si>
    <t xml:space="preserve">COST OF CLAMPS PLUGS </t>
  </si>
  <si>
    <t>JOINTING MATERIALS ETC</t>
  </si>
  <si>
    <t>TOTAL FOR 30 M</t>
  </si>
  <si>
    <t>RATE PER RMT</t>
  </si>
  <si>
    <t>Threading charges (PWD SR 2021-22)</t>
  </si>
  <si>
    <t>cutting charges (PWD SR Page 2021-22)</t>
  </si>
  <si>
    <t>below G.L</t>
  </si>
  <si>
    <t>TWAD SR Rate page no 96/2021-22</t>
  </si>
  <si>
    <t>TWAD SR Rate page no 287/202021-22</t>
  </si>
  <si>
    <t>(TWAD Rate page no.111/2021-2022)</t>
  </si>
  <si>
    <t>DATA   - 35</t>
  </si>
  <si>
    <t>16 Amps 250 Volts fuse unit (P-120   6-a</t>
  </si>
  <si>
    <t>4 sqmm copper PVC insulated unsheathed single core cable,P-125 it-2-d</t>
  </si>
  <si>
    <t xml:space="preserve">Petty Supervision  &amp; Contigencies charges at 2.5% </t>
  </si>
  <si>
    <t>Borewell Location - 1 Barracks &amp; Kitchen back Lacation -2)</t>
  </si>
  <si>
    <t>Construction of Inspection chamber in size 60x60x75cm  brick work and precast slab including cost of all materials, labour charges for fixing  etc., all complete and as directed by the departmental officers. (The materials quality &amp; brand should be got approved from the EE before use )</t>
  </si>
  <si>
    <t>Borewell chamber</t>
  </si>
  <si>
    <t>CONSTRN. OF INSPECTION</t>
  </si>
  <si>
    <t>CHAMBER OF SIZE 60X60X75cm</t>
  </si>
  <si>
    <t>E.W AND REFILLING</t>
  </si>
  <si>
    <t>C.C(1:8:16)USING 40mmB.J METEL</t>
  </si>
  <si>
    <t>B.W IN C.M(1:5)</t>
  </si>
  <si>
    <t>SQM</t>
  </si>
  <si>
    <t>PLASTERING IN C.M(1:3) 12 mmT.K</t>
  </si>
  <si>
    <t>R.C.C(1:2:4) PETTY WORKS</t>
  </si>
  <si>
    <t>(50mmT.K PCC SLAB)</t>
  </si>
  <si>
    <t>SUNDRIES FOR MOULDIN ETC</t>
  </si>
  <si>
    <t>TOTAL FOR ONE NUMBER</t>
  </si>
  <si>
    <t>TWAD SR Rate pg 40 (2021-2022)</t>
  </si>
  <si>
    <r>
      <t xml:space="preserve">Supply and fixing of 100 amps TPN sheet double break switch with HRC fuse and neutral on suitable angle iron frame work with MS cable entry boxes and PWD earthing. </t>
    </r>
    <r>
      <rPr>
        <b/>
        <sz val="11"/>
        <color theme="1"/>
        <rFont val="Times New Roman"/>
        <family val="1"/>
      </rPr>
      <t>(PWD SR Rate page No.119 2021-2022)</t>
    </r>
  </si>
  <si>
    <t xml:space="preserve">Supply and fixing of 100 amps fuse unit </t>
  </si>
  <si>
    <r>
      <t xml:space="preserve">Supplying and fixing delivery of </t>
    </r>
    <r>
      <rPr>
        <b/>
        <sz val="12"/>
        <color theme="1"/>
        <rFont val="Times New Roman"/>
        <family val="1"/>
      </rPr>
      <t>12 mm thick nylon rope PWD SR PAGE 105  (2021-2022)</t>
    </r>
  </si>
  <si>
    <r>
      <t xml:space="preserve">Supplying and laying 3 core 4 sqmm </t>
    </r>
    <r>
      <rPr>
        <b/>
        <sz val="12"/>
        <color theme="1"/>
        <rFont val="Times New Roman"/>
        <family val="1"/>
      </rPr>
      <t xml:space="preserve">FLAT COPPER CABLE </t>
    </r>
    <r>
      <rPr>
        <sz val="12"/>
        <color theme="1"/>
        <rFont val="Times New Roman"/>
        <family val="1"/>
      </rPr>
      <t>with ISI mark including cost of all materials specials etc. all complete.</t>
    </r>
  </si>
  <si>
    <r>
      <t xml:space="preserve">Supply and fixing of 100 amps fuse unit (500V) </t>
    </r>
    <r>
      <rPr>
        <b/>
        <sz val="12"/>
        <color theme="1"/>
        <rFont val="Times New Roman"/>
        <family val="1"/>
      </rPr>
      <t>(PWD SR Rate page 120 2021-2022)</t>
    </r>
  </si>
  <si>
    <t>NAME OF WORK: Providing 2 Nos Borewell and External water supply arrangements at Othivakkam  Shooting Range in Chennai City</t>
  </si>
  <si>
    <r>
      <t xml:space="preserve">Supplying, laying, fixing and jointing the following UPVC pipes as per  D- 1785 of schedule 40 of wall thickness not less than the specified in IS 4985 Suitable for plumbing by threading of wall thickness including the cost of suitable PVC/GI specials GM Specials like Elbow , tee reducers ,plug , union , bend, coupler, nipple/ GM gate value, check and wheel value etc. wherever required </t>
    </r>
    <r>
      <rPr>
        <b/>
        <sz val="10.5"/>
        <rFont val="Cambria"/>
        <family val="1"/>
        <scheme val="major"/>
      </rPr>
      <t>below Ground level</t>
    </r>
    <r>
      <rPr>
        <sz val="10.5"/>
        <rFont val="Cambria"/>
        <family val="1"/>
        <scheme val="major"/>
      </rPr>
      <t xml:space="preserve"> including necessary earth work excavation, refilling the trenches to alignment and gradient cost of teflon tape and redoing the chipped of mansonry etc. as directed by the departmental officers. (The pvc pipe should be got approved from the Executive Engineer before laying).</t>
    </r>
  </si>
  <si>
    <r>
      <t xml:space="preserve">Cost of 40 mm dia HDPE (10KG/CM2) PWD </t>
    </r>
    <r>
      <rPr>
        <b/>
        <sz val="11"/>
        <rFont val="Calibri"/>
        <family val="2"/>
        <scheme val="minor"/>
      </rPr>
      <t>SR PG NO 105 - 21-22</t>
    </r>
  </si>
  <si>
    <r>
      <t xml:space="preserve">COST OF 32 MM DIA UPVC PIPE </t>
    </r>
    <r>
      <rPr>
        <b/>
        <sz val="11"/>
        <rFont val="Calibri"/>
        <family val="2"/>
        <scheme val="minor"/>
      </rPr>
      <t>(PWD SR Rate pg no.106 (2021-2022)</t>
    </r>
  </si>
  <si>
    <r>
      <t xml:space="preserve">Supplying and laying 3 core 4 sqmm </t>
    </r>
    <r>
      <rPr>
        <b/>
        <sz val="11"/>
        <rFont val="Times New Roman"/>
        <family val="1"/>
      </rPr>
      <t xml:space="preserve">FLAT COPPER CABLE </t>
    </r>
    <r>
      <rPr>
        <sz val="11"/>
        <rFont val="Times New Roman"/>
        <family val="1"/>
      </rPr>
      <t>with ISI mark including cost of all materials specials etc. all complete.</t>
    </r>
  </si>
  <si>
    <r>
      <t xml:space="preserve">COST OF materials (3 core 4 sqmm ) </t>
    </r>
    <r>
      <rPr>
        <b/>
        <sz val="11"/>
        <rFont val="Calibri"/>
        <family val="2"/>
        <scheme val="minor"/>
      </rPr>
      <t>SR Pg no. 116 (TWAD)</t>
    </r>
  </si>
  <si>
    <t>G S T 12 %</t>
  </si>
  <si>
    <t>Name of work : Changing from manual to Digital - Long Fire Range (Snap Shooting target upto 300 yards machine) at Othivakkam in Chengalpattu district.</t>
  </si>
  <si>
    <t>Abstract</t>
  </si>
  <si>
    <t>Sl.No</t>
  </si>
  <si>
    <t>Unit</t>
  </si>
  <si>
    <t>DESCRIPTION OF WORK</t>
  </si>
  <si>
    <t>Qty</t>
  </si>
  <si>
    <t>Rate</t>
  </si>
  <si>
    <t>Amount</t>
  </si>
  <si>
    <r>
      <t xml:space="preserve">Snap Shooting target upto 300 yards </t>
    </r>
    <r>
      <rPr>
        <b/>
        <sz val="18"/>
        <rFont val="Cambria"/>
        <family val="1"/>
      </rPr>
      <t>(Quotation)</t>
    </r>
  </si>
  <si>
    <t>Sub total</t>
  </si>
  <si>
    <t>G S T  @ 12 %</t>
  </si>
  <si>
    <t>As per PWD Norms</t>
  </si>
  <si>
    <t>SUB TOTAL - II</t>
  </si>
  <si>
    <t>Labour welfare fund @ 1%</t>
  </si>
  <si>
    <t>TOTAL</t>
  </si>
  <si>
    <t>SAY</t>
  </si>
  <si>
    <t>TAMIL NADU POLICE HOUSING CORPORATION LIMITED</t>
  </si>
  <si>
    <t xml:space="preserve">Chennai Division-II </t>
  </si>
  <si>
    <t>Avadi, Chennai -54.</t>
  </si>
  <si>
    <t>Detailed Estimate</t>
  </si>
  <si>
    <t xml:space="preserve">S.NO </t>
  </si>
  <si>
    <t>Description of work</t>
  </si>
  <si>
    <t>NO</t>
  </si>
  <si>
    <t>Measurement in Mtrs</t>
  </si>
  <si>
    <t>Contents</t>
  </si>
  <si>
    <t xml:space="preserve">Snap Shooting target upto 300 yards </t>
  </si>
  <si>
    <t>Long Fire Range</t>
  </si>
  <si>
    <t xml:space="preserve">Total </t>
  </si>
  <si>
    <t>6 core wire connecting control unit for target unit only</t>
  </si>
  <si>
    <t>6 core connector 6 pin</t>
  </si>
  <si>
    <t>Assembly charges</t>
  </si>
  <si>
    <t>Set</t>
  </si>
  <si>
    <t>GST @ 18%</t>
  </si>
  <si>
    <t>labour welfare fund @ 1%</t>
  </si>
  <si>
    <t>Contigencies &amp; Petty Supervision charges @ 2.5 %</t>
  </si>
  <si>
    <t>Supervision charges @ 7.5 %</t>
  </si>
  <si>
    <t>Name of work : Changing from manual to Digital - Short Fire Range (5 Lane target system 50 yards machine) at Othivakkam in Chengalpattu district.</t>
  </si>
  <si>
    <t>5 Lane target system One assembly</t>
  </si>
  <si>
    <t>Short Fire Range</t>
  </si>
  <si>
    <t>Name of work : Replacing of existing fire shooting range (4 x 4 target 300 yards target frame maintenance) at Othivakkam in Chengalpattu district</t>
  </si>
  <si>
    <t>4 x 4 target 300 yards target frame</t>
  </si>
  <si>
    <t>Assembly charges (Quotation)</t>
  </si>
  <si>
    <t>Name of work : Changing from manual to Digital - Short Fire Range (Snap Shooting target upto 300 yards machine) at Othivakkam in Chengalpattu district</t>
  </si>
  <si>
    <t>5 lane target system one assembly</t>
  </si>
  <si>
    <r>
      <t xml:space="preserve">6 core wire connecting control unit for target unit only </t>
    </r>
    <r>
      <rPr>
        <b/>
        <sz val="18"/>
        <rFont val="Cambria"/>
        <family val="1"/>
      </rPr>
      <t>(Quotation)</t>
    </r>
  </si>
  <si>
    <t>Name of work : Construction of Waiting Shed for Shooting Range (Short Range) and Painting existing old wall in Tamil Nadu Cammondo Force Training Centre /Firing range at Othivakkam in Chennai city.</t>
  </si>
  <si>
    <t>.</t>
  </si>
  <si>
    <t>Earth Work excavation in all soils(including refilling)</t>
  </si>
  <si>
    <t>a.0 to 2mt</t>
  </si>
  <si>
    <t>Vertical pipe</t>
  </si>
  <si>
    <t>Horizontal BW</t>
  </si>
  <si>
    <r>
      <t>M</t>
    </r>
    <r>
      <rPr>
        <b/>
        <vertAlign val="superscript"/>
        <sz val="12"/>
        <rFont val="Times New Roman"/>
        <family val="1"/>
      </rPr>
      <t>3</t>
    </r>
  </si>
  <si>
    <t>Supplying and filling stonedust</t>
  </si>
  <si>
    <t>Floor level</t>
  </si>
  <si>
    <t>PCC 1: 5:10 using 40mm HBS jelly including cost of all materials and labour charges etc complete</t>
  </si>
  <si>
    <t>P.C.C. 1:4:8 for flooring</t>
  </si>
  <si>
    <t>Flooring</t>
  </si>
  <si>
    <t>Vertical Support</t>
  </si>
  <si>
    <r>
      <t>M</t>
    </r>
    <r>
      <rPr>
        <vertAlign val="superscript"/>
        <sz val="12"/>
        <rFont val="Times New Roman"/>
        <family val="1"/>
      </rPr>
      <t>3</t>
    </r>
  </si>
  <si>
    <t>Brick work in C M 1:5 using Chamber burnt brick of size 23x11.4x7.5 including cost of all materials and labour charges etc complete</t>
  </si>
  <si>
    <t xml:space="preserve">upto basement </t>
  </si>
  <si>
    <t>Plastering in C.M. 1:5, 12 mm tk.</t>
  </si>
  <si>
    <t>Basement Brick work</t>
  </si>
  <si>
    <t>Sqm</t>
  </si>
  <si>
    <t xml:space="preserve">Painting Two coats of emulsion pain with primer in the new plastered wall. </t>
  </si>
  <si>
    <t xml:space="preserve">PAINTING TWO COATS OVER old PLASTERED SURFACE WITH  Plastic Emulsion PAINT - for Old walls </t>
  </si>
  <si>
    <t xml:space="preserve">OLD Wall </t>
  </si>
  <si>
    <t>Outer  wall</t>
  </si>
  <si>
    <t>Piller sides</t>
  </si>
  <si>
    <t>Offset</t>
  </si>
  <si>
    <t>Guard Room - Outer</t>
  </si>
  <si>
    <t>Inner</t>
  </si>
  <si>
    <t>Cupboard support wall</t>
  </si>
  <si>
    <t>slab</t>
  </si>
  <si>
    <t>wall</t>
  </si>
  <si>
    <t xml:space="preserve">slab </t>
  </si>
  <si>
    <t>d/f door</t>
  </si>
  <si>
    <t>d/f window</t>
  </si>
  <si>
    <t>shooting range side</t>
  </si>
  <si>
    <t xml:space="preserve">Ellispartern Flooring </t>
  </si>
  <si>
    <t xml:space="preserve">Flooring </t>
  </si>
  <si>
    <t>Wiring with 1.5 sqmm PVC insulated single core multi strand fire retardant flexible copper cable with ISI mark confirming IS: 694:1990.</t>
  </si>
  <si>
    <t>a. Light point with ceiling rose</t>
  </si>
  <si>
    <t>Wiring with 1.5 sqmm PVC insulated single core multi strand fire retardant flexible copper cable with ISI mark confirming IS: 694:1990 for Fan point. (Open wiring)</t>
  </si>
  <si>
    <t>Charges for assembling and fixing of ceiling fan of different sweep with necessary connections and fixing of fan regulator on the existing board etc., all complete (Excluding cost of fan)</t>
  </si>
  <si>
    <t>Supply,assembling and fixing of 4' LED Tube Light on the wall including cost of all materials and labour for fixing in position and as directed by the departmental officers (The entire fitting should be got approved from the Executive Engineer before use)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</si>
  <si>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</si>
  <si>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t>
  </si>
  <si>
    <t>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</si>
  <si>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 (Open wiring)</t>
  </si>
  <si>
    <t>Inside</t>
  </si>
  <si>
    <t>Supplying and fixing of 1 No three phase distribution board with 4 way/ phase and 30 A/way with neutral link on a suitable well varnished teak wood plank including necessary interconnections and earth connections cost of all materials, etc., all complete.</t>
  </si>
  <si>
    <t>In Guard Room</t>
  </si>
  <si>
    <t>Supplying and fixing of Three phase ELCB</t>
  </si>
  <si>
    <t>Supplying and fixing of MS Pipes IS Specification with Required steel section used for fabrication of truss works. (47.30+47.80*1.10) = 99.88 Rs/ Kg</t>
  </si>
  <si>
    <t>MS square pipe (100x100x6.0 mm) hallow section - 16.98 kg/rmt</t>
  </si>
  <si>
    <t>Horizontal support</t>
  </si>
  <si>
    <t>Kg</t>
  </si>
  <si>
    <t>MS square pipe (75x75x4.90 mm) hallow section - 10.30 kg/rmt</t>
  </si>
  <si>
    <t>Horizontal - Internal Member</t>
  </si>
  <si>
    <t>MS square pipe (49.5x49.5x4.50 mm) hallow section - 5.95 kg/rmt</t>
  </si>
  <si>
    <t>Inner  - Support</t>
  </si>
  <si>
    <t>Base Plate - 30 Kg/Sqm</t>
  </si>
  <si>
    <t>Painting Two coats over the new Iron works with sythetic enamuel paint.</t>
  </si>
  <si>
    <t>Inner - Support</t>
  </si>
  <si>
    <t>sqm</t>
  </si>
  <si>
    <t>Supply and fixing Galvalume colour sheet of size 0.47 mm</t>
  </si>
  <si>
    <t>GST @ 18 %</t>
  </si>
  <si>
    <t>Labour Welffare fund @ 1%</t>
  </si>
  <si>
    <t>Petty Supervision Charges @2.5%</t>
  </si>
  <si>
    <t>ABSTRACT ESTIMATE</t>
  </si>
  <si>
    <t>Name of work :Construction of Waiting Shed for Shooting Range (Short Range) and Painting existing old wall in Tamil Nadu Cammondo Force Training Centre /Firing range at Othivakkam in Chennai city.</t>
  </si>
  <si>
    <t>Sl. No.</t>
  </si>
  <si>
    <t>Per</t>
  </si>
  <si>
    <t>Earth work excavation for foundation in all soils and sub-soils  to the required depth as  may be directed except in hard rock requiring blasting but inclusive of shoring, strutting, and bailing out water wherever necessary and refilling the sides of foun</t>
  </si>
  <si>
    <t>a)  0 to 2m depth.</t>
  </si>
  <si>
    <r>
      <t>M</t>
    </r>
    <r>
      <rPr>
        <vertAlign val="superscript"/>
        <sz val="12"/>
        <color indexed="8"/>
        <rFont val="Cambria"/>
        <family val="1"/>
      </rPr>
      <t>3</t>
    </r>
  </si>
  <si>
    <t>Brick work in C M 1:5 using Chamber burnt brick of size 23x11.4x7.5 including cost of all materials and labour charges etc complete (Foundation &amp; Basement)</t>
  </si>
  <si>
    <t>Plastering in C.M. 1:5, 12mm thick</t>
  </si>
  <si>
    <r>
      <t>M</t>
    </r>
    <r>
      <rPr>
        <vertAlign val="superscript"/>
        <sz val="12"/>
        <color indexed="8"/>
        <rFont val="Cambria"/>
        <family val="1"/>
      </rPr>
      <t>2</t>
    </r>
    <r>
      <rPr>
        <sz val="10"/>
        <rFont val="Arial"/>
        <family val="2"/>
      </rPr>
      <t/>
    </r>
  </si>
  <si>
    <t>18 Wtt LED Tube light - PWD SOR 2021-2022</t>
  </si>
  <si>
    <t>kg</t>
  </si>
  <si>
    <t>Sub Total - I</t>
  </si>
  <si>
    <t>Sub Total - II</t>
  </si>
  <si>
    <t>Grand  Total</t>
  </si>
  <si>
    <t>Junior engineer                        Assistant Exceutive Engineer                           Exceutive Engineer</t>
  </si>
  <si>
    <t xml:space="preserve">     Chennai division II.</t>
  </si>
  <si>
    <t>==================================</t>
  </si>
  <si>
    <t>Othivakkam Shooting Range</t>
  </si>
  <si>
    <t>2021-2022</t>
  </si>
  <si>
    <t>EARTH WORK EXCAVATION</t>
  </si>
  <si>
    <t>---------------------</t>
  </si>
  <si>
    <t>EARTH WORK EXCAVATION IN SS20B</t>
  </si>
  <si>
    <t>ADD 100% FOR NARROW CUTTING</t>
  </si>
  <si>
    <t xml:space="preserve"> 1/3REFILLING CHARGES</t>
  </si>
  <si>
    <t>TOTAL FOR 10 CUM</t>
  </si>
  <si>
    <t>RATE PER CUM INCLUDING REFILLING</t>
  </si>
  <si>
    <t>0 TO 2M</t>
  </si>
  <si>
    <t>2 TO 3M</t>
  </si>
  <si>
    <t>1.2</t>
  </si>
  <si>
    <t xml:space="preserve">RATE PER CUM EXCLUDING REFILLING 
</t>
  </si>
  <si>
    <t>Galvalume Colour Sheet of size 0.47mm</t>
  </si>
  <si>
    <t>Galvalume Colour Sheet of size 0.47mm - PWD SR 2021 -22 Pg.no - 72</t>
  </si>
  <si>
    <t>Fitter - I</t>
  </si>
  <si>
    <t>Carpenter - I</t>
  </si>
  <si>
    <t>Mazdoor - I</t>
  </si>
  <si>
    <t>Bolt and washers</t>
  </si>
  <si>
    <t>Rate for 10 Sqm</t>
  </si>
  <si>
    <t>Rate per 1 Sqm</t>
  </si>
  <si>
    <t>2.1</t>
  </si>
  <si>
    <t>FILLING IN FOUNDATION AND</t>
  </si>
  <si>
    <t>BASEMENT  WITH  STONE DUST</t>
  </si>
  <si>
    <t>COST OFSTONE DUST</t>
  </si>
  <si>
    <t>LABOUR CHARGES FOR FILLING</t>
  </si>
  <si>
    <t>3.1</t>
  </si>
  <si>
    <t>CEMENT CONCRETE(1:5:10) USING</t>
  </si>
  <si>
    <t>40mm HBSTONE METEL</t>
  </si>
  <si>
    <t xml:space="preserve">  H.B.STONEJELLY 40mm</t>
  </si>
  <si>
    <t>MASON II</t>
  </si>
  <si>
    <t>MAZDOOR I</t>
  </si>
  <si>
    <t>MAZDOOR II</t>
  </si>
  <si>
    <t>3.3</t>
  </si>
  <si>
    <t>CEMENT CONCRETE(1:4:8) USING</t>
  </si>
  <si>
    <t>40mm brick jelly</t>
  </si>
  <si>
    <t xml:space="preserve"> 40mm HGJ jelly</t>
  </si>
  <si>
    <t>RATE PER CUM</t>
  </si>
  <si>
    <t xml:space="preserve">B.W IN C.M(1:5) using chamber burnt  bricks </t>
  </si>
  <si>
    <t>Bricks of size 23x11.4x7.5 cm</t>
  </si>
  <si>
    <t>NOS.</t>
  </si>
  <si>
    <t xml:space="preserve"> 1000NO.</t>
  </si>
  <si>
    <t>MASON I</t>
  </si>
  <si>
    <t>33.</t>
  </si>
  <si>
    <t>PLASTERING C.M(1:5) 12mmTHICK</t>
  </si>
  <si>
    <t>TOTAL FOR 10 SQM</t>
  </si>
  <si>
    <t>RATE PER SQM</t>
  </si>
  <si>
    <t>40.</t>
  </si>
  <si>
    <t>PAINTING TWO COATS OVER NEW             (as per CER-112/2007-08)</t>
  </si>
  <si>
    <t xml:space="preserve">PLASTERED SURFACE WITH </t>
  </si>
  <si>
    <t>Plastic Emulsion PAINT</t>
  </si>
  <si>
    <t>LIT</t>
  </si>
  <si>
    <t>Plastic Emulsion PAINT  (LMR item 113) p-45 143( First qty</t>
  </si>
  <si>
    <t>Primer     (LMR item 142) p45</t>
  </si>
  <si>
    <t xml:space="preserve">PAINTER I </t>
  </si>
  <si>
    <t>SUNDRIES FOR BRUSHES,ETC</t>
  </si>
  <si>
    <t>Plastic Emulsion PAINT two coat for old wall</t>
  </si>
  <si>
    <t>Painter I</t>
  </si>
  <si>
    <t>Thorouh scrapping p28/108</t>
  </si>
  <si>
    <t xml:space="preserve">SUNDRIES </t>
  </si>
  <si>
    <t>ls</t>
  </si>
  <si>
    <t>30.</t>
  </si>
  <si>
    <t>FINISHING THE TOP OF FLOORING</t>
  </si>
  <si>
    <t>WITH C.M(1:3)20mm THICK</t>
  </si>
  <si>
    <t xml:space="preserve"> (NO SAND)USING GRANITECHIPS</t>
  </si>
  <si>
    <t>OF 10mm&amp;BELOW (ELLISPATTERN)</t>
  </si>
  <si>
    <t xml:space="preserve">STONE JELLY 3mm to 10mm </t>
  </si>
  <si>
    <t>MAZDOOR  I</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</si>
  <si>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</si>
  <si>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</si>
  <si>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</si>
  <si>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</si>
  <si>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1 Rmt</t>
  </si>
  <si>
    <t>19 mm PVC rigid bends</t>
  </si>
  <si>
    <t>Tw Plugs (p 91 p J e)</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</si>
  <si>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</si>
  <si>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</si>
  <si>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</si>
  <si>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</si>
  <si>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</si>
  <si>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</si>
  <si>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</si>
  <si>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</si>
  <si>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</si>
  <si>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t>
  </si>
  <si>
    <t>TW switch  box  100 x 100 x 75 mm p 130 jd</t>
  </si>
  <si>
    <t>TW junction  box  150 x 100 x 75 mm p-130 j c</t>
  </si>
  <si>
    <t>3 mm thick laminated Hylem sheet (10X0.1X0.1)</t>
  </si>
  <si>
    <t>1.5 sqmm copper PVC insulated unsheathed single core cable for continuous earth connection</t>
  </si>
  <si>
    <t>90 Rmt</t>
  </si>
  <si>
    <t>Litre</t>
  </si>
  <si>
    <t>Paint SEP p-44 it-117</t>
  </si>
  <si>
    <t>Points</t>
  </si>
  <si>
    <t>Sundries 1% on materials</t>
  </si>
  <si>
    <t>Total for 10 Points</t>
  </si>
  <si>
    <t>Rate for 1 Point</t>
  </si>
  <si>
    <t>FAN POINT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</si>
  <si>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</si>
  <si>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 xml:space="preserve">Total for Data 1 excluding sundries </t>
  </si>
  <si>
    <t>Deduct cost of TW Box 10X10x7.5cm</t>
  </si>
  <si>
    <t>Deduct cost of Hylem sheet</t>
  </si>
  <si>
    <t>Add cost of TW box 12" x 8" x3" for switch and regulator 10 nos  @ Rs 69.90 / Each p-130 ,part  J a</t>
  </si>
  <si>
    <t>Hylem sheet 0.60 Sq m@ 630/Sq m p-130  ,7 a</t>
  </si>
  <si>
    <t>Add Sundries 1%</t>
  </si>
  <si>
    <t>Total for 10 points</t>
  </si>
  <si>
    <t>Rate for 1 points</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</si>
  <si>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</si>
  <si>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</si>
  <si>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</si>
  <si>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</si>
  <si>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 xml:space="preserve">Sundries </t>
  </si>
  <si>
    <t>Labour charges for 5 Nos</t>
  </si>
  <si>
    <t>Rate for Each</t>
  </si>
  <si>
    <t>Wiremen Grade II</t>
  </si>
  <si>
    <t>Helpers</t>
  </si>
  <si>
    <t>Total for 5 Nos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</si>
  <si>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</si>
  <si>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</si>
  <si>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</si>
  <si>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192.60/12 + 23.90) p-118 +123 part d a</t>
  </si>
  <si>
    <t>Rate for 1 point</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</si>
  <si>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</si>
  <si>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</si>
  <si>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</si>
  <si>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</si>
  <si>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</si>
  <si>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Total for 90 metres</t>
  </si>
  <si>
    <t>2 X 4 Sq mm in fully concealed PVC conduit (open wiring)</t>
  </si>
  <si>
    <t>Add 180 mt 4 Sqmm copper PVC insulated unsheathed S.C. cable p-86 2c</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</si>
  <si>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</si>
  <si>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</si>
  <si>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</si>
  <si>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</si>
  <si>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</si>
  <si>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</si>
  <si>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</si>
  <si>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Maistry</t>
  </si>
  <si>
    <t>Wiremen Grade  - I</t>
  </si>
  <si>
    <t>Wiremen Grade  - II</t>
  </si>
  <si>
    <t>Helper</t>
  </si>
  <si>
    <t xml:space="preserve">THREE PHASE DISTRIBUTION BOARD WITH 4 WAY PHASE AND 3 AMPS/WAY FUSE AND NEUTRAL LINK FOR MES SERVICE CONNECTION </t>
  </si>
  <si>
    <t>Three phase distribution board with 4 way/phase and 32 A / Way with fuse and neutral link. P120  8d</t>
  </si>
  <si>
    <t>TW plank of size 750 x 450 x 12 mm thick</t>
  </si>
  <si>
    <t>Sundries such as screws plugs, cement, wire and earth connection.</t>
  </si>
  <si>
    <t>Three phase ELCB P-94 10 a</t>
  </si>
  <si>
    <t>3 No of 30 amps MCB ( Part-L, P-93  6-a havells)</t>
  </si>
  <si>
    <t>Labour charges ( as per data No:30)</t>
  </si>
  <si>
    <t>Rate for Three phase ELCB</t>
  </si>
  <si>
    <t>PAINTING TWO COATS OVER NEW</t>
  </si>
  <si>
    <t>IRON WORKS WITH IIND CLASS</t>
  </si>
  <si>
    <t>SYNTHETIC ENAMEL PAINT</t>
  </si>
  <si>
    <t>READY MIXED IIND CLASS PAINT</t>
  </si>
  <si>
    <t>Name of work : Repair Works to Existing Barracks building at Othivakkam Shooting Range in Chennai City.</t>
  </si>
  <si>
    <t>Painting with two coats with Primer for Plastic Emulsion Paint in old ceiling</t>
  </si>
  <si>
    <t>Basement Floor</t>
  </si>
  <si>
    <t>Store 1</t>
  </si>
  <si>
    <t>Store 2</t>
  </si>
  <si>
    <t>Store 3</t>
  </si>
  <si>
    <t>Ground Floor</t>
  </si>
  <si>
    <t>Varendah</t>
  </si>
  <si>
    <t>Lobby</t>
  </si>
  <si>
    <t>Bell of Arms</t>
  </si>
  <si>
    <t>Store</t>
  </si>
  <si>
    <t>Dormitory</t>
  </si>
  <si>
    <t>Toilet wash area</t>
  </si>
  <si>
    <t>Toilet area</t>
  </si>
  <si>
    <t>First Floor</t>
  </si>
  <si>
    <t>ADGP Room</t>
  </si>
  <si>
    <t>ADGP Rest</t>
  </si>
  <si>
    <t>Toilet</t>
  </si>
  <si>
    <t>Second Floor</t>
  </si>
  <si>
    <t>SI Trainee Room</t>
  </si>
  <si>
    <t>Inspector Room</t>
  </si>
  <si>
    <t>Headroom</t>
  </si>
  <si>
    <t>Sunshade - w1</t>
  </si>
  <si>
    <t>w</t>
  </si>
  <si>
    <t>w2</t>
  </si>
  <si>
    <t>Grill Door</t>
  </si>
  <si>
    <t>Staircase window</t>
  </si>
  <si>
    <t>say</t>
  </si>
  <si>
    <t>Two Coat of OBD over the old wall (Inner)</t>
  </si>
  <si>
    <t>Inner wall</t>
  </si>
  <si>
    <t>add jams</t>
  </si>
  <si>
    <t>store W</t>
  </si>
  <si>
    <t>Grill Door 1</t>
  </si>
  <si>
    <t>Grill Gtae</t>
  </si>
  <si>
    <t>D/f</t>
  </si>
  <si>
    <t>Store W</t>
  </si>
  <si>
    <t>lobby</t>
  </si>
  <si>
    <t>Arms</t>
  </si>
  <si>
    <t>wash area</t>
  </si>
  <si>
    <t>Bath</t>
  </si>
  <si>
    <t>passage</t>
  </si>
  <si>
    <t>Add jams</t>
  </si>
  <si>
    <t>MD</t>
  </si>
  <si>
    <t>W1</t>
  </si>
  <si>
    <t>W2</t>
  </si>
  <si>
    <t>W</t>
  </si>
  <si>
    <t>D2</t>
  </si>
  <si>
    <t>V1</t>
  </si>
  <si>
    <t>V</t>
  </si>
  <si>
    <t>Cupboard</t>
  </si>
  <si>
    <t>Slab</t>
  </si>
  <si>
    <t>d/f</t>
  </si>
  <si>
    <t>Staircase Window</t>
  </si>
  <si>
    <t>Mess</t>
  </si>
  <si>
    <t>Outer</t>
  </si>
  <si>
    <t>Triangle Portion</t>
  </si>
  <si>
    <t>grill gate</t>
  </si>
  <si>
    <t>Kitchen</t>
  </si>
  <si>
    <t>Door Area</t>
  </si>
  <si>
    <t>jams</t>
  </si>
  <si>
    <t>Inner Room</t>
  </si>
  <si>
    <t>Inner Area</t>
  </si>
  <si>
    <t>Plastic Emulsion PAINT two coat for old wall (outer)</t>
  </si>
  <si>
    <t>Building Alround (G.F + FF+ SF+ Parapet)</t>
  </si>
  <si>
    <t>Basement side</t>
  </si>
  <si>
    <t>Parapet inner</t>
  </si>
  <si>
    <t>Parapet Top</t>
  </si>
  <si>
    <t>Headroom parapet Inner</t>
  </si>
  <si>
    <t>Hearoom Parapet top</t>
  </si>
  <si>
    <t>Providing wooden MELAMEN DOOR POLISH for Main Door</t>
  </si>
  <si>
    <t>Supply and repairing of window glass panels of 4mm thick for steel window and ventilaters.</t>
  </si>
  <si>
    <t>v</t>
  </si>
  <si>
    <t>Headroom window</t>
  </si>
  <si>
    <t>50% of total area</t>
  </si>
  <si>
    <t>Supply and fixing of horizontal type 4 Way TPDB 63A / Way with Fuse &amp; Neutral Link in sheet steel enclosure single door of single door type with metal door with IP43 protection with 63 Amps 30 MA - RCCB / ELCB (FOUR POLE) as incoming and 12 Nos. 6A to 32A SP MCB as outgoing in flush with wall and making good of the TW Board 40 cm x 30cm x 6.3 cm (MR) with earth connection. The MCB DB and MCB's should be with the ISI mark (like standard make)</t>
  </si>
  <si>
    <t>Ground Floor, First Floor &amp; Second Floor</t>
  </si>
  <si>
    <t>Solid PVC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 SOR 2021-2022 Pg.No: 43</t>
  </si>
  <si>
    <t>a) Solid panel PVC door with frame</t>
  </si>
  <si>
    <t xml:space="preserve">Ground Floor </t>
  </si>
  <si>
    <t>Plastering In CM 1:3 - 12mm Thick mixed with water proof compound</t>
  </si>
  <si>
    <t>Rear side wall</t>
  </si>
  <si>
    <t xml:space="preserve">Plastering in CM 1:3 - 10mm thick </t>
  </si>
  <si>
    <t>In rear side</t>
  </si>
  <si>
    <t>Plastering in CM 1:5 - 12mm Thick</t>
  </si>
  <si>
    <t>headroom side wall</t>
  </si>
  <si>
    <t xml:space="preserve">window side </t>
  </si>
  <si>
    <t>Scrapping and Pointing with CM (1:3) for PRESSED TILES including water proof compound</t>
  </si>
  <si>
    <t>Terrace area</t>
  </si>
  <si>
    <t>Skirting</t>
  </si>
  <si>
    <t>Painting Two coats over the old wood work with synthetic Enamel Paint</t>
  </si>
  <si>
    <t>Door</t>
  </si>
  <si>
    <t>Painting Two coats over the old Iron work with synthetic Enamel Paint</t>
  </si>
  <si>
    <t>Grill Gate</t>
  </si>
  <si>
    <t>Grill door</t>
  </si>
  <si>
    <t>Headroom Grill</t>
  </si>
  <si>
    <t>Staircase Hand rail</t>
  </si>
  <si>
    <t>Mess- w</t>
  </si>
  <si>
    <t>Mess - Grill Door</t>
  </si>
  <si>
    <t>Kitchen area - Mesh</t>
  </si>
  <si>
    <t>Kitchen Door</t>
  </si>
  <si>
    <t>Dismantling Floor finish and dadooing walls in cement mortar with
Mosaic Tiles / Glazed Tiles / Cuddapah Slabs. PWD SR 2021-2022 Pg.no-22.</t>
  </si>
  <si>
    <t>Ground Floor, First Floor &amp; Second floor Bathroom wall tile</t>
  </si>
  <si>
    <t>First floor wash area</t>
  </si>
  <si>
    <t>First floor Toilet area</t>
  </si>
  <si>
    <t>Second Floor wash area</t>
  </si>
  <si>
    <t>Second Floor Toilet area</t>
  </si>
  <si>
    <t>Dismantling Pressed Tiles &amp; Weathering Course. PWD SR 2021-2022 Pg.no-22.</t>
  </si>
  <si>
    <t>Providing Weathering course with brick jelly lime in ratio 32/121/2  by volume well watering consolidate with wooden beater to required slop</t>
  </si>
  <si>
    <t>Providing White/Color ceramic floor tiles (Anti-skid) of any size 0f 6mm T.K including pointing etc., as directed by the Dept.Officers.</t>
  </si>
  <si>
    <t xml:space="preserve">Suppling and laying White/Plain colour Glazed tiles in C.M(1:2) </t>
  </si>
  <si>
    <t>Supply and laying of Designer tile flooring</t>
  </si>
  <si>
    <t>Ground Floor Arms</t>
  </si>
  <si>
    <t>First Floor ADGP Room</t>
  </si>
  <si>
    <t>First Floor ADGP Rest</t>
  </si>
  <si>
    <t>Second floor SI Trainee Room</t>
  </si>
  <si>
    <t>Second floor Ins Room</t>
  </si>
  <si>
    <t>Finishing top  of roof with one course of pressed tiles over a bed of CM (1:3) 12mm thick, mixed with water proof compound</t>
  </si>
  <si>
    <t>Terrace</t>
  </si>
  <si>
    <t>Supply and laying of Following ASTM Pipe including necessary specials</t>
  </si>
  <si>
    <t>a) 20mm dia</t>
  </si>
  <si>
    <t>in Toilet</t>
  </si>
  <si>
    <t>b) 25mm dia</t>
  </si>
  <si>
    <t>In Toilet - Outer</t>
  </si>
  <si>
    <t>C)50MM DIA</t>
  </si>
  <si>
    <t>wash basin</t>
  </si>
  <si>
    <t>Supply and fixing of PVC Soil Pipes and specials of following dia</t>
  </si>
  <si>
    <t>a) 110mm pipe</t>
  </si>
  <si>
    <t>Building outer</t>
  </si>
  <si>
    <t>a) 75mm pipe</t>
  </si>
  <si>
    <t>15mm dia half turn CP Long Body Tap</t>
  </si>
  <si>
    <t>Supply and Fixing PVC 4 way Nahani Trap</t>
  </si>
  <si>
    <t>Ground floor &amp; First Floor</t>
  </si>
  <si>
    <t>Supply and Fixing of EWC 18" SIZE</t>
  </si>
  <si>
    <t>Ground Floor Toilet</t>
  </si>
  <si>
    <t>First Floor Toilt</t>
  </si>
  <si>
    <t>Second Floor Toilet</t>
  </si>
  <si>
    <t>Supplying, fabricating, erecting and fixing Hilux (or) Equivalent Board False Ceiling upto a ceiling height of 4.5m from floor level. Using Perforated Sheets (10mm thick). PWD SOR 2021-2022 Pg.no. 53</t>
  </si>
  <si>
    <t>Supply and Installation of Air Conditioner with copper coil  1.5 TR Split Type AC Unit (5 star) PWD SOR 2021-2022 Pg.no: 142</t>
  </si>
  <si>
    <t>In First Floor ADGP Rest</t>
  </si>
  <si>
    <t>Supply and Installation of Air Conditioner with copper coil  2.0 TR Split Type AC Unit (5 star) PWD SOR 2021-2022 Pg.no: 142</t>
  </si>
  <si>
    <t>In First Floor ADGP Room</t>
  </si>
  <si>
    <t>Supply and installation of 5 KVA capacity Automatic Voltage Stabilizer with time delay relay. PWD SOR 2021-2022 Pg.no: 143</t>
  </si>
  <si>
    <t>In First Floor ADGP Room &amp; ADGP Rest</t>
  </si>
  <si>
    <t>Supply and fixing of MS stand for fixing outdoor unit. PWD SOR 2021-2022 Pg.no: 143</t>
  </si>
  <si>
    <t>Supply and fixing of Modular Switches (6A) - 6A Switch 1W - 1 Module pg.no 121 SOR 2021-2022</t>
  </si>
  <si>
    <t xml:space="preserve">Magazine </t>
  </si>
  <si>
    <t>wash</t>
  </si>
  <si>
    <t xml:space="preserve">SI Trainee </t>
  </si>
  <si>
    <t>Ins Room</t>
  </si>
  <si>
    <t>supply and fixing Stepped Electronic 300W / 450W Square Type Fan Regulator. PWD SR 2021-2022 Pg.no: 117</t>
  </si>
  <si>
    <t>supply and fixing of COMBINED PLATES (PLASTIC) - SOR 2021-2022 - Pg.no : 123</t>
  </si>
  <si>
    <t>a) 8 Module Cover Plate (H)</t>
  </si>
  <si>
    <t>GF, FF &amp; SF</t>
  </si>
  <si>
    <t>Rooms</t>
  </si>
  <si>
    <t xml:space="preserve">b) 12 Module Cover Plate </t>
  </si>
  <si>
    <t>GF, FF &amp; SF - Dormitory</t>
  </si>
  <si>
    <t>Supply and fixing of SOCKET - 230V 6/16A Socket - 3 Module - SOR 2021-2022 Pg.no: 123</t>
  </si>
  <si>
    <t>From DB to Switch Board</t>
  </si>
  <si>
    <t>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</si>
  <si>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From Panel AC</t>
  </si>
  <si>
    <t>Supply and  Fixing of 48 w LED street light fitting including GI pipe B class of 50 mm dia with Back clamps with bolts and nuts, 15 Amps 500 V fuse unit in TW plank for fixing the fuse unit of 150 x 100 x 20 mm, 2.5 Sqmm PVC insulated unsheathed copper cable and Labour charges for fixing the street light fitting with the required accessories in the E.B pole including connection etc., complete.</t>
  </si>
  <si>
    <t>Building Alround</t>
  </si>
  <si>
    <t>Supply and fixing of 20A DP plug and socket in sheet enclosure with 32A DP MCB in flush with wall with earth connection (For AC Plug) - Electrical SR - SD 140 - 2021 - 2022</t>
  </si>
  <si>
    <t>ADGP Room &amp; ADGP Rest</t>
  </si>
  <si>
    <t>Labour welfare fund @1.00 %</t>
  </si>
  <si>
    <t>Supervision Charges @ 7.50%</t>
  </si>
  <si>
    <t>Painting the old ceiling wall with two coats of ceiling white primer paint.</t>
  </si>
  <si>
    <t>Plastic Emulsion PAINT Two coat for old wall. Outer</t>
  </si>
  <si>
    <t>c) 50mm dia</t>
  </si>
  <si>
    <t>3,27,600.00</t>
  </si>
  <si>
    <t>Name of work : Renovation of existing Bund for fire Range at Othivakkam Shooting Range in Chennai City.</t>
  </si>
  <si>
    <t>Supplying and Filling with sand of 150mm thick</t>
  </si>
  <si>
    <t xml:space="preserve">Long Range </t>
  </si>
  <si>
    <t>Short Range</t>
  </si>
  <si>
    <t>Cum</t>
  </si>
  <si>
    <t>White washing two coat with slcked lime shell</t>
  </si>
  <si>
    <t xml:space="preserve">Two coat of OBD over old wall inner walls </t>
  </si>
  <si>
    <t>a) In Ground Floor</t>
  </si>
  <si>
    <t>cum</t>
  </si>
  <si>
    <t>c) Second Floor</t>
  </si>
  <si>
    <r>
      <t xml:space="preserve">Dimmer Type Electronic Type 300W/450W Square Tpe Fan Regulator </t>
    </r>
    <r>
      <rPr>
        <b/>
        <sz val="12"/>
        <color theme="1"/>
        <rFont val="Times New Roman"/>
        <family val="1"/>
      </rPr>
      <t>(PWD SR Rate page No. 117 (2021-2022)</t>
    </r>
  </si>
  <si>
    <t>PVC Water supply (ASTM)</t>
  </si>
  <si>
    <t>a) 32mm dia</t>
  </si>
  <si>
    <t xml:space="preserve">b. 25 mm dia </t>
  </si>
  <si>
    <r>
      <t xml:space="preserve">PVC SWR 110 mm dia with ISI mark type- A for </t>
    </r>
    <r>
      <rPr>
        <b/>
        <sz val="12"/>
        <rFont val="Arial"/>
        <family val="2"/>
      </rPr>
      <t>Rain water down fall pipe</t>
    </r>
  </si>
  <si>
    <t>PVC SWR pipe (Soil line) with ISI mark - type 'B'.</t>
  </si>
  <si>
    <t>a. 110 mm dia.</t>
  </si>
  <si>
    <t>b. 75 mm dia.</t>
  </si>
  <si>
    <t>Name of work : Repairs /Renovation work for Existing Admin building at Othivakkam in Chennai City.</t>
  </si>
  <si>
    <t>White washing two coat with slacked lime</t>
  </si>
  <si>
    <t>Class Room</t>
  </si>
  <si>
    <t>Beam side</t>
  </si>
  <si>
    <t>Office</t>
  </si>
  <si>
    <t>Magazine</t>
  </si>
  <si>
    <t>Dinning</t>
  </si>
  <si>
    <t>Portico</t>
  </si>
  <si>
    <t>corridor</t>
  </si>
  <si>
    <t>Dormitory (Class Room)</t>
  </si>
  <si>
    <t>watch tower</t>
  </si>
  <si>
    <t>Staircase</t>
  </si>
  <si>
    <t>Toilet Area</t>
  </si>
  <si>
    <t>Urinal 1&amp; 2</t>
  </si>
  <si>
    <t>Inner wall area</t>
  </si>
  <si>
    <t>Toilet outer area</t>
  </si>
  <si>
    <t>Bath and Toilet</t>
  </si>
  <si>
    <t>staircase handrail</t>
  </si>
  <si>
    <t>W3</t>
  </si>
  <si>
    <t>KW</t>
  </si>
  <si>
    <t>Open</t>
  </si>
  <si>
    <t>open</t>
  </si>
  <si>
    <t>Dormitory (class room)</t>
  </si>
  <si>
    <t>Dromitory</t>
  </si>
  <si>
    <t>Plastic Emulsion PAINT Two coat for old wall</t>
  </si>
  <si>
    <t>Building Front</t>
  </si>
  <si>
    <t>Ground floor</t>
  </si>
  <si>
    <t>Basement</t>
  </si>
  <si>
    <t>Drops</t>
  </si>
  <si>
    <t>Portico column</t>
  </si>
  <si>
    <t>Inner drops</t>
  </si>
  <si>
    <t>First floor</t>
  </si>
  <si>
    <t>Corridor Inner</t>
  </si>
  <si>
    <t xml:space="preserve">Corridoer </t>
  </si>
  <si>
    <t>side room top</t>
  </si>
  <si>
    <t>Parapet wall</t>
  </si>
  <si>
    <t>Building Right</t>
  </si>
  <si>
    <t>Building Left</t>
  </si>
  <si>
    <t>Building Rear</t>
  </si>
  <si>
    <t>Sunshade</t>
  </si>
  <si>
    <t>side</t>
  </si>
  <si>
    <t>Watch Tower</t>
  </si>
  <si>
    <t>Colum</t>
  </si>
  <si>
    <t>Tower</t>
  </si>
  <si>
    <t>Motor Room</t>
  </si>
  <si>
    <t>outer</t>
  </si>
  <si>
    <t>front</t>
  </si>
  <si>
    <t>sunshade</t>
  </si>
  <si>
    <t>inner</t>
  </si>
  <si>
    <t>Manufacturing, Supplying and Fixing of Stainless Steel Hand 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complete. SOR 2021-2022 Pg.no. 57</t>
  </si>
  <si>
    <t>sides</t>
  </si>
  <si>
    <t>40% of total area</t>
  </si>
  <si>
    <t>EB Panel Borad for 1 services of size 3.3 ft x 3.3 ft x 1 ft</t>
  </si>
  <si>
    <t>near Staircase</t>
  </si>
  <si>
    <t>Supply and fixing of horizontal type 6 Way TPDB 63A / Way with Fuse &amp; Neutral Link in sheet steel enclosure single door of single door type with metal door with IP43 protection with 63 Amps 30 MA - RCCB / ELCB (FOUR POLE) as incoming and 18 Nos. 6A to 32A SP MCB as outgoing in flush with wall and making good of the TW Board 40 cm x 30cm x 6.3 cm (MR) with earth connection. The MCB DB and MCB's should be with the ISI mark (like standard make)</t>
  </si>
  <si>
    <t>Ground Floor &amp; First Floor</t>
  </si>
  <si>
    <t>Flush door shutter size 1200x2100 ( Single leaf)</t>
  </si>
  <si>
    <t>Supply and Fixing Soild UPVC door Shutter with frame</t>
  </si>
  <si>
    <t>B.W IN C.M(1:6) using chamber burnt of size 23x11.4x7.5 cm</t>
  </si>
  <si>
    <t>a) Ground Floor</t>
  </si>
  <si>
    <t>for EB Panel Board</t>
  </si>
  <si>
    <t>c) In Second Floor</t>
  </si>
  <si>
    <t>Headroom - Parapet wall</t>
  </si>
  <si>
    <t>For EB Panel Borad</t>
  </si>
  <si>
    <t>Hearoom - Parapet wall</t>
  </si>
  <si>
    <t>Painting Two coats over the new wood work with synthetic Enamel Paint</t>
  </si>
  <si>
    <t>Class Room - Wood Frame</t>
  </si>
  <si>
    <t>GF &amp; FF Door</t>
  </si>
  <si>
    <t>Terrace Door</t>
  </si>
  <si>
    <t>First Floor Bathroom wall tile</t>
  </si>
  <si>
    <t>Floor tiles</t>
  </si>
  <si>
    <t>Headroom Skirting</t>
  </si>
  <si>
    <t>side room</t>
  </si>
  <si>
    <t>Providing cooling tiles over terrace floor</t>
  </si>
  <si>
    <t>Floor tiles Ground floor &amp; First floor</t>
  </si>
  <si>
    <t>add jamps</t>
  </si>
  <si>
    <t>Urinals side</t>
  </si>
  <si>
    <t>urinals face side</t>
  </si>
  <si>
    <t xml:space="preserve">Entrance </t>
  </si>
  <si>
    <t>Ground &amp; First Floor Bathroom wall tile</t>
  </si>
  <si>
    <t>d/f Toilet door</t>
  </si>
  <si>
    <t>add side wall</t>
  </si>
  <si>
    <t>Urinal wall</t>
  </si>
  <si>
    <t>d/f opening</t>
  </si>
  <si>
    <t>Urinals face wall side</t>
  </si>
  <si>
    <t>face wall side</t>
  </si>
  <si>
    <t>side wall</t>
  </si>
  <si>
    <t>Kitchen wall side</t>
  </si>
  <si>
    <t>Vitrified Tiles flooring (Ivory)</t>
  </si>
  <si>
    <t>skiting</t>
  </si>
  <si>
    <t>Dining</t>
  </si>
  <si>
    <t>class room</t>
  </si>
  <si>
    <t>office room</t>
  </si>
  <si>
    <t>Concrete designer tiles flooring</t>
  </si>
  <si>
    <t>Ground Floor Corrider</t>
  </si>
  <si>
    <t>Steps landing Ground floor &amp; First floor</t>
  </si>
  <si>
    <t>face</t>
  </si>
  <si>
    <t>First Floor Corrider</t>
  </si>
  <si>
    <t>Painting two coats over new plastered surface with plastic emulsion paint</t>
  </si>
  <si>
    <t>Dismantling, clearing away and carefully stacking materials useful for re-use for any thickness of walls of Brick / Stone Masonry in cement mortar walls under 3m high - SOR 2021-2022 Pg.No: 21</t>
  </si>
  <si>
    <t>Head room - Parapet wall</t>
  </si>
  <si>
    <t>Supply and laying 20mm dia PVC ASTM pipe</t>
  </si>
  <si>
    <t>15mm dia half turn CP short body Tap</t>
  </si>
  <si>
    <t>Supply and fixing of 50mm dia ASTM PVC Pipe</t>
  </si>
  <si>
    <t>Urinals</t>
  </si>
  <si>
    <t xml:space="preserve">Dormitory </t>
  </si>
  <si>
    <t>From Panel To DB</t>
  </si>
  <si>
    <t>Providing Teak Wood Wrought and Put up</t>
  </si>
  <si>
    <t>a) T.W.SCANTLING 2M-3M LONG</t>
  </si>
  <si>
    <t>b) T.W.SCANTLING UP TO 2M LONG</t>
  </si>
  <si>
    <t>Dimmer Type Electronic Type 300W/450W Square Tpe Fan Regulator</t>
  </si>
  <si>
    <t>Fan</t>
  </si>
  <si>
    <t>building to OHT Tank</t>
  </si>
  <si>
    <t>Tank to building</t>
  </si>
  <si>
    <t>outer line</t>
  </si>
  <si>
    <t>Toilet line</t>
  </si>
  <si>
    <t>Name of work : Renovation of obstacle commando training school at othivakkam in Chennai City</t>
  </si>
  <si>
    <t>ABSTRACT</t>
  </si>
  <si>
    <t>S.No</t>
  </si>
  <si>
    <t xml:space="preserve">Qty </t>
  </si>
  <si>
    <t xml:space="preserve">Rate </t>
  </si>
  <si>
    <t xml:space="preserve">Earth work excavation for foundation (Including Refilling)
</t>
  </si>
  <si>
    <t>a) 0 to 2 mt depth</t>
  </si>
  <si>
    <t>Supply and filling in foundation and basement with Stonedust.</t>
  </si>
  <si>
    <t>Plain cement concrete 1:5:10 for foundation and basement.</t>
  </si>
  <si>
    <t>Brick work in CM 1:5 using chamber burnt brick of size 23x11.4x7.5cm in Foundation and basement</t>
  </si>
  <si>
    <t>Plastering in CM 1:5, 12mm thick finished with neat cement</t>
  </si>
  <si>
    <t>Two coat of cement paint over one coat of cement</t>
  </si>
  <si>
    <t>Supplying in filling with sand</t>
  </si>
  <si>
    <r>
      <t>Painting the new Iron work</t>
    </r>
    <r>
      <rPr>
        <sz val="14"/>
        <rFont val="Book Antiqua"/>
        <family val="1"/>
      </rPr>
      <t xml:space="preserve"> and other similar works such as PVC /ASTM Pipes, Kerb Stone and grills with two coats of approved first class synthetic enamel paint (The quality and the brand of paint should be got approved by the Executive Engineer before use) complying  with relevant Standard specifications.</t>
    </r>
  </si>
  <si>
    <t>Jungle Clerance (Heavy) (PWD SR Rate Page No.21 (2021-2022)</t>
  </si>
  <si>
    <t>G S T 18 %</t>
  </si>
  <si>
    <t>Name of work : Renovation of obstacle commando training school at otthivakkam in Chennai City</t>
  </si>
  <si>
    <t xml:space="preserve">Description of work </t>
  </si>
  <si>
    <t xml:space="preserve">Measurement in Mtrs </t>
  </si>
  <si>
    <t>a) Over bridge</t>
  </si>
  <si>
    <t>starting pit</t>
  </si>
  <si>
    <t>For jump pit</t>
  </si>
  <si>
    <t>b)spider net</t>
  </si>
  <si>
    <t>c)sky scrapper</t>
  </si>
  <si>
    <t>d)high gate wall</t>
  </si>
  <si>
    <t>e)hook and climp</t>
  </si>
  <si>
    <t xml:space="preserve">f)over stepping </t>
  </si>
  <si>
    <t>g)double rope cravel</t>
  </si>
  <si>
    <t>h)sand wich</t>
  </si>
  <si>
    <t>i)narrow cravel</t>
  </si>
  <si>
    <t>j)cripper climp</t>
  </si>
  <si>
    <t>k)tiger leaf</t>
  </si>
  <si>
    <t>l)inclined high balance wall</t>
  </si>
  <si>
    <t>m)step up</t>
  </si>
  <si>
    <t>n)Tarzen</t>
  </si>
  <si>
    <t>o)unsteady walk</t>
  </si>
  <si>
    <t>p)W Wall</t>
  </si>
  <si>
    <t>q)building climp</t>
  </si>
  <si>
    <t>r)weavers</t>
  </si>
  <si>
    <t>s)6" feat wall</t>
  </si>
  <si>
    <t>t)10" feat wall</t>
  </si>
  <si>
    <t>Brick work in CM 1:5 using chmaber burnt brick of size 23x11.4x7.5cm in Foundation and basement</t>
  </si>
  <si>
    <t>wall around and top</t>
  </si>
  <si>
    <t>Supplying of filling with sand</t>
  </si>
  <si>
    <t xml:space="preserve">Painting the new Iron work and other similar works </t>
  </si>
  <si>
    <t>150mm MS pipe (3.14x28.40=89.18)</t>
  </si>
  <si>
    <t>90mm MS pipe (3.14x24.30=76.30)</t>
  </si>
  <si>
    <t>For step 100mm pipe (3.14x3.05=9.58)</t>
  </si>
  <si>
    <t>Top Channel (75x75x5mm)</t>
  </si>
  <si>
    <t xml:space="preserve">Vertical (75x75x5mm) </t>
  </si>
  <si>
    <t>Inclined (75x75x5mm)</t>
  </si>
  <si>
    <t>125mm pipes</t>
  </si>
  <si>
    <t>65mm column tie</t>
  </si>
  <si>
    <t>MS plate Top and bottom</t>
  </si>
  <si>
    <t>c) sky scapper</t>
  </si>
  <si>
    <t>Pipes</t>
  </si>
  <si>
    <t xml:space="preserve">200mm MS pipe </t>
  </si>
  <si>
    <t>d) high gate wall</t>
  </si>
  <si>
    <t>150mm MS pipe (3.14x18.00=56.52)</t>
  </si>
  <si>
    <t>125mm MS pipe (3.14x18.30=57.46)</t>
  </si>
  <si>
    <t>65mm MS pipe (3.14x19.20=60.29)</t>
  </si>
  <si>
    <t>e) hook and climp</t>
  </si>
  <si>
    <t>150mm MS pipe (3.14x33.20=104.25)</t>
  </si>
  <si>
    <t>50mm MS pipe (3.14x24.80=77.87)</t>
  </si>
  <si>
    <t>f) over stepping</t>
  </si>
  <si>
    <t>150mm MS pipe</t>
  </si>
  <si>
    <t>90mm MS pipe</t>
  </si>
  <si>
    <t>For step 100mm pipe</t>
  </si>
  <si>
    <t>For step horizontal</t>
  </si>
  <si>
    <t>g) creeper climp</t>
  </si>
  <si>
    <t>200mm MS pipe (3.14x15.8=49.61)</t>
  </si>
  <si>
    <t>150mm MS pipe (3.14x20.1=63.11)</t>
  </si>
  <si>
    <t>50mm MS pipe (3.14x9.75=30.62)</t>
  </si>
  <si>
    <t>M.S Flat 50x10mm</t>
  </si>
  <si>
    <t>h) inclined high balance walk</t>
  </si>
  <si>
    <t>M.S Flat (0.125x0.20x0.01=0.00025)</t>
  </si>
  <si>
    <t>i) unstedy</t>
  </si>
  <si>
    <t>150mm MS pipe (3.14x11.15=35.01)</t>
  </si>
  <si>
    <t>L angle (25x25x5mm)</t>
  </si>
  <si>
    <t>j) weavers</t>
  </si>
  <si>
    <t>150mm pipe</t>
  </si>
  <si>
    <t>125mm pipe</t>
  </si>
  <si>
    <t>50mm pipe</t>
  </si>
  <si>
    <t>Jungle Clerance</t>
  </si>
  <si>
    <t>Obstacle Runway Upto 1.00 km</t>
  </si>
  <si>
    <t>Name of work : Replacing of existing fire shooting Range (4 x 4 Target 300 yards Target frame Maintanance) at Othivakkam in Chengalpattu district.</t>
  </si>
  <si>
    <t>4 x 4 Target 300 yards Target frame</t>
  </si>
  <si>
    <t>G S T  @ 18 %</t>
  </si>
  <si>
    <r>
      <rPr>
        <b/>
        <u/>
        <sz val="14"/>
        <rFont val="Cambria"/>
        <family val="1"/>
        <scheme val="major"/>
      </rPr>
      <t>Name of work:</t>
    </r>
    <r>
      <rPr>
        <b/>
        <sz val="14"/>
        <rFont val="Cambria"/>
        <family val="1"/>
        <scheme val="major"/>
      </rPr>
      <t xml:space="preserve"> Providing  Sullage drain for commando training school at Othivakkam in Chennai City.</t>
    </r>
  </si>
  <si>
    <t>Sl. No</t>
  </si>
  <si>
    <r>
      <t xml:space="preserve">Earth work excavation for </t>
    </r>
    <r>
      <rPr>
        <b/>
        <sz val="12"/>
        <rFont val="Arial"/>
        <family val="2"/>
      </rPr>
      <t xml:space="preserve">Open foundation </t>
    </r>
    <r>
      <rPr>
        <sz val="12"/>
        <rFont val="Arial"/>
        <family val="2"/>
      </rPr>
      <t xml:space="preserve"> for drains (excluding refilling) width  upto 1.25 m</t>
    </r>
  </si>
  <si>
    <t>a. 0 to 2 mt.</t>
  </si>
  <si>
    <t>Supplying and filling of stone dust</t>
  </si>
  <si>
    <t>P.C.C.1:5:10 for Foundation &amp; Basement</t>
  </si>
  <si>
    <t xml:space="preserve"> Brick work in CM 1:5 foundation and basement using chamber burnt bricks</t>
  </si>
  <si>
    <t>Plastering 1:5, 12mmtk</t>
  </si>
  <si>
    <t>Plastering CM 1:4 20mm tk</t>
  </si>
  <si>
    <t>Plastic Emulsion Paint</t>
  </si>
  <si>
    <t>Precast cupboard slab 40 mm tkusing standardised concrete mix M20 (annexure)</t>
  </si>
  <si>
    <t>a. In Foundation &amp; basement</t>
  </si>
  <si>
    <t>Supplying, fabricating and placing in postion MS / RTS</t>
  </si>
  <si>
    <t>MT</t>
  </si>
  <si>
    <t xml:space="preserve"> TOTAL - I</t>
  </si>
  <si>
    <t>GST @18%</t>
  </si>
  <si>
    <t xml:space="preserve"> Total - II</t>
  </si>
  <si>
    <t>Labour Welfare fund @ 1 %</t>
  </si>
  <si>
    <t>Unforeseen items  @ 2.5%</t>
  </si>
  <si>
    <t>Supervision Charges @ 7.5%</t>
  </si>
  <si>
    <t>Grand Total</t>
  </si>
  <si>
    <t>S. no</t>
  </si>
  <si>
    <t>Quantity</t>
  </si>
  <si>
    <t>main drain 1( barracks to drain pit )</t>
  </si>
  <si>
    <t>main drain 2(new barraks drain pit)</t>
  </si>
  <si>
    <t>supplying and filling of stone dust</t>
  </si>
  <si>
    <t>platering cm1:5,12mm tk</t>
  </si>
  <si>
    <t>main drain 1( barracks to drain pit ) Outer</t>
  </si>
  <si>
    <t>main drain 1( barracks to drain pit ) top</t>
  </si>
  <si>
    <t>main drain 2(new barraks drain pit)top</t>
  </si>
  <si>
    <t>Plastering CM 1:4  20mm tk</t>
  </si>
  <si>
    <t>main drain 1( barracks to drain pit ) bottom</t>
  </si>
  <si>
    <t>precast 40mm thick  foundation basement</t>
  </si>
  <si>
    <t>a) Foundation basement</t>
  </si>
  <si>
    <t>Supplying, fabricating and placing in position of Mild steel Grills / Ribbed Tor Steels for reinforcement for all floors including cost of binding wire, bending, tying and applying one coat of cement slurry etc., all complete in all respects.</t>
  </si>
  <si>
    <t>Sl.No. 8. Precast salb 40mm Qty = 266.80 x 0.04 = 10.67 Cum</t>
  </si>
  <si>
    <t>Kg/m3</t>
  </si>
  <si>
    <t xml:space="preserve">Providing Sump and Pumpset arrangements for Commando office building at Othivakkam shooting range in Chennai city. </t>
  </si>
  <si>
    <t>Measurements</t>
  </si>
  <si>
    <r>
      <t xml:space="preserve">Earth work excavation for </t>
    </r>
    <r>
      <rPr>
        <b/>
        <sz val="11"/>
        <rFont val="Arial"/>
        <family val="2"/>
      </rPr>
      <t xml:space="preserve">Open foundation </t>
    </r>
    <r>
      <rPr>
        <sz val="11"/>
        <rFont val="Arial"/>
        <family val="2"/>
      </rPr>
      <t>(excluding refilling)</t>
    </r>
  </si>
  <si>
    <t>sump</t>
  </si>
  <si>
    <t>3.14/4</t>
  </si>
  <si>
    <t>5.30 x5.30</t>
  </si>
  <si>
    <t>Plain cement concrete 1:5:10 (One of cement, five of sand 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t>
  </si>
  <si>
    <r>
      <t>Brick work in C.M. 1:6</t>
    </r>
    <r>
      <rPr>
        <sz val="12"/>
        <rFont val="Arial"/>
        <family val="2"/>
      </rPr>
      <t xml:space="preserve"> using chamber Burnt bricks of size 23 x 11.4 x 7.5 cm (9" x 4 1/2"x 3")</t>
    </r>
  </si>
  <si>
    <t>a. In Ground floor</t>
  </si>
  <si>
    <t>Pump room inner size 2.40 x 2.10</t>
  </si>
  <si>
    <t>d/f gate</t>
  </si>
  <si>
    <r>
      <t xml:space="preserve">Brick partition work in C.M. 1:4 </t>
    </r>
    <r>
      <rPr>
        <sz val="12"/>
        <rFont val="Arial"/>
        <family val="2"/>
      </rPr>
      <t xml:space="preserve">using chamber Burnt bricks of size 23 x 11.4 x 7.5 cm (9" x 4 1/2"x 3") </t>
    </r>
    <r>
      <rPr>
        <b/>
        <sz val="12"/>
        <rFont val="Arial"/>
        <family val="2"/>
      </rPr>
      <t>114 mm tk (B.P.)</t>
    </r>
  </si>
  <si>
    <t>b. In Ground floor</t>
  </si>
  <si>
    <t>pump room side</t>
  </si>
  <si>
    <t>add brick pillar</t>
  </si>
  <si>
    <t xml:space="preserve"> Flooring Plastering in C.M. 1:4, 20 mm tk.</t>
  </si>
  <si>
    <t>sump wall alround inner</t>
  </si>
  <si>
    <t>3.14 x 4.00</t>
  </si>
  <si>
    <t>sump cover slab bottom &amp; Top</t>
  </si>
  <si>
    <t xml:space="preserve">3.14/4 </t>
  </si>
  <si>
    <t>4.00 x 4.00</t>
  </si>
  <si>
    <t>Ellispattern</t>
  </si>
  <si>
    <t>Sump cover slab top</t>
  </si>
  <si>
    <t>4.20 x 4.20</t>
  </si>
  <si>
    <t>pump room slab</t>
  </si>
  <si>
    <t>inner alround pump room</t>
  </si>
  <si>
    <t>outer alround</t>
  </si>
  <si>
    <t>add gate jamps</t>
  </si>
  <si>
    <t>sump wall alround outer</t>
  </si>
  <si>
    <t>3.14 x 4.40</t>
  </si>
  <si>
    <t>Spl. Ceiling plastering in C.M. 1:3,
 10 mm tk.</t>
  </si>
  <si>
    <t>slab side</t>
  </si>
  <si>
    <t>side alround</t>
  </si>
  <si>
    <r>
      <t>White washing 3 coats</t>
    </r>
    <r>
      <rPr>
        <b/>
        <sz val="18"/>
        <rFont val="Arial"/>
        <family val="2"/>
      </rPr>
      <t xml:space="preserve">  (slaked)</t>
    </r>
  </si>
  <si>
    <t>Standardised concrete Mix M25 Grade Concrete</t>
  </si>
  <si>
    <t>a. In Foundation and basement</t>
  </si>
  <si>
    <t>Sump base slab</t>
  </si>
  <si>
    <t>5.00 x5.00</t>
  </si>
  <si>
    <t>Sump circular wall alround</t>
  </si>
  <si>
    <t>3.14x4.20</t>
  </si>
  <si>
    <t>sump cover slab</t>
  </si>
  <si>
    <t>4.20 x4.20</t>
  </si>
  <si>
    <t>d/f manhole cover</t>
  </si>
  <si>
    <t>0.60 x0.60</t>
  </si>
  <si>
    <t>Pump room slab</t>
  </si>
  <si>
    <t>Formwork using M.S.Sheet</t>
  </si>
  <si>
    <t>b.Plain surfaces such as Roof slab,floorslab,Beams,lintels,lofts,sill slab,staircase,portico slab and other similar works</t>
  </si>
  <si>
    <t>Pump room sunshade slab</t>
  </si>
  <si>
    <t>projection slab</t>
  </si>
  <si>
    <t>Pump room slab side</t>
  </si>
  <si>
    <t>f.Curved surface</t>
  </si>
  <si>
    <t>sump base slab</t>
  </si>
  <si>
    <t>3.14 x 5.00</t>
  </si>
  <si>
    <t>sump cover slab bottom</t>
  </si>
  <si>
    <t>d/f manhole</t>
  </si>
  <si>
    <t>0.60 x 0.60</t>
  </si>
  <si>
    <t>add manhole side</t>
  </si>
  <si>
    <t>sump cover slab side alround</t>
  </si>
  <si>
    <t xml:space="preserve">Two coat of OBD over one coat white cement for inner walls </t>
  </si>
  <si>
    <t>Plastic Emulsion PAINT including primer for outer walls</t>
  </si>
  <si>
    <t>outer alround Pump room</t>
  </si>
  <si>
    <r>
      <t xml:space="preserve">Fabrication of </t>
    </r>
    <r>
      <rPr>
        <b/>
        <sz val="11"/>
        <rFont val="Cambria"/>
        <family val="1"/>
      </rPr>
      <t>Mild steel / RTS grills (without cement slurry) for all sizes of rods.</t>
    </r>
    <r>
      <rPr>
        <sz val="11"/>
        <rFont val="Cambria"/>
        <family val="1"/>
      </rPr>
      <t xml:space="preserve">
</t>
    </r>
  </si>
  <si>
    <t>Concrete Qty . Sl.no. 10</t>
  </si>
  <si>
    <t>17.10 x 110 kg/cum</t>
  </si>
  <si>
    <t>C.I. Steps ( 5 kg)</t>
  </si>
  <si>
    <t>Sump</t>
  </si>
  <si>
    <t>S&amp;F of SRFC Manhole cover 60 x 60 cm</t>
  </si>
  <si>
    <t>Filling with Excavated Earth</t>
  </si>
  <si>
    <t>Sump side alround</t>
  </si>
  <si>
    <r>
      <t xml:space="preserve">Supply and Delivery of openwell submersible motor Pumpset with ISI mark IS 8034 without Panel Board of </t>
    </r>
    <r>
      <rPr>
        <b/>
        <sz val="9"/>
        <color indexed="8"/>
        <rFont val="Times New Roman"/>
        <family val="1"/>
      </rPr>
      <t>3 H.P capacity 200 LPM X 40 m</t>
    </r>
    <r>
      <rPr>
        <sz val="9"/>
        <color indexed="8"/>
        <rFont val="Times New Roman"/>
        <family val="1"/>
      </rPr>
      <t xml:space="preserve"> of electric motor pump set with accessories at bore well for Three phase  operation etc..,all complete and as directed by the departmental officiers.(The brand of pumpset should got approved by the Executive Engineer before erection). </t>
    </r>
  </si>
  <si>
    <t>For Sump</t>
  </si>
  <si>
    <t>For sump</t>
  </si>
  <si>
    <t>Supply and delivery of three phase panel board. D.O.L with two level guard and auto start with voltmeter and ameter and all other including labour charges and materials etc., all complete</t>
  </si>
  <si>
    <r>
      <t xml:space="preserve">Supplying and laying 3 core 4 sqmm </t>
    </r>
    <r>
      <rPr>
        <b/>
        <sz val="10"/>
        <color indexed="8"/>
        <rFont val="Times New Roman"/>
        <family val="1"/>
      </rPr>
      <t xml:space="preserve">FLAT COPPER CABLE </t>
    </r>
    <r>
      <rPr>
        <sz val="10"/>
        <color indexed="8"/>
        <rFont val="Times New Roman"/>
        <family val="1"/>
      </rPr>
      <t>with ISI mark including cost of all materials specials etc. all complete.</t>
    </r>
  </si>
  <si>
    <t>For sump to Starter</t>
  </si>
  <si>
    <t>Existing openwell</t>
  </si>
  <si>
    <t xml:space="preserve">Supply and fixing of 40mm dia UPVC Pipes of best approved quality, with ISI mark including cost and conveyence and fixing in position etc., all complete in all respects complying with relevant standard specification and as directed by the departmental officer (The brand and quality of the 'U' PVC pipe should be got approved from EE before use) </t>
  </si>
  <si>
    <t>Supplying and fixing Mild Steel grills as per the design approved to verandah enclosure or gate including one coat of primer and labour for fixing in position etc. all complete.</t>
  </si>
  <si>
    <t>3.78 x 35 kg/sqm</t>
  </si>
  <si>
    <t xml:space="preserve">Painting the new Iron work and other similar works such as PVC /ASTM Pipes, Kerb Stone and grills with two coats of approved first class synthetic enamel ready mixed paint </t>
  </si>
  <si>
    <r>
      <t>Supply and Delivery of openwell submersible motor Pumpset with ISI mark IS 8034 without Panel Board of 7.5</t>
    </r>
    <r>
      <rPr>
        <b/>
        <sz val="9"/>
        <color indexed="8"/>
        <rFont val="Times New Roman"/>
        <family val="1"/>
      </rPr>
      <t xml:space="preserve"> H.P capacity 75 LPM X 150 m</t>
    </r>
    <r>
      <rPr>
        <sz val="9"/>
        <color indexed="8"/>
        <rFont val="Times New Roman"/>
        <family val="1"/>
      </rPr>
      <t xml:space="preserve"> of electric motor pump set with accessories at bore well for Three phase  operation etc..,all complete and as directed by the departmental officiers.(The brand of pumpset should got approved by the Executive Engineer before erection). </t>
    </r>
  </si>
  <si>
    <t>openwell</t>
  </si>
  <si>
    <t>Supplying and Fixing of 100mm dia</t>
  </si>
  <si>
    <t>Ls</t>
  </si>
  <si>
    <t xml:space="preserve">Labour welfare fund @ 1% </t>
  </si>
  <si>
    <t xml:space="preserve">Name of work : Providing Sump and Motor arrangements for Commando office building at Othivakkam shooting range in Chennai city. </t>
  </si>
  <si>
    <t>Desctiption of  Work</t>
  </si>
  <si>
    <t>78 PC/HC Qtrs</t>
  </si>
  <si>
    <t>4 INS &amp; 4 SI Qtrs</t>
  </si>
  <si>
    <r>
      <t xml:space="preserve">S&amp;F of SRFC Manhole cover 60 x 60 cm </t>
    </r>
    <r>
      <rPr>
        <b/>
        <sz val="14"/>
        <color indexed="8"/>
        <rFont val="Cambria"/>
        <family val="1"/>
      </rPr>
      <t>(PWD SR RATE 2021-2022)</t>
    </r>
  </si>
  <si>
    <r>
      <t xml:space="preserve">Supply and Delivery of openwell submersible motor Pumpset with ISI mark IS 8034 without Panel Board of </t>
    </r>
    <r>
      <rPr>
        <b/>
        <sz val="12"/>
        <color indexed="8"/>
        <rFont val="Times New Roman"/>
        <family val="1"/>
      </rPr>
      <t>3 H.P capacity 200 LPM X 40 m</t>
    </r>
    <r>
      <rPr>
        <sz val="12"/>
        <color indexed="8"/>
        <rFont val="Times New Roman"/>
        <family val="1"/>
      </rPr>
      <t xml:space="preserve"> of electric motor pump set with accessories at bore well for Three phase  operation etc..,all complete and as directed by the departmental officiers.(The brand of pumpset should got approved by the Executive Engineer before erection). </t>
    </r>
  </si>
  <si>
    <t xml:space="preserve">TWAD SR Rate page no 99/2021-22 </t>
  </si>
  <si>
    <t>Labour charges for the erection of submersible pumpset in Borewell/open well including fixing and jointing submersible cable with proper clamps upto the starter to required depth and also fixing of riser pipes to the required depth valves erection clamps, pressure gauges upto the exterior wall of pump room and erection of panel board.</t>
  </si>
  <si>
    <t>TWAD SR Rate page no 287/2021-22</t>
  </si>
  <si>
    <t>TWAD SR Rate page no 110/2021-22</t>
  </si>
  <si>
    <t xml:space="preserve">PWD SR RATE Page No.106 (2021-2022) </t>
  </si>
  <si>
    <t>SUB - TOTAL - I</t>
  </si>
  <si>
    <t>GST 18%</t>
  </si>
  <si>
    <t>SUB - TOTAL - II</t>
  </si>
  <si>
    <t xml:space="preserve"> TOTAL </t>
  </si>
  <si>
    <t>Name of work : Repairs/Impovement/Rnovation works for the Existing Buildings and Digitalization of the existing Fire range at Tamil Nadu Commando School Training centre/Firing Range at Othivakkam in Chengalpattu district.</t>
  </si>
  <si>
    <t>1 Unit</t>
  </si>
  <si>
    <t>a) Repairs/Renovation work to the existing Admin building</t>
  </si>
  <si>
    <t>b) Repairs/Renovation works to the existing Barracks</t>
  </si>
  <si>
    <t>a) Providing 2 Nos of Borewell &amp; external water supply</t>
  </si>
  <si>
    <t>b) Sump with pump set</t>
  </si>
  <si>
    <t>Providing waiting shed for Short Shooting Range with funiture</t>
  </si>
  <si>
    <t>Repairs/Renovation works to the existing obstacles</t>
  </si>
  <si>
    <t>Construction of sullage drain arrangements for existing barracks</t>
  </si>
  <si>
    <t>Repairs/Renovation to the existing Bund for fire Range</t>
  </si>
  <si>
    <t>Changing from Manual to Digital - Short Fire range</t>
  </si>
  <si>
    <t>Changing from Manual to Digital - Long Fire range</t>
  </si>
  <si>
    <t>Replacing of existing Fire shooting range</t>
  </si>
  <si>
    <t>SUB TOTAL - I</t>
  </si>
  <si>
    <t>Charges for divining point (for Borewell)</t>
  </si>
</sst>
</file>

<file path=xl/styles.xml><?xml version="1.0" encoding="utf-8"?>
<styleSheet xmlns="http://schemas.openxmlformats.org/spreadsheetml/2006/main">
  <numFmts count="11">
    <numFmt numFmtId="5" formatCode="&quot;Rs.&quot;\ #,##0;&quot;Rs.&quot;\ \-#,##0"/>
    <numFmt numFmtId="41" formatCode="_ * #,##0_ ;_ * \-#,##0_ ;_ * &quot;-&quot;_ ;_ @_ "/>
    <numFmt numFmtId="43" formatCode="_ * #,##0.00_ ;_ * \-#,##0.00_ ;_ * &quot;-&quot;??_ ;_ @_ "/>
    <numFmt numFmtId="164" formatCode="0.00_)"/>
    <numFmt numFmtId="165" formatCode="0.000_)"/>
    <numFmt numFmtId="166" formatCode="0.000000_)"/>
    <numFmt numFmtId="167" formatCode="_(&quot;$&quot;* #,##0_);_(&quot;$&quot;* \(#,##0\);_(&quot;$&quot;* &quot;-&quot;_);_(@_)"/>
    <numFmt numFmtId="168" formatCode="0.0"/>
    <numFmt numFmtId="169" formatCode="0.000"/>
    <numFmt numFmtId="170" formatCode="0_)"/>
    <numFmt numFmtId="172" formatCode="0.00000"/>
  </numFmts>
  <fonts count="125">
    <font>
      <sz val="11"/>
      <color theme="1"/>
      <name val="Calibri"/>
      <family val="2"/>
      <scheme val="minor"/>
    </font>
    <font>
      <sz val="11"/>
      <color theme="1"/>
      <name val="Times New Roman"/>
      <family val="1"/>
    </font>
    <font>
      <b/>
      <sz val="11"/>
      <color theme="1"/>
      <name val="Times New Roman"/>
      <family val="1"/>
    </font>
    <font>
      <b/>
      <u/>
      <sz val="11"/>
      <color theme="1"/>
      <name val="Times New Roman"/>
      <family val="1"/>
    </font>
    <font>
      <sz val="12"/>
      <name val="Times New Roman"/>
      <family val="1"/>
    </font>
    <font>
      <b/>
      <sz val="11"/>
      <color theme="1"/>
      <name val="Calibri"/>
      <family val="2"/>
      <scheme val="minor"/>
    </font>
    <font>
      <sz val="10"/>
      <name val="Arial"/>
      <family val="2"/>
    </font>
    <font>
      <sz val="11"/>
      <name val="Bookman Old Style"/>
      <family val="1"/>
    </font>
    <font>
      <b/>
      <sz val="12"/>
      <color theme="1"/>
      <name val="Calibri"/>
      <family val="2"/>
      <scheme val="minor"/>
    </font>
    <font>
      <b/>
      <sz val="12"/>
      <color theme="1"/>
      <name val="Cambria"/>
      <family val="1"/>
      <scheme val="major"/>
    </font>
    <font>
      <b/>
      <sz val="12"/>
      <name val="Cambria"/>
      <family val="1"/>
      <scheme val="major"/>
    </font>
    <font>
      <sz val="12"/>
      <name val="Arial Unicode MS"/>
      <family val="2"/>
    </font>
    <font>
      <b/>
      <sz val="12"/>
      <name val="Helv"/>
    </font>
    <font>
      <sz val="12"/>
      <color indexed="8"/>
      <name val="Cambria"/>
      <family val="1"/>
      <scheme val="major"/>
    </font>
    <font>
      <sz val="12"/>
      <name val="Cambria"/>
      <family val="1"/>
      <scheme val="major"/>
    </font>
    <font>
      <b/>
      <sz val="12"/>
      <color theme="1"/>
      <name val="Times New Roman"/>
      <family val="1"/>
    </font>
    <font>
      <b/>
      <sz val="11"/>
      <name val="Calibri"/>
      <family val="2"/>
      <scheme val="minor"/>
    </font>
    <font>
      <b/>
      <sz val="12"/>
      <name val="Times New Roman"/>
      <family val="1"/>
    </font>
    <font>
      <b/>
      <sz val="12"/>
      <color rgb="FFFF0000"/>
      <name val="Times New Roman"/>
      <family val="1"/>
    </font>
    <font>
      <u/>
      <sz val="12"/>
      <name val="Helv"/>
    </font>
    <font>
      <sz val="12"/>
      <color theme="1"/>
      <name val="Times New Roman"/>
      <family val="1"/>
    </font>
    <font>
      <b/>
      <sz val="13"/>
      <name val="Cambria"/>
      <family val="1"/>
    </font>
    <font>
      <sz val="13"/>
      <name val="Cambria"/>
      <family val="1"/>
    </font>
    <font>
      <sz val="13"/>
      <name val="Cambria"/>
      <family val="1"/>
      <scheme val="major"/>
    </font>
    <font>
      <b/>
      <sz val="14"/>
      <color theme="1"/>
      <name val="Times New Roman"/>
      <family val="1"/>
    </font>
    <font>
      <sz val="14"/>
      <name val="Bookman Old Style"/>
      <family val="1"/>
    </font>
    <font>
      <sz val="14"/>
      <name val="Cambria"/>
      <family val="1"/>
      <scheme val="major"/>
    </font>
    <font>
      <sz val="12"/>
      <color theme="1"/>
      <name val="Calibri"/>
      <family val="2"/>
      <scheme val="minor"/>
    </font>
    <font>
      <b/>
      <sz val="10"/>
      <color theme="1"/>
      <name val="Times New Roman"/>
      <family val="1"/>
    </font>
    <font>
      <sz val="10.5"/>
      <color theme="1"/>
      <name val="Times New Roman"/>
      <family val="1"/>
    </font>
    <font>
      <b/>
      <sz val="10.5"/>
      <name val="Cambria"/>
      <family val="1"/>
      <scheme val="major"/>
    </font>
    <font>
      <sz val="10.5"/>
      <name val="Cambria"/>
      <family val="1"/>
      <scheme val="major"/>
    </font>
    <font>
      <sz val="11"/>
      <name val="Calibri"/>
      <family val="2"/>
      <scheme val="minor"/>
    </font>
    <font>
      <b/>
      <sz val="14"/>
      <name val="Calibri"/>
      <family val="2"/>
      <scheme val="minor"/>
    </font>
    <font>
      <sz val="11"/>
      <name val="Times New Roman"/>
      <family val="1"/>
    </font>
    <font>
      <b/>
      <sz val="11"/>
      <name val="Times New Roman"/>
      <family val="1"/>
    </font>
    <font>
      <sz val="12"/>
      <name val="Helv"/>
    </font>
    <font>
      <sz val="11"/>
      <color theme="1"/>
      <name val="Calibri"/>
      <family val="2"/>
      <scheme val="minor"/>
    </font>
    <font>
      <b/>
      <sz val="18"/>
      <name val="Cambria"/>
      <family val="1"/>
      <scheme val="major"/>
    </font>
    <font>
      <b/>
      <sz val="14"/>
      <name val="Cambria"/>
      <family val="1"/>
      <scheme val="major"/>
    </font>
    <font>
      <b/>
      <sz val="16"/>
      <color indexed="8"/>
      <name val="Cambria"/>
      <family val="1"/>
      <scheme val="major"/>
    </font>
    <font>
      <b/>
      <sz val="16"/>
      <name val="Cambria"/>
      <family val="1"/>
      <scheme val="major"/>
    </font>
    <font>
      <b/>
      <sz val="14"/>
      <color indexed="8"/>
      <name val="Cambria"/>
      <family val="1"/>
      <scheme val="major"/>
    </font>
    <font>
      <sz val="18"/>
      <color indexed="8"/>
      <name val="Cambria"/>
      <family val="1"/>
      <scheme val="major"/>
    </font>
    <font>
      <sz val="18"/>
      <name val="Cambria"/>
      <family val="1"/>
    </font>
    <font>
      <b/>
      <sz val="18"/>
      <name val="Cambria"/>
      <family val="1"/>
    </font>
    <font>
      <sz val="16"/>
      <name val="Cambria"/>
      <family val="1"/>
      <scheme val="major"/>
    </font>
    <font>
      <b/>
      <sz val="12"/>
      <color indexed="8"/>
      <name val="Cambria"/>
      <family val="1"/>
      <scheme val="major"/>
    </font>
    <font>
      <sz val="16"/>
      <name val="Cambria"/>
      <family val="1"/>
    </font>
    <font>
      <sz val="15"/>
      <name val="Cambria"/>
      <family val="1"/>
      <scheme val="major"/>
    </font>
    <font>
      <sz val="15"/>
      <color theme="1"/>
      <name val="Cambria"/>
      <family val="1"/>
      <scheme val="major"/>
    </font>
    <font>
      <b/>
      <sz val="16"/>
      <color theme="1"/>
      <name val="Cambria"/>
      <family val="1"/>
      <scheme val="major"/>
    </font>
    <font>
      <b/>
      <sz val="15"/>
      <color theme="1"/>
      <name val="Cambria"/>
      <family val="1"/>
      <scheme val="major"/>
    </font>
    <font>
      <b/>
      <sz val="15"/>
      <name val="Cambria"/>
      <family val="1"/>
      <scheme val="major"/>
    </font>
    <font>
      <b/>
      <sz val="13"/>
      <color theme="1"/>
      <name val="Cambria"/>
      <family val="1"/>
      <scheme val="major"/>
    </font>
    <font>
      <sz val="13"/>
      <color theme="1"/>
      <name val="Cambria"/>
      <family val="1"/>
      <scheme val="major"/>
    </font>
    <font>
      <sz val="16"/>
      <color theme="1"/>
      <name val="Times New Roman"/>
      <family val="1"/>
    </font>
    <font>
      <sz val="12"/>
      <name val="Cambria"/>
      <family val="1"/>
    </font>
    <font>
      <sz val="12"/>
      <name val="Arial"/>
      <family val="2"/>
    </font>
    <font>
      <b/>
      <vertAlign val="superscript"/>
      <sz val="12"/>
      <name val="Times New Roman"/>
      <family val="1"/>
    </font>
    <font>
      <sz val="12"/>
      <color rgb="FFFF0000"/>
      <name val="Times New Roman"/>
      <family val="1"/>
    </font>
    <font>
      <vertAlign val="superscript"/>
      <sz val="12"/>
      <name val="Times New Roman"/>
      <family val="1"/>
    </font>
    <font>
      <sz val="10"/>
      <name val="Arial"/>
    </font>
    <font>
      <b/>
      <sz val="14"/>
      <color theme="1"/>
      <name val="Cambria"/>
      <family val="1"/>
    </font>
    <font>
      <i/>
      <u/>
      <sz val="12"/>
      <name val="Times New Roman"/>
      <family val="1"/>
    </font>
    <font>
      <u/>
      <sz val="12"/>
      <name val="Times New Roman"/>
      <family val="1"/>
    </font>
    <font>
      <vertAlign val="superscript"/>
      <sz val="12"/>
      <color indexed="8"/>
      <name val="Cambria"/>
      <family val="1"/>
    </font>
    <font>
      <sz val="14"/>
      <color theme="1"/>
      <name val="Cambria"/>
      <family val="1"/>
    </font>
    <font>
      <sz val="14"/>
      <color theme="1"/>
      <name val="Times New Roman"/>
      <family val="1"/>
    </font>
    <font>
      <sz val="11"/>
      <name val="Cambria"/>
      <family val="1"/>
      <scheme val="major"/>
    </font>
    <font>
      <b/>
      <sz val="12"/>
      <name val="Arial"/>
      <family val="2"/>
    </font>
    <font>
      <b/>
      <u/>
      <sz val="14"/>
      <color theme="1"/>
      <name val="Times New Roman"/>
      <family val="1"/>
    </font>
    <font>
      <b/>
      <u/>
      <sz val="18"/>
      <name val="Book Antiqua"/>
      <family val="1"/>
    </font>
    <font>
      <b/>
      <u/>
      <sz val="14"/>
      <name val="Book Antiqua"/>
      <family val="1"/>
    </font>
    <font>
      <b/>
      <sz val="13"/>
      <color theme="1"/>
      <name val="Book Antiqua"/>
      <family val="1"/>
    </font>
    <font>
      <sz val="12"/>
      <color theme="1"/>
      <name val="Book Antiqua"/>
      <family val="1"/>
    </font>
    <font>
      <sz val="14"/>
      <color theme="1"/>
      <name val="Book Antiqua"/>
      <family val="1"/>
    </font>
    <font>
      <sz val="14"/>
      <name val="Book Antiqua"/>
      <family val="1"/>
    </font>
    <font>
      <b/>
      <sz val="14"/>
      <name val="Book Antiqua"/>
      <family val="1"/>
    </font>
    <font>
      <b/>
      <sz val="12"/>
      <color theme="1"/>
      <name val="Book Antiqua"/>
      <family val="1"/>
    </font>
    <font>
      <b/>
      <sz val="13"/>
      <name val="Cambria"/>
      <family val="1"/>
      <scheme val="major"/>
    </font>
    <font>
      <b/>
      <sz val="13"/>
      <color theme="1"/>
      <name val="Calibri"/>
      <family val="2"/>
      <scheme val="minor"/>
    </font>
    <font>
      <b/>
      <sz val="14"/>
      <name val="Bookman Old Style"/>
      <family val="1"/>
    </font>
    <font>
      <b/>
      <sz val="11"/>
      <name val="Bookman Old Style"/>
      <family val="1"/>
    </font>
    <font>
      <b/>
      <sz val="13"/>
      <name val="Book Antiqua"/>
      <family val="1"/>
    </font>
    <font>
      <sz val="12"/>
      <name val="Book Antiqua"/>
      <family val="1"/>
    </font>
    <font>
      <b/>
      <sz val="12"/>
      <color rgb="FFFF0000"/>
      <name val="Book Antiqua"/>
      <family val="1"/>
    </font>
    <font>
      <b/>
      <sz val="12"/>
      <name val="Book Antiqua"/>
      <family val="1"/>
    </font>
    <font>
      <sz val="14"/>
      <color indexed="8"/>
      <name val="Cambria"/>
      <family val="1"/>
      <scheme val="major"/>
    </font>
    <font>
      <b/>
      <u/>
      <sz val="14"/>
      <name val="Cambria"/>
      <family val="1"/>
      <scheme val="major"/>
    </font>
    <font>
      <sz val="12"/>
      <color theme="1"/>
      <name val="Cambria"/>
      <family val="1"/>
      <scheme val="major"/>
    </font>
    <font>
      <b/>
      <u/>
      <sz val="12"/>
      <name val="Cambria"/>
      <family val="1"/>
      <scheme val="major"/>
    </font>
    <font>
      <b/>
      <sz val="13"/>
      <color theme="0"/>
      <name val="Cambria"/>
      <family val="1"/>
      <scheme val="major"/>
    </font>
    <font>
      <b/>
      <sz val="13"/>
      <color indexed="8"/>
      <name val="Cambria"/>
      <family val="1"/>
      <scheme val="major"/>
    </font>
    <font>
      <b/>
      <u val="double"/>
      <sz val="12"/>
      <color indexed="8"/>
      <name val="Cambria"/>
      <family val="1"/>
      <scheme val="major"/>
    </font>
    <font>
      <sz val="10"/>
      <name val="Cambria"/>
      <family val="1"/>
      <scheme val="major"/>
    </font>
    <font>
      <b/>
      <sz val="13"/>
      <color rgb="FFFF0000"/>
      <name val="Cambria"/>
      <family val="1"/>
      <scheme val="major"/>
    </font>
    <font>
      <sz val="13"/>
      <color indexed="8"/>
      <name val="Cambria"/>
      <family val="1"/>
      <scheme val="major"/>
    </font>
    <font>
      <sz val="11"/>
      <name val="Arial"/>
      <family val="2"/>
    </font>
    <font>
      <b/>
      <sz val="11"/>
      <name val="Arial"/>
      <family val="2"/>
    </font>
    <font>
      <b/>
      <sz val="10"/>
      <name val="Cambria"/>
      <family val="1"/>
      <scheme val="major"/>
    </font>
    <font>
      <sz val="10"/>
      <color indexed="8"/>
      <name val="Cambria"/>
      <family val="1"/>
      <scheme val="major"/>
    </font>
    <font>
      <b/>
      <sz val="18"/>
      <name val="Arial"/>
      <family val="2"/>
    </font>
    <font>
      <b/>
      <sz val="10"/>
      <name val="Arial"/>
      <family val="2"/>
    </font>
    <font>
      <b/>
      <sz val="11"/>
      <name val="Cambria"/>
      <family val="1"/>
    </font>
    <font>
      <sz val="11"/>
      <name val="Cambria"/>
      <family val="1"/>
    </font>
    <font>
      <sz val="9"/>
      <name val="Cambria"/>
      <family val="1"/>
      <scheme val="major"/>
    </font>
    <font>
      <sz val="9"/>
      <color theme="1"/>
      <name val="Times New Roman"/>
      <family val="1"/>
    </font>
    <font>
      <b/>
      <sz val="9"/>
      <color indexed="8"/>
      <name val="Times New Roman"/>
      <family val="1"/>
    </font>
    <font>
      <sz val="9"/>
      <color indexed="8"/>
      <name val="Times New Roman"/>
      <family val="1"/>
    </font>
    <font>
      <b/>
      <sz val="10"/>
      <color indexed="8"/>
      <name val="Times New Roman"/>
      <family val="1"/>
    </font>
    <font>
      <sz val="10"/>
      <color indexed="8"/>
      <name val="Times New Roman"/>
      <family val="1"/>
    </font>
    <font>
      <sz val="10"/>
      <color theme="1"/>
      <name val="Times New Roman"/>
      <family val="1"/>
    </font>
    <font>
      <sz val="10"/>
      <color theme="1"/>
      <name val="Cambria"/>
      <family val="1"/>
      <scheme val="major"/>
    </font>
    <font>
      <b/>
      <sz val="10"/>
      <color theme="1"/>
      <name val="Cambria"/>
      <family val="1"/>
      <scheme val="major"/>
    </font>
    <font>
      <u/>
      <sz val="11"/>
      <color theme="10"/>
      <name val="Calibri"/>
      <family val="2"/>
    </font>
    <font>
      <b/>
      <u/>
      <sz val="13"/>
      <color theme="1"/>
      <name val="Cambria"/>
      <family val="1"/>
      <scheme val="major"/>
    </font>
    <font>
      <b/>
      <sz val="14"/>
      <color theme="1"/>
      <name val="Cambria"/>
      <family val="1"/>
      <scheme val="major"/>
    </font>
    <font>
      <sz val="14"/>
      <color theme="1"/>
      <name val="Cambria"/>
      <family val="1"/>
      <scheme val="major"/>
    </font>
    <font>
      <b/>
      <sz val="14"/>
      <color indexed="8"/>
      <name val="Cambria"/>
      <family val="1"/>
    </font>
    <font>
      <b/>
      <sz val="12"/>
      <color indexed="8"/>
      <name val="Times New Roman"/>
      <family val="1"/>
    </font>
    <font>
      <sz val="12"/>
      <color indexed="8"/>
      <name val="Times New Roman"/>
      <family val="1"/>
    </font>
    <font>
      <u/>
      <sz val="13"/>
      <name val="Cambria"/>
      <family val="1"/>
      <scheme val="major"/>
    </font>
    <font>
      <sz val="13"/>
      <color indexed="10"/>
      <name val="Cambria"/>
      <family val="1"/>
      <scheme val="major"/>
    </font>
    <font>
      <sz val="14"/>
      <name val="Cambria"/>
      <family val="1"/>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top/>
      <bottom style="hair">
        <color indexed="64"/>
      </bottom>
      <diagonal/>
    </border>
  </borders>
  <cellStyleXfs count="41">
    <xf numFmtId="0" fontId="0" fillId="0" borderId="0"/>
    <xf numFmtId="0" fontId="6" fillId="0" borderId="0"/>
    <xf numFmtId="0" fontId="4" fillId="0" borderId="0"/>
    <xf numFmtId="0" fontId="6" fillId="0" borderId="0"/>
    <xf numFmtId="0" fontId="6" fillId="0" borderId="0"/>
    <xf numFmtId="0" fontId="6" fillId="0" borderId="0"/>
    <xf numFmtId="43" fontId="37" fillId="0" borderId="0" applyFont="0" applyFill="0" applyBorder="0" applyAlignment="0" applyProtection="0"/>
    <xf numFmtId="0" fontId="4" fillId="0" borderId="0"/>
    <xf numFmtId="0" fontId="37" fillId="0" borderId="0"/>
    <xf numFmtId="0" fontId="6" fillId="0" borderId="0"/>
    <xf numFmtId="165" fontId="36" fillId="0" borderId="0"/>
    <xf numFmtId="0" fontId="62" fillId="0" borderId="0"/>
    <xf numFmtId="0" fontId="6" fillId="0" borderId="0">
      <alignment vertical="center"/>
    </xf>
    <xf numFmtId="0" fontId="6" fillId="0" borderId="0"/>
    <xf numFmtId="167" fontId="36" fillId="0" borderId="0"/>
    <xf numFmtId="5" fontId="36" fillId="0" borderId="0"/>
    <xf numFmtId="0" fontId="37" fillId="0" borderId="0"/>
    <xf numFmtId="0" fontId="6" fillId="0" borderId="0"/>
    <xf numFmtId="0" fontId="6" fillId="0" borderId="0"/>
    <xf numFmtId="0" fontId="37" fillId="0" borderId="0"/>
    <xf numFmtId="0" fontId="6" fillId="0" borderId="0"/>
    <xf numFmtId="0" fontId="4" fillId="0" borderId="0"/>
    <xf numFmtId="164" fontId="36" fillId="0" borderId="0"/>
    <xf numFmtId="0" fontId="37" fillId="0" borderId="0"/>
    <xf numFmtId="0" fontId="6" fillId="0" borderId="0"/>
    <xf numFmtId="0" fontId="6" fillId="0" borderId="0"/>
    <xf numFmtId="41" fontId="36" fillId="0" borderId="0"/>
    <xf numFmtId="0" fontId="6" fillId="0" borderId="0"/>
    <xf numFmtId="0" fontId="6" fillId="0" borderId="0"/>
    <xf numFmtId="0" fontId="6" fillId="0" borderId="0"/>
    <xf numFmtId="165" fontId="36" fillId="0" borderId="0"/>
    <xf numFmtId="165" fontId="36" fillId="0" borderId="0"/>
    <xf numFmtId="0" fontId="36" fillId="0" borderId="0"/>
    <xf numFmtId="0" fontId="36" fillId="0" borderId="0"/>
    <xf numFmtId="0" fontId="37" fillId="0" borderId="0"/>
    <xf numFmtId="0" fontId="115" fillId="0" borderId="0" applyNumberFormat="0" applyFill="0" applyBorder="0" applyAlignment="0" applyProtection="0">
      <alignment vertical="top"/>
      <protection locked="0"/>
    </xf>
    <xf numFmtId="5" fontId="36" fillId="0" borderId="0"/>
    <xf numFmtId="164" fontId="36" fillId="0" borderId="0"/>
    <xf numFmtId="0" fontId="37" fillId="0" borderId="0"/>
    <xf numFmtId="0" fontId="6" fillId="0" borderId="0"/>
    <xf numFmtId="9" fontId="6" fillId="0" borderId="0" applyFont="0" applyFill="0" applyBorder="0" applyAlignment="0" applyProtection="0"/>
  </cellStyleXfs>
  <cellXfs count="716">
    <xf numFmtId="0" fontId="0" fillId="0" borderId="0" xfId="0"/>
    <xf numFmtId="0" fontId="1" fillId="0" borderId="1" xfId="0" applyFont="1" applyBorder="1"/>
    <xf numFmtId="0" fontId="2" fillId="0" borderId="0" xfId="0" applyFont="1"/>
    <xf numFmtId="0" fontId="1" fillId="0" borderId="1" xfId="0" applyFont="1" applyBorder="1" applyAlignment="1">
      <alignment vertical="top" wrapText="1"/>
    </xf>
    <xf numFmtId="2" fontId="1" fillId="0" borderId="1" xfId="0" applyNumberFormat="1" applyFont="1" applyBorder="1"/>
    <xf numFmtId="2" fontId="2" fillId="0" borderId="1" xfId="0" applyNumberFormat="1" applyFont="1" applyBorder="1"/>
    <xf numFmtId="0" fontId="1" fillId="0" borderId="1" xfId="0" applyFont="1" applyBorder="1" applyAlignment="1">
      <alignment vertical="top"/>
    </xf>
    <xf numFmtId="0" fontId="5" fillId="0" borderId="1" xfId="0" applyFont="1" applyBorder="1"/>
    <xf numFmtId="0" fontId="5" fillId="0" borderId="1" xfId="0" applyFont="1" applyBorder="1" applyAlignment="1">
      <alignment horizontal="center"/>
    </xf>
    <xf numFmtId="2" fontId="0" fillId="0" borderId="1" xfId="0" applyNumberFormat="1" applyFont="1" applyBorder="1"/>
    <xf numFmtId="0" fontId="2" fillId="0" borderId="1" xfId="0" applyFont="1" applyBorder="1" applyAlignment="1">
      <alignment horizontal="center"/>
    </xf>
    <xf numFmtId="0" fontId="0" fillId="0" borderId="1" xfId="0" applyFont="1" applyBorder="1" applyAlignment="1">
      <alignment vertical="top"/>
    </xf>
    <xf numFmtId="2" fontId="1" fillId="0" borderId="1" xfId="0" applyNumberFormat="1" applyFont="1" applyBorder="1" applyAlignment="1">
      <alignment horizontal="center"/>
    </xf>
    <xf numFmtId="0" fontId="2" fillId="0" borderId="1" xfId="0" applyFont="1" applyBorder="1"/>
    <xf numFmtId="2" fontId="2" fillId="0" borderId="1" xfId="0" applyNumberFormat="1" applyFont="1" applyBorder="1" applyAlignment="1">
      <alignment horizontal="center"/>
    </xf>
    <xf numFmtId="0" fontId="5" fillId="0" borderId="1" xfId="0" applyFont="1" applyBorder="1" applyAlignment="1">
      <alignment vertical="top"/>
    </xf>
    <xf numFmtId="0" fontId="2" fillId="0" borderId="1" xfId="0" applyFont="1" applyBorder="1" applyAlignment="1">
      <alignment horizontal="center"/>
    </xf>
    <xf numFmtId="0" fontId="2" fillId="0" borderId="1" xfId="0" applyFont="1" applyBorder="1" applyAlignment="1">
      <alignment horizontal="center"/>
    </xf>
    <xf numFmtId="0" fontId="0" fillId="0" borderId="1" xfId="0" applyBorder="1"/>
    <xf numFmtId="2" fontId="7" fillId="2" borderId="1" xfId="1" applyNumberFormat="1" applyFont="1" applyFill="1" applyBorder="1" applyAlignment="1">
      <alignment horizontal="center" vertical="center" wrapText="1"/>
    </xf>
    <xf numFmtId="0" fontId="7" fillId="2" borderId="1" xfId="0" applyFont="1" applyFill="1" applyBorder="1" applyAlignment="1">
      <alignment vertical="center" wrapText="1"/>
    </xf>
    <xf numFmtId="2" fontId="7" fillId="2" borderId="1" xfId="2" applyNumberFormat="1" applyFont="1" applyFill="1" applyBorder="1" applyAlignment="1">
      <alignment horizontal="center" vertical="center" wrapText="1"/>
    </xf>
    <xf numFmtId="0" fontId="7" fillId="2" borderId="1" xfId="3" applyFont="1" applyFill="1" applyBorder="1" applyAlignment="1">
      <alignment horizontal="left" vertical="top" wrapText="1"/>
    </xf>
    <xf numFmtId="0" fontId="2" fillId="0" borderId="1" xfId="0" applyFont="1" applyBorder="1" applyAlignment="1">
      <alignment horizontal="center"/>
    </xf>
    <xf numFmtId="0" fontId="2" fillId="0" borderId="1" xfId="0" applyFont="1" applyBorder="1" applyAlignment="1">
      <alignment horizontal="center"/>
    </xf>
    <xf numFmtId="0" fontId="5" fillId="0" borderId="0" xfId="0" applyFont="1"/>
    <xf numFmtId="0" fontId="1" fillId="0" borderId="1" xfId="0" applyFont="1" applyBorder="1" applyAlignment="1">
      <alignment horizontal="center"/>
    </xf>
    <xf numFmtId="0" fontId="2" fillId="0" borderId="1" xfId="0" applyFont="1" applyBorder="1" applyAlignment="1">
      <alignment vertical="top" wrapText="1"/>
    </xf>
    <xf numFmtId="0" fontId="0" fillId="0" borderId="1" xfId="0" applyBorder="1" applyAlignment="1">
      <alignment horizontal="center"/>
    </xf>
    <xf numFmtId="0" fontId="2" fillId="0" borderId="1" xfId="0" applyFont="1" applyBorder="1" applyAlignment="1">
      <alignment horizontal="center" vertical="top" wrapText="1"/>
    </xf>
    <xf numFmtId="2" fontId="8" fillId="0" borderId="1" xfId="0" applyNumberFormat="1" applyFont="1" applyBorder="1"/>
    <xf numFmtId="2" fontId="9" fillId="0" borderId="1" xfId="0" applyNumberFormat="1" applyFont="1" applyBorder="1"/>
    <xf numFmtId="0" fontId="0" fillId="0" borderId="1" xfId="0" applyBorder="1" applyAlignment="1"/>
    <xf numFmtId="1" fontId="7" fillId="2" borderId="1" xfId="1" applyNumberFormat="1" applyFont="1" applyFill="1" applyBorder="1" applyAlignment="1">
      <alignment vertical="center" wrapText="1"/>
    </xf>
    <xf numFmtId="2" fontId="9" fillId="0" borderId="1" xfId="0" applyNumberFormat="1" applyFont="1" applyBorder="1" applyAlignment="1">
      <alignment horizontal="right"/>
    </xf>
    <xf numFmtId="2" fontId="10" fillId="2" borderId="1" xfId="1" applyNumberFormat="1" applyFont="1" applyFill="1" applyBorder="1" applyAlignment="1">
      <alignment horizontal="right" vertical="center" wrapText="1"/>
    </xf>
    <xf numFmtId="2" fontId="0" fillId="0" borderId="0" xfId="0" applyNumberFormat="1"/>
    <xf numFmtId="0" fontId="2" fillId="0" borderId="1" xfId="0" applyFont="1" applyBorder="1" applyAlignment="1">
      <alignment horizontal="center"/>
    </xf>
    <xf numFmtId="164" fontId="0" fillId="0" borderId="0" xfId="0" applyNumberFormat="1"/>
    <xf numFmtId="164" fontId="0" fillId="0" borderId="0" xfId="0" applyNumberFormat="1" applyBorder="1" applyAlignment="1">
      <alignment horizontal="left" vertical="top"/>
    </xf>
    <xf numFmtId="0" fontId="2" fillId="0" borderId="1" xfId="0" applyFont="1" applyBorder="1" applyAlignment="1">
      <alignment horizontal="center"/>
    </xf>
    <xf numFmtId="0" fontId="2" fillId="0" borderId="1" xfId="0" applyFont="1" applyBorder="1" applyAlignment="1">
      <alignment horizontal="center"/>
    </xf>
    <xf numFmtId="0" fontId="13" fillId="2" borderId="1" xfId="4" applyFont="1" applyFill="1" applyBorder="1" applyAlignment="1">
      <alignment vertical="center" wrapText="1"/>
    </xf>
    <xf numFmtId="0" fontId="14" fillId="2" borderId="5" xfId="0" applyNumberFormat="1" applyFont="1" applyFill="1" applyBorder="1" applyAlignment="1">
      <alignment horizontal="center" vertical="center"/>
    </xf>
    <xf numFmtId="0" fontId="14" fillId="2" borderId="4" xfId="0" applyNumberFormat="1" applyFont="1" applyFill="1" applyBorder="1" applyAlignment="1">
      <alignment horizontal="center" vertical="center"/>
    </xf>
    <xf numFmtId="0" fontId="14" fillId="2" borderId="6" xfId="0" applyNumberFormat="1" applyFont="1" applyFill="1" applyBorder="1" applyAlignment="1">
      <alignment horizontal="center" vertical="center"/>
    </xf>
    <xf numFmtId="2" fontId="14" fillId="2" borderId="1" xfId="0" applyNumberFormat="1" applyFont="1" applyFill="1" applyBorder="1" applyAlignment="1">
      <alignment horizontal="center" vertical="center"/>
    </xf>
    <xf numFmtId="2" fontId="14" fillId="2" borderId="1" xfId="0" applyNumberFormat="1" applyFont="1" applyFill="1" applyBorder="1" applyAlignment="1">
      <alignment vertical="center"/>
    </xf>
    <xf numFmtId="2" fontId="14" fillId="2" borderId="1" xfId="0" applyNumberFormat="1" applyFont="1" applyFill="1" applyBorder="1"/>
    <xf numFmtId="0" fontId="0" fillId="0" borderId="1" xfId="0" applyBorder="1" applyAlignment="1">
      <alignment vertical="top"/>
    </xf>
    <xf numFmtId="0" fontId="2" fillId="0" borderId="1" xfId="0" applyFont="1" applyBorder="1" applyAlignment="1">
      <alignment horizontal="center"/>
    </xf>
    <xf numFmtId="0" fontId="0" fillId="0" borderId="1" xfId="0" applyBorder="1" applyAlignment="1">
      <alignment vertical="center"/>
    </xf>
    <xf numFmtId="2" fontId="15" fillId="0" borderId="1" xfId="0" applyNumberFormat="1" applyFont="1" applyBorder="1"/>
    <xf numFmtId="164" fontId="11" fillId="0" borderId="0" xfId="0" applyNumberFormat="1" applyFont="1" applyBorder="1" applyAlignment="1">
      <alignment horizontal="left" vertical="top"/>
    </xf>
    <xf numFmtId="0" fontId="16" fillId="2" borderId="0" xfId="0" applyFont="1" applyFill="1"/>
    <xf numFmtId="2" fontId="17" fillId="0" borderId="1" xfId="0" applyNumberFormat="1" applyFont="1" applyBorder="1"/>
    <xf numFmtId="0" fontId="15" fillId="0" borderId="1" xfId="0" applyFont="1" applyBorder="1"/>
    <xf numFmtId="0" fontId="15" fillId="0" borderId="1" xfId="0" applyFont="1" applyBorder="1" applyAlignment="1">
      <alignment horizontal="right" vertical="top" wrapText="1"/>
    </xf>
    <xf numFmtId="2" fontId="18" fillId="0" borderId="1" xfId="0" applyNumberFormat="1" applyFont="1" applyBorder="1"/>
    <xf numFmtId="0" fontId="2" fillId="0" borderId="1" xfId="0" applyFont="1" applyBorder="1" applyAlignment="1">
      <alignment horizontal="center"/>
    </xf>
    <xf numFmtId="0" fontId="20" fillId="0" borderId="1" xfId="0" applyNumberFormat="1" applyFont="1" applyBorder="1" applyAlignment="1">
      <alignment vertical="top" wrapText="1"/>
    </xf>
    <xf numFmtId="2" fontId="10" fillId="2" borderId="1" xfId="0" applyNumberFormat="1" applyFont="1" applyFill="1" applyBorder="1"/>
    <xf numFmtId="0" fontId="8" fillId="0" borderId="0" xfId="0" applyFont="1"/>
    <xf numFmtId="0" fontId="23" fillId="2" borderId="1" xfId="0" applyFont="1" applyFill="1" applyBorder="1" applyAlignment="1">
      <alignment vertical="center" wrapText="1"/>
    </xf>
    <xf numFmtId="0" fontId="24" fillId="0" borderId="1" xfId="0" applyFont="1" applyBorder="1" applyAlignment="1">
      <alignment vertical="top" wrapText="1"/>
    </xf>
    <xf numFmtId="0" fontId="25" fillId="2" borderId="1" xfId="0" applyFont="1" applyFill="1" applyBorder="1" applyAlignment="1">
      <alignment vertical="center" wrapText="1"/>
    </xf>
    <xf numFmtId="0" fontId="26" fillId="2" borderId="1" xfId="0" applyFont="1" applyFill="1" applyBorder="1" applyAlignment="1">
      <alignment vertical="center" wrapText="1"/>
    </xf>
    <xf numFmtId="0" fontId="25" fillId="2" borderId="1" xfId="3" applyFont="1" applyFill="1" applyBorder="1" applyAlignment="1">
      <alignment horizontal="left" vertical="top" wrapText="1"/>
    </xf>
    <xf numFmtId="0" fontId="20" fillId="0" borderId="1" xfId="0" applyFont="1" applyBorder="1" applyAlignment="1">
      <alignment vertical="top" wrapText="1"/>
    </xf>
    <xf numFmtId="0" fontId="15" fillId="0" borderId="1" xfId="0" applyFont="1" applyBorder="1" applyAlignment="1">
      <alignment vertical="top" wrapText="1"/>
    </xf>
    <xf numFmtId="2" fontId="20" fillId="0" borderId="1" xfId="0" applyNumberFormat="1" applyFont="1" applyBorder="1" applyAlignment="1">
      <alignment vertical="top"/>
    </xf>
    <xf numFmtId="2" fontId="20" fillId="0" borderId="1" xfId="0" applyNumberFormat="1" applyFont="1" applyBorder="1"/>
    <xf numFmtId="2" fontId="20" fillId="0" borderId="1" xfId="0" applyNumberFormat="1" applyFont="1" applyBorder="1" applyAlignment="1">
      <alignment horizontal="center"/>
    </xf>
    <xf numFmtId="0" fontId="20" fillId="0" borderId="1" xfId="0" applyFont="1" applyBorder="1" applyAlignment="1">
      <alignment vertical="top"/>
    </xf>
    <xf numFmtId="2" fontId="15" fillId="0" borderId="1" xfId="0" applyNumberFormat="1" applyFont="1" applyBorder="1" applyAlignment="1">
      <alignment horizontal="center"/>
    </xf>
    <xf numFmtId="0" fontId="27" fillId="0" borderId="1" xfId="0" applyFont="1" applyBorder="1"/>
    <xf numFmtId="2" fontId="27" fillId="0" borderId="1" xfId="0" applyNumberFormat="1" applyFont="1" applyBorder="1"/>
    <xf numFmtId="0" fontId="29" fillId="0" borderId="1" xfId="0" applyFont="1" applyBorder="1" applyAlignment="1">
      <alignment vertical="top" wrapText="1"/>
    </xf>
    <xf numFmtId="0" fontId="1" fillId="0" borderId="1" xfId="0" applyFont="1" applyBorder="1" applyAlignment="1">
      <alignment vertical="center" wrapText="1"/>
    </xf>
    <xf numFmtId="0" fontId="32" fillId="2" borderId="0" xfId="0" applyFont="1" applyFill="1"/>
    <xf numFmtId="0" fontId="32" fillId="2" borderId="0" xfId="0" applyFont="1" applyFill="1" applyAlignment="1"/>
    <xf numFmtId="164" fontId="12" fillId="2" borderId="0" xfId="0" applyNumberFormat="1" applyFont="1" applyFill="1" applyAlignment="1" applyProtection="1">
      <alignment horizontal="left"/>
    </xf>
    <xf numFmtId="0" fontId="32" fillId="2" borderId="0" xfId="0" applyFont="1" applyFill="1" applyAlignment="1">
      <alignment horizontal="left"/>
    </xf>
    <xf numFmtId="164" fontId="32" fillId="2" borderId="0" xfId="0" applyNumberFormat="1" applyFont="1" applyFill="1" applyAlignment="1" applyProtection="1">
      <alignment horizontal="center"/>
    </xf>
    <xf numFmtId="164" fontId="12" fillId="2" borderId="0" xfId="0" applyNumberFormat="1" applyFont="1" applyFill="1" applyAlignment="1" applyProtection="1">
      <alignment horizontal="right"/>
    </xf>
    <xf numFmtId="164" fontId="32" fillId="2" borderId="0" xfId="0" applyNumberFormat="1" applyFont="1" applyFill="1" applyAlignment="1" applyProtection="1"/>
    <xf numFmtId="164" fontId="12" fillId="2" borderId="0" xfId="0" applyNumberFormat="1" applyFont="1" applyFill="1" applyProtection="1"/>
    <xf numFmtId="164" fontId="32" fillId="2" borderId="0" xfId="0" applyNumberFormat="1" applyFont="1" applyFill="1" applyAlignment="1" applyProtection="1">
      <alignment horizontal="fill"/>
    </xf>
    <xf numFmtId="164" fontId="12" fillId="2" borderId="0" xfId="0" applyNumberFormat="1" applyFont="1" applyFill="1" applyAlignment="1" applyProtection="1">
      <alignment horizontal="center"/>
    </xf>
    <xf numFmtId="164" fontId="32" fillId="2" borderId="0" xfId="0" applyNumberFormat="1" applyFont="1" applyFill="1" applyAlignment="1" applyProtection="1">
      <alignment horizontal="left"/>
    </xf>
    <xf numFmtId="164" fontId="32" fillId="2" borderId="0" xfId="0" applyNumberFormat="1" applyFont="1" applyFill="1" applyProtection="1"/>
    <xf numFmtId="165" fontId="32" fillId="2" borderId="0" xfId="0" applyNumberFormat="1" applyFont="1" applyFill="1" applyProtection="1"/>
    <xf numFmtId="164" fontId="11" fillId="2" borderId="0" xfId="0" applyNumberFormat="1" applyFont="1" applyFill="1"/>
    <xf numFmtId="164" fontId="11" fillId="2" borderId="0" xfId="0" applyNumberFormat="1" applyFont="1" applyFill="1" applyAlignment="1"/>
    <xf numFmtId="164" fontId="11" fillId="2" borderId="0" xfId="0" applyNumberFormat="1" applyFont="1" applyFill="1" applyAlignment="1">
      <alignment horizontal="left"/>
    </xf>
    <xf numFmtId="164" fontId="11" fillId="2" borderId="0" xfId="0" applyNumberFormat="1" applyFont="1" applyFill="1" applyAlignment="1" applyProtection="1">
      <alignment horizontal="fill"/>
    </xf>
    <xf numFmtId="164" fontId="32" fillId="2" borderId="0" xfId="0" applyNumberFormat="1" applyFont="1" applyFill="1" applyAlignment="1" applyProtection="1">
      <alignment horizontal="left" wrapText="1"/>
    </xf>
    <xf numFmtId="164" fontId="32" fillId="2" borderId="0" xfId="0" applyNumberFormat="1" applyFont="1" applyFill="1" applyAlignment="1" applyProtection="1">
      <alignment horizontal="right"/>
    </xf>
    <xf numFmtId="164" fontId="33" fillId="2" borderId="0" xfId="0" applyNumberFormat="1" applyFont="1" applyFill="1"/>
    <xf numFmtId="0" fontId="32" fillId="2" borderId="0" xfId="0" applyFont="1" applyFill="1" applyAlignment="1">
      <alignment horizontal="center"/>
    </xf>
    <xf numFmtId="164" fontId="32" fillId="2" borderId="0" xfId="0" applyNumberFormat="1" applyFont="1" applyFill="1"/>
    <xf numFmtId="2" fontId="32" fillId="2" borderId="0" xfId="0" applyNumberFormat="1" applyFont="1" applyFill="1"/>
    <xf numFmtId="0" fontId="34" fillId="2" borderId="1" xfId="0" applyFont="1" applyFill="1" applyBorder="1" applyAlignment="1">
      <alignment vertical="top" wrapText="1"/>
    </xf>
    <xf numFmtId="0" fontId="32" fillId="2" borderId="0" xfId="0" applyFont="1" applyFill="1" applyBorder="1" applyAlignment="1">
      <alignment horizontal="left" vertical="top"/>
    </xf>
    <xf numFmtId="0" fontId="12" fillId="2" borderId="0" xfId="0" applyFont="1" applyFill="1" applyBorder="1" applyAlignment="1">
      <alignment horizontal="left" vertical="top"/>
    </xf>
    <xf numFmtId="0" fontId="32" fillId="2" borderId="0" xfId="0" applyFont="1" applyFill="1" applyBorder="1" applyAlignment="1">
      <alignment horizontal="left" vertical="top" wrapText="1"/>
    </xf>
    <xf numFmtId="0" fontId="32" fillId="2" borderId="0" xfId="0" applyFont="1" applyFill="1" applyBorder="1" applyAlignment="1">
      <alignment vertical="top" wrapText="1"/>
    </xf>
    <xf numFmtId="0" fontId="36" fillId="2" borderId="0" xfId="0" applyFont="1" applyFill="1" applyBorder="1" applyAlignment="1">
      <alignment horizontal="left" vertical="top"/>
    </xf>
    <xf numFmtId="0" fontId="32" fillId="2" borderId="0" xfId="0" applyFont="1" applyFill="1" applyBorder="1" applyAlignment="1">
      <alignment horizontal="right" vertical="top"/>
    </xf>
    <xf numFmtId="0" fontId="19" fillId="2" borderId="0" xfId="0" applyFont="1" applyFill="1" applyBorder="1" applyAlignment="1">
      <alignment horizontal="left" vertical="top"/>
    </xf>
    <xf numFmtId="0" fontId="12" fillId="2" borderId="0" xfId="0" applyFont="1" applyFill="1" applyBorder="1" applyAlignment="1">
      <alignment horizontal="right" vertical="top"/>
    </xf>
    <xf numFmtId="164" fontId="32" fillId="2" borderId="0" xfId="0" applyNumberFormat="1" applyFont="1" applyFill="1" applyBorder="1" applyAlignment="1">
      <alignment horizontal="left" vertical="top"/>
    </xf>
    <xf numFmtId="164" fontId="11" fillId="2" borderId="0" xfId="0" applyNumberFormat="1" applyFont="1" applyFill="1" applyBorder="1" applyAlignment="1">
      <alignment horizontal="left" vertical="top"/>
    </xf>
    <xf numFmtId="2" fontId="12" fillId="2" borderId="0" xfId="0" applyNumberFormat="1" applyFont="1" applyFill="1" applyBorder="1" applyAlignment="1">
      <alignment horizontal="left" vertical="top"/>
    </xf>
    <xf numFmtId="166" fontId="32" fillId="2" borderId="0" xfId="0" applyNumberFormat="1" applyFont="1" applyFill="1" applyBorder="1" applyAlignment="1">
      <alignment horizontal="left" vertical="top"/>
    </xf>
    <xf numFmtId="0" fontId="32" fillId="2" borderId="0" xfId="0" applyFont="1" applyFill="1" applyBorder="1" applyAlignment="1">
      <alignment horizontal="left"/>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vertical="top" wrapText="1"/>
    </xf>
    <xf numFmtId="0" fontId="28"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8" fillId="0" borderId="1" xfId="1" applyFont="1" applyBorder="1" applyAlignment="1">
      <alignment horizontal="center" vertical="top" wrapText="1"/>
    </xf>
    <xf numFmtId="0" fontId="14" fillId="0" borderId="0" xfId="1" applyFont="1" applyAlignment="1">
      <alignment horizontal="center" vertical="center" wrapText="1"/>
    </xf>
    <xf numFmtId="0" fontId="14" fillId="0" borderId="0" xfId="1" applyFont="1" applyAlignment="1">
      <alignment wrapText="1"/>
    </xf>
    <xf numFmtId="0" fontId="39" fillId="0" borderId="5" xfId="1" applyFont="1" applyBorder="1" applyAlignment="1">
      <alignment horizontal="center" vertical="top" wrapText="1"/>
    </xf>
    <xf numFmtId="0" fontId="39" fillId="0" borderId="4" xfId="1" applyFont="1" applyBorder="1" applyAlignment="1">
      <alignment horizontal="center" vertical="top" wrapText="1"/>
    </xf>
    <xf numFmtId="0" fontId="39" fillId="0" borderId="6" xfId="1" applyFont="1" applyBorder="1" applyAlignment="1">
      <alignment horizontal="center" vertical="top" wrapText="1"/>
    </xf>
    <xf numFmtId="0" fontId="38" fillId="0" borderId="1" xfId="1" applyFont="1" applyBorder="1" applyAlignment="1">
      <alignment horizontal="center" vertical="top" wrapText="1"/>
    </xf>
    <xf numFmtId="0" fontId="39" fillId="0" borderId="1" xfId="1" applyFont="1" applyBorder="1" applyAlignment="1">
      <alignment horizontal="center" vertical="top" wrapText="1"/>
    </xf>
    <xf numFmtId="1" fontId="40" fillId="3" borderId="1" xfId="1" applyNumberFormat="1" applyFont="1" applyFill="1" applyBorder="1" applyAlignment="1">
      <alignment horizontal="center" vertical="center" wrapText="1"/>
    </xf>
    <xf numFmtId="2" fontId="40" fillId="3" borderId="1" xfId="1" applyNumberFormat="1" applyFont="1" applyFill="1" applyBorder="1" applyAlignment="1">
      <alignment horizontal="center" vertical="center" wrapText="1"/>
    </xf>
    <xf numFmtId="0" fontId="40" fillId="3" borderId="1" xfId="7" applyFont="1" applyFill="1" applyBorder="1" applyAlignment="1">
      <alignment horizontal="center" vertical="center" wrapText="1"/>
    </xf>
    <xf numFmtId="0" fontId="41" fillId="0" borderId="1" xfId="1" applyFont="1" applyBorder="1" applyAlignment="1">
      <alignment horizontal="center" vertical="center" wrapText="1"/>
    </xf>
    <xf numFmtId="0" fontId="10" fillId="0" borderId="1" xfId="1" applyFont="1" applyBorder="1" applyAlignment="1">
      <alignment horizontal="center" vertical="center" wrapText="1"/>
    </xf>
    <xf numFmtId="0" fontId="13" fillId="3" borderId="0" xfId="1" applyFont="1" applyFill="1" applyAlignment="1">
      <alignment horizontal="center" vertical="center" wrapText="1"/>
    </xf>
    <xf numFmtId="0" fontId="13" fillId="3" borderId="0" xfId="1" applyFont="1" applyFill="1" applyAlignment="1">
      <alignment wrapText="1"/>
    </xf>
    <xf numFmtId="1" fontId="42" fillId="3" borderId="1" xfId="1" applyNumberFormat="1" applyFont="1" applyFill="1" applyBorder="1" applyAlignment="1">
      <alignment horizontal="center" vertical="center" wrapText="1"/>
    </xf>
    <xf numFmtId="2" fontId="26" fillId="0" borderId="1" xfId="1" applyNumberFormat="1" applyFont="1" applyBorder="1" applyAlignment="1">
      <alignment horizontal="center" vertical="center" wrapText="1"/>
    </xf>
    <xf numFmtId="2" fontId="43" fillId="0" borderId="1" xfId="1" applyNumberFormat="1" applyFont="1" applyBorder="1" applyAlignment="1">
      <alignment horizontal="center" vertical="center" wrapText="1"/>
    </xf>
    <xf numFmtId="0" fontId="44" fillId="0" borderId="1" xfId="7" applyFont="1" applyBorder="1" applyAlignment="1">
      <alignment horizontal="justify" vertical="center" wrapText="1"/>
    </xf>
    <xf numFmtId="2" fontId="46" fillId="0" borderId="1" xfId="1" applyNumberFormat="1" applyFont="1" applyBorder="1" applyAlignment="1">
      <alignment horizontal="center" vertical="center" wrapText="1"/>
    </xf>
    <xf numFmtId="2" fontId="14" fillId="0" borderId="1" xfId="1" applyNumberFormat="1" applyFont="1" applyBorder="1" applyAlignment="1">
      <alignment horizontal="center" vertical="center" wrapText="1"/>
    </xf>
    <xf numFmtId="2" fontId="14" fillId="0" borderId="1" xfId="1" applyNumberFormat="1" applyFont="1" applyBorder="1" applyAlignment="1">
      <alignment horizontal="right" vertical="center" wrapText="1"/>
    </xf>
    <xf numFmtId="2" fontId="10" fillId="0" borderId="1" xfId="1" applyNumberFormat="1" applyFont="1" applyBorder="1" applyAlignment="1">
      <alignment horizontal="center" vertical="center" wrapText="1"/>
    </xf>
    <xf numFmtId="2" fontId="10" fillId="0" borderId="1" xfId="1" applyNumberFormat="1" applyFont="1" applyBorder="1" applyAlignment="1">
      <alignment horizontal="right" vertical="center" wrapText="1"/>
    </xf>
    <xf numFmtId="2" fontId="13" fillId="3" borderId="0" xfId="1" applyNumberFormat="1" applyFont="1" applyFill="1" applyAlignment="1">
      <alignment wrapText="1"/>
    </xf>
    <xf numFmtId="1" fontId="47" fillId="3" borderId="1" xfId="1" applyNumberFormat="1" applyFont="1" applyFill="1" applyBorder="1" applyAlignment="1">
      <alignment horizontal="center" vertical="center" wrapText="1"/>
    </xf>
    <xf numFmtId="2" fontId="13" fillId="0" borderId="1" xfId="1" applyNumberFormat="1" applyFont="1" applyBorder="1" applyAlignment="1">
      <alignment horizontal="center" vertical="center" wrapText="1"/>
    </xf>
    <xf numFmtId="0" fontId="48" fillId="0" borderId="1" xfId="7" applyFont="1" applyBorder="1" applyAlignment="1">
      <alignment horizontal="justify" vertical="center" wrapText="1"/>
    </xf>
    <xf numFmtId="0" fontId="10" fillId="0" borderId="1" xfId="7" applyFont="1" applyBorder="1" applyAlignment="1">
      <alignment horizontal="justify" vertical="center" wrapText="1"/>
    </xf>
    <xf numFmtId="2" fontId="41" fillId="0" borderId="1" xfId="1" applyNumberFormat="1" applyFont="1" applyBorder="1" applyAlignment="1">
      <alignment horizontal="center" vertical="center" wrapText="1"/>
    </xf>
    <xf numFmtId="1" fontId="49" fillId="0" borderId="1" xfId="1" applyNumberFormat="1" applyFont="1" applyBorder="1" applyAlignment="1">
      <alignment horizontal="center" vertical="center" wrapText="1"/>
    </xf>
    <xf numFmtId="1" fontId="26" fillId="0" borderId="1" xfId="1" applyNumberFormat="1" applyFont="1" applyBorder="1" applyAlignment="1">
      <alignment horizontal="center" vertical="center" wrapText="1"/>
    </xf>
    <xf numFmtId="164" fontId="50" fillId="0" borderId="1" xfId="7" applyNumberFormat="1" applyFont="1" applyBorder="1" applyAlignment="1">
      <alignment horizontal="center" vertical="center"/>
    </xf>
    <xf numFmtId="2" fontId="50" fillId="0" borderId="1" xfId="7" applyNumberFormat="1" applyFont="1" applyBorder="1" applyAlignment="1">
      <alignment horizontal="center" vertical="center"/>
    </xf>
    <xf numFmtId="2" fontId="10" fillId="0" borderId="1" xfId="2" applyNumberFormat="1" applyFont="1" applyBorder="1" applyAlignment="1">
      <alignment horizontal="center" vertical="center" wrapText="1"/>
    </xf>
    <xf numFmtId="2" fontId="10" fillId="0" borderId="1" xfId="2" applyNumberFormat="1" applyFont="1" applyBorder="1" applyAlignment="1">
      <alignment horizontal="right" vertical="center" wrapText="1"/>
    </xf>
    <xf numFmtId="0" fontId="26" fillId="0" borderId="0" xfId="1" applyFont="1" applyAlignment="1">
      <alignment horizontal="center" vertical="center" wrapText="1"/>
    </xf>
    <xf numFmtId="0" fontId="26" fillId="0" borderId="0" xfId="1" applyFont="1" applyAlignment="1">
      <alignment wrapText="1"/>
    </xf>
    <xf numFmtId="164" fontId="51" fillId="0" borderId="1" xfId="7" applyNumberFormat="1" applyFont="1" applyBorder="1" applyAlignment="1">
      <alignment horizontal="right" vertical="center"/>
    </xf>
    <xf numFmtId="164" fontId="50" fillId="0" borderId="1" xfId="7" applyNumberFormat="1" applyFont="1" applyBorder="1" applyAlignment="1">
      <alignment horizontal="center" vertical="center"/>
    </xf>
    <xf numFmtId="164" fontId="52" fillId="0" borderId="1" xfId="7" applyNumberFormat="1" applyFont="1" applyBorder="1" applyAlignment="1">
      <alignment horizontal="center" vertical="center"/>
    </xf>
    <xf numFmtId="2" fontId="53" fillId="0" borderId="1" xfId="1" applyNumberFormat="1" applyFont="1" applyBorder="1" applyAlignment="1">
      <alignment horizontal="center" vertical="center" wrapText="1"/>
    </xf>
    <xf numFmtId="1" fontId="14" fillId="0" borderId="1" xfId="1" applyNumberFormat="1" applyFont="1" applyBorder="1" applyAlignment="1">
      <alignment horizontal="center" vertical="center" wrapText="1"/>
    </xf>
    <xf numFmtId="164" fontId="46" fillId="2" borderId="1" xfId="7" applyNumberFormat="1" applyFont="1" applyFill="1" applyBorder="1" applyAlignment="1">
      <alignment vertical="center" wrapText="1"/>
    </xf>
    <xf numFmtId="2" fontId="49"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right" vertical="center" wrapText="1"/>
    </xf>
    <xf numFmtId="0" fontId="46" fillId="2" borderId="1" xfId="3" applyFont="1" applyFill="1" applyBorder="1" applyAlignment="1">
      <alignment horizontal="left" vertical="center" wrapText="1"/>
    </xf>
    <xf numFmtId="164" fontId="54" fillId="0" borderId="1" xfId="7" applyNumberFormat="1" applyFont="1" applyBorder="1" applyAlignment="1">
      <alignment horizontal="right" vertical="center"/>
    </xf>
    <xf numFmtId="164" fontId="55" fillId="0" borderId="1" xfId="7" applyNumberFormat="1" applyFont="1" applyBorder="1" applyAlignment="1">
      <alignment horizontal="center" vertical="center"/>
    </xf>
    <xf numFmtId="164" fontId="54" fillId="0" borderId="1" xfId="7" applyNumberFormat="1" applyFont="1" applyBorder="1" applyAlignment="1">
      <alignment horizontal="center" vertical="center"/>
    </xf>
    <xf numFmtId="2" fontId="39" fillId="0" borderId="1" xfId="1" applyNumberFormat="1" applyFont="1" applyBorder="1" applyAlignment="1">
      <alignment horizontal="center" vertical="center" wrapText="1"/>
    </xf>
    <xf numFmtId="164" fontId="55" fillId="0" borderId="1" xfId="7" applyNumberFormat="1" applyFont="1" applyBorder="1" applyAlignment="1">
      <alignment horizontal="center" vertical="center" wrapText="1"/>
    </xf>
    <xf numFmtId="2" fontId="38" fillId="0" borderId="1" xfId="1" applyNumberFormat="1" applyFont="1" applyBorder="1" applyAlignment="1">
      <alignment horizontal="center" vertical="center" wrapText="1"/>
    </xf>
    <xf numFmtId="1" fontId="14" fillId="0" borderId="0" xfId="1" applyNumberFormat="1" applyFont="1" applyAlignment="1">
      <alignment horizontal="center" vertical="center" wrapText="1"/>
    </xf>
    <xf numFmtId="2" fontId="14" fillId="0" borderId="0" xfId="1" applyNumberFormat="1" applyFont="1" applyAlignment="1">
      <alignment horizontal="center" vertical="center" wrapText="1"/>
    </xf>
    <xf numFmtId="0" fontId="14" fillId="0" borderId="0" xfId="2" applyFont="1" applyAlignment="1">
      <alignment horizontal="justify" vertical="top" wrapText="1"/>
    </xf>
    <xf numFmtId="0" fontId="14" fillId="0" borderId="0" xfId="2" applyFont="1" applyAlignment="1">
      <alignment horizontal="center" vertical="center" wrapText="1"/>
    </xf>
    <xf numFmtId="0" fontId="14" fillId="0" borderId="0" xfId="1" applyFont="1" applyBorder="1" applyAlignment="1">
      <alignment horizontal="center" vertical="center" wrapText="1"/>
    </xf>
    <xf numFmtId="164" fontId="20" fillId="0" borderId="1" xfId="7" applyNumberFormat="1" applyFont="1" applyBorder="1" applyAlignment="1">
      <alignment horizontal="center" vertical="center"/>
    </xf>
    <xf numFmtId="0" fontId="4" fillId="0" borderId="0" xfId="7"/>
    <xf numFmtId="0" fontId="56" fillId="2" borderId="5" xfId="9" applyFont="1" applyFill="1" applyBorder="1" applyAlignment="1">
      <alignment horizontal="left" vertical="center" wrapText="1"/>
    </xf>
    <xf numFmtId="0" fontId="56" fillId="2" borderId="4" xfId="9" applyFont="1" applyFill="1" applyBorder="1" applyAlignment="1">
      <alignment horizontal="left" vertical="center" wrapText="1"/>
    </xf>
    <xf numFmtId="0" fontId="56" fillId="2" borderId="6" xfId="9" applyFont="1" applyFill="1" applyBorder="1" applyAlignment="1">
      <alignment horizontal="left" vertical="center" wrapText="1"/>
    </xf>
    <xf numFmtId="1" fontId="20" fillId="2" borderId="1" xfId="7" applyNumberFormat="1" applyFont="1" applyFill="1" applyBorder="1" applyAlignment="1">
      <alignment horizontal="center" vertical="center"/>
    </xf>
    <xf numFmtId="0" fontId="20" fillId="2" borderId="1" xfId="7" applyNumberFormat="1" applyFont="1" applyFill="1" applyBorder="1" applyAlignment="1">
      <alignment horizontal="center" vertical="center" wrapText="1"/>
    </xf>
    <xf numFmtId="1" fontId="20" fillId="2" borderId="1" xfId="7" applyNumberFormat="1" applyFont="1" applyFill="1" applyBorder="1" applyAlignment="1">
      <alignment horizontal="center"/>
    </xf>
    <xf numFmtId="2" fontId="20" fillId="2" borderId="5" xfId="7" applyNumberFormat="1" applyFont="1" applyFill="1" applyBorder="1" applyAlignment="1">
      <alignment horizontal="center" vertical="center"/>
    </xf>
    <xf numFmtId="2" fontId="20" fillId="2" borderId="4" xfId="7" applyNumberFormat="1" applyFont="1" applyFill="1" applyBorder="1" applyAlignment="1">
      <alignment horizontal="center" vertical="center"/>
    </xf>
    <xf numFmtId="2" fontId="20" fillId="2" borderId="6" xfId="7" applyNumberFormat="1" applyFont="1" applyFill="1" applyBorder="1" applyAlignment="1">
      <alignment horizontal="center" vertical="center"/>
    </xf>
    <xf numFmtId="0" fontId="20" fillId="2" borderId="1" xfId="7" applyNumberFormat="1" applyFont="1" applyFill="1" applyBorder="1" applyAlignment="1">
      <alignment horizontal="center" vertical="center"/>
    </xf>
    <xf numFmtId="2" fontId="20" fillId="2" borderId="1" xfId="7" applyNumberFormat="1" applyFont="1" applyFill="1" applyBorder="1" applyAlignment="1">
      <alignment horizontal="right" vertical="center"/>
    </xf>
    <xf numFmtId="1" fontId="20" fillId="2" borderId="1" xfId="7" applyNumberFormat="1" applyFont="1" applyFill="1" applyBorder="1" applyAlignment="1">
      <alignment horizontal="center" vertical="center"/>
    </xf>
    <xf numFmtId="0" fontId="57" fillId="0" borderId="1" xfId="7" applyFont="1" applyBorder="1" applyAlignment="1">
      <alignment horizontal="justify" vertical="center" wrapText="1"/>
    </xf>
    <xf numFmtId="1" fontId="20" fillId="2" borderId="1" xfId="7" applyNumberFormat="1" applyFont="1" applyFill="1" applyBorder="1" applyAlignment="1">
      <alignment horizontal="center"/>
    </xf>
    <xf numFmtId="0" fontId="20" fillId="2" borderId="1" xfId="7" applyNumberFormat="1" applyFont="1" applyFill="1" applyBorder="1"/>
    <xf numFmtId="0" fontId="20" fillId="2" borderId="1" xfId="7" applyNumberFormat="1" applyFont="1" applyFill="1" applyBorder="1" applyAlignment="1">
      <alignment vertical="center" wrapText="1"/>
    </xf>
    <xf numFmtId="2" fontId="15" fillId="2" borderId="1" xfId="7" applyNumberFormat="1" applyFont="1" applyFill="1" applyBorder="1" applyAlignment="1">
      <alignment horizontal="right" vertical="center"/>
    </xf>
    <xf numFmtId="0" fontId="15" fillId="2" borderId="1" xfId="7" applyNumberFormat="1" applyFont="1" applyFill="1" applyBorder="1"/>
    <xf numFmtId="0" fontId="15" fillId="2" borderId="1" xfId="7" applyNumberFormat="1" applyFont="1" applyFill="1" applyBorder="1" applyAlignment="1">
      <alignment wrapText="1"/>
    </xf>
    <xf numFmtId="2" fontId="58" fillId="2" borderId="1" xfId="3" applyNumberFormat="1" applyFont="1" applyFill="1" applyBorder="1" applyAlignment="1">
      <alignment vertical="top" wrapText="1"/>
    </xf>
    <xf numFmtId="2" fontId="20" fillId="2" borderId="1" xfId="7" applyNumberFormat="1" applyFont="1" applyFill="1" applyBorder="1" applyAlignment="1">
      <alignment horizontal="right"/>
    </xf>
    <xf numFmtId="164" fontId="15" fillId="0" borderId="1" xfId="10" applyNumberFormat="1" applyFont="1" applyBorder="1" applyAlignment="1">
      <alignment horizontal="center" vertical="center"/>
    </xf>
    <xf numFmtId="0" fontId="4" fillId="2" borderId="0" xfId="10" applyNumberFormat="1" applyFont="1" applyFill="1"/>
    <xf numFmtId="0" fontId="17" fillId="2" borderId="1" xfId="9" applyFont="1" applyFill="1" applyBorder="1" applyAlignment="1">
      <alignment horizontal="left" vertical="center" wrapText="1"/>
    </xf>
    <xf numFmtId="0" fontId="17" fillId="2" borderId="1" xfId="10" applyNumberFormat="1" applyFont="1" applyFill="1" applyBorder="1" applyAlignment="1">
      <alignment horizontal="center" vertical="center"/>
    </xf>
    <xf numFmtId="0" fontId="17" fillId="2" borderId="1" xfId="10" applyNumberFormat="1" applyFont="1" applyFill="1" applyBorder="1" applyAlignment="1">
      <alignment horizontal="center" vertical="center" wrapText="1"/>
    </xf>
    <xf numFmtId="2" fontId="17" fillId="2" borderId="1" xfId="10" applyNumberFormat="1" applyFont="1" applyFill="1" applyBorder="1" applyAlignment="1">
      <alignment horizontal="center" vertical="center"/>
    </xf>
    <xf numFmtId="0" fontId="4" fillId="2" borderId="0" xfId="10" applyNumberFormat="1" applyFont="1" applyFill="1" applyAlignment="1">
      <alignment horizontal="center" vertical="center"/>
    </xf>
    <xf numFmtId="2" fontId="17" fillId="2" borderId="1" xfId="10" applyNumberFormat="1" applyFont="1" applyFill="1" applyBorder="1" applyAlignment="1">
      <alignment horizontal="center" vertical="center"/>
    </xf>
    <xf numFmtId="0" fontId="4" fillId="2" borderId="1" xfId="10" applyNumberFormat="1" applyFont="1" applyFill="1" applyBorder="1" applyAlignment="1">
      <alignment horizontal="center" vertical="center"/>
    </xf>
    <xf numFmtId="0" fontId="4" fillId="2" borderId="1" xfId="10" applyNumberFormat="1" applyFont="1" applyFill="1" applyBorder="1" applyAlignment="1">
      <alignment vertical="top" wrapText="1"/>
    </xf>
    <xf numFmtId="2" fontId="4" fillId="2" borderId="1" xfId="10" applyNumberFormat="1" applyFont="1" applyFill="1" applyBorder="1"/>
    <xf numFmtId="2" fontId="4" fillId="2" borderId="1" xfId="10" applyNumberFormat="1" applyFont="1" applyFill="1" applyBorder="1" applyAlignment="1">
      <alignment horizontal="right" vertical="center"/>
    </xf>
    <xf numFmtId="0" fontId="4" fillId="2" borderId="1" xfId="10" applyNumberFormat="1" applyFont="1" applyFill="1" applyBorder="1"/>
    <xf numFmtId="0" fontId="4" fillId="4" borderId="0" xfId="10" applyNumberFormat="1" applyFont="1" applyFill="1"/>
    <xf numFmtId="0" fontId="4" fillId="2" borderId="1" xfId="10" applyNumberFormat="1" applyFont="1" applyFill="1" applyBorder="1" applyAlignment="1">
      <alignment wrapText="1"/>
    </xf>
    <xf numFmtId="2" fontId="4" fillId="2" borderId="1" xfId="10" applyNumberFormat="1" applyFont="1" applyFill="1" applyBorder="1" applyAlignment="1">
      <alignment vertical="center"/>
    </xf>
    <xf numFmtId="2" fontId="17" fillId="2" borderId="1" xfId="10" applyNumberFormat="1" applyFont="1" applyFill="1" applyBorder="1" applyAlignment="1">
      <alignment horizontal="right" vertical="center"/>
    </xf>
    <xf numFmtId="0" fontId="17" fillId="2" borderId="1" xfId="10" applyNumberFormat="1" applyFont="1" applyFill="1" applyBorder="1"/>
    <xf numFmtId="164" fontId="4" fillId="2" borderId="1" xfId="10" applyNumberFormat="1" applyFont="1" applyFill="1" applyBorder="1" applyAlignment="1">
      <alignment horizontal="left" vertical="top"/>
    </xf>
    <xf numFmtId="0" fontId="60" fillId="2" borderId="0" xfId="10" applyNumberFormat="1" applyFont="1" applyFill="1"/>
    <xf numFmtId="2" fontId="60" fillId="2" borderId="0" xfId="10" applyNumberFormat="1" applyFont="1" applyFill="1"/>
    <xf numFmtId="0" fontId="4" fillId="2" borderId="1" xfId="10" applyNumberFormat="1" applyFont="1" applyFill="1" applyBorder="1" applyAlignment="1">
      <alignment vertical="center" wrapText="1"/>
    </xf>
    <xf numFmtId="2" fontId="17" fillId="2" borderId="1" xfId="10" applyNumberFormat="1" applyFont="1" applyFill="1" applyBorder="1" applyAlignment="1">
      <alignment horizontal="right"/>
    </xf>
    <xf numFmtId="1" fontId="4" fillId="2" borderId="1" xfId="10" applyNumberFormat="1" applyFont="1" applyFill="1" applyBorder="1" applyAlignment="1">
      <alignment horizontal="center" vertical="center"/>
    </xf>
    <xf numFmtId="2" fontId="4" fillId="2" borderId="1" xfId="10" applyNumberFormat="1" applyFont="1" applyFill="1" applyBorder="1" applyAlignment="1">
      <alignment horizontal="center"/>
    </xf>
    <xf numFmtId="2" fontId="17" fillId="2" borderId="1" xfId="10" applyNumberFormat="1" applyFont="1" applyFill="1" applyBorder="1" applyAlignment="1">
      <alignment horizontal="center"/>
    </xf>
    <xf numFmtId="2" fontId="17" fillId="2" borderId="1" xfId="10" applyNumberFormat="1" applyFont="1" applyFill="1" applyBorder="1"/>
    <xf numFmtId="2" fontId="4" fillId="2" borderId="1" xfId="10" applyNumberFormat="1" applyFont="1" applyFill="1" applyBorder="1" applyAlignment="1">
      <alignment horizontal="right"/>
    </xf>
    <xf numFmtId="0" fontId="4" fillId="2" borderId="1" xfId="10" applyNumberFormat="1" applyFont="1" applyFill="1" applyBorder="1" applyAlignment="1">
      <alignment horizontal="right"/>
    </xf>
    <xf numFmtId="2" fontId="4" fillId="2" borderId="1" xfId="11" applyNumberFormat="1" applyFont="1" applyFill="1" applyBorder="1" applyAlignment="1">
      <alignment vertical="top" wrapText="1"/>
    </xf>
    <xf numFmtId="2" fontId="4" fillId="2" borderId="1" xfId="9" applyNumberFormat="1" applyFont="1" applyFill="1" applyBorder="1" applyAlignment="1">
      <alignment horizontal="center" vertical="center" wrapText="1"/>
    </xf>
    <xf numFmtId="2" fontId="4" fillId="2" borderId="1" xfId="9" applyNumberFormat="1" applyFont="1" applyFill="1" applyBorder="1" applyAlignment="1">
      <alignment vertical="top" wrapText="1"/>
    </xf>
    <xf numFmtId="1" fontId="4" fillId="2" borderId="1" xfId="9" applyNumberFormat="1" applyFont="1" applyFill="1" applyBorder="1" applyAlignment="1">
      <alignment vertical="top" wrapText="1"/>
    </xf>
    <xf numFmtId="2" fontId="17" fillId="2" borderId="1" xfId="9" applyNumberFormat="1" applyFont="1" applyFill="1" applyBorder="1" applyAlignment="1">
      <alignment vertical="top" wrapText="1"/>
    </xf>
    <xf numFmtId="2" fontId="17" fillId="0" borderId="0" xfId="9" applyNumberFormat="1" applyFont="1" applyAlignment="1">
      <alignment vertical="top" wrapText="1"/>
    </xf>
    <xf numFmtId="0" fontId="4" fillId="2" borderId="1" xfId="10" applyNumberFormat="1" applyFont="1" applyFill="1" applyBorder="1" applyAlignment="1">
      <alignment horizontal="center" vertical="center" wrapText="1"/>
    </xf>
    <xf numFmtId="0" fontId="4" fillId="2" borderId="1" xfId="10" applyNumberFormat="1" applyFont="1" applyFill="1" applyBorder="1" applyAlignment="1">
      <alignment horizontal="center"/>
    </xf>
    <xf numFmtId="2" fontId="4" fillId="2" borderId="1" xfId="10" applyNumberFormat="1" applyFont="1" applyFill="1" applyBorder="1" applyAlignment="1"/>
    <xf numFmtId="164" fontId="4" fillId="2" borderId="1" xfId="10" applyNumberFormat="1" applyFont="1" applyFill="1" applyBorder="1" applyAlignment="1">
      <alignment horizontal="left" vertical="center" wrapText="1"/>
    </xf>
    <xf numFmtId="0" fontId="4" fillId="2" borderId="1" xfId="10" applyNumberFormat="1" applyFont="1" applyFill="1" applyBorder="1" applyAlignment="1">
      <alignment horizontal="center" wrapText="1"/>
    </xf>
    <xf numFmtId="2" fontId="4" fillId="2" borderId="0" xfId="10" applyNumberFormat="1" applyFont="1" applyFill="1"/>
    <xf numFmtId="0" fontId="17" fillId="2" borderId="1" xfId="10" applyNumberFormat="1" applyFont="1" applyFill="1" applyBorder="1" applyAlignment="1">
      <alignment vertical="center" wrapText="1"/>
    </xf>
    <xf numFmtId="0" fontId="4" fillId="0" borderId="1" xfId="12" applyNumberFormat="1" applyFont="1" applyFill="1" applyBorder="1" applyAlignment="1">
      <alignment vertical="top" wrapText="1"/>
    </xf>
    <xf numFmtId="2" fontId="17" fillId="2" borderId="1" xfId="10" applyNumberFormat="1" applyFont="1" applyFill="1" applyBorder="1" applyAlignment="1">
      <alignment vertical="center"/>
    </xf>
    <xf numFmtId="0" fontId="20" fillId="2" borderId="1" xfId="10" applyNumberFormat="1" applyFont="1" applyFill="1" applyBorder="1" applyAlignment="1">
      <alignment vertical="top" wrapText="1"/>
    </xf>
    <xf numFmtId="0" fontId="14" fillId="2" borderId="1" xfId="13" applyFont="1" applyFill="1" applyBorder="1" applyAlignment="1">
      <alignment horizontal="left" vertical="top" wrapText="1"/>
    </xf>
    <xf numFmtId="0" fontId="4" fillId="2" borderId="0" xfId="10" applyNumberFormat="1" applyFont="1" applyFill="1" applyBorder="1" applyAlignment="1">
      <alignment horizontal="center" vertical="center"/>
    </xf>
    <xf numFmtId="0" fontId="4" fillId="2" borderId="0" xfId="10" applyNumberFormat="1" applyFont="1" applyFill="1" applyBorder="1" applyAlignment="1">
      <alignment wrapText="1"/>
    </xf>
    <xf numFmtId="2" fontId="4" fillId="2" borderId="0" xfId="10" applyNumberFormat="1" applyFont="1" applyFill="1" applyBorder="1"/>
    <xf numFmtId="2" fontId="4" fillId="2" borderId="0" xfId="10" applyNumberFormat="1" applyFont="1" applyFill="1" applyBorder="1" applyAlignment="1">
      <alignment horizontal="right" vertical="center"/>
    </xf>
    <xf numFmtId="0" fontId="4" fillId="2" borderId="0" xfId="10" applyNumberFormat="1" applyFont="1" applyFill="1" applyBorder="1"/>
    <xf numFmtId="0" fontId="4" fillId="2" borderId="0" xfId="10" applyNumberFormat="1" applyFont="1" applyFill="1" applyBorder="1" applyAlignment="1">
      <alignment horizontal="center" vertical="top"/>
    </xf>
    <xf numFmtId="2" fontId="4" fillId="2" borderId="0" xfId="10" applyNumberFormat="1" applyFont="1" applyFill="1" applyBorder="1" applyAlignment="1">
      <alignment horizontal="center"/>
    </xf>
    <xf numFmtId="0" fontId="4" fillId="2" borderId="0" xfId="10" applyNumberFormat="1" applyFont="1" applyFill="1" applyAlignment="1">
      <alignment wrapText="1"/>
    </xf>
    <xf numFmtId="2" fontId="4" fillId="2" borderId="0" xfId="10" applyNumberFormat="1" applyFont="1" applyFill="1" applyAlignment="1">
      <alignment horizontal="right" vertical="center"/>
    </xf>
    <xf numFmtId="0" fontId="39" fillId="2" borderId="1" xfId="13" applyFont="1" applyFill="1" applyBorder="1" applyAlignment="1">
      <alignment horizontal="center" vertical="center" wrapText="1"/>
    </xf>
    <xf numFmtId="0" fontId="4" fillId="0" borderId="0" xfId="13" applyFont="1"/>
    <xf numFmtId="164" fontId="63" fillId="2" borderId="5" xfId="22" applyFont="1" applyFill="1" applyBorder="1" applyAlignment="1">
      <alignment horizontal="center" vertical="center"/>
    </xf>
    <xf numFmtId="164" fontId="63" fillId="2" borderId="4" xfId="22" applyFont="1" applyFill="1" applyBorder="1" applyAlignment="1">
      <alignment horizontal="center" vertical="center"/>
    </xf>
    <xf numFmtId="164" fontId="63" fillId="2" borderId="6" xfId="22" applyFont="1" applyFill="1" applyBorder="1" applyAlignment="1">
      <alignment horizontal="center" vertical="center"/>
    </xf>
    <xf numFmtId="164" fontId="63" fillId="0" borderId="1" xfId="22" applyFont="1" applyBorder="1" applyAlignment="1">
      <alignment vertical="center"/>
    </xf>
    <xf numFmtId="0" fontId="10" fillId="2" borderId="1" xfId="13" applyFont="1" applyFill="1" applyBorder="1" applyAlignment="1">
      <alignment horizontal="center" vertical="center" wrapText="1"/>
    </xf>
    <xf numFmtId="0" fontId="64" fillId="0" borderId="0" xfId="13" applyFont="1" applyAlignment="1">
      <alignment vertical="center" wrapText="1"/>
    </xf>
    <xf numFmtId="0" fontId="39" fillId="2" borderId="5" xfId="13" applyFont="1" applyFill="1" applyBorder="1" applyAlignment="1">
      <alignment horizontal="left" vertical="top" wrapText="1"/>
    </xf>
    <xf numFmtId="0" fontId="39" fillId="2" borderId="4" xfId="13" applyFont="1" applyFill="1" applyBorder="1" applyAlignment="1">
      <alignment horizontal="left" vertical="top" wrapText="1"/>
    </xf>
    <xf numFmtId="0" fontId="39" fillId="2" borderId="6" xfId="13" applyFont="1" applyFill="1" applyBorder="1" applyAlignment="1">
      <alignment horizontal="left" vertical="top" wrapText="1"/>
    </xf>
    <xf numFmtId="0" fontId="65" fillId="0" borderId="0" xfId="13" applyFont="1" applyAlignment="1">
      <alignment vertical="center" wrapText="1"/>
    </xf>
    <xf numFmtId="0" fontId="10" fillId="2" borderId="1" xfId="13" applyFont="1" applyFill="1" applyBorder="1" applyAlignment="1">
      <alignment vertical="center" wrapText="1"/>
    </xf>
    <xf numFmtId="2" fontId="10" fillId="2" borderId="1" xfId="13" applyNumberFormat="1" applyFont="1" applyFill="1" applyBorder="1" applyAlignment="1">
      <alignment vertical="center" wrapText="1"/>
    </xf>
    <xf numFmtId="0" fontId="13" fillId="2" borderId="1" xfId="27" applyFont="1" applyFill="1" applyBorder="1" applyAlignment="1">
      <alignment vertical="center" wrapText="1"/>
    </xf>
    <xf numFmtId="2" fontId="13" fillId="2" borderId="1" xfId="27" applyNumberFormat="1" applyFont="1" applyFill="1" applyBorder="1" applyAlignment="1">
      <alignment vertical="center" wrapText="1"/>
    </xf>
    <xf numFmtId="0" fontId="14" fillId="2" borderId="1" xfId="13" applyFont="1" applyFill="1" applyBorder="1" applyAlignment="1">
      <alignment horizontal="justify" vertical="top" wrapText="1"/>
    </xf>
    <xf numFmtId="0" fontId="14" fillId="2" borderId="1" xfId="13" applyFont="1" applyFill="1" applyBorder="1" applyAlignment="1">
      <alignment horizontal="center" vertical="center"/>
    </xf>
    <xf numFmtId="2" fontId="13" fillId="2" borderId="1" xfId="13" applyNumberFormat="1" applyFont="1" applyFill="1" applyBorder="1" applyAlignment="1">
      <alignment horizontal="center" vertical="center" wrapText="1"/>
    </xf>
    <xf numFmtId="2" fontId="4" fillId="0" borderId="0" xfId="13" applyNumberFormat="1" applyFont="1" applyAlignment="1">
      <alignment horizontal="right" vertical="top" wrapText="1"/>
    </xf>
    <xf numFmtId="0" fontId="4" fillId="0" borderId="0" xfId="13" applyFont="1" applyAlignment="1">
      <alignment horizontal="left" vertical="center" wrapText="1"/>
    </xf>
    <xf numFmtId="2" fontId="14" fillId="2" borderId="1" xfId="13" applyNumberFormat="1" applyFont="1" applyFill="1" applyBorder="1" applyAlignment="1">
      <alignment horizontal="center" vertical="center" wrapText="1"/>
    </xf>
    <xf numFmtId="164" fontId="14" fillId="2" borderId="1" xfId="13" applyNumberFormat="1" applyFont="1" applyFill="1" applyBorder="1" applyAlignment="1">
      <alignment horizontal="center" vertical="center"/>
    </xf>
    <xf numFmtId="2" fontId="14" fillId="2" borderId="1" xfId="13" applyNumberFormat="1" applyFont="1" applyFill="1" applyBorder="1" applyAlignment="1">
      <alignment horizontal="center" vertical="center"/>
    </xf>
    <xf numFmtId="0" fontId="14" fillId="2" borderId="1" xfId="21" applyFont="1" applyFill="1" applyBorder="1" applyAlignment="1">
      <alignment horizontal="justify" vertical="top" wrapText="1"/>
    </xf>
    <xf numFmtId="2" fontId="14" fillId="2" borderId="1" xfId="26" applyNumberFormat="1" applyFont="1" applyFill="1" applyBorder="1" applyAlignment="1">
      <alignment vertical="center" wrapText="1"/>
    </xf>
    <xf numFmtId="168" fontId="14" fillId="2" borderId="1" xfId="9" applyNumberFormat="1" applyFont="1" applyFill="1" applyBorder="1" applyAlignment="1">
      <alignment horizontal="justify" vertical="top" wrapText="1"/>
    </xf>
    <xf numFmtId="0" fontId="10" fillId="2" borderId="1" xfId="13" applyFont="1" applyFill="1" applyBorder="1" applyAlignment="1">
      <alignment horizontal="right" vertical="top" wrapText="1"/>
    </xf>
    <xf numFmtId="2" fontId="47" fillId="2" borderId="1" xfId="13" applyNumberFormat="1" applyFont="1" applyFill="1" applyBorder="1" applyAlignment="1">
      <alignment horizontal="center" vertical="center" wrapText="1"/>
    </xf>
    <xf numFmtId="2" fontId="47" fillId="2" borderId="5" xfId="13" applyNumberFormat="1" applyFont="1" applyFill="1" applyBorder="1" applyAlignment="1">
      <alignment horizontal="center" vertical="center" wrapText="1"/>
    </xf>
    <xf numFmtId="2" fontId="13" fillId="0" borderId="0" xfId="13" applyNumberFormat="1" applyFont="1" applyAlignment="1">
      <alignment horizontal="center" vertical="center" wrapText="1"/>
    </xf>
    <xf numFmtId="164" fontId="10" fillId="2" borderId="1" xfId="13" applyNumberFormat="1" applyFont="1" applyFill="1" applyBorder="1" applyAlignment="1">
      <alignment horizontal="center" vertical="center"/>
    </xf>
    <xf numFmtId="2" fontId="4" fillId="0" borderId="0" xfId="13" applyNumberFormat="1" applyFont="1"/>
    <xf numFmtId="0" fontId="4" fillId="2" borderId="0" xfId="13" applyFont="1" applyFill="1" applyAlignment="1">
      <alignment vertical="center" wrapText="1"/>
    </xf>
    <xf numFmtId="2" fontId="4" fillId="2" borderId="0" xfId="13" applyNumberFormat="1" applyFont="1" applyFill="1" applyAlignment="1">
      <alignment vertical="center" wrapText="1"/>
    </xf>
    <xf numFmtId="0" fontId="4" fillId="2" borderId="0" xfId="13" applyFont="1" applyFill="1" applyAlignment="1">
      <alignment wrapText="1"/>
    </xf>
    <xf numFmtId="0" fontId="4" fillId="2" borderId="0" xfId="13" applyFont="1" applyFill="1" applyAlignment="1">
      <alignment horizontal="center" vertical="center" wrapText="1"/>
    </xf>
    <xf numFmtId="2" fontId="4" fillId="2" borderId="0" xfId="13" applyNumberFormat="1" applyFont="1" applyFill="1" applyAlignment="1">
      <alignment horizontal="center" vertical="center" wrapText="1"/>
    </xf>
    <xf numFmtId="164" fontId="67" fillId="2" borderId="0" xfId="22" applyFont="1" applyFill="1" applyAlignment="1">
      <alignment horizontal="center" vertical="center"/>
    </xf>
    <xf numFmtId="164" fontId="67" fillId="0" borderId="0" xfId="22" applyFont="1" applyAlignment="1">
      <alignment vertical="center"/>
    </xf>
    <xf numFmtId="164" fontId="36" fillId="0" borderId="0" xfId="22"/>
    <xf numFmtId="164" fontId="67" fillId="2" borderId="0" xfId="22" applyFont="1" applyFill="1" applyAlignment="1">
      <alignment vertical="center"/>
    </xf>
    <xf numFmtId="164" fontId="67" fillId="0" borderId="0" xfId="22" applyFont="1" applyAlignment="1">
      <alignment horizontal="center" vertical="center"/>
    </xf>
    <xf numFmtId="0" fontId="4" fillId="0" borderId="0" xfId="13" applyFont="1" applyAlignment="1">
      <alignment vertical="center" wrapText="1"/>
    </xf>
    <xf numFmtId="0" fontId="4" fillId="0" borderId="0" xfId="13" applyFont="1" applyAlignment="1">
      <alignment wrapText="1"/>
    </xf>
    <xf numFmtId="0" fontId="4" fillId="0" borderId="0" xfId="13" applyFont="1" applyAlignment="1">
      <alignment horizontal="center" vertical="center" wrapText="1"/>
    </xf>
    <xf numFmtId="0" fontId="4" fillId="0" borderId="0" xfId="13" applyFont="1" applyAlignment="1">
      <alignment vertical="center"/>
    </xf>
    <xf numFmtId="2" fontId="4" fillId="2" borderId="0" xfId="13" applyNumberFormat="1" applyFont="1" applyFill="1" applyAlignment="1">
      <alignment vertical="center"/>
    </xf>
    <xf numFmtId="0" fontId="4" fillId="0" borderId="0" xfId="13" applyFont="1" applyAlignment="1">
      <alignment horizontal="center" vertical="center"/>
    </xf>
    <xf numFmtId="164" fontId="10" fillId="0" borderId="0" xfId="22" applyFont="1" applyAlignment="1">
      <alignment horizontal="right"/>
    </xf>
    <xf numFmtId="164" fontId="10" fillId="0" borderId="0" xfId="22" applyFont="1" applyAlignment="1">
      <alignment horizontal="center"/>
    </xf>
    <xf numFmtId="164" fontId="10" fillId="0" borderId="0" xfId="22" applyFont="1" applyAlignment="1">
      <alignment wrapText="1"/>
    </xf>
    <xf numFmtId="164" fontId="10" fillId="0" borderId="0" xfId="22" applyFont="1" applyAlignment="1">
      <alignment horizontal="center" vertical="center"/>
    </xf>
    <xf numFmtId="164" fontId="14" fillId="0" borderId="0" xfId="22" applyFont="1"/>
    <xf numFmtId="164" fontId="10" fillId="0" borderId="0" xfId="22" quotePrefix="1" applyFont="1" applyAlignment="1">
      <alignment wrapText="1"/>
    </xf>
    <xf numFmtId="164" fontId="14" fillId="0" borderId="0" xfId="22" applyFont="1" applyAlignment="1">
      <alignment horizontal="right"/>
    </xf>
    <xf numFmtId="164" fontId="14" fillId="0" borderId="0" xfId="22" applyFont="1" applyAlignment="1">
      <alignment horizontal="center"/>
    </xf>
    <xf numFmtId="164" fontId="14" fillId="0" borderId="0" xfId="22" applyFont="1" applyAlignment="1">
      <alignment wrapText="1"/>
    </xf>
    <xf numFmtId="164" fontId="14" fillId="0" borderId="0" xfId="22" applyFont="1" applyAlignment="1">
      <alignment horizontal="center" vertical="center"/>
    </xf>
    <xf numFmtId="164" fontId="10" fillId="0" borderId="0" xfId="22" applyFont="1"/>
    <xf numFmtId="164" fontId="4" fillId="0" borderId="0" xfId="22" applyFont="1"/>
    <xf numFmtId="164" fontId="17" fillId="0" borderId="0" xfId="22" applyFont="1"/>
    <xf numFmtId="164" fontId="14" fillId="0" borderId="0" xfId="22" applyFont="1" applyAlignment="1">
      <alignment horizontal="center" wrapText="1"/>
    </xf>
    <xf numFmtId="164" fontId="36" fillId="0" borderId="0" xfId="22" applyAlignment="1">
      <alignment horizontal="center"/>
    </xf>
    <xf numFmtId="164" fontId="36" fillId="0" borderId="0" xfId="22" applyAlignment="1">
      <alignment horizontal="right"/>
    </xf>
    <xf numFmtId="164" fontId="36" fillId="0" borderId="0" xfId="22" applyAlignment="1">
      <alignment wrapText="1"/>
    </xf>
    <xf numFmtId="164" fontId="36" fillId="0" borderId="0" xfId="22" applyAlignment="1">
      <alignment horizontal="center" vertical="center"/>
    </xf>
    <xf numFmtId="164" fontId="20" fillId="0" borderId="1" xfId="22" applyFont="1" applyBorder="1" applyAlignment="1">
      <alignment horizontal="center" vertical="center"/>
    </xf>
    <xf numFmtId="0" fontId="20" fillId="2" borderId="0" xfId="22" applyNumberFormat="1" applyFont="1" applyFill="1"/>
    <xf numFmtId="0" fontId="68" fillId="2" borderId="1" xfId="9" applyFont="1" applyFill="1" applyBorder="1" applyAlignment="1">
      <alignment horizontal="left" vertical="center" wrapText="1"/>
    </xf>
    <xf numFmtId="1" fontId="20" fillId="2" borderId="1" xfId="22" applyNumberFormat="1" applyFont="1" applyFill="1" applyBorder="1" applyAlignment="1">
      <alignment horizontal="center" vertical="center"/>
    </xf>
    <xf numFmtId="0" fontId="20" fillId="2" borderId="1" xfId="22" applyNumberFormat="1" applyFont="1" applyFill="1" applyBorder="1" applyAlignment="1">
      <alignment horizontal="center" vertical="center" wrapText="1"/>
    </xf>
    <xf numFmtId="1" fontId="20" fillId="2" borderId="1" xfId="22" applyNumberFormat="1" applyFont="1" applyFill="1" applyBorder="1" applyAlignment="1">
      <alignment horizontal="center"/>
    </xf>
    <xf numFmtId="2" fontId="20" fillId="2" borderId="1" xfId="22" applyNumberFormat="1" applyFont="1" applyFill="1" applyBorder="1" applyAlignment="1">
      <alignment horizontal="right" vertical="center"/>
    </xf>
    <xf numFmtId="0" fontId="20" fillId="2" borderId="1" xfId="22" applyNumberFormat="1" applyFont="1" applyFill="1" applyBorder="1" applyAlignment="1">
      <alignment horizontal="center" vertical="center"/>
    </xf>
    <xf numFmtId="0" fontId="20" fillId="2" borderId="0" xfId="22" applyNumberFormat="1" applyFont="1" applyFill="1" applyAlignment="1">
      <alignment horizontal="center" vertical="center"/>
    </xf>
    <xf numFmtId="2" fontId="20" fillId="2" borderId="1" xfId="22" applyNumberFormat="1" applyFont="1" applyFill="1" applyBorder="1" applyAlignment="1">
      <alignment horizontal="right" vertical="center"/>
    </xf>
    <xf numFmtId="1" fontId="20" fillId="2" borderId="1" xfId="22" applyNumberFormat="1" applyFont="1" applyFill="1" applyBorder="1" applyAlignment="1">
      <alignment horizontal="center" vertical="center"/>
    </xf>
    <xf numFmtId="0" fontId="20" fillId="2" borderId="1" xfId="22" applyNumberFormat="1" applyFont="1" applyFill="1" applyBorder="1" applyAlignment="1">
      <alignment vertical="center" wrapText="1"/>
    </xf>
    <xf numFmtId="1" fontId="20" fillId="2" borderId="1" xfId="22" applyNumberFormat="1" applyFont="1" applyFill="1" applyBorder="1" applyAlignment="1">
      <alignment horizontal="center"/>
    </xf>
    <xf numFmtId="0" fontId="20" fillId="2" borderId="1" xfId="22" applyNumberFormat="1" applyFont="1" applyFill="1" applyBorder="1"/>
    <xf numFmtId="0" fontId="15" fillId="2" borderId="1" xfId="22" applyNumberFormat="1" applyFont="1" applyFill="1" applyBorder="1" applyAlignment="1">
      <alignment vertical="center" wrapText="1"/>
    </xf>
    <xf numFmtId="2" fontId="20" fillId="2" borderId="1" xfId="22" applyNumberFormat="1" applyFont="1" applyFill="1" applyBorder="1" applyAlignment="1">
      <alignment vertical="center"/>
    </xf>
    <xf numFmtId="164" fontId="20" fillId="0" borderId="1" xfId="22" applyFont="1" applyBorder="1" applyAlignment="1">
      <alignment horizontal="left" vertical="center"/>
    </xf>
    <xf numFmtId="2" fontId="20" fillId="2" borderId="0" xfId="22" applyNumberFormat="1" applyFont="1" applyFill="1"/>
    <xf numFmtId="2" fontId="15" fillId="2" borderId="1" xfId="22" applyNumberFormat="1" applyFont="1" applyFill="1" applyBorder="1" applyAlignment="1">
      <alignment horizontal="right" vertical="center"/>
    </xf>
    <xf numFmtId="0" fontId="15" fillId="2" borderId="1" xfId="22" applyNumberFormat="1" applyFont="1" applyFill="1" applyBorder="1"/>
    <xf numFmtId="0" fontId="20" fillId="2" borderId="1" xfId="22" applyNumberFormat="1" applyFont="1" applyFill="1" applyBorder="1" applyAlignment="1">
      <alignment vertical="center"/>
    </xf>
    <xf numFmtId="0" fontId="20" fillId="2" borderId="0" xfId="22" applyNumberFormat="1" applyFont="1" applyFill="1" applyAlignment="1">
      <alignment vertical="center" wrapText="1"/>
    </xf>
    <xf numFmtId="2" fontId="20" fillId="2" borderId="0" xfId="22" applyNumberFormat="1" applyFont="1" applyFill="1" applyAlignment="1">
      <alignment horizontal="center" vertical="center" wrapText="1"/>
    </xf>
    <xf numFmtId="2" fontId="20" fillId="2" borderId="0" xfId="22" applyNumberFormat="1" applyFont="1" applyFill="1" applyAlignment="1">
      <alignment horizontal="right" vertical="center"/>
    </xf>
    <xf numFmtId="2" fontId="20" fillId="2" borderId="0" xfId="22" applyNumberFormat="1" applyFont="1" applyFill="1" applyAlignment="1">
      <alignment horizontal="center" vertical="center" wrapText="1"/>
    </xf>
    <xf numFmtId="169" fontId="20" fillId="2" borderId="0" xfId="22" applyNumberFormat="1" applyFont="1" applyFill="1"/>
    <xf numFmtId="1" fontId="20" fillId="0" borderId="1" xfId="9" applyNumberFormat="1" applyFont="1" applyBorder="1" applyAlignment="1">
      <alignment horizontal="center" vertical="center" wrapText="1"/>
    </xf>
    <xf numFmtId="2" fontId="20" fillId="0" borderId="1" xfId="9" applyNumberFormat="1" applyFont="1" applyBorder="1" applyAlignment="1">
      <alignment vertical="center" wrapText="1"/>
    </xf>
    <xf numFmtId="1" fontId="20" fillId="0" borderId="1" xfId="9" applyNumberFormat="1" applyFont="1" applyBorder="1" applyAlignment="1">
      <alignment horizontal="center" wrapText="1"/>
    </xf>
    <xf numFmtId="2" fontId="20" fillId="0" borderId="1" xfId="9" applyNumberFormat="1" applyFont="1" applyBorder="1" applyAlignment="1">
      <alignment horizontal="right" vertical="center" wrapText="1"/>
    </xf>
    <xf numFmtId="2" fontId="20" fillId="0" borderId="1" xfId="9" applyNumberFormat="1" applyFont="1" applyBorder="1" applyAlignment="1">
      <alignment horizontal="right" vertical="top" wrapText="1"/>
    </xf>
    <xf numFmtId="2" fontId="20" fillId="0" borderId="1" xfId="9" applyNumberFormat="1" applyFont="1" applyBorder="1" applyAlignment="1">
      <alignment vertical="top" wrapText="1"/>
    </xf>
    <xf numFmtId="2" fontId="20" fillId="0" borderId="0" xfId="9" applyNumberFormat="1" applyFont="1" applyAlignment="1">
      <alignment vertical="top" wrapText="1"/>
    </xf>
    <xf numFmtId="2" fontId="20" fillId="0" borderId="7" xfId="9" applyNumberFormat="1" applyFont="1" applyBorder="1" applyAlignment="1">
      <alignment vertical="top" wrapText="1"/>
    </xf>
    <xf numFmtId="2" fontId="20" fillId="0" borderId="8" xfId="9" applyNumberFormat="1" applyFont="1" applyBorder="1" applyAlignment="1">
      <alignment vertical="top" wrapText="1"/>
    </xf>
    <xf numFmtId="2" fontId="20" fillId="0" borderId="0" xfId="9" applyNumberFormat="1" applyFont="1" applyBorder="1" applyAlignment="1">
      <alignment vertical="top" wrapText="1"/>
    </xf>
    <xf numFmtId="169" fontId="20" fillId="2" borderId="1" xfId="22" applyNumberFormat="1" applyFont="1" applyFill="1" applyBorder="1" applyAlignment="1">
      <alignment horizontal="right" vertical="center"/>
    </xf>
    <xf numFmtId="2" fontId="20" fillId="2" borderId="5" xfId="22" applyNumberFormat="1" applyFont="1" applyFill="1" applyBorder="1" applyAlignment="1">
      <alignment horizontal="right" vertical="center"/>
    </xf>
    <xf numFmtId="1" fontId="20" fillId="2" borderId="6" xfId="22" applyNumberFormat="1" applyFont="1" applyFill="1" applyBorder="1" applyAlignment="1">
      <alignment horizontal="center" vertical="center"/>
    </xf>
    <xf numFmtId="1" fontId="20" fillId="2" borderId="0" xfId="22" applyNumberFormat="1" applyFont="1" applyFill="1" applyBorder="1" applyAlignment="1">
      <alignment horizontal="center" vertical="center"/>
    </xf>
    <xf numFmtId="0" fontId="20" fillId="2" borderId="0" xfId="22" applyNumberFormat="1" applyFont="1" applyFill="1" applyBorder="1" applyAlignment="1">
      <alignment vertical="center" wrapText="1"/>
    </xf>
    <xf numFmtId="1" fontId="20" fillId="0" borderId="0" xfId="9" applyNumberFormat="1" applyFont="1" applyBorder="1" applyAlignment="1">
      <alignment horizontal="center" wrapText="1"/>
    </xf>
    <xf numFmtId="2" fontId="20" fillId="2" borderId="0" xfId="22" applyNumberFormat="1" applyFont="1" applyFill="1" applyBorder="1" applyAlignment="1">
      <alignment horizontal="right" vertical="center"/>
    </xf>
    <xf numFmtId="0" fontId="20" fillId="2" borderId="0" xfId="22" applyNumberFormat="1" applyFont="1" applyFill="1" applyBorder="1"/>
    <xf numFmtId="2" fontId="15" fillId="0" borderId="1" xfId="9" applyNumberFormat="1" applyFont="1" applyBorder="1" applyAlignment="1">
      <alignment horizontal="right" vertical="center" wrapText="1"/>
    </xf>
    <xf numFmtId="2" fontId="15" fillId="0" borderId="1" xfId="9" applyNumberFormat="1" applyFont="1" applyBorder="1" applyAlignment="1">
      <alignment vertical="top" wrapText="1"/>
    </xf>
    <xf numFmtId="164" fontId="20" fillId="0" borderId="1" xfId="22" applyFont="1" applyBorder="1" applyAlignment="1">
      <alignment horizontal="left" vertical="center" wrapText="1"/>
    </xf>
    <xf numFmtId="1" fontId="20" fillId="0" borderId="1" xfId="22" applyNumberFormat="1" applyFont="1" applyBorder="1" applyAlignment="1">
      <alignment horizontal="center"/>
    </xf>
    <xf numFmtId="2" fontId="20" fillId="0" borderId="1" xfId="22" applyNumberFormat="1" applyFont="1" applyBorder="1" applyAlignment="1">
      <alignment horizontal="right" vertical="center"/>
    </xf>
    <xf numFmtId="2" fontId="20" fillId="0" borderId="1" xfId="9" applyNumberFormat="1" applyFont="1" applyBorder="1" applyAlignment="1">
      <alignment horizontal="left" vertical="center" wrapText="1"/>
    </xf>
    <xf numFmtId="164" fontId="20" fillId="0" borderId="1" xfId="22" applyFont="1" applyBorder="1" applyAlignment="1">
      <alignment horizontal="center" vertical="center"/>
    </xf>
    <xf numFmtId="2" fontId="15" fillId="0" borderId="1" xfId="22" applyNumberFormat="1" applyFont="1" applyBorder="1" applyAlignment="1">
      <alignment horizontal="right" vertical="center"/>
    </xf>
    <xf numFmtId="164" fontId="15" fillId="0" borderId="1" xfId="22" applyFont="1" applyBorder="1" applyAlignment="1">
      <alignment horizontal="center" vertical="center"/>
    </xf>
    <xf numFmtId="164" fontId="20" fillId="0" borderId="1" xfId="22" applyFont="1" applyBorder="1" applyAlignment="1">
      <alignment horizontal="center" vertical="center" wrapText="1"/>
    </xf>
    <xf numFmtId="164" fontId="20" fillId="0" borderId="1" xfId="22" applyFont="1" applyBorder="1" applyAlignment="1">
      <alignment horizontal="justify" vertical="center" wrapText="1"/>
    </xf>
    <xf numFmtId="2" fontId="20" fillId="2" borderId="1" xfId="22" applyNumberFormat="1" applyFont="1" applyFill="1" applyBorder="1" applyAlignment="1">
      <alignment horizontal="right"/>
    </xf>
    <xf numFmtId="1" fontId="20" fillId="2" borderId="0" xfId="22" applyNumberFormat="1" applyFont="1" applyFill="1" applyAlignment="1">
      <alignment horizontal="center" vertical="center"/>
    </xf>
    <xf numFmtId="1" fontId="20" fillId="2" borderId="0" xfId="22" applyNumberFormat="1" applyFont="1" applyFill="1" applyAlignment="1">
      <alignment horizontal="center"/>
    </xf>
    <xf numFmtId="0" fontId="20" fillId="2" borderId="0" xfId="22" applyNumberFormat="1" applyFont="1" applyFill="1" applyAlignment="1">
      <alignment horizontal="center" vertical="top"/>
    </xf>
    <xf numFmtId="0" fontId="20" fillId="2" borderId="0" xfId="22" applyNumberFormat="1" applyFont="1" applyFill="1" applyAlignment="1">
      <alignment horizontal="center" vertical="center" wrapText="1"/>
    </xf>
    <xf numFmtId="2" fontId="20" fillId="2" borderId="0" xfId="22" applyNumberFormat="1" applyFont="1" applyFill="1" applyAlignment="1">
      <alignment horizontal="center" vertical="center"/>
    </xf>
    <xf numFmtId="2" fontId="20" fillId="2" borderId="0" xfId="22" applyNumberFormat="1" applyFont="1" applyFill="1" applyAlignment="1"/>
    <xf numFmtId="0" fontId="39" fillId="2" borderId="1" xfId="13" applyFont="1" applyFill="1" applyBorder="1" applyAlignment="1">
      <alignment horizontal="left" vertical="top" wrapText="1"/>
    </xf>
    <xf numFmtId="2" fontId="10" fillId="2" borderId="1" xfId="13" applyNumberFormat="1" applyFont="1" applyFill="1" applyBorder="1" applyAlignment="1">
      <alignment horizontal="center" vertical="center" wrapText="1"/>
    </xf>
    <xf numFmtId="0" fontId="10" fillId="2" borderId="1" xfId="13" applyFont="1" applyFill="1" applyBorder="1" applyAlignment="1">
      <alignment horizontal="left" vertical="center" wrapText="1"/>
    </xf>
    <xf numFmtId="0" fontId="13" fillId="2" borderId="1" xfId="27" applyFont="1" applyFill="1" applyBorder="1" applyAlignment="1">
      <alignment horizontal="center" vertical="center" wrapText="1"/>
    </xf>
    <xf numFmtId="2" fontId="13" fillId="2" borderId="1" xfId="27" applyNumberFormat="1" applyFont="1" applyFill="1" applyBorder="1" applyAlignment="1">
      <alignment horizontal="center" vertical="center" wrapText="1"/>
    </xf>
    <xf numFmtId="0" fontId="14" fillId="2" borderId="1" xfId="13" applyFont="1" applyFill="1" applyBorder="1" applyAlignment="1">
      <alignment horizontal="left" vertical="center" wrapText="1"/>
    </xf>
    <xf numFmtId="2" fontId="14" fillId="2" borderId="1" xfId="13" applyNumberFormat="1" applyFont="1" applyFill="1" applyBorder="1" applyAlignment="1">
      <alignment horizontal="left" vertical="center" wrapText="1"/>
    </xf>
    <xf numFmtId="0" fontId="14" fillId="2" borderId="1" xfId="21" applyFont="1" applyFill="1" applyBorder="1" applyAlignment="1">
      <alignment horizontal="left" vertical="center" wrapText="1"/>
    </xf>
    <xf numFmtId="0" fontId="13" fillId="2" borderId="3" xfId="27" applyFont="1" applyFill="1" applyBorder="1" applyAlignment="1">
      <alignment horizontal="center" vertical="center" wrapText="1"/>
    </xf>
    <xf numFmtId="2" fontId="13" fillId="2" borderId="3" xfId="27" applyNumberFormat="1" applyFont="1" applyFill="1" applyBorder="1" applyAlignment="1">
      <alignment horizontal="center" vertical="center" wrapText="1"/>
    </xf>
    <xf numFmtId="2" fontId="14" fillId="2" borderId="9" xfId="11" applyNumberFormat="1" applyFont="1" applyFill="1" applyBorder="1" applyAlignment="1">
      <alignment horizontal="left" vertical="center" wrapText="1"/>
    </xf>
    <xf numFmtId="164" fontId="14" fillId="2" borderId="3" xfId="13" applyNumberFormat="1" applyFont="1" applyFill="1" applyBorder="1" applyAlignment="1">
      <alignment horizontal="center" vertical="center"/>
    </xf>
    <xf numFmtId="2" fontId="13" fillId="2" borderId="3" xfId="13" applyNumberFormat="1" applyFont="1" applyFill="1" applyBorder="1" applyAlignment="1">
      <alignment horizontal="center" vertical="center" wrapText="1"/>
    </xf>
    <xf numFmtId="168" fontId="14" fillId="2" borderId="1" xfId="9" applyNumberFormat="1" applyFont="1" applyFill="1" applyBorder="1" applyAlignment="1">
      <alignment horizontal="left" vertical="center" wrapText="1"/>
    </xf>
    <xf numFmtId="164" fontId="14" fillId="2" borderId="1" xfId="13" applyNumberFormat="1" applyFont="1" applyFill="1" applyBorder="1" applyAlignment="1">
      <alignment horizontal="left" vertical="center" wrapText="1"/>
    </xf>
    <xf numFmtId="2" fontId="14" fillId="2" borderId="1" xfId="26" applyNumberFormat="1" applyFont="1" applyFill="1" applyBorder="1" applyAlignment="1">
      <alignment horizontal="left" vertical="center" wrapText="1"/>
    </xf>
    <xf numFmtId="0" fontId="69" fillId="2" borderId="1" xfId="22" applyNumberFormat="1" applyFont="1" applyFill="1" applyBorder="1" applyAlignment="1">
      <alignment horizontal="left" vertical="center" wrapText="1"/>
    </xf>
    <xf numFmtId="0" fontId="10" fillId="2" borderId="1" xfId="13" applyFont="1" applyFill="1" applyBorder="1" applyAlignment="1">
      <alignment horizontal="left" vertical="center" wrapText="1"/>
    </xf>
    <xf numFmtId="0" fontId="14" fillId="2" borderId="1" xfId="13" applyFont="1" applyFill="1" applyBorder="1" applyAlignment="1">
      <alignment horizontal="center" vertical="center" wrapText="1"/>
    </xf>
    <xf numFmtId="0" fontId="4" fillId="2" borderId="0" xfId="13" applyFont="1" applyFill="1" applyAlignment="1">
      <alignment horizontal="left" vertical="center" wrapText="1"/>
    </xf>
    <xf numFmtId="164" fontId="67" fillId="2" borderId="0" xfId="22" applyFont="1" applyFill="1" applyAlignment="1">
      <alignment horizontal="center" vertical="center"/>
    </xf>
    <xf numFmtId="164" fontId="67" fillId="2" borderId="0" xfId="22" applyFont="1" applyFill="1" applyAlignment="1">
      <alignment horizontal="left" vertical="center"/>
    </xf>
    <xf numFmtId="2" fontId="4" fillId="0" borderId="0" xfId="13" applyNumberFormat="1" applyFont="1" applyAlignment="1">
      <alignment horizontal="center" vertical="center" wrapText="1"/>
    </xf>
    <xf numFmtId="2" fontId="4" fillId="0" borderId="0" xfId="13" applyNumberFormat="1" applyFont="1" applyAlignment="1">
      <alignment horizontal="center" vertical="center"/>
    </xf>
    <xf numFmtId="0" fontId="4" fillId="0" borderId="0" xfId="13" applyFont="1" applyAlignment="1">
      <alignment horizontal="left" vertical="center"/>
    </xf>
    <xf numFmtId="0" fontId="4" fillId="0" borderId="0" xfId="13" applyFont="1" applyBorder="1"/>
    <xf numFmtId="164" fontId="63" fillId="2" borderId="1" xfId="22" applyFont="1" applyFill="1" applyBorder="1" applyAlignment="1">
      <alignment horizontal="center" vertical="center"/>
    </xf>
    <xf numFmtId="164" fontId="63" fillId="0" borderId="0" xfId="22" applyFont="1" applyBorder="1" applyAlignment="1">
      <alignment vertical="center"/>
    </xf>
    <xf numFmtId="0" fontId="64" fillId="0" borderId="0" xfId="13" applyFont="1" applyBorder="1" applyAlignment="1">
      <alignment vertical="center" wrapText="1"/>
    </xf>
    <xf numFmtId="0" fontId="56" fillId="2" borderId="1" xfId="9" applyFont="1" applyFill="1" applyBorder="1" applyAlignment="1">
      <alignment horizontal="left" vertical="center" wrapText="1"/>
    </xf>
    <xf numFmtId="2" fontId="58" fillId="2" borderId="1" xfId="28" applyNumberFormat="1" applyFont="1" applyFill="1" applyBorder="1" applyAlignment="1">
      <alignment vertical="top" wrapText="1"/>
    </xf>
    <xf numFmtId="2" fontId="20" fillId="2" borderId="0" xfId="22" applyNumberFormat="1" applyFont="1" applyFill="1" applyAlignment="1">
      <alignment horizontal="center"/>
    </xf>
    <xf numFmtId="2" fontId="14" fillId="2" borderId="1" xfId="29" applyNumberFormat="1" applyFont="1" applyFill="1" applyBorder="1" applyAlignment="1">
      <alignment horizontal="left" vertical="center" wrapText="1"/>
    </xf>
    <xf numFmtId="169" fontId="13" fillId="2" borderId="1" xfId="27" applyNumberFormat="1" applyFont="1" applyFill="1" applyBorder="1" applyAlignment="1">
      <alignment horizontal="center" vertical="center" wrapText="1"/>
    </xf>
    <xf numFmtId="2" fontId="70" fillId="0" borderId="1" xfId="28" applyNumberFormat="1" applyFont="1" applyFill="1" applyBorder="1" applyAlignment="1">
      <alignment vertical="top" wrapText="1"/>
    </xf>
    <xf numFmtId="2" fontId="58" fillId="0" borderId="1" xfId="28" applyNumberFormat="1" applyFont="1" applyFill="1" applyBorder="1" applyAlignment="1">
      <alignment vertical="top" wrapText="1"/>
    </xf>
    <xf numFmtId="2" fontId="70" fillId="2" borderId="1" xfId="28" applyNumberFormat="1" applyFont="1" applyFill="1" applyBorder="1" applyAlignment="1">
      <alignment vertical="top" wrapText="1"/>
    </xf>
    <xf numFmtId="2" fontId="20" fillId="2" borderId="1" xfId="9" applyNumberFormat="1" applyFont="1" applyFill="1" applyBorder="1" applyAlignment="1">
      <alignment vertical="center" wrapText="1"/>
    </xf>
    <xf numFmtId="169" fontId="15" fillId="2" borderId="1" xfId="22" applyNumberFormat="1" applyFont="1" applyFill="1" applyBorder="1" applyAlignment="1">
      <alignment horizontal="right" vertical="center"/>
    </xf>
    <xf numFmtId="0" fontId="71" fillId="0" borderId="0" xfId="22" applyNumberFormat="1" applyFont="1" applyAlignment="1">
      <alignment horizontal="center"/>
    </xf>
    <xf numFmtId="0" fontId="72" fillId="0" borderId="5" xfId="30" applyNumberFormat="1" applyFont="1" applyBorder="1" applyAlignment="1">
      <alignment horizontal="center" vertical="center" wrapText="1"/>
    </xf>
    <xf numFmtId="0" fontId="72" fillId="0" borderId="4" xfId="30" applyNumberFormat="1" applyFont="1" applyBorder="1" applyAlignment="1">
      <alignment horizontal="center" vertical="center" wrapText="1"/>
    </xf>
    <xf numFmtId="0" fontId="72" fillId="0" borderId="6" xfId="30" applyNumberFormat="1" applyFont="1" applyBorder="1" applyAlignment="1">
      <alignment horizontal="center" vertical="center" wrapText="1"/>
    </xf>
    <xf numFmtId="0" fontId="73" fillId="0" borderId="1" xfId="30" applyNumberFormat="1" applyFont="1" applyBorder="1" applyAlignment="1">
      <alignment horizontal="center" vertical="center"/>
    </xf>
    <xf numFmtId="1" fontId="74" fillId="0" borderId="1" xfId="8" applyNumberFormat="1" applyFont="1" applyBorder="1" applyAlignment="1">
      <alignment horizontal="center" vertical="center"/>
    </xf>
    <xf numFmtId="0" fontId="74" fillId="0" borderId="1" xfId="8" applyFont="1" applyBorder="1" applyAlignment="1">
      <alignment horizontal="center" vertical="center"/>
    </xf>
    <xf numFmtId="2" fontId="74" fillId="0" borderId="1" xfId="8" applyNumberFormat="1" applyFont="1" applyBorder="1" applyAlignment="1">
      <alignment horizontal="center" vertical="center"/>
    </xf>
    <xf numFmtId="1" fontId="75" fillId="0" borderId="1" xfId="8" applyNumberFormat="1" applyFont="1" applyBorder="1" applyAlignment="1">
      <alignment horizontal="center" vertical="center"/>
    </xf>
    <xf numFmtId="2" fontId="75" fillId="0" borderId="1" xfId="8" applyNumberFormat="1" applyFont="1" applyBorder="1" applyAlignment="1">
      <alignment horizontal="center" vertical="center"/>
    </xf>
    <xf numFmtId="0" fontId="76" fillId="0" borderId="1" xfId="22" applyNumberFormat="1" applyFont="1" applyBorder="1" applyAlignment="1">
      <alignment horizontal="left" vertical="top" wrapText="1"/>
    </xf>
    <xf numFmtId="0" fontId="75" fillId="0" borderId="1" xfId="22" applyNumberFormat="1" applyFont="1" applyBorder="1" applyAlignment="1">
      <alignment horizontal="center" vertical="center"/>
    </xf>
    <xf numFmtId="4" fontId="75" fillId="0" borderId="1" xfId="8" applyNumberFormat="1" applyFont="1" applyBorder="1" applyAlignment="1">
      <alignment horizontal="right" vertical="center"/>
    </xf>
    <xf numFmtId="0" fontId="76" fillId="0" borderId="1" xfId="22" applyNumberFormat="1" applyFont="1" applyBorder="1" applyAlignment="1">
      <alignment horizontal="justify" vertical="center" wrapText="1"/>
    </xf>
    <xf numFmtId="2" fontId="77" fillId="2" borderId="1" xfId="3" applyNumberFormat="1" applyFont="1" applyFill="1" applyBorder="1" applyAlignment="1">
      <alignment horizontal="justify" vertical="center" wrapText="1"/>
    </xf>
    <xf numFmtId="0" fontId="76" fillId="0" borderId="1" xfId="22" applyNumberFormat="1" applyFont="1" applyBorder="1" applyAlignment="1">
      <alignment horizontal="justify" vertical="top" wrapText="1"/>
    </xf>
    <xf numFmtId="0" fontId="78" fillId="0" borderId="1" xfId="22" applyNumberFormat="1" applyFont="1" applyBorder="1" applyAlignment="1">
      <alignment horizontal="justify" vertical="center" wrapText="1"/>
    </xf>
    <xf numFmtId="164" fontId="26" fillId="0" borderId="1" xfId="22" applyFont="1" applyBorder="1" applyAlignment="1">
      <alignment horizontal="left" vertical="center" wrapText="1"/>
    </xf>
    <xf numFmtId="1" fontId="75" fillId="0" borderId="1" xfId="8" applyNumberFormat="1" applyFont="1" applyBorder="1" applyAlignment="1">
      <alignment vertical="center"/>
    </xf>
    <xf numFmtId="0" fontId="75" fillId="0" borderId="1" xfId="8" applyFont="1" applyBorder="1" applyAlignment="1">
      <alignment vertical="center"/>
    </xf>
    <xf numFmtId="0" fontId="79" fillId="0" borderId="1" xfId="8" applyFont="1" applyBorder="1" applyAlignment="1">
      <alignment horizontal="right"/>
    </xf>
    <xf numFmtId="2" fontId="79" fillId="0" borderId="1" xfId="8" applyNumberFormat="1" applyFont="1" applyBorder="1" applyAlignment="1">
      <alignment horizontal="right"/>
    </xf>
    <xf numFmtId="4" fontId="74" fillId="0" borderId="1" xfId="8" applyNumberFormat="1" applyFont="1" applyBorder="1" applyAlignment="1">
      <alignment horizontal="right"/>
    </xf>
    <xf numFmtId="170" fontId="14" fillId="0" borderId="1" xfId="22" applyNumberFormat="1" applyFont="1" applyBorder="1" applyAlignment="1">
      <alignment horizontal="center"/>
    </xf>
    <xf numFmtId="164" fontId="36" fillId="0" borderId="1" xfId="22" applyBorder="1"/>
    <xf numFmtId="164" fontId="24" fillId="0" borderId="1" xfId="22" applyFont="1" applyBorder="1" applyAlignment="1">
      <alignment horizontal="center" vertical="top" wrapText="1"/>
    </xf>
    <xf numFmtId="2" fontId="54" fillId="0" borderId="1" xfId="22" applyNumberFormat="1" applyFont="1" applyBorder="1"/>
    <xf numFmtId="164" fontId="2" fillId="0" borderId="1" xfId="22" applyFont="1" applyBorder="1" applyAlignment="1">
      <alignment horizontal="center" vertical="top" wrapText="1"/>
    </xf>
    <xf numFmtId="164" fontId="25" fillId="2" borderId="1" xfId="22" applyFont="1" applyFill="1" applyBorder="1" applyAlignment="1">
      <alignment vertical="center" wrapText="1"/>
    </xf>
    <xf numFmtId="164" fontId="26" fillId="2" borderId="1" xfId="22" applyFont="1" applyFill="1" applyBorder="1" applyAlignment="1">
      <alignment vertical="center" wrapText="1"/>
    </xf>
    <xf numFmtId="170" fontId="69" fillId="2" borderId="1" xfId="1" applyNumberFormat="1" applyFont="1" applyFill="1" applyBorder="1" applyAlignment="1">
      <alignment horizontal="center" vertical="center" wrapText="1"/>
    </xf>
    <xf numFmtId="2" fontId="80" fillId="2" borderId="1" xfId="1" applyNumberFormat="1" applyFont="1" applyFill="1" applyBorder="1" applyAlignment="1">
      <alignment horizontal="right" vertical="center" wrapText="1"/>
    </xf>
    <xf numFmtId="2" fontId="81" fillId="0" borderId="1" xfId="22" applyNumberFormat="1" applyFont="1" applyBorder="1"/>
    <xf numFmtId="0" fontId="82" fillId="2" borderId="1" xfId="3" applyFont="1" applyFill="1" applyBorder="1" applyAlignment="1">
      <alignment horizontal="left" vertical="top" wrapText="1"/>
    </xf>
    <xf numFmtId="4" fontId="83" fillId="2" borderId="1" xfId="3" applyNumberFormat="1" applyFont="1" applyFill="1" applyBorder="1" applyAlignment="1">
      <alignment horizontal="left" vertical="center" wrapText="1"/>
    </xf>
    <xf numFmtId="0" fontId="71" fillId="0" borderId="10" xfId="22" applyNumberFormat="1" applyFont="1" applyBorder="1" applyAlignment="1">
      <alignment horizontal="center"/>
    </xf>
    <xf numFmtId="164" fontId="73" fillId="0" borderId="5" xfId="31" applyNumberFormat="1" applyFont="1" applyFill="1" applyBorder="1" applyAlignment="1">
      <alignment horizontal="center" vertical="center" wrapText="1"/>
    </xf>
    <xf numFmtId="164" fontId="73" fillId="0" borderId="4" xfId="31" applyNumberFormat="1" applyFont="1" applyFill="1" applyBorder="1" applyAlignment="1">
      <alignment horizontal="center" vertical="center" wrapText="1"/>
    </xf>
    <xf numFmtId="164" fontId="73" fillId="0" borderId="6" xfId="31" applyNumberFormat="1" applyFont="1" applyFill="1" applyBorder="1" applyAlignment="1">
      <alignment horizontal="center" vertical="center" wrapText="1"/>
    </xf>
    <xf numFmtId="1" fontId="84" fillId="0" borderId="1" xfId="31" applyNumberFormat="1" applyFont="1" applyFill="1" applyBorder="1" applyAlignment="1">
      <alignment horizontal="center" vertical="center"/>
    </xf>
    <xf numFmtId="0" fontId="84" fillId="0" borderId="1" xfId="31" applyNumberFormat="1" applyFont="1" applyFill="1" applyBorder="1" applyAlignment="1">
      <alignment horizontal="center" vertical="center"/>
    </xf>
    <xf numFmtId="2" fontId="84" fillId="0" borderId="1" xfId="31" applyNumberFormat="1" applyFont="1" applyFill="1" applyBorder="1" applyAlignment="1">
      <alignment horizontal="center" vertical="center"/>
    </xf>
    <xf numFmtId="1" fontId="85" fillId="0" borderId="1" xfId="31" applyNumberFormat="1" applyFont="1" applyFill="1" applyBorder="1" applyAlignment="1">
      <alignment horizontal="center" vertical="top"/>
    </xf>
    <xf numFmtId="164" fontId="25" fillId="2" borderId="1" xfId="22" applyFont="1" applyFill="1" applyBorder="1" applyAlignment="1">
      <alignment vertical="top" wrapText="1"/>
    </xf>
    <xf numFmtId="0" fontId="86" fillId="0" borderId="1" xfId="31" applyNumberFormat="1" applyFont="1" applyFill="1" applyBorder="1" applyAlignment="1">
      <alignment horizontal="center" vertical="center"/>
    </xf>
    <xf numFmtId="2" fontId="86" fillId="0" borderId="1" xfId="31" applyNumberFormat="1" applyFont="1" applyFill="1" applyBorder="1" applyAlignment="1">
      <alignment horizontal="center" vertical="center"/>
    </xf>
    <xf numFmtId="164" fontId="75" fillId="0" borderId="1" xfId="31" applyNumberFormat="1" applyFont="1" applyFill="1" applyBorder="1" applyAlignment="1">
      <alignment horizontal="left" vertical="center"/>
    </xf>
    <xf numFmtId="0" fontId="84" fillId="0" borderId="1" xfId="31" applyNumberFormat="1" applyFont="1" applyFill="1" applyBorder="1" applyAlignment="1">
      <alignment horizontal="left" vertical="center"/>
    </xf>
    <xf numFmtId="0" fontId="75" fillId="0" borderId="1" xfId="22" applyNumberFormat="1" applyFont="1" applyBorder="1" applyAlignment="1">
      <alignment horizontal="justify" vertical="top" wrapText="1"/>
    </xf>
    <xf numFmtId="0" fontId="75" fillId="0" borderId="1" xfId="31" applyNumberFormat="1" applyFont="1" applyFill="1" applyBorder="1" applyAlignment="1">
      <alignment horizontal="center" vertical="center"/>
    </xf>
    <xf numFmtId="2" fontId="75" fillId="0" borderId="1" xfId="31" applyNumberFormat="1" applyFont="1" applyFill="1" applyBorder="1" applyAlignment="1">
      <alignment horizontal="center" vertical="center"/>
    </xf>
    <xf numFmtId="2" fontId="79" fillId="0" borderId="1" xfId="31" applyNumberFormat="1" applyFont="1" applyFill="1" applyBorder="1" applyAlignment="1">
      <alignment horizontal="center" vertical="center"/>
    </xf>
    <xf numFmtId="164" fontId="79" fillId="0" borderId="1" xfId="31" applyNumberFormat="1" applyFont="1" applyFill="1" applyBorder="1" applyAlignment="1">
      <alignment horizontal="left" vertical="center"/>
    </xf>
    <xf numFmtId="0" fontId="75" fillId="0" borderId="1" xfId="22" applyNumberFormat="1" applyFont="1" applyBorder="1" applyAlignment="1">
      <alignment horizontal="center" vertical="top"/>
    </xf>
    <xf numFmtId="2" fontId="75" fillId="0" borderId="1" xfId="22" applyNumberFormat="1" applyFont="1" applyBorder="1" applyAlignment="1">
      <alignment horizontal="center" vertical="center"/>
    </xf>
    <xf numFmtId="2" fontId="85" fillId="2" borderId="1" xfId="3" applyNumberFormat="1" applyFont="1" applyFill="1" applyBorder="1" applyAlignment="1">
      <alignment horizontal="justify" vertical="center" wrapText="1"/>
    </xf>
    <xf numFmtId="0" fontId="85" fillId="0" borderId="1" xfId="22" applyNumberFormat="1" applyFont="1" applyBorder="1" applyAlignment="1">
      <alignment horizontal="justify" vertical="top" wrapText="1"/>
    </xf>
    <xf numFmtId="169" fontId="75" fillId="0" borderId="1" xfId="31" applyNumberFormat="1" applyFont="1" applyFill="1" applyBorder="1" applyAlignment="1">
      <alignment horizontal="center" vertical="center"/>
    </xf>
    <xf numFmtId="2" fontId="85" fillId="2" borderId="1" xfId="3" applyNumberFormat="1" applyFont="1" applyFill="1" applyBorder="1" applyAlignment="1">
      <alignment horizontal="justify" vertical="top" wrapText="1"/>
    </xf>
    <xf numFmtId="2" fontId="85" fillId="0" borderId="1" xfId="31" applyNumberFormat="1" applyFont="1" applyFill="1" applyBorder="1" applyAlignment="1">
      <alignment horizontal="center" vertical="center"/>
    </xf>
    <xf numFmtId="164" fontId="85" fillId="0" borderId="1" xfId="31" applyNumberFormat="1" applyFont="1" applyFill="1" applyBorder="1" applyAlignment="1">
      <alignment horizontal="left" vertical="center"/>
    </xf>
    <xf numFmtId="0" fontId="87" fillId="0" borderId="1" xfId="22" applyNumberFormat="1" applyFont="1" applyBorder="1" applyAlignment="1">
      <alignment horizontal="justify" vertical="top" wrapText="1"/>
    </xf>
    <xf numFmtId="172" fontId="75" fillId="0" borderId="1" xfId="31" applyNumberFormat="1" applyFont="1" applyFill="1" applyBorder="1" applyAlignment="1">
      <alignment horizontal="center" vertical="center"/>
    </xf>
    <xf numFmtId="1" fontId="85" fillId="0" borderId="1" xfId="31" applyNumberFormat="1" applyFont="1" applyFill="1" applyBorder="1" applyAlignment="1">
      <alignment horizontal="center" vertical="center"/>
    </xf>
    <xf numFmtId="0" fontId="75" fillId="0" borderId="1" xfId="22" applyNumberFormat="1" applyFont="1" applyBorder="1" applyAlignment="1">
      <alignment horizontal="justify" vertical="center" wrapText="1"/>
    </xf>
    <xf numFmtId="164" fontId="12" fillId="0" borderId="1" xfId="22" applyFont="1" applyBorder="1"/>
    <xf numFmtId="164" fontId="10" fillId="0" borderId="1" xfId="22" applyFont="1" applyBorder="1"/>
    <xf numFmtId="164" fontId="14" fillId="0" borderId="1" xfId="22" applyFont="1" applyBorder="1"/>
    <xf numFmtId="170" fontId="14" fillId="0" borderId="1" xfId="22" applyNumberFormat="1" applyFont="1" applyBorder="1"/>
    <xf numFmtId="164" fontId="14" fillId="0" borderId="1" xfId="22" applyFont="1" applyBorder="1" applyAlignment="1">
      <alignment horizontal="center"/>
    </xf>
    <xf numFmtId="0" fontId="40" fillId="3" borderId="1" xfId="21" applyFont="1" applyFill="1" applyBorder="1" applyAlignment="1">
      <alignment horizontal="center" vertical="center" wrapText="1"/>
    </xf>
    <xf numFmtId="2" fontId="88" fillId="0" borderId="1" xfId="1" applyNumberFormat="1" applyFont="1" applyBorder="1" applyAlignment="1">
      <alignment horizontal="center" vertical="center" wrapText="1"/>
    </xf>
    <xf numFmtId="0" fontId="44" fillId="0" borderId="1" xfId="21" applyFont="1" applyBorder="1" applyAlignment="1">
      <alignment horizontal="justify" vertical="center" wrapText="1"/>
    </xf>
    <xf numFmtId="0" fontId="48" fillId="0" borderId="1" xfId="21" applyFont="1" applyBorder="1" applyAlignment="1">
      <alignment horizontal="justify" vertical="center" wrapText="1"/>
    </xf>
    <xf numFmtId="0" fontId="10" fillId="0" borderId="1" xfId="21" applyFont="1" applyBorder="1" applyAlignment="1">
      <alignment horizontal="justify" vertical="center" wrapText="1"/>
    </xf>
    <xf numFmtId="164" fontId="50" fillId="0" borderId="1" xfId="21" applyNumberFormat="1" applyFont="1" applyBorder="1" applyAlignment="1">
      <alignment horizontal="center" vertical="center"/>
    </xf>
    <xf numFmtId="2" fontId="50" fillId="0" borderId="1" xfId="21" applyNumberFormat="1" applyFont="1" applyBorder="1" applyAlignment="1">
      <alignment horizontal="center" vertical="center"/>
    </xf>
    <xf numFmtId="164" fontId="51" fillId="0" borderId="1" xfId="21" applyNumberFormat="1" applyFont="1" applyBorder="1" applyAlignment="1">
      <alignment horizontal="right" vertical="center"/>
    </xf>
    <xf numFmtId="164" fontId="50" fillId="0" borderId="1" xfId="21" applyNumberFormat="1" applyFont="1" applyBorder="1" applyAlignment="1">
      <alignment horizontal="center" vertical="center"/>
    </xf>
    <xf numFmtId="164" fontId="52" fillId="0" borderId="1" xfId="21" applyNumberFormat="1" applyFont="1" applyBorder="1" applyAlignment="1">
      <alignment horizontal="center" vertical="center"/>
    </xf>
    <xf numFmtId="164" fontId="46" fillId="2" borderId="1" xfId="21" applyNumberFormat="1" applyFont="1" applyFill="1" applyBorder="1" applyAlignment="1">
      <alignment vertical="center" wrapText="1"/>
    </xf>
    <xf numFmtId="164" fontId="54" fillId="0" borderId="1" xfId="21" applyNumberFormat="1" applyFont="1" applyBorder="1" applyAlignment="1">
      <alignment horizontal="right" vertical="center"/>
    </xf>
    <xf numFmtId="164" fontId="55" fillId="0" borderId="1" xfId="21" applyNumberFormat="1" applyFont="1" applyBorder="1" applyAlignment="1">
      <alignment horizontal="center" vertical="center"/>
    </xf>
    <xf numFmtId="164" fontId="54" fillId="0" borderId="1" xfId="21" applyNumberFormat="1" applyFont="1" applyBorder="1" applyAlignment="1">
      <alignment horizontal="center" vertical="center"/>
    </xf>
    <xf numFmtId="164" fontId="55" fillId="0" borderId="1" xfId="21" applyNumberFormat="1" applyFont="1" applyBorder="1" applyAlignment="1">
      <alignment horizontal="center" vertical="center" wrapText="1"/>
    </xf>
    <xf numFmtId="164" fontId="20" fillId="0" borderId="1" xfId="21" applyNumberFormat="1" applyFont="1" applyBorder="1" applyAlignment="1">
      <alignment horizontal="center" vertical="center"/>
    </xf>
    <xf numFmtId="0" fontId="4" fillId="0" borderId="0" xfId="21"/>
    <xf numFmtId="1" fontId="20" fillId="2" borderId="1" xfId="21" applyNumberFormat="1" applyFont="1" applyFill="1" applyBorder="1" applyAlignment="1">
      <alignment horizontal="center" vertical="center"/>
    </xf>
    <xf numFmtId="0" fontId="20" fillId="2" borderId="1" xfId="21" applyNumberFormat="1" applyFont="1" applyFill="1" applyBorder="1" applyAlignment="1">
      <alignment horizontal="center" vertical="center" wrapText="1"/>
    </xf>
    <xf numFmtId="1" fontId="20" fillId="2" borderId="1" xfId="21" applyNumberFormat="1" applyFont="1" applyFill="1" applyBorder="1" applyAlignment="1">
      <alignment horizontal="center"/>
    </xf>
    <xf numFmtId="2" fontId="20" fillId="2" borderId="5" xfId="21" applyNumberFormat="1" applyFont="1" applyFill="1" applyBorder="1" applyAlignment="1">
      <alignment horizontal="center" vertical="center"/>
    </xf>
    <xf numFmtId="2" fontId="20" fillId="2" borderId="4" xfId="21" applyNumberFormat="1" applyFont="1" applyFill="1" applyBorder="1" applyAlignment="1">
      <alignment horizontal="center" vertical="center"/>
    </xf>
    <xf numFmtId="2" fontId="20" fillId="2" borderId="6" xfId="21" applyNumberFormat="1" applyFont="1" applyFill="1" applyBorder="1" applyAlignment="1">
      <alignment horizontal="center" vertical="center"/>
    </xf>
    <xf numFmtId="0" fontId="20" fillId="2" borderId="1" xfId="21" applyNumberFormat="1" applyFont="1" applyFill="1" applyBorder="1" applyAlignment="1">
      <alignment horizontal="center" vertical="center"/>
    </xf>
    <xf numFmtId="2" fontId="20" fillId="2" borderId="1" xfId="21" applyNumberFormat="1" applyFont="1" applyFill="1" applyBorder="1" applyAlignment="1">
      <alignment horizontal="right" vertical="center"/>
    </xf>
    <xf numFmtId="1" fontId="20" fillId="2" borderId="1" xfId="21" applyNumberFormat="1" applyFont="1" applyFill="1" applyBorder="1" applyAlignment="1">
      <alignment horizontal="center" vertical="center"/>
    </xf>
    <xf numFmtId="0" fontId="57" fillId="0" borderId="1" xfId="21" applyFont="1" applyBorder="1" applyAlignment="1">
      <alignment horizontal="justify" vertical="center" wrapText="1"/>
    </xf>
    <xf numFmtId="1" fontId="20" fillId="2" borderId="1" xfId="21" applyNumberFormat="1" applyFont="1" applyFill="1" applyBorder="1" applyAlignment="1">
      <alignment horizontal="center"/>
    </xf>
    <xf numFmtId="0" fontId="20" fillId="2" borderId="1" xfId="21" applyNumberFormat="1" applyFont="1" applyFill="1" applyBorder="1"/>
    <xf numFmtId="0" fontId="20" fillId="2" borderId="1" xfId="21" applyNumberFormat="1" applyFont="1" applyFill="1" applyBorder="1" applyAlignment="1">
      <alignment vertical="center" wrapText="1"/>
    </xf>
    <xf numFmtId="2" fontId="15" fillId="2" borderId="1" xfId="21" applyNumberFormat="1" applyFont="1" applyFill="1" applyBorder="1" applyAlignment="1">
      <alignment horizontal="right" vertical="center"/>
    </xf>
    <xf numFmtId="0" fontId="15" fillId="2" borderId="1" xfId="21" applyNumberFormat="1" applyFont="1" applyFill="1" applyBorder="1"/>
    <xf numFmtId="0" fontId="15" fillId="2" borderId="1" xfId="21" applyNumberFormat="1" applyFont="1" applyFill="1" applyBorder="1" applyAlignment="1">
      <alignment wrapText="1"/>
    </xf>
    <xf numFmtId="2" fontId="20" fillId="2" borderId="1" xfId="21" applyNumberFormat="1" applyFont="1" applyFill="1" applyBorder="1" applyAlignment="1">
      <alignment horizontal="right"/>
    </xf>
    <xf numFmtId="0" fontId="39" fillId="2" borderId="0" xfId="0" applyFont="1" applyFill="1" applyAlignment="1">
      <alignment horizontal="center" vertical="top" wrapText="1"/>
    </xf>
    <xf numFmtId="0" fontId="90" fillId="0" borderId="0" xfId="0" applyFont="1"/>
    <xf numFmtId="0" fontId="39" fillId="2" borderId="10" xfId="0" applyFont="1" applyFill="1" applyBorder="1" applyAlignment="1">
      <alignment horizontal="center" vertical="center" wrapText="1"/>
    </xf>
    <xf numFmtId="0" fontId="39" fillId="2" borderId="0" xfId="0" applyFont="1" applyFill="1" applyAlignment="1">
      <alignment horizontal="center" vertical="top" wrapText="1"/>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2" fontId="14" fillId="0" borderId="1" xfId="0" applyNumberFormat="1" applyFont="1" applyBorder="1" applyAlignment="1">
      <alignment horizontal="center" vertical="center" wrapText="1"/>
    </xf>
    <xf numFmtId="2" fontId="14" fillId="0" borderId="1" xfId="0" applyNumberFormat="1" applyFont="1" applyBorder="1" applyAlignment="1">
      <alignment horizontal="right" vertical="center" wrapText="1"/>
    </xf>
    <xf numFmtId="0" fontId="14" fillId="0" borderId="1" xfId="0" applyFont="1" applyBorder="1" applyAlignment="1">
      <alignment horizontal="left" vertical="center" wrapText="1"/>
    </xf>
    <xf numFmtId="0" fontId="9" fillId="0" borderId="1" xfId="0" applyFont="1" applyBorder="1" applyAlignment="1">
      <alignment horizontal="center" vertical="center"/>
    </xf>
    <xf numFmtId="2" fontId="90" fillId="0" borderId="1" xfId="0" applyNumberFormat="1" applyFont="1" applyBorder="1" applyAlignment="1">
      <alignment horizontal="center" vertical="center"/>
    </xf>
    <xf numFmtId="2" fontId="14" fillId="2" borderId="1" xfId="3" applyNumberFormat="1" applyFont="1" applyFill="1" applyBorder="1" applyAlignment="1">
      <alignment vertical="top" wrapText="1"/>
    </xf>
    <xf numFmtId="0" fontId="90" fillId="0" borderId="1" xfId="0" applyFont="1" applyBorder="1" applyAlignment="1">
      <alignment horizontal="right" vertical="center"/>
    </xf>
    <xf numFmtId="0" fontId="90" fillId="0" borderId="1" xfId="0" applyFont="1" applyBorder="1" applyAlignment="1">
      <alignment horizontal="center"/>
    </xf>
    <xf numFmtId="2" fontId="90" fillId="0" borderId="1" xfId="0" applyNumberFormat="1" applyFont="1" applyBorder="1"/>
    <xf numFmtId="2" fontId="14" fillId="0" borderId="1" xfId="3" applyNumberFormat="1" applyFont="1" applyBorder="1" applyAlignment="1">
      <alignment vertical="top" wrapText="1"/>
    </xf>
    <xf numFmtId="0" fontId="90" fillId="0" borderId="1" xfId="0" applyFont="1" applyBorder="1"/>
    <xf numFmtId="0" fontId="90" fillId="2" borderId="1" xfId="0" applyNumberFormat="1" applyFont="1" applyFill="1" applyBorder="1" applyAlignment="1">
      <alignment vertical="top" wrapText="1"/>
    </xf>
    <xf numFmtId="0" fontId="90" fillId="0" borderId="1" xfId="19" applyFont="1" applyBorder="1" applyAlignment="1">
      <alignment horizontal="left"/>
    </xf>
    <xf numFmtId="0" fontId="90" fillId="0" borderId="1" xfId="19" applyFont="1" applyBorder="1" applyAlignment="1">
      <alignment horizontal="left" wrapText="1"/>
    </xf>
    <xf numFmtId="0" fontId="90" fillId="0" borderId="1" xfId="0" applyFont="1" applyBorder="1" applyAlignment="1">
      <alignment wrapText="1"/>
    </xf>
    <xf numFmtId="0" fontId="14" fillId="0" borderId="1" xfId="0" applyFont="1" applyBorder="1" applyAlignment="1">
      <alignment vertical="center" wrapText="1"/>
    </xf>
    <xf numFmtId="0" fontId="10" fillId="0" borderId="1" xfId="0" applyFont="1" applyBorder="1" applyAlignment="1">
      <alignment horizontal="center" vertical="top" wrapText="1"/>
    </xf>
    <xf numFmtId="0" fontId="14" fillId="0" borderId="1" xfId="0" applyFont="1" applyBorder="1" applyAlignment="1">
      <alignment horizontal="center"/>
    </xf>
    <xf numFmtId="0" fontId="9" fillId="0" borderId="1" xfId="0" applyFont="1" applyBorder="1" applyAlignment="1">
      <alignment horizontal="center"/>
    </xf>
    <xf numFmtId="0" fontId="14" fillId="0" borderId="0" xfId="0" applyFont="1"/>
    <xf numFmtId="0" fontId="39" fillId="2" borderId="0" xfId="0" applyFont="1" applyFill="1" applyBorder="1" applyAlignment="1">
      <alignment horizontal="center" vertical="top" wrapText="1"/>
    </xf>
    <xf numFmtId="0" fontId="39" fillId="2" borderId="0" xfId="0" applyFont="1" applyFill="1" applyBorder="1" applyAlignment="1">
      <alignment horizontal="center" vertical="top"/>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vertical="center" wrapText="1"/>
    </xf>
    <xf numFmtId="1" fontId="14" fillId="0" borderId="1" xfId="32" applyNumberFormat="1" applyFont="1" applyBorder="1" applyAlignment="1">
      <alignment horizontal="center" vertical="center"/>
    </xf>
    <xf numFmtId="170" fontId="14" fillId="0" borderId="1" xfId="32" applyNumberFormat="1" applyFont="1" applyBorder="1"/>
    <xf numFmtId="164" fontId="14" fillId="0" borderId="1" xfId="32" applyNumberFormat="1" applyFont="1" applyBorder="1" applyAlignment="1">
      <alignment horizontal="center"/>
    </xf>
    <xf numFmtId="164" fontId="14" fillId="0" borderId="1" xfId="32" applyNumberFormat="1" applyFont="1" applyBorder="1"/>
    <xf numFmtId="1" fontId="14" fillId="0" borderId="1" xfId="32" applyNumberFormat="1" applyFont="1" applyBorder="1" applyAlignment="1">
      <alignment vertical="top"/>
    </xf>
    <xf numFmtId="1" fontId="90" fillId="0" borderId="1" xfId="0" applyNumberFormat="1" applyFont="1" applyBorder="1"/>
    <xf numFmtId="1" fontId="14" fillId="0" borderId="1" xfId="0" applyNumberFormat="1" applyFont="1" applyBorder="1"/>
    <xf numFmtId="2" fontId="14" fillId="0" borderId="1" xfId="0" applyNumberFormat="1" applyFont="1" applyBorder="1"/>
    <xf numFmtId="2" fontId="10" fillId="0" borderId="1" xfId="0" applyNumberFormat="1" applyFont="1" applyBorder="1"/>
    <xf numFmtId="0" fontId="10" fillId="0" borderId="1" xfId="0" applyFont="1" applyBorder="1" applyAlignment="1">
      <alignment horizontal="center"/>
    </xf>
    <xf numFmtId="1" fontId="14" fillId="0" borderId="1" xfId="3" applyNumberFormat="1" applyFont="1" applyBorder="1" applyAlignment="1">
      <alignment horizontal="center" vertical="center" wrapText="1"/>
    </xf>
    <xf numFmtId="1" fontId="14" fillId="0" borderId="1" xfId="3" applyNumberFormat="1" applyFont="1" applyBorder="1" applyAlignment="1">
      <alignment vertical="top" wrapText="1"/>
    </xf>
    <xf numFmtId="1" fontId="14" fillId="0" borderId="1" xfId="32" applyNumberFormat="1" applyFont="1" applyBorder="1"/>
    <xf numFmtId="164" fontId="14" fillId="0" borderId="1" xfId="32" applyNumberFormat="1" applyFont="1" applyBorder="1" applyAlignment="1">
      <alignment horizontal="right"/>
    </xf>
    <xf numFmtId="0" fontId="90" fillId="0" borderId="1" xfId="19" applyFont="1" applyBorder="1" applyAlignment="1">
      <alignment horizontal="center" vertical="center"/>
    </xf>
    <xf numFmtId="0" fontId="9" fillId="0" borderId="1" xfId="19" applyFont="1" applyBorder="1" applyAlignment="1">
      <alignment horizontal="left" wrapText="1"/>
    </xf>
    <xf numFmtId="0" fontId="14" fillId="0" borderId="1" xfId="0" applyFont="1" applyBorder="1" applyAlignment="1">
      <alignment horizontal="right"/>
    </xf>
    <xf numFmtId="0" fontId="14" fillId="0" borderId="1" xfId="0" applyFont="1" applyBorder="1"/>
    <xf numFmtId="0" fontId="55" fillId="0" borderId="1" xfId="4" applyFont="1" applyBorder="1" applyAlignment="1">
      <alignment vertical="center" wrapText="1"/>
    </xf>
    <xf numFmtId="2" fontId="10" fillId="0" borderId="1" xfId="0" applyNumberFormat="1" applyFont="1" applyBorder="1" applyAlignment="1">
      <alignment wrapText="1"/>
    </xf>
    <xf numFmtId="2" fontId="10" fillId="0" borderId="1" xfId="0" applyNumberFormat="1" applyFont="1" applyBorder="1" applyAlignment="1">
      <alignment horizontal="center"/>
    </xf>
    <xf numFmtId="0" fontId="14" fillId="0" borderId="0" xfId="0" applyFont="1" applyAlignment="1">
      <alignment horizontal="right"/>
    </xf>
    <xf numFmtId="0" fontId="14" fillId="0" borderId="0" xfId="0" applyFont="1" applyBorder="1"/>
    <xf numFmtId="0" fontId="14" fillId="0" borderId="0" xfId="0" applyFont="1" applyBorder="1" applyAlignment="1">
      <alignment horizontal="center"/>
    </xf>
    <xf numFmtId="0" fontId="14" fillId="0" borderId="0" xfId="0" applyFont="1" applyAlignment="1">
      <alignment horizontal="center"/>
    </xf>
    <xf numFmtId="0" fontId="91" fillId="0" borderId="1" xfId="33" applyNumberFormat="1" applyFont="1" applyFill="1" applyBorder="1" applyAlignment="1">
      <alignment horizontal="center" vertical="center" wrapText="1"/>
    </xf>
    <xf numFmtId="0" fontId="10" fillId="0" borderId="1" xfId="33" applyNumberFormat="1" applyFont="1" applyFill="1" applyBorder="1" applyAlignment="1">
      <alignment horizontal="center" vertical="center" wrapText="1"/>
    </xf>
    <xf numFmtId="0" fontId="92" fillId="0" borderId="0" xfId="4" applyFont="1" applyFill="1" applyBorder="1" applyAlignment="1">
      <alignment horizontal="center" vertical="center" wrapText="1"/>
    </xf>
    <xf numFmtId="0" fontId="93" fillId="0" borderId="0" xfId="4" applyFont="1" applyFill="1" applyBorder="1" applyAlignment="1">
      <alignment vertical="center" wrapText="1"/>
    </xf>
    <xf numFmtId="0" fontId="94" fillId="0" borderId="1" xfId="4" applyFont="1" applyFill="1" applyBorder="1" applyAlignment="1">
      <alignment horizontal="center" vertical="center" wrapText="1"/>
    </xf>
    <xf numFmtId="0" fontId="93" fillId="5" borderId="1" xfId="4" applyFont="1" applyFill="1" applyBorder="1" applyAlignment="1">
      <alignment horizontal="center" vertical="center" wrapText="1"/>
    </xf>
    <xf numFmtId="170" fontId="93" fillId="5" borderId="1" xfId="4" applyNumberFormat="1" applyFont="1" applyFill="1" applyBorder="1" applyAlignment="1">
      <alignment horizontal="center" vertical="center" wrapText="1"/>
    </xf>
    <xf numFmtId="164" fontId="93" fillId="5" borderId="1" xfId="4" applyNumberFormat="1" applyFont="1" applyFill="1" applyBorder="1" applyAlignment="1">
      <alignment horizontal="center" vertical="center" wrapText="1"/>
    </xf>
    <xf numFmtId="2" fontId="95" fillId="0" borderId="1" xfId="34" applyNumberFormat="1" applyFont="1" applyFill="1" applyBorder="1" applyAlignment="1">
      <alignment horizontal="center" vertical="center" wrapText="1"/>
    </xf>
    <xf numFmtId="0" fontId="93" fillId="0" borderId="0" xfId="4" applyFont="1" applyFill="1" applyBorder="1" applyAlignment="1">
      <alignment horizontal="center" vertical="center" wrapText="1"/>
    </xf>
    <xf numFmtId="164" fontId="93" fillId="5" borderId="1" xfId="4" applyNumberFormat="1" applyFont="1" applyFill="1" applyBorder="1" applyAlignment="1">
      <alignment horizontal="center" vertical="center" wrapText="1"/>
    </xf>
    <xf numFmtId="0" fontId="96" fillId="0" borderId="0" xfId="4" applyFont="1" applyFill="1" applyBorder="1" applyAlignment="1">
      <alignment vertical="center" wrapText="1"/>
    </xf>
    <xf numFmtId="0" fontId="97" fillId="0" borderId="0" xfId="4" applyFont="1" applyFill="1" applyBorder="1" applyAlignment="1">
      <alignment vertical="center" wrapText="1"/>
    </xf>
    <xf numFmtId="0" fontId="95" fillId="0" borderId="1" xfId="34" applyFont="1" applyBorder="1" applyAlignment="1">
      <alignment horizontal="center" vertical="center" wrapText="1"/>
    </xf>
    <xf numFmtId="2" fontId="98" fillId="2" borderId="1" xfId="11" applyNumberFormat="1" applyFont="1" applyFill="1" applyBorder="1" applyAlignment="1">
      <alignment vertical="top" wrapText="1"/>
    </xf>
    <xf numFmtId="2" fontId="95" fillId="0" borderId="1" xfId="34" applyNumberFormat="1" applyFont="1" applyBorder="1" applyAlignment="1">
      <alignment horizontal="center" vertical="center" wrapText="1"/>
    </xf>
    <xf numFmtId="169" fontId="95" fillId="0" borderId="1" xfId="34" applyNumberFormat="1" applyFont="1" applyBorder="1" applyAlignment="1">
      <alignment horizontal="center" vertical="center" wrapText="1"/>
    </xf>
    <xf numFmtId="2" fontId="95" fillId="0" borderId="1" xfId="34" applyNumberFormat="1" applyFont="1" applyFill="1" applyBorder="1" applyAlignment="1">
      <alignment horizontal="center" vertical="center" wrapText="1"/>
    </xf>
    <xf numFmtId="0" fontId="95" fillId="0" borderId="1" xfId="34" applyFont="1" applyBorder="1" applyAlignment="1">
      <alignment horizontal="left" vertical="center" wrapText="1"/>
    </xf>
    <xf numFmtId="164" fontId="98" fillId="2" borderId="1" xfId="22" applyFont="1" applyFill="1" applyBorder="1" applyAlignment="1">
      <alignment horizontal="left" vertical="top"/>
    </xf>
    <xf numFmtId="0" fontId="69" fillId="0" borderId="1" xfId="34" applyFont="1" applyBorder="1" applyAlignment="1">
      <alignment horizontal="center" vertical="center" wrapText="1"/>
    </xf>
    <xf numFmtId="2" fontId="100" fillId="0" borderId="1" xfId="34" applyNumberFormat="1" applyFont="1" applyBorder="1" applyAlignment="1">
      <alignment horizontal="center" vertical="center" wrapText="1"/>
    </xf>
    <xf numFmtId="2" fontId="100" fillId="0" borderId="1" xfId="34" applyNumberFormat="1" applyFont="1" applyFill="1" applyBorder="1" applyAlignment="1">
      <alignment horizontal="center" vertical="center" wrapText="1"/>
    </xf>
    <xf numFmtId="0" fontId="101" fillId="0" borderId="0" xfId="4" applyFont="1" applyFill="1" applyBorder="1" applyAlignment="1">
      <alignment vertical="center" wrapText="1"/>
    </xf>
    <xf numFmtId="169" fontId="100" fillId="0" borderId="1" xfId="34" applyNumberFormat="1" applyFont="1" applyBorder="1" applyAlignment="1">
      <alignment horizontal="center" vertical="center" wrapText="1"/>
    </xf>
    <xf numFmtId="164" fontId="103" fillId="0" borderId="1" xfId="22" applyFont="1" applyFill="1" applyBorder="1" applyAlignment="1">
      <alignment horizontal="left" vertical="top" wrapText="1"/>
    </xf>
    <xf numFmtId="2" fontId="6" fillId="0" borderId="1" xfId="11" applyNumberFormat="1" applyFont="1" applyFill="1" applyBorder="1" applyAlignment="1">
      <alignment vertical="top" wrapText="1"/>
    </xf>
    <xf numFmtId="2" fontId="97" fillId="0" borderId="0" xfId="4" applyNumberFormat="1" applyFont="1" applyFill="1" applyBorder="1" applyAlignment="1">
      <alignment vertical="center" wrapText="1"/>
    </xf>
    <xf numFmtId="2" fontId="99" fillId="2" borderId="1" xfId="11" applyNumberFormat="1" applyFont="1" applyFill="1" applyBorder="1" applyAlignment="1">
      <alignment vertical="top" wrapText="1"/>
    </xf>
    <xf numFmtId="2" fontId="95" fillId="0" borderId="1" xfId="34" applyNumberFormat="1" applyFont="1" applyBorder="1" applyAlignment="1">
      <alignment horizontal="center" vertical="center"/>
    </xf>
    <xf numFmtId="2" fontId="69" fillId="2" borderId="1" xfId="11" applyNumberFormat="1" applyFont="1" applyFill="1" applyBorder="1" applyAlignment="1">
      <alignment vertical="top" wrapText="1"/>
    </xf>
    <xf numFmtId="2" fontId="106" fillId="0" borderId="1" xfId="34" applyNumberFormat="1" applyFont="1" applyBorder="1" applyAlignment="1">
      <alignment horizontal="center" vertical="center" wrapText="1"/>
    </xf>
    <xf numFmtId="2" fontId="6" fillId="2" borderId="1" xfId="11" applyNumberFormat="1" applyFont="1" applyFill="1" applyBorder="1" applyAlignment="1">
      <alignment vertical="top" wrapText="1"/>
    </xf>
    <xf numFmtId="0" fontId="36" fillId="0" borderId="1" xfId="22" applyNumberFormat="1" applyBorder="1" applyAlignment="1">
      <alignment vertical="top"/>
    </xf>
    <xf numFmtId="0" fontId="107" fillId="0" borderId="1" xfId="22" applyNumberFormat="1" applyFont="1" applyBorder="1" applyAlignment="1">
      <alignment vertical="top" wrapText="1"/>
    </xf>
    <xf numFmtId="0" fontId="1" fillId="0" borderId="1" xfId="22" applyNumberFormat="1" applyFont="1" applyBorder="1"/>
    <xf numFmtId="2" fontId="1" fillId="0" borderId="1" xfId="22" applyNumberFormat="1" applyFont="1" applyBorder="1"/>
    <xf numFmtId="0" fontId="36" fillId="0" borderId="1" xfId="22" applyNumberFormat="1" applyBorder="1"/>
    <xf numFmtId="0" fontId="36" fillId="0" borderId="0" xfId="22" applyNumberFormat="1"/>
    <xf numFmtId="0" fontId="36" fillId="0" borderId="1" xfId="22" applyNumberFormat="1" applyBorder="1" applyAlignment="1">
      <alignment horizontal="right" vertical="top"/>
    </xf>
    <xf numFmtId="0" fontId="1" fillId="0" borderId="1" xfId="22" applyNumberFormat="1" applyFont="1" applyBorder="1" applyAlignment="1">
      <alignment vertical="top" wrapText="1"/>
    </xf>
    <xf numFmtId="2" fontId="2" fillId="0" borderId="1" xfId="22" applyNumberFormat="1" applyFont="1" applyBorder="1"/>
    <xf numFmtId="0" fontId="5" fillId="0" borderId="1" xfId="22" applyNumberFormat="1" applyFont="1" applyBorder="1"/>
    <xf numFmtId="2" fontId="100" fillId="0" borderId="1" xfId="34" applyNumberFormat="1" applyFont="1" applyBorder="1" applyAlignment="1">
      <alignment vertical="center" wrapText="1"/>
    </xf>
    <xf numFmtId="0" fontId="112" fillId="0" borderId="1" xfId="22" applyNumberFormat="1" applyFont="1" applyBorder="1" applyAlignment="1">
      <alignment vertical="top" wrapText="1"/>
    </xf>
    <xf numFmtId="0" fontId="95" fillId="0" borderId="1" xfId="34" applyFont="1" applyBorder="1" applyAlignment="1">
      <alignment horizontal="center" vertical="center" wrapText="1"/>
    </xf>
    <xf numFmtId="0" fontId="95" fillId="0" borderId="1" xfId="34" applyNumberFormat="1" applyFont="1" applyBorder="1" applyAlignment="1">
      <alignment horizontal="left" vertical="center" wrapText="1"/>
    </xf>
    <xf numFmtId="0" fontId="95" fillId="0" borderId="1" xfId="34" applyNumberFormat="1" applyFont="1" applyBorder="1" applyAlignment="1">
      <alignment horizontal="center" vertical="center" wrapText="1"/>
    </xf>
    <xf numFmtId="0" fontId="13" fillId="0" borderId="0" xfId="4" applyFont="1" applyBorder="1" applyAlignment="1">
      <alignment vertical="center" wrapText="1"/>
    </xf>
    <xf numFmtId="0" fontId="95" fillId="0" borderId="1" xfId="34" applyNumberFormat="1" applyFont="1" applyBorder="1" applyAlignment="1">
      <alignment horizontal="center" vertical="center" wrapText="1"/>
    </xf>
    <xf numFmtId="0" fontId="54" fillId="0" borderId="0" xfId="34" applyFont="1" applyFill="1" applyAlignment="1">
      <alignment horizontal="center" vertical="center"/>
    </xf>
    <xf numFmtId="0" fontId="54" fillId="0" borderId="0" xfId="34" applyFont="1" applyFill="1" applyAlignment="1">
      <alignment horizontal="center" vertical="center"/>
    </xf>
    <xf numFmtId="0" fontId="55" fillId="0" borderId="0" xfId="34" applyFont="1" applyFill="1" applyAlignment="1">
      <alignment horizontal="center" vertical="center"/>
    </xf>
    <xf numFmtId="0" fontId="113" fillId="0" borderId="0" xfId="34" applyFont="1" applyFill="1" applyAlignment="1">
      <alignment horizontal="center" vertical="center"/>
    </xf>
    <xf numFmtId="0" fontId="114" fillId="0" borderId="0" xfId="34" applyFont="1" applyFill="1" applyAlignment="1">
      <alignment horizontal="center" vertical="center"/>
    </xf>
    <xf numFmtId="0" fontId="54" fillId="0" borderId="0" xfId="34" applyFont="1" applyFill="1" applyAlignment="1">
      <alignment vertical="center"/>
    </xf>
    <xf numFmtId="0" fontId="114" fillId="0" borderId="0" xfId="34" applyFont="1" applyFill="1" applyAlignment="1">
      <alignment horizontal="right" vertical="top"/>
    </xf>
    <xf numFmtId="0" fontId="97" fillId="0" borderId="0" xfId="4" applyFont="1" applyFill="1" applyBorder="1" applyAlignment="1">
      <alignment horizontal="center" vertical="center" wrapText="1"/>
    </xf>
    <xf numFmtId="170" fontId="97" fillId="0" borderId="0" xfId="4" applyNumberFormat="1" applyFont="1" applyFill="1" applyBorder="1" applyAlignment="1">
      <alignment horizontal="center" vertical="center" wrapText="1"/>
    </xf>
    <xf numFmtId="164" fontId="97" fillId="0" borderId="0" xfId="4" applyNumberFormat="1" applyFont="1" applyFill="1" applyBorder="1" applyAlignment="1">
      <alignment horizontal="center" vertical="center" wrapText="1"/>
    </xf>
    <xf numFmtId="0" fontId="89" fillId="0" borderId="0" xfId="34" applyFont="1" applyFill="1" applyAlignment="1">
      <alignment horizontal="center" vertical="center" wrapText="1"/>
    </xf>
    <xf numFmtId="0" fontId="116" fillId="0" borderId="0" xfId="34" applyFont="1" applyFill="1" applyBorder="1" applyAlignment="1">
      <alignment horizontal="center" vertical="center" wrapText="1"/>
    </xf>
    <xf numFmtId="0" fontId="116" fillId="0" borderId="11" xfId="34" applyFont="1" applyFill="1" applyBorder="1" applyAlignment="1">
      <alignment horizontal="center" vertical="center" wrapText="1"/>
    </xf>
    <xf numFmtId="0" fontId="117" fillId="5" borderId="1" xfId="34" applyFont="1" applyFill="1" applyBorder="1" applyAlignment="1">
      <alignment horizontal="center" vertical="center" wrapText="1"/>
    </xf>
    <xf numFmtId="0" fontId="117" fillId="5" borderId="1" xfId="34" applyFont="1" applyFill="1" applyBorder="1" applyAlignment="1">
      <alignment horizontal="center" vertical="center"/>
    </xf>
    <xf numFmtId="0" fontId="54" fillId="0" borderId="7" xfId="34" applyFont="1" applyFill="1" applyBorder="1" applyAlignment="1">
      <alignment horizontal="center" vertical="center" wrapText="1"/>
    </xf>
    <xf numFmtId="0" fontId="54" fillId="0" borderId="8" xfId="34" applyFont="1" applyFill="1" applyBorder="1" applyAlignment="1">
      <alignment horizontal="center" vertical="center" wrapText="1"/>
    </xf>
    <xf numFmtId="164" fontId="80" fillId="0" borderId="8" xfId="37" applyFont="1" applyFill="1" applyBorder="1" applyAlignment="1">
      <alignment horizontal="center" vertical="center" wrapText="1"/>
    </xf>
    <xf numFmtId="164" fontId="80" fillId="0" borderId="7" xfId="37" applyFont="1" applyFill="1" applyBorder="1" applyAlignment="1">
      <alignment horizontal="center" vertical="center"/>
    </xf>
    <xf numFmtId="0" fontId="54" fillId="0" borderId="8" xfId="34" applyFont="1" applyFill="1" applyBorder="1" applyAlignment="1">
      <alignment horizontal="center" vertical="center"/>
    </xf>
    <xf numFmtId="164" fontId="80" fillId="0" borderId="8" xfId="37" applyFont="1" applyFill="1" applyBorder="1" applyAlignment="1">
      <alignment horizontal="center" vertical="center"/>
    </xf>
    <xf numFmtId="0" fontId="118" fillId="0" borderId="1" xfId="34" applyFont="1" applyFill="1" applyBorder="1" applyAlignment="1">
      <alignment horizontal="center" vertical="center" wrapText="1"/>
    </xf>
    <xf numFmtId="2" fontId="118" fillId="0" borderId="1" xfId="34" applyNumberFormat="1" applyFont="1" applyFill="1" applyBorder="1" applyAlignment="1">
      <alignment horizontal="center" vertical="center"/>
    </xf>
    <xf numFmtId="0" fontId="117" fillId="0" borderId="1" xfId="34" applyFont="1" applyFill="1" applyBorder="1" applyAlignment="1">
      <alignment horizontal="center" vertical="center"/>
    </xf>
    <xf numFmtId="2" fontId="118" fillId="0" borderId="1" xfId="34" applyNumberFormat="1" applyFont="1" applyFill="1" applyBorder="1" applyAlignment="1">
      <alignment horizontal="left" vertical="center" wrapText="1"/>
    </xf>
    <xf numFmtId="0" fontId="118" fillId="0" borderId="1" xfId="34" applyFont="1" applyFill="1" applyBorder="1" applyAlignment="1">
      <alignment horizontal="center" vertical="center"/>
    </xf>
    <xf numFmtId="2" fontId="14" fillId="0" borderId="1" xfId="34" applyNumberFormat="1" applyFont="1" applyBorder="1" applyAlignment="1">
      <alignment horizontal="left" vertical="center" wrapText="1"/>
    </xf>
    <xf numFmtId="2" fontId="118" fillId="0" borderId="0" xfId="34" applyNumberFormat="1" applyFont="1" applyFill="1" applyBorder="1" applyAlignment="1">
      <alignment horizontal="left" vertical="center" wrapText="1"/>
    </xf>
    <xf numFmtId="2" fontId="41" fillId="2" borderId="8" xfId="11" applyNumberFormat="1" applyFont="1" applyFill="1" applyBorder="1" applyAlignment="1">
      <alignment vertical="top" wrapText="1"/>
    </xf>
    <xf numFmtId="0" fontId="2" fillId="0" borderId="1" xfId="37" applyNumberFormat="1" applyFont="1" applyBorder="1" applyAlignment="1">
      <alignment vertical="top" wrapText="1"/>
    </xf>
    <xf numFmtId="2" fontId="55" fillId="0" borderId="1" xfId="34" applyNumberFormat="1" applyFont="1" applyFill="1" applyBorder="1" applyAlignment="1">
      <alignment horizontal="left" vertical="center" wrapText="1"/>
    </xf>
    <xf numFmtId="2" fontId="90" fillId="0" borderId="1" xfId="34" applyNumberFormat="1" applyFont="1" applyFill="1" applyBorder="1" applyAlignment="1">
      <alignment horizontal="left" vertical="center" wrapText="1"/>
    </xf>
    <xf numFmtId="2" fontId="117" fillId="0" borderId="1" xfId="34" applyNumberFormat="1" applyFont="1" applyFill="1" applyBorder="1" applyAlignment="1">
      <alignment horizontal="left" vertical="center" wrapText="1"/>
    </xf>
    <xf numFmtId="0" fontId="118" fillId="0" borderId="6" xfId="34" applyFont="1" applyFill="1" applyBorder="1" applyAlignment="1">
      <alignment horizontal="center" vertical="center"/>
    </xf>
    <xf numFmtId="164" fontId="80" fillId="0" borderId="0" xfId="37" applyFont="1" applyFill="1" applyBorder="1" applyAlignment="1">
      <alignment horizontal="center" vertical="center"/>
    </xf>
    <xf numFmtId="0" fontId="54" fillId="0" borderId="0" xfId="34" applyFont="1" applyFill="1" applyBorder="1" applyAlignment="1">
      <alignment horizontal="center" vertical="center"/>
    </xf>
    <xf numFmtId="0" fontId="26" fillId="0" borderId="1" xfId="34" applyFont="1" applyFill="1" applyBorder="1" applyAlignment="1">
      <alignment horizontal="center" vertical="center" wrapText="1"/>
    </xf>
    <xf numFmtId="0" fontId="42" fillId="0" borderId="1" xfId="39" applyFont="1" applyFill="1" applyBorder="1" applyAlignment="1">
      <alignment horizontal="center" vertical="center" wrapText="1"/>
    </xf>
    <xf numFmtId="0" fontId="39" fillId="0" borderId="1" xfId="3" applyFont="1" applyFill="1" applyBorder="1" applyAlignment="1">
      <alignment horizontal="center" vertical="center" wrapText="1"/>
    </xf>
    <xf numFmtId="2" fontId="26" fillId="0" borderId="5" xfId="37" applyNumberFormat="1" applyFont="1" applyFill="1" applyBorder="1" applyAlignment="1" applyProtection="1">
      <alignment horizontal="center" vertical="center"/>
      <protection hidden="1"/>
    </xf>
    <xf numFmtId="2" fontId="26" fillId="0" borderId="6" xfId="37" applyNumberFormat="1" applyFont="1" applyFill="1" applyBorder="1" applyAlignment="1" applyProtection="1">
      <alignment horizontal="center" vertical="center"/>
      <protection hidden="1"/>
    </xf>
    <xf numFmtId="2" fontId="117" fillId="0" borderId="1" xfId="34" applyNumberFormat="1" applyFont="1" applyFill="1" applyBorder="1" applyAlignment="1">
      <alignment horizontal="center" vertical="center"/>
    </xf>
    <xf numFmtId="2" fontId="55" fillId="0" borderId="0" xfId="34" applyNumberFormat="1" applyFont="1" applyFill="1" applyBorder="1" applyAlignment="1">
      <alignment horizontal="center" vertical="center"/>
    </xf>
    <xf numFmtId="0" fontId="55" fillId="0" borderId="0" xfId="34" applyFont="1" applyFill="1" applyBorder="1" applyAlignment="1">
      <alignment horizontal="center" vertical="center"/>
    </xf>
    <xf numFmtId="2" fontId="26" fillId="0" borderId="1" xfId="37" applyNumberFormat="1" applyFont="1" applyFill="1" applyBorder="1" applyAlignment="1" applyProtection="1">
      <alignment horizontal="center" vertical="center"/>
      <protection hidden="1"/>
    </xf>
    <xf numFmtId="0" fontId="26" fillId="0" borderId="1" xfId="34" applyNumberFormat="1" applyFont="1" applyBorder="1" applyAlignment="1">
      <alignment horizontal="left" vertical="center" wrapText="1"/>
    </xf>
    <xf numFmtId="0" fontId="118" fillId="0" borderId="1" xfId="34" applyFont="1" applyFill="1" applyBorder="1" applyAlignment="1">
      <alignment horizontal="center" vertical="center"/>
    </xf>
    <xf numFmtId="2" fontId="55" fillId="0" borderId="0" xfId="34" applyNumberFormat="1" applyFont="1" applyFill="1" applyAlignment="1">
      <alignment horizontal="center" vertical="center"/>
    </xf>
    <xf numFmtId="0" fontId="118" fillId="0" borderId="0" xfId="34" applyFont="1" applyFill="1" applyAlignment="1">
      <alignment horizontal="center" vertical="center"/>
    </xf>
    <xf numFmtId="0" fontId="26" fillId="0" borderId="0" xfId="3" applyFont="1" applyBorder="1" applyAlignment="1">
      <alignment horizontal="left" vertical="center" wrapText="1"/>
    </xf>
    <xf numFmtId="0" fontId="117" fillId="0" borderId="0" xfId="34" applyFont="1" applyFill="1" applyAlignment="1">
      <alignment horizontal="center" vertical="center"/>
    </xf>
    <xf numFmtId="4" fontId="117" fillId="0" borderId="0" xfId="34" applyNumberFormat="1" applyFont="1" applyFill="1" applyAlignment="1">
      <alignment horizontal="center" vertical="center"/>
    </xf>
    <xf numFmtId="0" fontId="117" fillId="0" borderId="0" xfId="34" applyFont="1" applyFill="1" applyAlignment="1">
      <alignment horizontal="center" vertical="center"/>
    </xf>
    <xf numFmtId="0" fontId="9" fillId="0" borderId="0" xfId="34" applyFont="1" applyFill="1" applyAlignment="1">
      <alignment horizontal="center" vertical="center"/>
    </xf>
    <xf numFmtId="164" fontId="26" fillId="0" borderId="0" xfId="37" applyFont="1" applyFill="1" applyBorder="1" applyAlignment="1">
      <alignment horizontal="center" vertical="center"/>
    </xf>
    <xf numFmtId="164" fontId="23" fillId="0" borderId="0" xfId="37" applyFont="1" applyFill="1" applyBorder="1" applyAlignment="1">
      <alignment horizontal="center" vertical="center"/>
    </xf>
    <xf numFmtId="164" fontId="122" fillId="0" borderId="0" xfId="37" applyFont="1" applyFill="1" applyBorder="1" applyAlignment="1">
      <alignment horizontal="center" vertical="center"/>
    </xf>
    <xf numFmtId="164" fontId="123" fillId="0" borderId="0" xfId="37" applyFont="1" applyFill="1" applyBorder="1" applyAlignment="1">
      <alignment horizontal="center" vertical="center"/>
    </xf>
    <xf numFmtId="164" fontId="26" fillId="0" borderId="0" xfId="37" applyFont="1" applyFill="1" applyAlignment="1">
      <alignment horizontal="center" vertical="center"/>
    </xf>
    <xf numFmtId="164" fontId="23" fillId="0" borderId="0" xfId="37" applyNumberFormat="1" applyFont="1" applyFill="1" applyAlignment="1" applyProtection="1">
      <alignment horizontal="center" vertical="center"/>
    </xf>
    <xf numFmtId="164" fontId="23" fillId="0" borderId="0" xfId="37" applyFont="1" applyFill="1" applyAlignment="1">
      <alignment horizontal="center" vertical="center"/>
    </xf>
    <xf numFmtId="164" fontId="26" fillId="0" borderId="0" xfId="37" applyNumberFormat="1" applyFont="1" applyFill="1" applyAlignment="1" applyProtection="1">
      <alignment horizontal="center" vertical="center"/>
    </xf>
    <xf numFmtId="164" fontId="80" fillId="0" borderId="0" xfId="37" applyNumberFormat="1" applyFont="1" applyFill="1" applyAlignment="1" applyProtection="1">
      <alignment horizontal="center" vertical="center"/>
    </xf>
    <xf numFmtId="0" fontId="38" fillId="0" borderId="5" xfId="1" applyFont="1" applyBorder="1" applyAlignment="1">
      <alignment horizontal="center" vertical="center" wrapText="1"/>
    </xf>
    <xf numFmtId="0" fontId="38" fillId="0" borderId="4" xfId="1" applyFont="1" applyBorder="1" applyAlignment="1">
      <alignment horizontal="center" vertical="center" wrapText="1"/>
    </xf>
    <xf numFmtId="0" fontId="38" fillId="0" borderId="6" xfId="1" applyFont="1" applyBorder="1" applyAlignment="1">
      <alignment horizontal="center" vertical="center" wrapText="1"/>
    </xf>
    <xf numFmtId="0" fontId="124" fillId="0" borderId="1" xfId="21" applyFont="1" applyBorder="1" applyAlignment="1">
      <alignment horizontal="justify" vertical="center" wrapText="1"/>
    </xf>
    <xf numFmtId="0" fontId="39" fillId="0" borderId="1" xfId="21" applyFont="1" applyBorder="1" applyAlignment="1">
      <alignment horizontal="justify" vertical="center" wrapText="1"/>
    </xf>
    <xf numFmtId="164" fontId="118" fillId="0" borderId="1" xfId="21" applyNumberFormat="1" applyFont="1" applyBorder="1" applyAlignment="1">
      <alignment horizontal="center" vertical="center"/>
    </xf>
    <xf numFmtId="2" fontId="118" fillId="0" borderId="1" xfId="21" applyNumberFormat="1" applyFont="1" applyBorder="1" applyAlignment="1">
      <alignment horizontal="center" vertical="center"/>
    </xf>
    <xf numFmtId="164" fontId="117" fillId="0" borderId="1" xfId="21" applyNumberFormat="1" applyFont="1" applyBorder="1" applyAlignment="1">
      <alignment horizontal="right" vertical="center"/>
    </xf>
    <xf numFmtId="164" fontId="118" fillId="0" borderId="1" xfId="21" applyNumberFormat="1" applyFont="1" applyBorder="1" applyAlignment="1">
      <alignment horizontal="center" vertical="center"/>
    </xf>
    <xf numFmtId="164" fontId="117" fillId="0" borderId="1" xfId="21" applyNumberFormat="1" applyFont="1" applyBorder="1" applyAlignment="1">
      <alignment horizontal="center" vertical="center"/>
    </xf>
    <xf numFmtId="164" fontId="26" fillId="2" borderId="1" xfId="21" applyNumberFormat="1" applyFont="1" applyFill="1" applyBorder="1" applyAlignment="1">
      <alignment vertical="center" wrapText="1"/>
    </xf>
    <xf numFmtId="0" fontId="26" fillId="2" borderId="1" xfId="3" applyFont="1" applyFill="1" applyBorder="1" applyAlignment="1">
      <alignment horizontal="left" vertical="center" wrapText="1"/>
    </xf>
    <xf numFmtId="2" fontId="26" fillId="0" borderId="1" xfId="1" applyNumberFormat="1" applyFont="1" applyBorder="1" applyAlignment="1">
      <alignment horizontal="right" vertical="center" wrapText="1"/>
    </xf>
    <xf numFmtId="43" fontId="53" fillId="0" borderId="1" xfId="6" applyFont="1" applyBorder="1" applyAlignment="1">
      <alignment horizontal="center" vertical="center" wrapText="1"/>
    </xf>
  </cellXfs>
  <cellStyles count="41">
    <cellStyle name="Comma" xfId="6" builtinId="3"/>
    <cellStyle name="Hyperlink 2" xfId="35"/>
    <cellStyle name="Normal" xfId="0" builtinId="0"/>
    <cellStyle name="Normal 10" xfId="14"/>
    <cellStyle name="Normal 11 2" xfId="15"/>
    <cellStyle name="Normal 15 5" xfId="16"/>
    <cellStyle name="Normal 2" xfId="5"/>
    <cellStyle name="Normal 2 13" xfId="17"/>
    <cellStyle name="Normal 2 2" xfId="18"/>
    <cellStyle name="Normal 2 2 2" xfId="19"/>
    <cellStyle name="Normal 2 3" xfId="20"/>
    <cellStyle name="Normal 2 3 2" xfId="34"/>
    <cellStyle name="Normal 2 4" xfId="36"/>
    <cellStyle name="Normal 2 5" xfId="21"/>
    <cellStyle name="Normal 2 5 2" xfId="31"/>
    <cellStyle name="Normal 2 6" xfId="30"/>
    <cellStyle name="Normal 3" xfId="7"/>
    <cellStyle name="Normal 3 2" xfId="37"/>
    <cellStyle name="Normal 3 2 2" xfId="22"/>
    <cellStyle name="Normal 3 2 2 2 4" xfId="23"/>
    <cellStyle name="Normal 3 4" xfId="24"/>
    <cellStyle name="Normal 4" xfId="10"/>
    <cellStyle name="Normal 4 2" xfId="32"/>
    <cellStyle name="Normal 4 3" xfId="33"/>
    <cellStyle name="Normal 5" xfId="8"/>
    <cellStyle name="Normal 5 2" xfId="12"/>
    <cellStyle name="Normal 6" xfId="38"/>
    <cellStyle name="Normal 7 2" xfId="25"/>
    <cellStyle name="Normal 8 2" xfId="13"/>
    <cellStyle name="Normal 9" xfId="26"/>
    <cellStyle name="Normal_Alandur Detail 2" xfId="39"/>
    <cellStyle name="Normal_Alandur Detail 2 2" xfId="4"/>
    <cellStyle name="Normal_all specifications" xfId="27"/>
    <cellStyle name="Normal_chengai" xfId="2"/>
    <cellStyle name="Normal_June-2004" xfId="1"/>
    <cellStyle name="Normal_Phase XI QS" xfId="28"/>
    <cellStyle name="Normal_Phase XI QS 2" xfId="3"/>
    <cellStyle name="Normal_Phase XI QS 2 3" xfId="9"/>
    <cellStyle name="Normal_Phase XI QS 4" xfId="11"/>
    <cellStyle name="Normal_Phase XI QS 4 2" xfId="29"/>
    <cellStyle name="Percent 3" xfId="4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externalLink" Target="externalLinks/externalLink22.xml"/><Relationship Id="rId8" Type="http://schemas.openxmlformats.org/officeDocument/2006/relationships/worksheet" Target="worksheets/sheet8.xml"/><Relationship Id="rId51"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2505075</xdr:colOff>
      <xdr:row>0</xdr:row>
      <xdr:rowOff>0</xdr:rowOff>
    </xdr:from>
    <xdr:to>
      <xdr:col>3</xdr:col>
      <xdr:colOff>0</xdr:colOff>
      <xdr:row>0</xdr:row>
      <xdr:rowOff>47625</xdr:rowOff>
    </xdr:to>
    <xdr:sp macro="" textlink="">
      <xdr:nvSpPr>
        <xdr:cNvPr id="2" name="Text Box 2"/>
        <xdr:cNvSpPr txBox="1">
          <a:spLocks noChangeArrowheads="1"/>
        </xdr:cNvSpPr>
      </xdr:nvSpPr>
      <xdr:spPr bwMode="auto">
        <a:xfrm>
          <a:off x="13106400" y="0"/>
          <a:ext cx="28575" cy="47625"/>
        </a:xfrm>
        <a:prstGeom prst="rect">
          <a:avLst/>
        </a:prstGeom>
        <a:noFill/>
        <a:ln w="9525">
          <a:noFill/>
          <a:miter lim="800000"/>
          <a:headEnd/>
          <a:tailEnd/>
        </a:ln>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3" name="Text Box 2"/>
        <xdr:cNvSpPr txBox="1">
          <a:spLocks noChangeArrowheads="1"/>
        </xdr:cNvSpPr>
      </xdr:nvSpPr>
      <xdr:spPr bwMode="auto">
        <a:xfrm>
          <a:off x="3676650" y="0"/>
          <a:ext cx="0" cy="47625"/>
        </a:xfrm>
        <a:prstGeom prst="rect">
          <a:avLst/>
        </a:prstGeom>
        <a:noFill/>
        <a:ln w="9525">
          <a:noFill/>
          <a:miter lim="800000"/>
          <a:headEnd/>
          <a:tailEnd/>
        </a:ln>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4" name="Text Box 2"/>
        <xdr:cNvSpPr txBox="1">
          <a:spLocks noChangeArrowheads="1"/>
        </xdr:cNvSpPr>
      </xdr:nvSpPr>
      <xdr:spPr bwMode="auto">
        <a:xfrm>
          <a:off x="3676650" y="0"/>
          <a:ext cx="0" cy="47625"/>
        </a:xfrm>
        <a:prstGeom prst="rect">
          <a:avLst/>
        </a:prstGeom>
        <a:noFill/>
        <a:ln w="9525">
          <a:noFill/>
          <a:miter lim="800000"/>
          <a:headEnd/>
          <a:tailEnd/>
        </a:ln>
      </xdr:spPr>
    </xdr:sp>
    <xdr:clientData/>
  </xdr:twoCellAnchor>
  <xdr:twoCellAnchor editAs="oneCell">
    <xdr:from>
      <xdr:col>2</xdr:col>
      <xdr:colOff>2505075</xdr:colOff>
      <xdr:row>0</xdr:row>
      <xdr:rowOff>0</xdr:rowOff>
    </xdr:from>
    <xdr:to>
      <xdr:col>3</xdr:col>
      <xdr:colOff>571500</xdr:colOff>
      <xdr:row>0</xdr:row>
      <xdr:rowOff>28575</xdr:rowOff>
    </xdr:to>
    <xdr:sp macro="" textlink="">
      <xdr:nvSpPr>
        <xdr:cNvPr id="5" name="Text Box 2"/>
        <xdr:cNvSpPr txBox="1">
          <a:spLocks noChangeArrowheads="1"/>
        </xdr:cNvSpPr>
      </xdr:nvSpPr>
      <xdr:spPr bwMode="auto">
        <a:xfrm>
          <a:off x="3762375" y="0"/>
          <a:ext cx="838200" cy="285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6" name="Text Box 2"/>
        <xdr:cNvSpPr txBox="1">
          <a:spLocks noChangeArrowheads="1"/>
        </xdr:cNvSpPr>
      </xdr:nvSpPr>
      <xdr:spPr bwMode="auto">
        <a:xfrm>
          <a:off x="3762375" y="0"/>
          <a:ext cx="85725"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7" name="Text Box 2"/>
        <xdr:cNvSpPr txBox="1">
          <a:spLocks noChangeArrowheads="1"/>
        </xdr:cNvSpPr>
      </xdr:nvSpPr>
      <xdr:spPr bwMode="auto">
        <a:xfrm>
          <a:off x="3762375" y="0"/>
          <a:ext cx="85725"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8" name="Text Box 2"/>
        <xdr:cNvSpPr txBox="1">
          <a:spLocks noChangeArrowheads="1"/>
        </xdr:cNvSpPr>
      </xdr:nvSpPr>
      <xdr:spPr bwMode="auto">
        <a:xfrm>
          <a:off x="3762375" y="0"/>
          <a:ext cx="85725"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2505075</xdr:colOff>
      <xdr:row>0</xdr:row>
      <xdr:rowOff>0</xdr:rowOff>
    </xdr:from>
    <xdr:to>
      <xdr:col>3</xdr:col>
      <xdr:colOff>0</xdr:colOff>
      <xdr:row>0</xdr:row>
      <xdr:rowOff>47625</xdr:rowOff>
    </xdr:to>
    <xdr:sp macro="" textlink="">
      <xdr:nvSpPr>
        <xdr:cNvPr id="9" name="Text Box 2"/>
        <xdr:cNvSpPr txBox="1">
          <a:spLocks noChangeArrowheads="1"/>
        </xdr:cNvSpPr>
      </xdr:nvSpPr>
      <xdr:spPr bwMode="auto">
        <a:xfrm>
          <a:off x="3762375" y="0"/>
          <a:ext cx="85725"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0</xdr:colOff>
      <xdr:row>0</xdr:row>
      <xdr:rowOff>47625</xdr:rowOff>
    </xdr:to>
    <xdr:sp macro="" textlink="">
      <xdr:nvSpPr>
        <xdr:cNvPr id="10" name="Text Box 2"/>
        <xdr:cNvSpPr txBox="1">
          <a:spLocks noChangeArrowheads="1"/>
        </xdr:cNvSpPr>
      </xdr:nvSpPr>
      <xdr:spPr bwMode="auto">
        <a:xfrm>
          <a:off x="4029075" y="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0</xdr:colOff>
      <xdr:row>0</xdr:row>
      <xdr:rowOff>47625</xdr:rowOff>
    </xdr:to>
    <xdr:sp macro="" textlink="">
      <xdr:nvSpPr>
        <xdr:cNvPr id="11" name="Text Box 2"/>
        <xdr:cNvSpPr txBox="1">
          <a:spLocks noChangeArrowheads="1"/>
        </xdr:cNvSpPr>
      </xdr:nvSpPr>
      <xdr:spPr bwMode="auto">
        <a:xfrm>
          <a:off x="4029075" y="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628650</xdr:colOff>
      <xdr:row>29</xdr:row>
      <xdr:rowOff>66675</xdr:rowOff>
    </xdr:from>
    <xdr:to>
      <xdr:col>2</xdr:col>
      <xdr:colOff>948690</xdr:colOff>
      <xdr:row>29</xdr:row>
      <xdr:rowOff>69723</xdr:rowOff>
    </xdr:to>
    <xdr:sp macro="" textlink="">
      <xdr:nvSpPr>
        <xdr:cNvPr id="2" name="Text Box 2"/>
        <xdr:cNvSpPr txBox="1">
          <a:spLocks noChangeArrowheads="1"/>
        </xdr:cNvSpPr>
      </xdr:nvSpPr>
      <xdr:spPr bwMode="auto">
        <a:xfrm>
          <a:off x="1724025" y="7200900"/>
          <a:ext cx="320040" cy="3048"/>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a:t>
          </a:r>
        </a:p>
        <a:p>
          <a:pPr algn="l" rtl="1">
            <a:defRPr sz="1000"/>
          </a:pPr>
          <a:endParaRPr lang="en-US"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Borewell%20Tambaram/Tambaram%20fire%20station/Tambaram%20EW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b-pc\P.Shanthi%20JDO\Users\Loganathan\Desktop\Main%20Estimate\JambunathaPuram%20RPS\EST%20Jembunathapuram\Jambunatha%20Puram%20RPS%20-%20Fin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Users\tnphc\Downloads\Documents%20and%20Settings\y6hgb\My%20Documents\TRICHY\Karu.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pc\P.Shanthi%20JDO\Users\Loganathan\Desktop\DEVELOPMENT%20WORKS\ALL%20Bore%20well%20&amp;%20Pumpset%20EST\PUMP%20SET\Vaiyampatti%20Pump%20Set\ALANGUDI%20PUMP%20S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b-pc\P.Shanthi%20JDO\Users\Loganathan\Desktop\Users\OFFICE\Downloads\Documents%20and%20Settings\y6hgb\My%20Documents\TRICHY\Kar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uments%20and%20Settings\y6hgb\My%20Documents\TRICHY\Kar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eplacing%20of%20existing%20yard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ullage%20drain%20otthivakam%20(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b-pc\P.Shanthi%20JDO\Users\Palani%20Kumar\Downloads\tnphc%20department\2016\FLOOD%20ESTIMATE%20FINAL%20%20jan%202016\FLOOD%20ESTIMATE%20FINAL%20%2022.01.2016\Orathi\ORATHI%20police%20stati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hn-318\share\Documents%20and%20Settings\y6hgb\My%20Documents\TRICHY\Karu.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hn-310-pc\share\Users\cedb\AppData\Local\Temp\Documents%20and%20Settings\y6hgb\My%20Documents\TRICHY\Kar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gital%20-%20Long%20fire%20Rang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Sump%20and%20Motor%20arrangement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b-pc\P.Shanthi%20JDO\Users\Palani%20Kumar\Downloads\vijay1\Documents%20and%20Settings\y6hgb\My%20Documents\TRICHY\Karu.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b-pc\P.Shanthi%20JDO\Users\Palani%20Kumar\Downloads\tnphc%20department\2016\November%202016\november\Estimate%2025.11.2016\15.11.16%20Bore%20well%20estimate\chitamur%20borewe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igital%20-%20Short%20fire%20Ran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thivakkam%20Short%20Range%20Shed%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thivakkam%20Special%20Repair%20work%20of%20100%20Barrack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thivakkam%20Special%20Repair%20work%20of%20Admin%20Block%2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novation%20obstacle%20course%2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Documents%20and%20Settings\y6hgb\My%20Documents\TRICHY\Kar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mailam%20PRS%2022.06.2013\estimate\Documents%20and%20Settings\y6hgb\My%20Documents\TRICHY\Karu.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tail"/>
      <sheetName val="Abs"/>
      <sheetName val="Sheet1"/>
    </sheetNames>
    <sheetDataSet>
      <sheetData sheetId="0"/>
      <sheetData sheetId="1">
        <row r="23">
          <cell r="C23" t="str">
            <v>Labour charges for the erection of submersible pumpset in Borewell/open 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v>
          </cell>
        </row>
      </sheetData>
      <sheetData sheetId="2"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lead  charge"/>
      <sheetName val="IIB"/>
      <sheetName val="Main Road Approach Drainage Det"/>
      <sheetName val="Main Road Approach Drainage ABS"/>
      <sheetName val="Main Road Approach Drainage Dat"/>
      <sheetName val="Drain Data"/>
      <sheetName val="UG cableDetail"/>
      <sheetName val="UG cable Abtarct"/>
      <sheetName val="UG Cable DATA"/>
      <sheetName val="3 in1 Firemen (UP)"/>
      <sheetName val="3in1 PC-HC (AB)"/>
      <sheetName val="Septic Tank"/>
      <sheetName val="C.C Road"/>
      <sheetName val="P.P Wall"/>
      <sheetName val="Periphery wall (2)"/>
      <sheetName val="OHT "/>
      <sheetName val="SL Drain"/>
      <sheetName val="Sump"/>
      <sheetName val="Culvert.."/>
      <sheetName val="Elec.abs"/>
      <sheetName val="Sheet13"/>
      <sheetName val="G.Abstract"/>
      <sheetName val="Up to Basement"/>
      <sheetName val="Above basement"/>
      <sheetName val="OHT"/>
      <sheetName val="S.Tank"/>
      <sheetName val="G. Abstract"/>
      <sheetName val="C.C.Road"/>
      <sheetName val="P.Protection"/>
      <sheetName val="S.Drain"/>
      <sheetName val="Building"/>
      <sheetName val=" ABSTRACT"/>
      <sheetName val="Data.."/>
      <sheetName val="Elec.Data"/>
      <sheetName val="Data"/>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etailed"/>
      <sheetName val="Abstract"/>
      <sheetName val="Abstract (2)"/>
      <sheetName val="Sheet3"/>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Tender "/>
      <sheetName val="Abst"/>
      <sheetName val="Schedule-A"/>
      <sheetName val="Detail"/>
    </sheetNames>
    <sheetDataSet>
      <sheetData sheetId="0" refreshError="1"/>
      <sheetData sheetId="1"/>
      <sheetData sheetId="2" refreshError="1"/>
      <sheetData sheetId="3">
        <row r="10">
          <cell r="I10">
            <v>18</v>
          </cell>
        </row>
        <row r="13">
          <cell r="I13">
            <v>1</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Sheet1"/>
      <sheetName val="sullage drain det"/>
      <sheetName val="sullage drain abs"/>
    </sheetNames>
    <sheetDataSet>
      <sheetData sheetId="0">
        <row r="80">
          <cell r="F80">
            <v>159.38999999999999</v>
          </cell>
        </row>
        <row r="90">
          <cell r="F90">
            <v>340.84</v>
          </cell>
        </row>
        <row r="104">
          <cell r="F104">
            <v>4314.4399999999996</v>
          </cell>
        </row>
        <row r="120">
          <cell r="F120">
            <v>6291.53</v>
          </cell>
        </row>
        <row r="133">
          <cell r="F133">
            <v>227.66</v>
          </cell>
        </row>
        <row r="145">
          <cell r="F145">
            <v>468.79</v>
          </cell>
        </row>
        <row r="159">
          <cell r="F159">
            <v>222.05</v>
          </cell>
        </row>
        <row r="171">
          <cell r="F171">
            <v>1552.9695827725438</v>
          </cell>
        </row>
        <row r="184">
          <cell r="F184">
            <v>81012.5</v>
          </cell>
        </row>
      </sheetData>
      <sheetData sheetId="1">
        <row r="12">
          <cell r="I12">
            <v>117.45</v>
          </cell>
        </row>
        <row r="18">
          <cell r="I18">
            <v>16</v>
          </cell>
        </row>
        <row r="24">
          <cell r="I24">
            <v>16</v>
          </cell>
        </row>
        <row r="30">
          <cell r="I30">
            <v>71.099999999999994</v>
          </cell>
        </row>
        <row r="38">
          <cell r="I38">
            <v>630.65</v>
          </cell>
        </row>
        <row r="43">
          <cell r="I43">
            <v>96.85</v>
          </cell>
        </row>
        <row r="51">
          <cell r="I51">
            <v>630.65</v>
          </cell>
        </row>
        <row r="57">
          <cell r="I57">
            <v>266.8</v>
          </cell>
        </row>
        <row r="61">
          <cell r="I61">
            <v>1.0669999999999999</v>
          </cell>
        </row>
      </sheetData>
      <sheetData sheetId="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ata"/>
      <sheetName val="detail estimate main"/>
      <sheetName val="print data"/>
      <sheetName val="lead  charge"/>
      <sheetName val="ABS"/>
      <sheetName val="General Abstract"/>
      <sheetName val="A Old"/>
      <sheetName val="A"/>
      <sheetName val="Detailed Estimate"/>
      <sheetName val="Estimate (G+2)"/>
      <sheetName val="Sump"/>
      <sheetName val="Road"/>
      <sheetName val="Plinth"/>
      <sheetName val="Pum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REF"/>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nder "/>
      <sheetName val="Abst"/>
      <sheetName val="Schedule-A"/>
      <sheetName val="Detail"/>
    </sheetNames>
    <sheetDataSet>
      <sheetData sheetId="0" refreshError="1"/>
      <sheetData sheetId="1"/>
      <sheetData sheetId="2" refreshError="1"/>
      <sheetData sheetId="3"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etail estimate main"/>
      <sheetName val="ABS"/>
      <sheetName val="pile data ( M20 grade)"/>
      <sheetName val="pile data (2)"/>
      <sheetName val="  Coastal  Elec.Data "/>
      <sheetName val="lead  charge"/>
      <sheetName val="Elec.Data"/>
      <sheetName val="Elec.abs"/>
      <sheetName val="Data"/>
      <sheetName val="Develop"/>
      <sheetName val="Building +Dev"/>
      <sheetName val="Abstract"/>
      <sheetName val="print final data"/>
    </sheetNames>
    <sheetDataSet>
      <sheetData sheetId="0">
        <row r="5">
          <cell r="B5" t="str">
            <v>Earth work excavation for Open foundation (excluding refilling)</v>
          </cell>
        </row>
        <row r="6">
          <cell r="B6" t="str">
            <v>a. 0 to 2 mt.</v>
          </cell>
        </row>
        <row r="8">
          <cell r="I8">
            <v>44.5</v>
          </cell>
        </row>
        <row r="10">
          <cell r="B10" t="str">
            <v>Supplying and filling stonedust</v>
          </cell>
        </row>
        <row r="12">
          <cell r="I12">
            <v>3.35</v>
          </cell>
        </row>
        <row r="14">
          <cell r="B14" t="str">
            <v>Plain cement concrete 1:5:10 (One of cement, five of sand 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v>
          </cell>
        </row>
        <row r="16">
          <cell r="I16">
            <v>3.4</v>
          </cell>
        </row>
        <row r="18">
          <cell r="B18" t="str">
            <v>a. In Ground floor</v>
          </cell>
        </row>
        <row r="22">
          <cell r="I22">
            <v>1.75</v>
          </cell>
        </row>
        <row r="23">
          <cell r="B23" t="str">
            <v>Brick partition work in C.M. 1:4 using chamber Burnt bricks of size 23 x 11.4 x 7.5 cm (9" x 4 1/2"x 3") 114 mm tk (B.P.)</v>
          </cell>
        </row>
        <row r="24">
          <cell r="B24" t="str">
            <v>b. In Ground floor</v>
          </cell>
        </row>
        <row r="28">
          <cell r="I28">
            <v>31.3</v>
          </cell>
        </row>
        <row r="33">
          <cell r="I33">
            <v>62.8</v>
          </cell>
        </row>
        <row r="35">
          <cell r="B35" t="str">
            <v>Ellispattern</v>
          </cell>
        </row>
        <row r="39">
          <cell r="I39">
            <v>31.75</v>
          </cell>
        </row>
        <row r="40">
          <cell r="B40" t="str">
            <v>Plastering in C.M. 1:5, 12 mm tk.</v>
          </cell>
        </row>
        <row r="49">
          <cell r="I49">
            <v>106.75</v>
          </cell>
        </row>
        <row r="50">
          <cell r="B50" t="str">
            <v>Spl. Ceiling plastering in C.M. 1:3,
 10 mm tk.</v>
          </cell>
        </row>
        <row r="55">
          <cell r="I55">
            <v>15.3</v>
          </cell>
        </row>
        <row r="56">
          <cell r="B56" t="str">
            <v>White washing 3 coats  (slaked)</v>
          </cell>
        </row>
        <row r="58">
          <cell r="I58">
            <v>10.1</v>
          </cell>
        </row>
        <row r="60">
          <cell r="B60" t="str">
            <v>Standardised concrete Mix M25 Grade Concrete</v>
          </cell>
        </row>
        <row r="61">
          <cell r="B61" t="str">
            <v>a. In Foundation and basement</v>
          </cell>
        </row>
        <row r="67">
          <cell r="I67">
            <v>14.85</v>
          </cell>
        </row>
        <row r="68">
          <cell r="B68" t="str">
            <v>b. In Ground floor</v>
          </cell>
        </row>
        <row r="70">
          <cell r="I70">
            <v>2.25</v>
          </cell>
        </row>
        <row r="73">
          <cell r="B73" t="str">
            <v>b.Plain surfaces such as Roof slab,floorslab,Beams,lintels,lofts,sill slab,staircase,portico slab and other similar works</v>
          </cell>
        </row>
        <row r="79">
          <cell r="I79">
            <v>18.25</v>
          </cell>
        </row>
        <row r="80">
          <cell r="B80" t="str">
            <v>f.Curved surface</v>
          </cell>
        </row>
        <row r="89">
          <cell r="I89">
            <v>97.85</v>
          </cell>
        </row>
        <row r="91">
          <cell r="B91" t="str">
            <v xml:space="preserve">Two coat of OBD over one coat white cement for inner walls </v>
          </cell>
        </row>
        <row r="96">
          <cell r="I96">
            <v>35.5</v>
          </cell>
        </row>
        <row r="98">
          <cell r="B98" t="str">
            <v>Plastic Emulsion PAINT including primer for outer walls</v>
          </cell>
        </row>
        <row r="105">
          <cell r="I105">
            <v>47.4</v>
          </cell>
        </row>
        <row r="107">
          <cell r="B107" t="str">
            <v xml:space="preserve">Fabrication of Mild steel / RTS grills (without cement slurry) for all sizes of rods.
</v>
          </cell>
        </row>
        <row r="110">
          <cell r="I110">
            <v>1.9</v>
          </cell>
        </row>
        <row r="112">
          <cell r="B112" t="str">
            <v>C.I. Steps ( 5 kg)</v>
          </cell>
        </row>
        <row r="113">
          <cell r="I113">
            <v>14</v>
          </cell>
        </row>
        <row r="116">
          <cell r="I116">
            <v>2</v>
          </cell>
        </row>
        <row r="118">
          <cell r="B118" t="str">
            <v>Filling with Excavated Earth</v>
          </cell>
        </row>
        <row r="122">
          <cell r="I122">
            <v>18.2</v>
          </cell>
        </row>
        <row r="125">
          <cell r="I125">
            <v>2</v>
          </cell>
        </row>
        <row r="128">
          <cell r="I128">
            <v>3</v>
          </cell>
        </row>
        <row r="130">
          <cell r="B130" t="str">
            <v>Supply and delivery of three phase panel board. D.O.L with two level guard and auto start with voltmeter and ameter and all other including labour charges and materials etc., all complete</v>
          </cell>
          <cell r="I130">
            <v>3</v>
          </cell>
        </row>
        <row r="132">
          <cell r="B132" t="str">
            <v>Supplying and laying 3 core 4 sqmm FLAT COPPER CABLE with ISI mark including cost of all materials specials etc. all complete.</v>
          </cell>
        </row>
        <row r="135">
          <cell r="I135">
            <v>95</v>
          </cell>
        </row>
        <row r="136">
          <cell r="B136" t="str">
            <v xml:space="preserve">Supply and fixing of 40mm dia UPVC Pipes of best approved quality, with ISI mark including cost and conveyence and fixing in position etc., all complete in all respects complying with relevant standard specification and as directed by the departmental officer (The brand and quality of the 'U' PVC pipe should be got approved from EE before use) </v>
          </cell>
        </row>
        <row r="137">
          <cell r="I137">
            <v>6</v>
          </cell>
        </row>
        <row r="139">
          <cell r="B139" t="str">
            <v>Supplying and fixing Mild Steel grills as per the design approved to verandah enclosure or gate including one coat of primer and labour for fixing in position etc. all complete.</v>
          </cell>
        </row>
        <row r="142">
          <cell r="I142">
            <v>132.5</v>
          </cell>
        </row>
        <row r="143">
          <cell r="B143" t="str">
            <v xml:space="preserve">Painting the new Iron work and other similar works such as PVC /ASTM Pipes, Kerb Stone and grills with two coats of approved first class synthetic enamel ready mixed paint </v>
          </cell>
        </row>
        <row r="145">
          <cell r="I145">
            <v>3.8</v>
          </cell>
        </row>
        <row r="146">
          <cell r="B146" t="str">
            <v xml:space="preserve">Supply and Delivery of openwell submersible motor Pumpset with ISI mark IS 8034 without Panel Board of 7.5 H.P capacity 75 LPM X 150 m of electric motor pump set with accessories at bore well for Three phase  operation etc..,all complete and as directed by the departmental officiers.(The brand of pumpset should got approved by the Executive Engineer before erection). </v>
          </cell>
        </row>
        <row r="149">
          <cell r="B149" t="str">
            <v>Supplying and Fixing of 100mm dia</v>
          </cell>
        </row>
        <row r="150">
          <cell r="I150">
            <v>25</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80">
          <cell r="F80">
            <v>106.26</v>
          </cell>
        </row>
        <row r="90">
          <cell r="F90">
            <v>340.84</v>
          </cell>
        </row>
        <row r="104">
          <cell r="F104">
            <v>4314.4399999999996</v>
          </cell>
        </row>
        <row r="122">
          <cell r="F122">
            <v>6309.12</v>
          </cell>
        </row>
        <row r="134">
          <cell r="F134">
            <v>807.32</v>
          </cell>
        </row>
        <row r="147">
          <cell r="F147">
            <v>468.79</v>
          </cell>
        </row>
        <row r="163">
          <cell r="F163">
            <v>427.34</v>
          </cell>
        </row>
        <row r="176">
          <cell r="F176">
            <v>227.66</v>
          </cell>
        </row>
        <row r="188">
          <cell r="F188">
            <v>265.68</v>
          </cell>
        </row>
        <row r="200">
          <cell r="F200">
            <v>43.02</v>
          </cell>
        </row>
        <row r="216">
          <cell r="F216">
            <v>7441.73</v>
          </cell>
        </row>
        <row r="218">
          <cell r="F218">
            <v>7555.36</v>
          </cell>
        </row>
        <row r="231">
          <cell r="D231">
            <v>900.96</v>
          </cell>
        </row>
        <row r="235">
          <cell r="D235">
            <v>1351.44</v>
          </cell>
        </row>
        <row r="249">
          <cell r="F249">
            <v>119.37</v>
          </cell>
        </row>
        <row r="262">
          <cell r="F262">
            <v>222.05</v>
          </cell>
        </row>
        <row r="274">
          <cell r="F274">
            <v>81012.5</v>
          </cell>
        </row>
        <row r="276">
          <cell r="F276">
            <v>30</v>
          </cell>
        </row>
        <row r="282">
          <cell r="F282">
            <v>36.96</v>
          </cell>
        </row>
        <row r="290">
          <cell r="F290">
            <v>196</v>
          </cell>
        </row>
        <row r="292">
          <cell r="F292">
            <v>62.6</v>
          </cell>
        </row>
        <row r="305">
          <cell r="F305">
            <v>133.44</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abstract"/>
      <sheetName val="detailed"/>
      <sheetName val="Sliding window"/>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nder "/>
      <sheetName val="Schedule-A"/>
      <sheetName val="Detail"/>
      <sheetName val="Abst"/>
      <sheetName val="Abst (2)"/>
    </sheetNames>
    <sheetDataSet>
      <sheetData sheetId="0" refreshError="1"/>
      <sheetData sheetId="1" refreshError="1"/>
      <sheetData sheetId="2" refreshError="1"/>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ile data ( M30 grade) (2)"/>
      <sheetName val="A4 "/>
      <sheetName val="G. Abstract"/>
      <sheetName val="pile data "/>
      <sheetName val="  Coastal  Elec.Data "/>
      <sheetName val="lead  charge"/>
      <sheetName val="Elec.Data"/>
      <sheetName val="Guard - Data "/>
      <sheetName val="abstract"/>
      <sheetName val="DETAIL"/>
      <sheetName val="Data"/>
      <sheetName val="building"/>
      <sheetName val="Sliding and french window"/>
      <sheetName val="Sheet1"/>
    </sheetNames>
    <sheetDataSet>
      <sheetData sheetId="0" refreshError="1"/>
      <sheetData sheetId="1" refreshError="1"/>
      <sheetData sheetId="2" refreshError="1"/>
      <sheetData sheetId="3" refreshError="1"/>
      <sheetData sheetId="4" refreshError="1"/>
      <sheetData sheetId="5" refreshError="1"/>
      <sheetData sheetId="6">
        <row r="3221">
          <cell r="K3221">
            <v>3342.85</v>
          </cell>
        </row>
        <row r="3468">
          <cell r="K3468">
            <v>2971.6</v>
          </cell>
        </row>
        <row r="3825">
          <cell r="K3825">
            <v>830.01</v>
          </cell>
        </row>
        <row r="3889">
          <cell r="K3889">
            <v>917.36</v>
          </cell>
        </row>
        <row r="3928">
          <cell r="K3928">
            <v>638.45000000000005</v>
          </cell>
        </row>
        <row r="3963">
          <cell r="K3963">
            <v>136.43</v>
          </cell>
        </row>
        <row r="3976">
          <cell r="K3976">
            <v>164.83</v>
          </cell>
        </row>
      </sheetData>
      <sheetData sheetId="7">
        <row r="101">
          <cell r="F101">
            <v>967.34</v>
          </cell>
        </row>
      </sheetData>
      <sheetData sheetId="8"/>
      <sheetData sheetId="9">
        <row r="13">
          <cell r="I13">
            <v>2.8</v>
          </cell>
        </row>
        <row r="15">
          <cell r="B15" t="str">
            <v>Supplying and filling stonedust</v>
          </cell>
        </row>
        <row r="20">
          <cell r="I20">
            <v>9.5</v>
          </cell>
        </row>
        <row r="27">
          <cell r="I27">
            <v>9.5</v>
          </cell>
        </row>
        <row r="28">
          <cell r="B28" t="str">
            <v>P.C.C. 1:4:8 for flooring</v>
          </cell>
        </row>
        <row r="32">
          <cell r="I32">
            <v>6.2</v>
          </cell>
        </row>
        <row r="37">
          <cell r="I37">
            <v>1.6</v>
          </cell>
        </row>
        <row r="45">
          <cell r="I45">
            <v>19.100000000000001</v>
          </cell>
        </row>
        <row r="47">
          <cell r="B47" t="str">
            <v xml:space="preserve">Painting Two coats of emulsion pain with primer in the new plastered wall. </v>
          </cell>
        </row>
        <row r="52">
          <cell r="I52">
            <v>19.100000000000001</v>
          </cell>
        </row>
        <row r="55">
          <cell r="B55" t="str">
            <v xml:space="preserve">PAINTING TWO COATS OVER old PLASTERED SURFACE WITH  Plastic Emulsion PAINT - for Old walls </v>
          </cell>
        </row>
        <row r="74">
          <cell r="I74">
            <v>579</v>
          </cell>
        </row>
        <row r="77">
          <cell r="B77" t="str">
            <v xml:space="preserve">Ellispartern Flooring </v>
          </cell>
        </row>
        <row r="80">
          <cell r="I80">
            <v>56</v>
          </cell>
        </row>
        <row r="82">
          <cell r="B82" t="str">
            <v>Wiring with 1.5 sqmm PVC insulated single core multi strand fire retardant flexible copper cable with ISI mark confirming IS: 694:1990.</v>
          </cell>
        </row>
        <row r="83">
          <cell r="B83" t="str">
            <v>a. Light point with ceiling rose</v>
          </cell>
          <cell r="I83">
            <v>8</v>
          </cell>
        </row>
        <row r="85">
          <cell r="B85" t="str">
            <v>Wiring with 1.5 sqmm PVC insulated single core multi strand fire retardant flexible copper cable with ISI mark confirming IS: 694:1990 for Fan point. (Open wiring)</v>
          </cell>
          <cell r="I85">
            <v>8</v>
          </cell>
        </row>
        <row r="87">
          <cell r="B87" t="str">
            <v>Charges for assembling and fixing of ceiling fan of different sweep with necessary connections and fixing of fan regulator on the existing board etc., all complete (Excluding cost of fan)</v>
          </cell>
          <cell r="I87">
            <v>8</v>
          </cell>
        </row>
        <row r="89">
          <cell r="I89">
            <v>8</v>
          </cell>
        </row>
        <row r="91">
          <cell r="B91" t="str">
            <v>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 (Open wiring)</v>
          </cell>
          <cell r="I91">
            <v>1</v>
          </cell>
        </row>
        <row r="93">
          <cell r="B93" t="str">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v>
          </cell>
          <cell r="I93">
            <v>40</v>
          </cell>
        </row>
        <row r="95">
          <cell r="B95" t="str">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v>
          </cell>
          <cell r="I95">
            <v>50</v>
          </cell>
        </row>
        <row r="98">
          <cell r="I98">
            <v>16</v>
          </cell>
        </row>
        <row r="101">
          <cell r="I101">
            <v>1</v>
          </cell>
        </row>
        <row r="103">
          <cell r="I103">
            <v>1</v>
          </cell>
        </row>
        <row r="126">
          <cell r="I126">
            <v>1907.4</v>
          </cell>
        </row>
        <row r="136">
          <cell r="I136">
            <v>49.1</v>
          </cell>
        </row>
        <row r="140">
          <cell r="I140">
            <v>85.7</v>
          </cell>
        </row>
      </sheetData>
      <sheetData sheetId="10">
        <row r="11">
          <cell r="AE11">
            <v>618.20000000000005</v>
          </cell>
        </row>
        <row r="17">
          <cell r="AE17">
            <v>836</v>
          </cell>
        </row>
        <row r="19">
          <cell r="AE19">
            <v>926.2</v>
          </cell>
        </row>
        <row r="154">
          <cell r="R154">
            <v>340.84</v>
          </cell>
        </row>
        <row r="204">
          <cell r="K204">
            <v>4314.4399999999996</v>
          </cell>
        </row>
        <row r="240">
          <cell r="R240">
            <v>4507.54</v>
          </cell>
        </row>
        <row r="321">
          <cell r="AG321">
            <v>6291.53</v>
          </cell>
        </row>
        <row r="1553">
          <cell r="K1553">
            <v>133.44</v>
          </cell>
        </row>
        <row r="3358">
          <cell r="K3358">
            <v>158.94999999999999</v>
          </cell>
        </row>
      </sheetData>
      <sheetData sheetId="11">
        <row r="6">
          <cell r="C6">
            <v>224.84</v>
          </cell>
        </row>
        <row r="336">
          <cell r="C336">
            <v>427.34</v>
          </cell>
        </row>
        <row r="341">
          <cell r="C341">
            <v>227.66</v>
          </cell>
        </row>
        <row r="435">
          <cell r="C435">
            <v>521.46</v>
          </cell>
        </row>
        <row r="903">
          <cell r="C903">
            <v>764.91</v>
          </cell>
        </row>
        <row r="921">
          <cell r="C921">
            <v>642</v>
          </cell>
        </row>
      </sheetData>
      <sheetData sheetId="12" refreshError="1"/>
      <sheetData sheetId="1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ile data ( M30 grade) (2)"/>
      <sheetName val="A4 "/>
      <sheetName val="G. Abstract"/>
      <sheetName val="pile data "/>
      <sheetName val="  Coastal  Elec.Data "/>
      <sheetName val="lead  charge"/>
      <sheetName val="Elec.Data"/>
      <sheetName val="Data"/>
      <sheetName val="Renovation Barracks Abs"/>
      <sheetName val="Renovation Barracks Det"/>
      <sheetName val="Renovation Barracks Data"/>
      <sheetName val="building"/>
      <sheetName val="Sliding and french window"/>
      <sheetName val="Sheet1"/>
    </sheetNames>
    <sheetDataSet>
      <sheetData sheetId="0" refreshError="1"/>
      <sheetData sheetId="1" refreshError="1"/>
      <sheetData sheetId="2" refreshError="1"/>
      <sheetData sheetId="3" refreshError="1"/>
      <sheetData sheetId="4" refreshError="1"/>
      <sheetData sheetId="5" refreshError="1"/>
      <sheetData sheetId="6">
        <row r="3963">
          <cell r="K3963">
            <v>136.43</v>
          </cell>
        </row>
        <row r="3976">
          <cell r="K3976">
            <v>164.83</v>
          </cell>
        </row>
      </sheetData>
      <sheetData sheetId="7">
        <row r="384">
          <cell r="R384">
            <v>21.89</v>
          </cell>
        </row>
        <row r="1185">
          <cell r="K1185">
            <v>726.7</v>
          </cell>
        </row>
        <row r="1230">
          <cell r="R1230">
            <v>1401.76</v>
          </cell>
        </row>
        <row r="1264">
          <cell r="K1264">
            <v>1138.92</v>
          </cell>
        </row>
        <row r="1278">
          <cell r="K1278">
            <v>1305.26</v>
          </cell>
        </row>
        <row r="1330">
          <cell r="K1330">
            <v>3792.98</v>
          </cell>
        </row>
        <row r="1400">
          <cell r="K1400">
            <v>227.66</v>
          </cell>
        </row>
        <row r="1426">
          <cell r="K1426">
            <v>265.68</v>
          </cell>
        </row>
        <row r="1442">
          <cell r="K1442">
            <v>252.14</v>
          </cell>
        </row>
        <row r="1874">
          <cell r="K1874">
            <v>218.47</v>
          </cell>
        </row>
        <row r="1882">
          <cell r="K1882">
            <v>223.26</v>
          </cell>
        </row>
        <row r="1899">
          <cell r="K1899">
            <v>294.01</v>
          </cell>
        </row>
        <row r="2015">
          <cell r="K2015">
            <v>6878.25</v>
          </cell>
        </row>
        <row r="2063">
          <cell r="K2063">
            <v>692.5</v>
          </cell>
        </row>
        <row r="2087">
          <cell r="K2087">
            <v>576.63</v>
          </cell>
        </row>
        <row r="2119">
          <cell r="K2119">
            <v>152.6</v>
          </cell>
        </row>
        <row r="2416">
          <cell r="R2416">
            <v>1386.8</v>
          </cell>
        </row>
        <row r="3115">
          <cell r="AG3115">
            <v>480</v>
          </cell>
        </row>
        <row r="3231">
          <cell r="K3231">
            <v>153.36000000000001</v>
          </cell>
        </row>
        <row r="3247">
          <cell r="K3247">
            <v>134.72999999999999</v>
          </cell>
        </row>
        <row r="3358">
          <cell r="K3358">
            <v>158.94999999999999</v>
          </cell>
        </row>
      </sheetData>
      <sheetData sheetId="8"/>
      <sheetData sheetId="9">
        <row r="5">
          <cell r="A5" t="str">
            <v>Name of work : Repair Works to Existing Barracks building at Othivakkam Shooting Range in Chennai City.</v>
          </cell>
        </row>
        <row r="44">
          <cell r="I44">
            <v>1170</v>
          </cell>
        </row>
        <row r="183">
          <cell r="I183">
            <v>5000</v>
          </cell>
        </row>
        <row r="196">
          <cell r="I196">
            <v>1529</v>
          </cell>
        </row>
        <row r="198">
          <cell r="B198" t="str">
            <v>Providing wooden MELAMEN DOOR POLISH for Main Door</v>
          </cell>
        </row>
        <row r="200">
          <cell r="I200">
            <v>7.56</v>
          </cell>
        </row>
        <row r="202">
          <cell r="B202" t="str">
            <v>Supply and repairing of window glass panels of 4mm thick for steel window and ventilaters.</v>
          </cell>
        </row>
        <row r="212">
          <cell r="I212">
            <v>105.5</v>
          </cell>
        </row>
        <row r="214">
          <cell r="B214" t="str">
            <v>Supply and fixing of horizontal type 4 Way TPDB 63A / Way with Fuse &amp; Neutral Link in sheet steel enclosure single door of single door type with metal door with IP43 protection with 63 Amps 30 MA - RCCB / ELCB (FOUR POLE) as incoming and 12 Nos. 6A to 32A SP MCB as outgoing in flush with wall and making good of the TW Board 40 cm x 30cm x 6.3 cm (MR) with earth connection. The MCB DB and MCB's should be with the ISI mark (like standard make)</v>
          </cell>
        </row>
        <row r="215">
          <cell r="I215">
            <v>3</v>
          </cell>
        </row>
        <row r="217">
          <cell r="B217" t="str">
            <v>Solid PVC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 SOR 2021-2022 Pg.No: 43</v>
          </cell>
        </row>
        <row r="222">
          <cell r="I222">
            <v>81.900000000000006</v>
          </cell>
        </row>
        <row r="224">
          <cell r="B224" t="str">
            <v>Plastering In CM 1:3 - 12mm Thick mixed with water proof compound</v>
          </cell>
        </row>
        <row r="226">
          <cell r="I226">
            <v>48</v>
          </cell>
        </row>
        <row r="229">
          <cell r="B229" t="str">
            <v xml:space="preserve">Plastering in CM 1:3 - 10mm thick </v>
          </cell>
        </row>
        <row r="231">
          <cell r="I231">
            <v>13.92</v>
          </cell>
        </row>
        <row r="233">
          <cell r="B233" t="str">
            <v>Plastering in CM 1:5 - 12mm Thick</v>
          </cell>
        </row>
        <row r="237">
          <cell r="I237">
            <v>23.3</v>
          </cell>
        </row>
        <row r="239">
          <cell r="B239" t="str">
            <v>Scrapping and Pointing with CM (1:3) for PRESSED TILES including water proof compound</v>
          </cell>
        </row>
        <row r="245">
          <cell r="I245">
            <v>394</v>
          </cell>
        </row>
        <row r="247">
          <cell r="B247" t="str">
            <v>Painting Two coats over the old wood work with synthetic Enamel Paint</v>
          </cell>
        </row>
        <row r="251">
          <cell r="I251">
            <v>140</v>
          </cell>
        </row>
        <row r="253">
          <cell r="B253" t="str">
            <v>Painting Two coats over the old Iron work with synthetic Enamel Paint</v>
          </cell>
        </row>
        <row r="270">
          <cell r="I270">
            <v>351.3</v>
          </cell>
        </row>
        <row r="272">
          <cell r="B272" t="str">
            <v>Dismantling Floor finish and dadooing walls in cement mortar with
Mosaic Tiles / Glazed Tiles / Cuddapah Slabs. PWD SR 2021-2022 Pg.no-22.</v>
          </cell>
        </row>
        <row r="279">
          <cell r="I279">
            <v>175.1</v>
          </cell>
        </row>
        <row r="281">
          <cell r="B281" t="str">
            <v>Dismantling Pressed Tiles &amp; Weathering Course. PWD SR 2021-2022 Pg.no-22.</v>
          </cell>
        </row>
        <row r="285">
          <cell r="I285">
            <v>32.5</v>
          </cell>
        </row>
        <row r="287">
          <cell r="B287" t="str">
            <v>Providing Weathering course with brick jelly lime in ratio 32/121/2  by volume well watering consolidate with wooden beater to required slop</v>
          </cell>
        </row>
        <row r="291">
          <cell r="I291">
            <v>9.1</v>
          </cell>
        </row>
        <row r="293">
          <cell r="B293" t="str">
            <v>Providing White/Color ceramic floor tiles (Anti-skid) of any size 0f 6mm T.K including pointing etc., as directed by the Dept.Officers.</v>
          </cell>
        </row>
        <row r="299">
          <cell r="I299">
            <v>137.30000000000001</v>
          </cell>
        </row>
        <row r="301">
          <cell r="B301" t="str">
            <v xml:space="preserve">Suppling and laying White/Plain colour Glazed tiles in C.M(1:2) </v>
          </cell>
        </row>
        <row r="303">
          <cell r="I303">
            <v>37.799999999999997</v>
          </cell>
        </row>
        <row r="305">
          <cell r="B305" t="str">
            <v>Supply and laying of Designer tile flooring</v>
          </cell>
        </row>
        <row r="312">
          <cell r="I312">
            <v>11</v>
          </cell>
        </row>
        <row r="314">
          <cell r="B314" t="str">
            <v>Finishing top  of roof with one course of pressed tiles over a bed of CM (1:3) 12mm thick, mixed with water proof compound</v>
          </cell>
        </row>
        <row r="319">
          <cell r="I319">
            <v>13.8</v>
          </cell>
        </row>
        <row r="322">
          <cell r="B322" t="str">
            <v>Supply and laying of Following ASTM Pipe including necessary specials</v>
          </cell>
        </row>
        <row r="324">
          <cell r="I324">
            <v>84</v>
          </cell>
        </row>
        <row r="330">
          <cell r="I330">
            <v>60</v>
          </cell>
        </row>
        <row r="333">
          <cell r="I333">
            <v>13.5</v>
          </cell>
        </row>
        <row r="335">
          <cell r="B335" t="str">
            <v>Supply and fixing of PVC Soil Pipes and specials of following dia</v>
          </cell>
        </row>
        <row r="336">
          <cell r="B336" t="str">
            <v>a) 110mm pipe</v>
          </cell>
        </row>
        <row r="338">
          <cell r="I338">
            <v>27</v>
          </cell>
        </row>
        <row r="340">
          <cell r="B340" t="str">
            <v>a) 75mm pipe</v>
          </cell>
        </row>
        <row r="342">
          <cell r="I342">
            <v>21.6</v>
          </cell>
        </row>
        <row r="344">
          <cell r="B344" t="str">
            <v>15mm dia half turn CP Long Body Tap</v>
          </cell>
          <cell r="I344">
            <v>96</v>
          </cell>
        </row>
        <row r="346">
          <cell r="B346" t="str">
            <v>Supply and Fixing PVC 4 way Nahani Trap</v>
          </cell>
        </row>
        <row r="347">
          <cell r="I347">
            <v>63</v>
          </cell>
        </row>
        <row r="349">
          <cell r="B349" t="str">
            <v>Supply and Fixing of EWC 18" SIZE</v>
          </cell>
        </row>
        <row r="353">
          <cell r="I353">
            <v>10</v>
          </cell>
        </row>
        <row r="355">
          <cell r="B355" t="str">
            <v>Supplying, fabricating, erecting and fixing Hilux (or) Equivalent Board False Ceiling upto a ceiling height of 4.5m from floor level. Using Perforated Sheets (10mm thick). PWD SOR 2021-2022 Pg.no. 53</v>
          </cell>
        </row>
        <row r="359">
          <cell r="I359">
            <v>53.1</v>
          </cell>
        </row>
        <row r="361">
          <cell r="B361" t="str">
            <v>Supply and Installation of Air Conditioner with copper coil  1.5 TR Split Type AC Unit (5 star) PWD SOR 2021-2022 Pg.no: 142</v>
          </cell>
        </row>
        <row r="362">
          <cell r="I362">
            <v>1</v>
          </cell>
        </row>
        <row r="364">
          <cell r="B364" t="str">
            <v>Supply and Installation of Air Conditioner with copper coil  2.0 TR Split Type AC Unit (5 star) PWD SOR 2021-2022 Pg.no: 142</v>
          </cell>
        </row>
        <row r="365">
          <cell r="I365">
            <v>1</v>
          </cell>
        </row>
        <row r="367">
          <cell r="B367" t="str">
            <v>Supply and installation of 5 KVA capacity Automatic Voltage Stabilizer with time delay relay. PWD SOR 2021-2022 Pg.no: 143</v>
          </cell>
        </row>
        <row r="368">
          <cell r="I368">
            <v>2</v>
          </cell>
        </row>
        <row r="370">
          <cell r="B370" t="str">
            <v>Supply and fixing of MS stand for fixing outdoor unit. PWD SOR 2021-2022 Pg.no: 143</v>
          </cell>
        </row>
        <row r="371">
          <cell r="I371">
            <v>2</v>
          </cell>
        </row>
        <row r="374">
          <cell r="B374" t="str">
            <v>Supply and fixing of Modular Switches (6A) - 6A Switch 1W - 1 Module pg.no 121 SOR 2021-2022</v>
          </cell>
        </row>
        <row r="398">
          <cell r="I398">
            <v>408</v>
          </cell>
        </row>
        <row r="400">
          <cell r="B400" t="str">
            <v>supply and fixing Stepped Electronic 300W / 450W Square Type Fan Regulator. PWD SR 2021-2022 Pg.no: 117</v>
          </cell>
        </row>
        <row r="417">
          <cell r="I417">
            <v>132</v>
          </cell>
        </row>
        <row r="419">
          <cell r="B419" t="str">
            <v>supply and fixing of COMBINED PLATES (PLASTIC) - SOR 2021-2022 - Pg.no : 123</v>
          </cell>
        </row>
        <row r="420">
          <cell r="B420" t="str">
            <v>a) 8 Module Cover Plate (H)</v>
          </cell>
        </row>
        <row r="424">
          <cell r="I424">
            <v>13</v>
          </cell>
        </row>
        <row r="426">
          <cell r="B426" t="str">
            <v xml:space="preserve">b) 12 Module Cover Plate </v>
          </cell>
        </row>
        <row r="429">
          <cell r="I429">
            <v>48</v>
          </cell>
        </row>
        <row r="431">
          <cell r="B431" t="str">
            <v>Supply and fixing of SOCKET - 230V 6/16A Socket - 3 Module - SOR 2021-2022 Pg.no: 123</v>
          </cell>
        </row>
        <row r="436">
          <cell r="I436">
            <v>61</v>
          </cell>
        </row>
        <row r="438">
          <cell r="B438" t="str">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ell>
        </row>
        <row r="440">
          <cell r="I440">
            <v>36</v>
          </cell>
        </row>
        <row r="442">
          <cell r="B442" t="str">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ell>
        </row>
        <row r="445">
          <cell r="I445">
            <v>24</v>
          </cell>
        </row>
        <row r="447">
          <cell r="B447" t="str">
            <v>Supply and  Fixing of 48 w LED street light fitting including GI pipe B class of 50 mm dia with Back clamps with bolts and nuts, 15 Amps 500 V fuse unit in TW plank for fixing the fuse unit of 150 x 100 x 20 mm, 2.5 Sqmm PVC insulated unsheathed copper cable and Labour charges for fixing the street light fitting with the required accessories in the E.B pole including connection etc., complete.</v>
          </cell>
        </row>
        <row r="448">
          <cell r="I448">
            <v>5</v>
          </cell>
        </row>
        <row r="450">
          <cell r="B450" t="str">
            <v>Supply and fixing of 20A DP plug and socket in sheet enclosure with 32A DP MCB in flush with wall with earth connection (For AC Plug) - Electrical SR - SD 140 - 2021 - 2022</v>
          </cell>
        </row>
        <row r="451">
          <cell r="I451">
            <v>2</v>
          </cell>
        </row>
      </sheetData>
      <sheetData sheetId="10">
        <row r="104">
          <cell r="F104">
            <v>123.02</v>
          </cell>
        </row>
        <row r="169">
          <cell r="F169">
            <v>12748.78</v>
          </cell>
        </row>
        <row r="344">
          <cell r="F344">
            <v>7119.4</v>
          </cell>
        </row>
        <row r="393">
          <cell r="F393">
            <v>306.88</v>
          </cell>
        </row>
        <row r="430">
          <cell r="F430">
            <v>1135.83</v>
          </cell>
        </row>
      </sheetData>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ile data ( M30 grade) (2)"/>
      <sheetName val="A4 "/>
      <sheetName val="G. Abstract"/>
      <sheetName val="pile data "/>
      <sheetName val="  Coastal  Elec.Data "/>
      <sheetName val="lead  charge"/>
      <sheetName val="Elec.Data"/>
      <sheetName val="Data"/>
      <sheetName val="Bund Data "/>
      <sheetName val="Bund Abs"/>
      <sheetName val="Bund detail"/>
      <sheetName val="Renovation admin Abs"/>
      <sheetName val="Renovation admin Det"/>
      <sheetName val="Renovation Admin Data"/>
      <sheetName val="building"/>
      <sheetName val="Sliding and french window"/>
      <sheetName val="Sheet1"/>
    </sheetNames>
    <sheetDataSet>
      <sheetData sheetId="0" refreshError="1"/>
      <sheetData sheetId="1" refreshError="1"/>
      <sheetData sheetId="2" refreshError="1"/>
      <sheetData sheetId="3" refreshError="1"/>
      <sheetData sheetId="4" refreshError="1"/>
      <sheetData sheetId="5" refreshError="1"/>
      <sheetData sheetId="6">
        <row r="3963">
          <cell r="K3963">
            <v>136.43</v>
          </cell>
        </row>
        <row r="3976">
          <cell r="K3976">
            <v>164.83</v>
          </cell>
        </row>
        <row r="4095">
          <cell r="K4095">
            <v>43630.559999999998</v>
          </cell>
        </row>
      </sheetData>
      <sheetData sheetId="7">
        <row r="347">
          <cell r="AG347">
            <v>6309.12</v>
          </cell>
        </row>
        <row r="349">
          <cell r="AG349">
            <v>6610.96</v>
          </cell>
        </row>
        <row r="923">
          <cell r="K923">
            <v>124580</v>
          </cell>
        </row>
        <row r="930">
          <cell r="K930">
            <v>112380</v>
          </cell>
        </row>
        <row r="1185">
          <cell r="K1185">
            <v>726.7</v>
          </cell>
        </row>
        <row r="1264">
          <cell r="K1264">
            <v>1138.92</v>
          </cell>
        </row>
        <row r="1278">
          <cell r="K1278">
            <v>1305.26</v>
          </cell>
        </row>
        <row r="1326">
          <cell r="R1326">
            <v>222.05</v>
          </cell>
        </row>
        <row r="1347">
          <cell r="X1347">
            <v>1584.77</v>
          </cell>
        </row>
        <row r="1400">
          <cell r="K1400">
            <v>227.66</v>
          </cell>
        </row>
        <row r="1426">
          <cell r="K1426">
            <v>265.68</v>
          </cell>
        </row>
        <row r="1442">
          <cell r="K1442">
            <v>252.14</v>
          </cell>
        </row>
        <row r="1540">
          <cell r="K1540">
            <v>225.31</v>
          </cell>
        </row>
        <row r="1874">
          <cell r="K1874">
            <v>218.47</v>
          </cell>
        </row>
        <row r="1899">
          <cell r="K1899">
            <v>294.01</v>
          </cell>
        </row>
        <row r="2119">
          <cell r="K2119">
            <v>152.6</v>
          </cell>
        </row>
        <row r="2416">
          <cell r="R2416">
            <v>1386.8</v>
          </cell>
        </row>
        <row r="3115">
          <cell r="AG3115">
            <v>480</v>
          </cell>
          <cell r="AH3115">
            <v>432</v>
          </cell>
        </row>
        <row r="3231">
          <cell r="K3231">
            <v>153.36000000000001</v>
          </cell>
        </row>
        <row r="3247">
          <cell r="K3247">
            <v>134.72999999999999</v>
          </cell>
        </row>
      </sheetData>
      <sheetData sheetId="8">
        <row r="86">
          <cell r="F86">
            <v>833.55</v>
          </cell>
        </row>
      </sheetData>
      <sheetData sheetId="9"/>
      <sheetData sheetId="10">
        <row r="8">
          <cell r="B8" t="str">
            <v>Supplying and Filling with sand of 150mm thick</v>
          </cell>
        </row>
        <row r="12">
          <cell r="I12">
            <v>300</v>
          </cell>
        </row>
      </sheetData>
      <sheetData sheetId="11"/>
      <sheetData sheetId="12">
        <row r="5">
          <cell r="A5" t="str">
            <v>Name of work : Repairs /Renovation work for Existing Admin building at Othivakkam in Chennai City.</v>
          </cell>
        </row>
        <row r="36">
          <cell r="I36">
            <v>653</v>
          </cell>
        </row>
        <row r="103">
          <cell r="I103">
            <v>1509</v>
          </cell>
        </row>
        <row r="171">
          <cell r="I171">
            <v>1232</v>
          </cell>
        </row>
        <row r="173">
          <cell r="B173" t="str">
            <v>Manufacturing, Supplying and Fixing of Stainless Steel Hand 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complete. SOR 2021-2022 Pg.no. 57</v>
          </cell>
        </row>
        <row r="179">
          <cell r="I179">
            <v>35.5</v>
          </cell>
        </row>
        <row r="181">
          <cell r="B181" t="str">
            <v>Providing wooden MELAMEN DOOR POLISH for Main Door</v>
          </cell>
        </row>
        <row r="183">
          <cell r="I183">
            <v>3.15</v>
          </cell>
        </row>
        <row r="185">
          <cell r="B185" t="str">
            <v>Supply and repairing of window glass panels of 4mm thick for steel window and ventilaters.</v>
          </cell>
        </row>
        <row r="193">
          <cell r="I193">
            <v>30.6</v>
          </cell>
        </row>
        <row r="194">
          <cell r="B194" t="str">
            <v>EB Panel Borad for 1 services of size 3.3 ft x 3.3 ft x 1 ft</v>
          </cell>
        </row>
        <row r="195">
          <cell r="I195">
            <v>1</v>
          </cell>
        </row>
        <row r="197">
          <cell r="B197" t="str">
            <v>Supply and fixing of horizontal type 6 Way TPDB 63A / Way with Fuse &amp; Neutral Link in sheet steel enclosure single door of single door type with metal door with IP43 protection with 63 Amps 30 MA - RCCB / ELCB (FOUR POLE) as incoming and 18 Nos. 6A to 32A SP MCB as outgoing in flush with wall and making good of the TW Board 40 cm x 30cm x 6.3 cm (MR) with earth connection. The MCB DB and MCB's should be with the ISI mark (like standard make)</v>
          </cell>
        </row>
        <row r="198">
          <cell r="I198">
            <v>2</v>
          </cell>
        </row>
        <row r="201">
          <cell r="B201" t="str">
            <v>Flush door shutter size 1200x2100 ( Single leaf)</v>
          </cell>
        </row>
        <row r="205">
          <cell r="I205">
            <v>5.0999999999999996</v>
          </cell>
        </row>
        <row r="207">
          <cell r="B207" t="str">
            <v>Supply and Fixing Soild UPVC door Shutter with frame</v>
          </cell>
        </row>
        <row r="211">
          <cell r="I211">
            <v>25.2</v>
          </cell>
        </row>
        <row r="213">
          <cell r="B213" t="str">
            <v>Plastering In CM 1:3 - 12mm Thick mixed with water proof compound</v>
          </cell>
        </row>
        <row r="215">
          <cell r="I215">
            <v>48</v>
          </cell>
        </row>
        <row r="218">
          <cell r="B218" t="str">
            <v xml:space="preserve">Plastering in CM 1:3 - 10mm thick </v>
          </cell>
        </row>
        <row r="220">
          <cell r="I220">
            <v>12</v>
          </cell>
        </row>
        <row r="222">
          <cell r="B222" t="str">
            <v>B.W IN C.M(1:6) using chamber burnt of size 23x11.4x7.5 cm</v>
          </cell>
        </row>
        <row r="225">
          <cell r="I225">
            <v>0.3</v>
          </cell>
        </row>
        <row r="231">
          <cell r="I231">
            <v>0.5</v>
          </cell>
        </row>
        <row r="233">
          <cell r="B233" t="str">
            <v>Plastering in CM 1:5 - 12mm Thick</v>
          </cell>
        </row>
        <row r="241">
          <cell r="I241">
            <v>9.4</v>
          </cell>
        </row>
        <row r="243">
          <cell r="B243" t="str">
            <v>Painting Two coats over the new wood work with synthetic Enamel Paint</v>
          </cell>
        </row>
        <row r="247">
          <cell r="I247">
            <v>17.399999999999999</v>
          </cell>
        </row>
        <row r="249">
          <cell r="B249" t="str">
            <v>Painting Two coats over the old wood work with synthetic Enamel Paint</v>
          </cell>
        </row>
        <row r="251">
          <cell r="I251">
            <v>60.5</v>
          </cell>
        </row>
        <row r="253">
          <cell r="B253" t="str">
            <v>Painting Two coats over the old Iron work with synthetic Enamel Paint</v>
          </cell>
        </row>
        <row r="261">
          <cell r="I261">
            <v>78.599999999999994</v>
          </cell>
        </row>
        <row r="263">
          <cell r="B263" t="str">
            <v>Dismantling Floor finish and dadooing walls in cement mortar with
Mosaic Tiles / Glazed Tiles / Cuddapah Slabs. PWD SR 2021-2022 Pg.no-22.</v>
          </cell>
        </row>
        <row r="267">
          <cell r="I267">
            <v>14.5</v>
          </cell>
        </row>
        <row r="269">
          <cell r="B269" t="str">
            <v>Dismantling Pressed Tiles &amp; Weathering Course. PWD SR 2021-2022 Pg.no-22.</v>
          </cell>
        </row>
        <row r="279">
          <cell r="I279">
            <v>274</v>
          </cell>
        </row>
        <row r="281">
          <cell r="B281" t="str">
            <v>Providing cooling tiles over terrace floor</v>
          </cell>
        </row>
        <row r="291">
          <cell r="I291">
            <v>267</v>
          </cell>
        </row>
        <row r="293">
          <cell r="B293" t="str">
            <v>Providing White/Color ceramic floor tiles (Anti-skid) of any size 0f 6mm T.K including pointing etc., as directed by the Dept.Officers.</v>
          </cell>
        </row>
        <row r="303">
          <cell r="I303">
            <v>82.5</v>
          </cell>
        </row>
        <row r="305">
          <cell r="B305" t="str">
            <v xml:space="preserve">Suppling and laying White/Plain colour Glazed tiles in C.M(1:2) </v>
          </cell>
        </row>
        <row r="319">
          <cell r="I319">
            <v>282.60000000000002</v>
          </cell>
        </row>
        <row r="321">
          <cell r="B321" t="str">
            <v>Vitrified Tiles flooring (Ivory)</v>
          </cell>
        </row>
        <row r="349">
          <cell r="I349">
            <v>401.3</v>
          </cell>
        </row>
        <row r="351">
          <cell r="B351" t="str">
            <v>Concrete designer tiles flooring</v>
          </cell>
        </row>
        <row r="359">
          <cell r="I359">
            <v>152.94999999999999</v>
          </cell>
        </row>
        <row r="362">
          <cell r="B362" t="str">
            <v>Painting two coats over new plastered surface with plastic emulsion paint</v>
          </cell>
        </row>
        <row r="370">
          <cell r="I370">
            <v>9.4</v>
          </cell>
        </row>
        <row r="372">
          <cell r="B372" t="str">
            <v>Dismantling, clearing away and carefully stacking materials useful for re-use for any thickness of walls of Brick / Stone Masonry in cement mortar walls under 3m high - SOR 2021-2022 Pg.No: 21</v>
          </cell>
        </row>
        <row r="380">
          <cell r="I380">
            <v>8.3000000000000007</v>
          </cell>
        </row>
        <row r="382">
          <cell r="B382" t="str">
            <v>Supply and laying 20mm dia PVC ASTM pipe</v>
          </cell>
        </row>
        <row r="383">
          <cell r="I383">
            <v>8</v>
          </cell>
        </row>
        <row r="385">
          <cell r="B385" t="str">
            <v>15mm dia half turn CP Long Body Tap</v>
          </cell>
          <cell r="I385">
            <v>16</v>
          </cell>
        </row>
        <row r="387">
          <cell r="B387" t="str">
            <v>15mm dia half turn CP short body Tap</v>
          </cell>
          <cell r="I387">
            <v>12</v>
          </cell>
        </row>
        <row r="389">
          <cell r="B389" t="str">
            <v>Supply and Fixing PVC 4 way Nahani Trap</v>
          </cell>
        </row>
        <row r="390">
          <cell r="I390">
            <v>20</v>
          </cell>
        </row>
        <row r="392">
          <cell r="B392" t="str">
            <v>Supply and fixing of 50mm dia ASTM PVC Pipe</v>
          </cell>
        </row>
        <row r="395">
          <cell r="I395">
            <v>20</v>
          </cell>
        </row>
        <row r="397">
          <cell r="B397" t="str">
            <v>Supply and fixing of Modular Switches (6A) - 6A Switch 1W - 1 Module pg.no 121 SOR 2021-2022</v>
          </cell>
        </row>
        <row r="414">
          <cell r="I414">
            <v>166</v>
          </cell>
        </row>
        <row r="416">
          <cell r="B416" t="str">
            <v>supply and fixing of COMBINED PLATES (PLASTIC) - SOR 2021-2022 - Pg.no : 123</v>
          </cell>
        </row>
        <row r="417">
          <cell r="B417" t="str">
            <v>a) 8 Module Cover Plate (H)</v>
          </cell>
        </row>
        <row r="430">
          <cell r="I430">
            <v>13</v>
          </cell>
        </row>
        <row r="432">
          <cell r="B432" t="str">
            <v xml:space="preserve">b) 12 Module Cover Plate </v>
          </cell>
        </row>
        <row r="439">
          <cell r="I439">
            <v>8</v>
          </cell>
        </row>
        <row r="441">
          <cell r="B441" t="str">
            <v>Supply and fixing of SOCKET - 230V 6/16A Socket - 3 Module - SOR 2021-2022 Pg.no: 123</v>
          </cell>
        </row>
        <row r="458">
          <cell r="I458">
            <v>21</v>
          </cell>
        </row>
        <row r="460">
          <cell r="B460" t="str">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ell>
        </row>
        <row r="462">
          <cell r="I462">
            <v>48</v>
          </cell>
        </row>
        <row r="464">
          <cell r="B464" t="str">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ell>
        </row>
        <row r="467">
          <cell r="I467">
            <v>18</v>
          </cell>
        </row>
        <row r="469">
          <cell r="B469" t="str">
            <v>Supply and  Fixing of 48 w LED street light fitting including GI pipe B class of 50 mm dia with Back clamps with bolts and nuts, 15 Amps 500 V fuse unit in TW plank for fixing the fuse unit of 150 x 100 x 20 mm, 2.5 Sqmm PVC insulated unsheathed copper cable and Labour charges for fixing the street light fitting with the required accessories in the E.B pole including connection etc., complete.</v>
          </cell>
        </row>
        <row r="470">
          <cell r="I470">
            <v>4</v>
          </cell>
        </row>
        <row r="472">
          <cell r="B472" t="str">
            <v>Providing Teak Wood Wrought and Put up</v>
          </cell>
        </row>
        <row r="473">
          <cell r="B473" t="str">
            <v>a) T.W.SCANTLING 2M-3M LONG</v>
          </cell>
          <cell r="I473">
            <v>8.4000000000000005E-2</v>
          </cell>
        </row>
        <row r="475">
          <cell r="B475" t="str">
            <v>b) T.W.SCANTLING UP TO 2M LONG</v>
          </cell>
          <cell r="I475">
            <v>3.5999999999999997E-2</v>
          </cell>
        </row>
        <row r="479">
          <cell r="I479">
            <v>40</v>
          </cell>
        </row>
        <row r="483">
          <cell r="I483">
            <v>100</v>
          </cell>
        </row>
        <row r="486">
          <cell r="I486">
            <v>200</v>
          </cell>
        </row>
        <row r="489">
          <cell r="I489">
            <v>90</v>
          </cell>
        </row>
        <row r="493">
          <cell r="I493">
            <v>96</v>
          </cell>
        </row>
        <row r="496">
          <cell r="I496">
            <v>96</v>
          </cell>
        </row>
      </sheetData>
      <sheetData sheetId="13">
        <row r="86">
          <cell r="F86">
            <v>158.94999999999999</v>
          </cell>
        </row>
        <row r="101">
          <cell r="F101">
            <v>123.02</v>
          </cell>
        </row>
        <row r="113">
          <cell r="F113">
            <v>31.88</v>
          </cell>
        </row>
        <row r="240">
          <cell r="F240">
            <v>15394.33</v>
          </cell>
        </row>
        <row r="256">
          <cell r="F256">
            <v>2996.07</v>
          </cell>
        </row>
        <row r="428">
          <cell r="F428">
            <v>1401.76</v>
          </cell>
        </row>
        <row r="504">
          <cell r="F504">
            <v>7119.4</v>
          </cell>
        </row>
        <row r="586">
          <cell r="F586">
            <v>1196.8800000000001</v>
          </cell>
        </row>
        <row r="600">
          <cell r="F600">
            <v>223.26</v>
          </cell>
        </row>
        <row r="608">
          <cell r="F608">
            <v>240.49</v>
          </cell>
        </row>
        <row r="626">
          <cell r="F626">
            <v>334.19</v>
          </cell>
        </row>
        <row r="653">
          <cell r="F653">
            <v>692.5</v>
          </cell>
        </row>
        <row r="677">
          <cell r="F677">
            <v>576.63</v>
          </cell>
        </row>
      </sheetData>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charge"/>
      <sheetName val="Elec.Data"/>
      <sheetName val="Elec.abs"/>
      <sheetName val="otthi obs ab"/>
      <sheetName val="otthi obs det"/>
      <sheetName val="High bridge Abs"/>
      <sheetName val="High bridge"/>
      <sheetName val="Sky scrapper Abs"/>
      <sheetName val="Sky scrapper"/>
      <sheetName val="Hook &amp; Climb Abs"/>
      <sheetName val="Hook &amp; Climb"/>
      <sheetName val="Unsteady Abs"/>
      <sheetName val="Unsteady"/>
      <sheetName val="W wall Abs"/>
      <sheetName val="W wall"/>
      <sheetName val="Numbering Abs"/>
      <sheetName val="Numbering"/>
      <sheetName val="Print data"/>
      <sheetName val="Data"/>
      <sheetName val="Sheet3"/>
      <sheetName val="SEPTIC TANK (A4)"/>
      <sheetName val="P.P WALL (A4)"/>
      <sheetName val="SL DRAIN (A4)"/>
      <sheetName val="Storm Water Drain"/>
      <sheetName val="SUMP (A4)"/>
      <sheetName val="Sheet2"/>
      <sheetName val="Print"/>
    </sheetNames>
    <sheetDataSet>
      <sheetData sheetId="0" refreshError="1"/>
      <sheetData sheetId="1" refreshError="1"/>
      <sheetData sheetId="2" refreshError="1"/>
      <sheetData sheetId="3"/>
      <sheetData sheetId="4">
        <row r="49">
          <cell r="I49">
            <v>30.15</v>
          </cell>
        </row>
        <row r="93">
          <cell r="I93">
            <v>10.050000000000001</v>
          </cell>
        </row>
        <row r="137">
          <cell r="I137">
            <v>10.050000000000001</v>
          </cell>
        </row>
        <row r="181">
          <cell r="I181">
            <v>40.15</v>
          </cell>
        </row>
        <row r="226">
          <cell r="I226">
            <v>274.7</v>
          </cell>
        </row>
        <row r="271">
          <cell r="I271">
            <v>274.7</v>
          </cell>
        </row>
        <row r="314">
          <cell r="I314">
            <v>171.5</v>
          </cell>
        </row>
        <row r="360">
          <cell r="I360">
            <v>1862.5</v>
          </cell>
        </row>
        <row r="364">
          <cell r="I364">
            <v>3000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89">
          <cell r="F89">
            <v>224.84</v>
          </cell>
        </row>
        <row r="99">
          <cell r="F99">
            <v>340.84</v>
          </cell>
        </row>
        <row r="129">
          <cell r="F129">
            <v>6291.53</v>
          </cell>
        </row>
        <row r="142">
          <cell r="F142">
            <v>227.66</v>
          </cell>
        </row>
        <row r="164">
          <cell r="F164">
            <v>124.33</v>
          </cell>
        </row>
        <row r="173">
          <cell r="F173">
            <v>833.55</v>
          </cell>
        </row>
        <row r="185">
          <cell r="F185">
            <v>133.44</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77"/>
  <sheetViews>
    <sheetView topLeftCell="A25" workbookViewId="0">
      <selection activeCell="B55" sqref="B55"/>
    </sheetView>
  </sheetViews>
  <sheetFormatPr defaultRowHeight="15"/>
  <cols>
    <col min="1" max="1" width="6.42578125" customWidth="1"/>
    <col min="2" max="2" width="35.7109375" customWidth="1"/>
    <col min="3" max="3" width="4.140625" customWidth="1"/>
    <col min="4" max="4" width="3.140625" customWidth="1"/>
    <col min="5" max="5" width="3.42578125" customWidth="1"/>
    <col min="6" max="6" width="8" customWidth="1"/>
    <col min="7" max="7" width="5.28515625" customWidth="1"/>
    <col min="8" max="8" width="5" customWidth="1"/>
    <col min="9" max="9" width="8.5703125" customWidth="1"/>
  </cols>
  <sheetData>
    <row r="1" spans="1:10">
      <c r="A1" s="117" t="s">
        <v>11</v>
      </c>
      <c r="B1" s="117"/>
      <c r="C1" s="117"/>
      <c r="D1" s="117"/>
      <c r="E1" s="117"/>
      <c r="F1" s="117"/>
      <c r="G1" s="117"/>
      <c r="H1" s="117"/>
      <c r="I1" s="117"/>
    </row>
    <row r="2" spans="1:10">
      <c r="A2" s="117" t="s">
        <v>12</v>
      </c>
      <c r="B2" s="117"/>
      <c r="C2" s="117"/>
      <c r="D2" s="117"/>
      <c r="E2" s="117"/>
      <c r="F2" s="117"/>
      <c r="G2" s="117"/>
      <c r="H2" s="117"/>
      <c r="I2" s="117"/>
    </row>
    <row r="3" spans="1:10" ht="30" customHeight="1">
      <c r="A3" s="118" t="str">
        <f>Abs!A3</f>
        <v>NAME OF WORK: Providing 2 Nos Borewell and External water supply arrangements at Othivakkam  Shooting Range in Chennai City</v>
      </c>
      <c r="B3" s="118"/>
      <c r="C3" s="118"/>
      <c r="D3" s="118"/>
      <c r="E3" s="118"/>
      <c r="F3" s="118"/>
      <c r="G3" s="118"/>
      <c r="H3" s="118"/>
      <c r="I3" s="118"/>
    </row>
    <row r="4" spans="1:10" ht="19.5" customHeight="1">
      <c r="A4" s="119" t="s">
        <v>13</v>
      </c>
      <c r="B4" s="119"/>
      <c r="C4" s="119"/>
      <c r="D4" s="119"/>
      <c r="E4" s="119"/>
      <c r="F4" s="119"/>
      <c r="G4" s="119"/>
      <c r="H4" s="119"/>
      <c r="I4" s="119"/>
    </row>
    <row r="5" spans="1:10">
      <c r="A5" s="120" t="s">
        <v>0</v>
      </c>
      <c r="B5" s="116" t="s">
        <v>1</v>
      </c>
      <c r="C5" s="116" t="s">
        <v>2</v>
      </c>
      <c r="D5" s="116"/>
      <c r="E5" s="116"/>
      <c r="F5" s="116" t="s">
        <v>3</v>
      </c>
      <c r="G5" s="116"/>
      <c r="H5" s="116"/>
      <c r="I5" s="116" t="s">
        <v>4</v>
      </c>
    </row>
    <row r="6" spans="1:10">
      <c r="A6" s="120"/>
      <c r="B6" s="116"/>
      <c r="C6" s="116"/>
      <c r="D6" s="116"/>
      <c r="E6" s="116"/>
      <c r="F6" s="10" t="s">
        <v>5</v>
      </c>
      <c r="G6" s="10" t="s">
        <v>6</v>
      </c>
      <c r="H6" s="10" t="s">
        <v>7</v>
      </c>
      <c r="I6" s="116"/>
    </row>
    <row r="7" spans="1:10" ht="165.75" customHeight="1">
      <c r="A7" s="11">
        <v>1</v>
      </c>
      <c r="B7" s="77" t="s">
        <v>123</v>
      </c>
      <c r="C7" s="7"/>
      <c r="D7" s="7"/>
      <c r="E7" s="7"/>
      <c r="F7" s="8"/>
      <c r="G7" s="8"/>
      <c r="H7" s="8"/>
      <c r="I7" s="9"/>
    </row>
    <row r="8" spans="1:10" ht="30">
      <c r="A8" s="11"/>
      <c r="B8" s="3" t="s">
        <v>119</v>
      </c>
      <c r="C8" s="1">
        <v>1</v>
      </c>
      <c r="D8" s="13" t="s">
        <v>28</v>
      </c>
      <c r="E8" s="1">
        <v>2</v>
      </c>
      <c r="F8" s="12">
        <v>76</v>
      </c>
      <c r="G8" s="10"/>
      <c r="H8" s="10"/>
      <c r="I8" s="4">
        <f>PRODUCT(C8:H8)</f>
        <v>152</v>
      </c>
      <c r="J8" t="s">
        <v>15</v>
      </c>
    </row>
    <row r="9" spans="1:10">
      <c r="A9" s="11"/>
      <c r="B9" s="3" t="s">
        <v>121</v>
      </c>
      <c r="C9" s="13">
        <v>1</v>
      </c>
      <c r="D9" s="13" t="s">
        <v>28</v>
      </c>
      <c r="E9" s="13">
        <v>2</v>
      </c>
      <c r="F9" s="14">
        <v>15</v>
      </c>
      <c r="G9" s="10"/>
      <c r="H9" s="10"/>
      <c r="I9" s="4">
        <f t="shared" ref="I9:I12" si="0">PRODUCT(C9:H9)</f>
        <v>30</v>
      </c>
      <c r="J9" t="s">
        <v>15</v>
      </c>
    </row>
    <row r="10" spans="1:10">
      <c r="A10" s="11"/>
      <c r="B10" s="3" t="s">
        <v>120</v>
      </c>
      <c r="C10" s="13">
        <v>1</v>
      </c>
      <c r="D10" s="13" t="s">
        <v>28</v>
      </c>
      <c r="E10" s="13">
        <v>2</v>
      </c>
      <c r="F10" s="14">
        <v>16</v>
      </c>
      <c r="G10" s="23"/>
      <c r="H10" s="23"/>
      <c r="I10" s="4">
        <f t="shared" si="0"/>
        <v>32</v>
      </c>
      <c r="J10" t="s">
        <v>15</v>
      </c>
    </row>
    <row r="11" spans="1:10">
      <c r="A11" s="11"/>
      <c r="B11" s="3" t="s">
        <v>122</v>
      </c>
      <c r="C11" s="13">
        <v>1</v>
      </c>
      <c r="D11" s="13" t="s">
        <v>28</v>
      </c>
      <c r="E11" s="13">
        <v>2</v>
      </c>
      <c r="F11" s="14">
        <v>15</v>
      </c>
      <c r="G11" s="41"/>
      <c r="H11" s="41"/>
      <c r="I11" s="4">
        <f t="shared" si="0"/>
        <v>30</v>
      </c>
      <c r="J11" t="s">
        <v>15</v>
      </c>
    </row>
    <row r="12" spans="1:10">
      <c r="A12" s="11"/>
      <c r="B12" s="3" t="s">
        <v>124</v>
      </c>
      <c r="C12" s="13">
        <v>1</v>
      </c>
      <c r="D12" s="13" t="s">
        <v>28</v>
      </c>
      <c r="E12" s="13">
        <v>2</v>
      </c>
      <c r="F12" s="14">
        <v>28</v>
      </c>
      <c r="G12" s="50"/>
      <c r="H12" s="50"/>
      <c r="I12" s="4">
        <f t="shared" si="0"/>
        <v>56</v>
      </c>
      <c r="J12" t="s">
        <v>15</v>
      </c>
    </row>
    <row r="13" spans="1:10">
      <c r="A13" s="11"/>
      <c r="B13" s="3"/>
      <c r="C13" s="13"/>
      <c r="D13" s="13"/>
      <c r="E13" s="13"/>
      <c r="F13" s="14"/>
      <c r="G13" s="23"/>
      <c r="H13" s="23"/>
      <c r="I13" s="4"/>
    </row>
    <row r="14" spans="1:10">
      <c r="A14" s="11"/>
      <c r="B14" s="3"/>
      <c r="C14" s="13"/>
      <c r="D14" s="13"/>
      <c r="E14" s="13"/>
      <c r="F14" s="14"/>
      <c r="G14" s="37"/>
      <c r="H14" s="37"/>
      <c r="I14" s="4"/>
    </row>
    <row r="15" spans="1:10" ht="143.25" customHeight="1">
      <c r="A15" s="11">
        <v>2</v>
      </c>
      <c r="B15" s="77" t="s">
        <v>20</v>
      </c>
      <c r="C15" s="13"/>
      <c r="D15" s="13"/>
      <c r="E15" s="13"/>
      <c r="F15" s="14"/>
      <c r="G15" s="24"/>
      <c r="H15" s="24"/>
      <c r="I15" s="4"/>
    </row>
    <row r="16" spans="1:10" ht="30">
      <c r="A16" s="11"/>
      <c r="B16" s="3" t="s">
        <v>157</v>
      </c>
      <c r="C16" s="13">
        <v>1</v>
      </c>
      <c r="D16" s="13" t="s">
        <v>28</v>
      </c>
      <c r="E16" s="13">
        <v>2</v>
      </c>
      <c r="F16" s="14">
        <v>75</v>
      </c>
      <c r="G16" s="24"/>
      <c r="H16" s="24"/>
      <c r="I16" s="4">
        <f t="shared" ref="I16:I19" si="1">PRODUCT(C16:H16)</f>
        <v>150</v>
      </c>
      <c r="J16" t="s">
        <v>15</v>
      </c>
    </row>
    <row r="17" spans="1:10">
      <c r="A17" s="11"/>
      <c r="B17" s="3"/>
      <c r="C17" s="13"/>
      <c r="D17" s="13"/>
      <c r="E17" s="13"/>
      <c r="F17" s="14"/>
      <c r="G17" s="24"/>
      <c r="H17" s="24"/>
      <c r="I17" s="4"/>
    </row>
    <row r="18" spans="1:10" ht="164.25" customHeight="1">
      <c r="A18" s="11">
        <v>3</v>
      </c>
      <c r="B18" s="77" t="s">
        <v>21</v>
      </c>
      <c r="C18" s="13"/>
      <c r="D18" s="13"/>
      <c r="E18" s="13"/>
      <c r="F18" s="14"/>
      <c r="G18" s="10"/>
      <c r="H18" s="10"/>
      <c r="I18" s="4"/>
    </row>
    <row r="19" spans="1:10">
      <c r="A19" s="11"/>
      <c r="B19" s="3"/>
      <c r="C19" s="1">
        <v>1</v>
      </c>
      <c r="D19" s="1" t="s">
        <v>14</v>
      </c>
      <c r="E19" s="1">
        <v>2</v>
      </c>
      <c r="F19" s="12">
        <v>75</v>
      </c>
      <c r="G19" s="10"/>
      <c r="H19" s="10"/>
      <c r="I19" s="5">
        <f t="shared" si="1"/>
        <v>150</v>
      </c>
      <c r="J19" s="25" t="s">
        <v>15</v>
      </c>
    </row>
    <row r="20" spans="1:10">
      <c r="A20" s="11"/>
      <c r="B20" s="3"/>
      <c r="C20" s="13"/>
      <c r="D20" s="13"/>
      <c r="E20" s="13"/>
      <c r="F20" s="14"/>
      <c r="G20" s="10"/>
      <c r="H20" s="10"/>
      <c r="I20" s="4"/>
    </row>
    <row r="21" spans="1:10" ht="99.75" customHeight="1">
      <c r="A21" s="11">
        <v>4</v>
      </c>
      <c r="B21" s="77" t="s">
        <v>16</v>
      </c>
      <c r="C21" s="13"/>
      <c r="D21" s="13"/>
      <c r="E21" s="13"/>
      <c r="F21" s="14"/>
      <c r="G21" s="10"/>
      <c r="H21" s="10"/>
      <c r="I21" s="13"/>
    </row>
    <row r="22" spans="1:10">
      <c r="A22" s="11"/>
      <c r="B22" s="3" t="s">
        <v>22</v>
      </c>
      <c r="C22" s="1">
        <v>1</v>
      </c>
      <c r="D22" s="1" t="s">
        <v>28</v>
      </c>
      <c r="E22" s="1">
        <v>2</v>
      </c>
      <c r="F22" s="12">
        <v>150</v>
      </c>
      <c r="G22" s="16"/>
      <c r="H22" s="16"/>
      <c r="I22" s="5">
        <f t="shared" ref="I22" si="2">PRODUCT(C22:H22)</f>
        <v>300</v>
      </c>
      <c r="J22" s="25" t="s">
        <v>15</v>
      </c>
    </row>
    <row r="23" spans="1:10">
      <c r="A23" s="11"/>
      <c r="B23" s="3"/>
      <c r="C23" s="13"/>
      <c r="D23" s="13"/>
      <c r="E23" s="13"/>
      <c r="F23" s="14"/>
      <c r="G23" s="10"/>
      <c r="H23" s="10"/>
      <c r="I23" s="13"/>
    </row>
    <row r="24" spans="1:10" ht="57" customHeight="1">
      <c r="A24" s="11">
        <v>5</v>
      </c>
      <c r="B24" s="77" t="s">
        <v>33</v>
      </c>
      <c r="C24" s="13"/>
      <c r="D24" s="13"/>
      <c r="E24" s="13"/>
      <c r="F24" s="14"/>
      <c r="G24" s="10"/>
      <c r="H24" s="10"/>
      <c r="I24" s="13"/>
    </row>
    <row r="25" spans="1:10">
      <c r="A25" s="11"/>
      <c r="B25" s="3"/>
      <c r="C25" s="1">
        <v>2</v>
      </c>
      <c r="D25" s="1" t="s">
        <v>14</v>
      </c>
      <c r="E25" s="1">
        <v>2</v>
      </c>
      <c r="F25" s="14"/>
      <c r="G25" s="10"/>
      <c r="H25" s="10"/>
      <c r="I25" s="4">
        <f t="shared" ref="I25" si="3">PRODUCT(C25:H25)</f>
        <v>4</v>
      </c>
      <c r="J25" t="s">
        <v>18</v>
      </c>
    </row>
    <row r="26" spans="1:10">
      <c r="A26" s="11"/>
      <c r="B26" s="3"/>
      <c r="C26" s="13"/>
      <c r="D26" s="13"/>
      <c r="E26" s="13"/>
      <c r="F26" s="14"/>
      <c r="G26" s="10"/>
      <c r="H26" s="10"/>
      <c r="I26" s="13"/>
    </row>
    <row r="27" spans="1:10" ht="110.25" customHeight="1">
      <c r="A27" s="11">
        <v>6</v>
      </c>
      <c r="B27" s="77" t="s">
        <v>17</v>
      </c>
      <c r="C27" s="13"/>
      <c r="D27" s="13"/>
      <c r="E27" s="13"/>
      <c r="F27" s="14"/>
      <c r="G27" s="10"/>
      <c r="H27" s="10"/>
      <c r="I27" s="13"/>
    </row>
    <row r="28" spans="1:10">
      <c r="A28" s="15"/>
      <c r="B28" s="3"/>
      <c r="C28" s="1">
        <v>1</v>
      </c>
      <c r="D28" s="1" t="s">
        <v>14</v>
      </c>
      <c r="E28" s="1">
        <v>2</v>
      </c>
      <c r="F28" s="12">
        <v>8</v>
      </c>
      <c r="G28" s="10"/>
      <c r="H28" s="10"/>
      <c r="I28" s="4">
        <f t="shared" ref="I28" si="4">PRODUCT(C28:H28)</f>
        <v>16</v>
      </c>
      <c r="J28" t="s">
        <v>23</v>
      </c>
    </row>
    <row r="29" spans="1:10">
      <c r="A29" s="15"/>
      <c r="B29" s="3"/>
      <c r="C29" s="1"/>
      <c r="D29" s="1"/>
      <c r="E29" s="1"/>
      <c r="F29" s="12"/>
      <c r="G29" s="37"/>
      <c r="H29" s="37"/>
      <c r="I29" s="4"/>
    </row>
    <row r="30" spans="1:10" ht="94.5">
      <c r="A30" s="15">
        <v>7</v>
      </c>
      <c r="B30" s="77" t="s">
        <v>75</v>
      </c>
      <c r="C30" s="1"/>
      <c r="D30" s="1"/>
      <c r="E30" s="1"/>
      <c r="F30" s="12"/>
      <c r="G30" s="40"/>
      <c r="H30" s="40"/>
      <c r="I30" s="4"/>
    </row>
    <row r="31" spans="1:10" ht="31.5">
      <c r="A31" s="15"/>
      <c r="B31" s="42" t="s">
        <v>76</v>
      </c>
      <c r="C31" s="1"/>
      <c r="D31" s="1"/>
      <c r="E31" s="1"/>
      <c r="F31" s="4"/>
      <c r="G31" s="1"/>
      <c r="H31" s="1"/>
      <c r="I31" s="5"/>
    </row>
    <row r="32" spans="1:10" ht="15.75">
      <c r="A32" s="15"/>
      <c r="B32" s="42" t="s">
        <v>77</v>
      </c>
      <c r="C32" s="43">
        <v>1</v>
      </c>
      <c r="D32" s="44" t="s">
        <v>28</v>
      </c>
      <c r="E32" s="45">
        <v>2</v>
      </c>
      <c r="F32" s="46">
        <v>150</v>
      </c>
      <c r="G32" s="46"/>
      <c r="H32" s="47"/>
      <c r="I32" s="48">
        <f>C32*E32*F32</f>
        <v>300</v>
      </c>
      <c r="J32" t="s">
        <v>15</v>
      </c>
    </row>
    <row r="33" spans="1:10">
      <c r="A33" s="15"/>
      <c r="B33" s="3"/>
      <c r="C33" s="1"/>
      <c r="D33" s="1"/>
      <c r="E33" s="1"/>
      <c r="F33" s="12"/>
      <c r="G33" s="40"/>
      <c r="H33" s="40"/>
      <c r="I33" s="4"/>
    </row>
    <row r="34" spans="1:10" ht="247.5" customHeight="1">
      <c r="A34" s="15">
        <v>8</v>
      </c>
      <c r="B34" s="77" t="s">
        <v>178</v>
      </c>
      <c r="C34" s="1"/>
      <c r="D34" s="1"/>
      <c r="E34" s="1"/>
      <c r="F34" s="12"/>
      <c r="G34" s="40"/>
      <c r="H34" s="40"/>
      <c r="I34" s="4"/>
    </row>
    <row r="35" spans="1:10">
      <c r="A35" s="15"/>
      <c r="B35" s="3" t="s">
        <v>86</v>
      </c>
      <c r="C35" s="1"/>
      <c r="D35" s="1"/>
      <c r="E35" s="1"/>
      <c r="F35" s="12"/>
      <c r="G35" s="40"/>
      <c r="H35" s="40"/>
      <c r="I35" s="4"/>
    </row>
    <row r="36" spans="1:10" ht="15.75">
      <c r="A36" s="15"/>
      <c r="B36" s="3" t="s">
        <v>125</v>
      </c>
      <c r="C36" s="1">
        <v>1</v>
      </c>
      <c r="D36" s="1" t="s">
        <v>28</v>
      </c>
      <c r="E36" s="1">
        <v>1</v>
      </c>
      <c r="F36" s="12">
        <v>80</v>
      </c>
      <c r="G36" s="40"/>
      <c r="H36" s="40"/>
      <c r="I36" s="48">
        <f>C36*E36*F36</f>
        <v>80</v>
      </c>
    </row>
    <row r="37" spans="1:10" ht="15.75">
      <c r="A37" s="15"/>
      <c r="B37" s="3" t="s">
        <v>126</v>
      </c>
      <c r="C37" s="1">
        <v>1</v>
      </c>
      <c r="D37" s="1" t="s">
        <v>28</v>
      </c>
      <c r="E37" s="1">
        <v>1</v>
      </c>
      <c r="F37" s="12">
        <v>20</v>
      </c>
      <c r="G37" s="59"/>
      <c r="H37" s="59"/>
      <c r="I37" s="48">
        <f>C37*E37*F37</f>
        <v>20</v>
      </c>
    </row>
    <row r="38" spans="1:10">
      <c r="A38" s="15"/>
      <c r="B38" s="3"/>
      <c r="C38" s="1"/>
      <c r="D38" s="1"/>
      <c r="E38" s="1"/>
      <c r="F38" s="12"/>
      <c r="G38" s="40"/>
      <c r="H38" s="59" t="s">
        <v>34</v>
      </c>
      <c r="I38" s="5">
        <f>SUM(I36:I37)</f>
        <v>100</v>
      </c>
      <c r="J38" s="25" t="s">
        <v>15</v>
      </c>
    </row>
    <row r="39" spans="1:10">
      <c r="A39" s="15"/>
      <c r="B39" s="3"/>
      <c r="C39" s="1"/>
      <c r="D39" s="1"/>
      <c r="E39" s="1"/>
      <c r="F39" s="12"/>
      <c r="G39" s="59"/>
      <c r="H39" s="59"/>
      <c r="I39" s="4"/>
    </row>
    <row r="40" spans="1:10" ht="29.25">
      <c r="A40" s="15">
        <v>9</v>
      </c>
      <c r="B40" s="3" t="s">
        <v>78</v>
      </c>
      <c r="C40" s="1"/>
      <c r="D40" s="1"/>
      <c r="E40" s="1"/>
      <c r="F40" s="12"/>
      <c r="G40" s="40"/>
      <c r="H40" s="40"/>
      <c r="I40" s="4"/>
    </row>
    <row r="41" spans="1:10" ht="15.75">
      <c r="A41" s="15"/>
      <c r="B41" s="3" t="s">
        <v>77</v>
      </c>
      <c r="C41" s="1">
        <v>1</v>
      </c>
      <c r="D41" s="1" t="s">
        <v>28</v>
      </c>
      <c r="E41" s="1">
        <v>2</v>
      </c>
      <c r="F41" s="4">
        <v>150</v>
      </c>
      <c r="G41" s="1"/>
      <c r="H41" s="1"/>
      <c r="I41" s="61">
        <f>C41*E41*F41</f>
        <v>300</v>
      </c>
      <c r="J41" t="s">
        <v>15</v>
      </c>
    </row>
    <row r="42" spans="1:10">
      <c r="A42" s="15"/>
      <c r="B42" s="3"/>
      <c r="C42" s="1"/>
      <c r="D42" s="1"/>
      <c r="E42" s="1"/>
      <c r="F42" s="12"/>
      <c r="G42" s="40"/>
      <c r="H42" s="40"/>
      <c r="I42" s="4"/>
    </row>
    <row r="43" spans="1:10" ht="152.25" customHeight="1">
      <c r="A43" s="49">
        <v>10</v>
      </c>
      <c r="B43" s="3" t="s">
        <v>94</v>
      </c>
      <c r="C43" s="1"/>
      <c r="D43" s="1"/>
      <c r="E43" s="1"/>
      <c r="F43" s="1"/>
      <c r="G43" s="1"/>
      <c r="H43" s="1"/>
      <c r="I43" s="1"/>
    </row>
    <row r="44" spans="1:10">
      <c r="A44" s="49"/>
      <c r="B44" s="3" t="s">
        <v>77</v>
      </c>
      <c r="C44" s="1">
        <v>1</v>
      </c>
      <c r="D44" s="1" t="s">
        <v>14</v>
      </c>
      <c r="E44" s="1">
        <v>2</v>
      </c>
      <c r="F44" s="1"/>
      <c r="G44" s="1"/>
      <c r="H44" s="1"/>
      <c r="I44" s="4">
        <f t="shared" ref="I44" si="5">PRODUCT(C44:H44)</f>
        <v>2</v>
      </c>
      <c r="J44" t="s">
        <v>18</v>
      </c>
    </row>
    <row r="45" spans="1:10">
      <c r="A45" s="49"/>
      <c r="B45" s="3"/>
      <c r="C45" s="1"/>
      <c r="D45" s="1"/>
      <c r="E45" s="1"/>
      <c r="F45" s="1"/>
      <c r="G45" s="1"/>
      <c r="H45" s="1"/>
      <c r="I45" s="4"/>
    </row>
    <row r="46" spans="1:10" ht="255">
      <c r="A46" s="49">
        <v>11</v>
      </c>
      <c r="B46" s="3" t="s">
        <v>79</v>
      </c>
      <c r="C46" s="1"/>
      <c r="D46" s="1"/>
      <c r="E46" s="1"/>
      <c r="F46" s="1"/>
      <c r="G46" s="1"/>
      <c r="H46" s="1"/>
      <c r="I46" s="1"/>
    </row>
    <row r="47" spans="1:10">
      <c r="A47" s="49"/>
      <c r="B47" s="3"/>
      <c r="C47" s="1">
        <v>1</v>
      </c>
      <c r="D47" s="1" t="s">
        <v>14</v>
      </c>
      <c r="E47" s="1">
        <v>2</v>
      </c>
      <c r="F47" s="1"/>
      <c r="G47" s="1"/>
      <c r="H47" s="1"/>
      <c r="I47" s="4">
        <f t="shared" ref="I47" si="6">PRODUCT(C47:H47)</f>
        <v>2</v>
      </c>
      <c r="J47" t="s">
        <v>18</v>
      </c>
    </row>
    <row r="48" spans="1:10">
      <c r="A48" s="49"/>
      <c r="B48" s="3"/>
      <c r="C48" s="1"/>
      <c r="D48" s="1"/>
      <c r="E48" s="1"/>
      <c r="F48" s="1"/>
      <c r="G48" s="1"/>
      <c r="H48" s="1"/>
      <c r="I48" s="4"/>
    </row>
    <row r="49" spans="1:10" ht="65.25" customHeight="1">
      <c r="A49" s="49">
        <v>12</v>
      </c>
      <c r="B49" s="3" t="s">
        <v>36</v>
      </c>
      <c r="C49" s="1"/>
      <c r="D49" s="1"/>
      <c r="E49" s="1"/>
      <c r="F49" s="1"/>
      <c r="G49" s="1"/>
      <c r="H49" s="1"/>
      <c r="I49" s="1"/>
    </row>
    <row r="50" spans="1:10">
      <c r="A50" s="49"/>
      <c r="B50" s="3" t="s">
        <v>127</v>
      </c>
      <c r="C50" s="1">
        <v>1</v>
      </c>
      <c r="D50" s="1" t="s">
        <v>28</v>
      </c>
      <c r="E50" s="1">
        <v>1</v>
      </c>
      <c r="F50" s="4">
        <v>230</v>
      </c>
      <c r="G50" s="1"/>
      <c r="H50" s="1"/>
      <c r="I50" s="4">
        <f>C50*E50*F50</f>
        <v>230</v>
      </c>
    </row>
    <row r="51" spans="1:10">
      <c r="A51" s="49"/>
      <c r="B51" s="3" t="s">
        <v>128</v>
      </c>
      <c r="C51" s="1">
        <v>1</v>
      </c>
      <c r="D51" s="1" t="s">
        <v>28</v>
      </c>
      <c r="E51" s="1">
        <v>1</v>
      </c>
      <c r="F51" s="4">
        <v>170</v>
      </c>
      <c r="G51" s="1"/>
      <c r="H51" s="1"/>
      <c r="I51" s="4">
        <f>C51*E51*F51</f>
        <v>170</v>
      </c>
    </row>
    <row r="52" spans="1:10" ht="15.75">
      <c r="A52" s="49"/>
      <c r="B52" s="3"/>
      <c r="C52" s="1"/>
      <c r="D52" s="1"/>
      <c r="E52" s="1"/>
      <c r="F52" s="4"/>
      <c r="G52" s="1"/>
      <c r="H52" s="56" t="s">
        <v>34</v>
      </c>
      <c r="I52" s="52">
        <f>SUM(I50:I51)</f>
        <v>400</v>
      </c>
      <c r="J52" s="62" t="s">
        <v>15</v>
      </c>
    </row>
    <row r="53" spans="1:10">
      <c r="A53" s="49"/>
      <c r="B53" s="3"/>
      <c r="C53" s="1"/>
      <c r="D53" s="1"/>
      <c r="E53" s="1"/>
      <c r="F53" s="4"/>
      <c r="G53" s="1"/>
      <c r="H53" s="1"/>
      <c r="I53" s="4"/>
    </row>
    <row r="54" spans="1:10" ht="93" customHeight="1">
      <c r="A54" s="49">
        <v>13</v>
      </c>
      <c r="B54" s="3" t="s">
        <v>118</v>
      </c>
      <c r="C54" s="1"/>
      <c r="D54" s="1"/>
      <c r="E54" s="1"/>
      <c r="F54" s="1"/>
      <c r="G54" s="1"/>
      <c r="H54" s="1"/>
      <c r="I54" s="1"/>
    </row>
    <row r="55" spans="1:10">
      <c r="A55" s="49"/>
      <c r="B55" s="3"/>
      <c r="C55" s="1">
        <v>1</v>
      </c>
      <c r="D55" s="1" t="s">
        <v>14</v>
      </c>
      <c r="E55" s="1">
        <v>2</v>
      </c>
      <c r="F55" s="1"/>
      <c r="G55" s="1"/>
      <c r="H55" s="1"/>
      <c r="I55" s="5">
        <f t="shared" ref="I55:I59" si="7">PRODUCT(C55:H55)</f>
        <v>2</v>
      </c>
      <c r="J55" s="25" t="s">
        <v>18</v>
      </c>
    </row>
    <row r="56" spans="1:10" ht="111.75" customHeight="1">
      <c r="A56" s="49">
        <v>14</v>
      </c>
      <c r="B56" s="3" t="str">
        <f>Abs!C38</f>
        <v>Supplying and fixing 1 No of 375 x 300 x 20 m   thick TW plank varnished with 1 No 15 amps 250 volts fuse unit and 1 No of copper earth plate of suitable size bolts and nute on walls for EB service connections including cost of all materials, etc., all complete.</v>
      </c>
      <c r="C56" s="1"/>
      <c r="D56" s="1"/>
      <c r="E56" s="1"/>
      <c r="F56" s="1"/>
      <c r="G56" s="1"/>
      <c r="H56" s="1"/>
      <c r="I56" s="5"/>
      <c r="J56" s="25"/>
    </row>
    <row r="57" spans="1:10">
      <c r="A57" s="49"/>
      <c r="B57" s="3" t="s">
        <v>83</v>
      </c>
      <c r="C57" s="1">
        <v>2</v>
      </c>
      <c r="D57" s="1" t="s">
        <v>28</v>
      </c>
      <c r="E57" s="1">
        <v>4</v>
      </c>
      <c r="F57" s="1"/>
      <c r="G57" s="1"/>
      <c r="H57" s="1"/>
      <c r="I57" s="5">
        <f t="shared" si="7"/>
        <v>8</v>
      </c>
      <c r="J57" s="25" t="s">
        <v>18</v>
      </c>
    </row>
    <row r="58" spans="1:10" ht="213" customHeight="1">
      <c r="A58" s="49">
        <v>15</v>
      </c>
      <c r="B58" s="3" t="s">
        <v>84</v>
      </c>
      <c r="C58" s="1"/>
      <c r="D58" s="1"/>
      <c r="E58" s="1"/>
      <c r="F58" s="1"/>
      <c r="G58" s="1"/>
      <c r="H58" s="1"/>
      <c r="I58" s="5"/>
      <c r="J58" s="25"/>
    </row>
    <row r="59" spans="1:10">
      <c r="A59" s="49"/>
      <c r="B59" s="3" t="s">
        <v>85</v>
      </c>
      <c r="C59" s="1">
        <v>1</v>
      </c>
      <c r="D59" s="1" t="s">
        <v>28</v>
      </c>
      <c r="E59" s="1">
        <v>2</v>
      </c>
      <c r="F59" s="4">
        <v>25</v>
      </c>
      <c r="G59" s="1"/>
      <c r="H59" s="1"/>
      <c r="I59" s="5">
        <f t="shared" si="7"/>
        <v>50</v>
      </c>
      <c r="J59" s="25" t="s">
        <v>15</v>
      </c>
    </row>
    <row r="60" spans="1:10">
      <c r="A60" s="49"/>
      <c r="B60" s="3"/>
      <c r="C60" s="1"/>
      <c r="D60" s="1"/>
      <c r="E60" s="1"/>
      <c r="F60" s="1"/>
      <c r="G60" s="1"/>
      <c r="H60" s="1"/>
      <c r="I60" s="4"/>
    </row>
    <row r="61" spans="1:10" ht="168" customHeight="1">
      <c r="A61" s="49">
        <v>16</v>
      </c>
      <c r="B61" s="3" t="s">
        <v>129</v>
      </c>
      <c r="C61" s="1"/>
      <c r="D61" s="1"/>
      <c r="E61" s="1"/>
      <c r="F61" s="1"/>
      <c r="G61" s="1"/>
      <c r="H61" s="1"/>
      <c r="I61" s="4"/>
    </row>
    <row r="62" spans="1:10">
      <c r="A62" s="49"/>
      <c r="B62" s="3" t="s">
        <v>130</v>
      </c>
      <c r="C62" s="1">
        <v>1</v>
      </c>
      <c r="D62" s="1" t="s">
        <v>28</v>
      </c>
      <c r="E62" s="1">
        <v>2</v>
      </c>
      <c r="F62" s="1"/>
      <c r="G62" s="1"/>
      <c r="H62" s="1"/>
      <c r="I62" s="5">
        <f t="shared" ref="I62" si="8">PRODUCT(C62:H62)</f>
        <v>2</v>
      </c>
      <c r="J62" t="s">
        <v>18</v>
      </c>
    </row>
    <row r="63" spans="1:10">
      <c r="A63" s="49"/>
      <c r="B63" s="3"/>
      <c r="C63" s="1"/>
      <c r="D63" s="1"/>
      <c r="E63" s="1"/>
      <c r="F63" s="1"/>
      <c r="G63" s="1"/>
      <c r="H63" s="1"/>
      <c r="I63" s="4"/>
    </row>
    <row r="64" spans="1:10" ht="112.5" customHeight="1">
      <c r="A64" s="49">
        <v>17</v>
      </c>
      <c r="B64" s="3" t="s">
        <v>158</v>
      </c>
      <c r="C64" s="1"/>
      <c r="D64" s="1"/>
      <c r="E64" s="1"/>
      <c r="F64" s="1"/>
      <c r="G64" s="1"/>
      <c r="H64" s="1"/>
      <c r="I64" s="4"/>
    </row>
    <row r="65" spans="1:10">
      <c r="A65" s="49"/>
      <c r="B65" s="3" t="s">
        <v>159</v>
      </c>
      <c r="C65" s="1">
        <v>1</v>
      </c>
      <c r="D65" s="1" t="s">
        <v>28</v>
      </c>
      <c r="E65" s="1">
        <v>2</v>
      </c>
      <c r="F65" s="1"/>
      <c r="G65" s="1"/>
      <c r="H65" s="1"/>
      <c r="I65" s="5">
        <f t="shared" ref="I65" si="9">PRODUCT(C65:H65)</f>
        <v>2</v>
      </c>
      <c r="J65" t="s">
        <v>18</v>
      </c>
    </row>
    <row r="66" spans="1:10">
      <c r="A66" s="49"/>
      <c r="B66" s="3"/>
      <c r="C66" s="1"/>
      <c r="D66" s="1"/>
      <c r="E66" s="1"/>
      <c r="F66" s="1"/>
      <c r="G66" s="1"/>
      <c r="H66" s="1"/>
      <c r="I66" s="4"/>
    </row>
    <row r="67" spans="1:10" ht="100.5" customHeight="1">
      <c r="A67" s="49">
        <v>18</v>
      </c>
      <c r="B67" s="3" t="s">
        <v>172</v>
      </c>
      <c r="C67" s="1"/>
      <c r="D67" s="1"/>
      <c r="E67" s="1"/>
      <c r="F67" s="1"/>
      <c r="G67" s="1"/>
      <c r="H67" s="1"/>
      <c r="I67" s="4"/>
    </row>
    <row r="68" spans="1:10">
      <c r="A68" s="49"/>
      <c r="B68" s="3" t="s">
        <v>85</v>
      </c>
      <c r="C68" s="1">
        <v>1</v>
      </c>
      <c r="D68" s="1" t="s">
        <v>28</v>
      </c>
      <c r="E68" s="1">
        <v>2</v>
      </c>
      <c r="F68" s="1"/>
      <c r="G68" s="1"/>
      <c r="H68" s="1"/>
      <c r="I68" s="5">
        <f t="shared" ref="I68" si="10">PRODUCT(C68:H68)</f>
        <v>2</v>
      </c>
      <c r="J68" t="s">
        <v>18</v>
      </c>
    </row>
    <row r="69" spans="1:10">
      <c r="A69" s="49"/>
      <c r="B69" s="3"/>
      <c r="C69" s="1"/>
      <c r="D69" s="1"/>
      <c r="E69" s="1"/>
      <c r="F69" s="1"/>
      <c r="G69" s="1"/>
      <c r="H69" s="1"/>
      <c r="I69" s="4"/>
    </row>
    <row r="70" spans="1:10" ht="26.25" customHeight="1">
      <c r="A70" s="49">
        <v>19</v>
      </c>
      <c r="B70" s="3" t="s">
        <v>173</v>
      </c>
      <c r="C70" s="1"/>
      <c r="D70" s="1"/>
      <c r="E70" s="1"/>
      <c r="F70" s="1"/>
      <c r="G70" s="1"/>
      <c r="H70" s="1"/>
      <c r="I70" s="4"/>
    </row>
    <row r="71" spans="1:10">
      <c r="A71" s="49"/>
      <c r="B71" s="3" t="s">
        <v>85</v>
      </c>
      <c r="C71" s="1">
        <v>2</v>
      </c>
      <c r="D71" s="1" t="s">
        <v>28</v>
      </c>
      <c r="E71" s="1">
        <v>3</v>
      </c>
      <c r="F71" s="1"/>
      <c r="G71" s="1"/>
      <c r="H71" s="1"/>
      <c r="I71" s="5">
        <f t="shared" ref="I71" si="11">PRODUCT(C71:H71)</f>
        <v>6</v>
      </c>
      <c r="J71" t="s">
        <v>18</v>
      </c>
    </row>
    <row r="72" spans="1:10">
      <c r="A72" s="49"/>
      <c r="B72" s="3"/>
      <c r="C72" s="1"/>
      <c r="D72" s="1"/>
      <c r="E72" s="1"/>
      <c r="F72" s="1"/>
      <c r="G72" s="1"/>
      <c r="H72" s="1"/>
      <c r="I72" s="4"/>
    </row>
    <row r="73" spans="1:10" ht="33" customHeight="1">
      <c r="A73" s="1">
        <v>20</v>
      </c>
      <c r="B73" s="78" t="s">
        <v>29</v>
      </c>
      <c r="C73" s="1"/>
      <c r="D73" s="1"/>
      <c r="E73" s="1"/>
      <c r="F73" s="1"/>
      <c r="G73" s="1"/>
      <c r="H73" s="1"/>
      <c r="I73" s="26" t="s">
        <v>30</v>
      </c>
    </row>
    <row r="74" spans="1:10" ht="26.25" customHeight="1">
      <c r="A74" s="1">
        <v>21</v>
      </c>
      <c r="B74" s="1" t="s">
        <v>31</v>
      </c>
      <c r="C74" s="1"/>
      <c r="D74" s="1"/>
      <c r="E74" s="1"/>
      <c r="F74" s="1"/>
      <c r="G74" s="1"/>
      <c r="H74" s="1"/>
      <c r="I74" s="26" t="s">
        <v>30</v>
      </c>
    </row>
    <row r="75" spans="1:10" ht="26.25" customHeight="1">
      <c r="A75" s="1">
        <v>22</v>
      </c>
      <c r="B75" s="20" t="s">
        <v>27</v>
      </c>
      <c r="C75" s="1"/>
      <c r="D75" s="1"/>
      <c r="E75" s="1"/>
      <c r="F75" s="1"/>
      <c r="G75" s="1"/>
      <c r="H75" s="1"/>
      <c r="I75" s="26" t="s">
        <v>30</v>
      </c>
    </row>
    <row r="76" spans="1:10" ht="39" customHeight="1">
      <c r="A76" s="1">
        <v>23</v>
      </c>
      <c r="B76" s="63" t="s">
        <v>156</v>
      </c>
      <c r="C76" s="1"/>
      <c r="D76" s="1"/>
      <c r="E76" s="1"/>
      <c r="F76" s="1"/>
      <c r="G76" s="1"/>
      <c r="H76" s="1"/>
      <c r="I76" s="26" t="s">
        <v>30</v>
      </c>
    </row>
    <row r="77" spans="1:10" ht="21" customHeight="1">
      <c r="A77" s="1">
        <v>24</v>
      </c>
      <c r="B77" s="22" t="s">
        <v>32</v>
      </c>
      <c r="C77" s="1"/>
      <c r="D77" s="1"/>
      <c r="E77" s="1"/>
      <c r="F77" s="1"/>
      <c r="G77" s="1"/>
      <c r="H77" s="1"/>
      <c r="I77" s="26" t="s">
        <v>30</v>
      </c>
    </row>
  </sheetData>
  <mergeCells count="9">
    <mergeCell ref="F5:H5"/>
    <mergeCell ref="A1:I1"/>
    <mergeCell ref="A2:I2"/>
    <mergeCell ref="A3:I3"/>
    <mergeCell ref="A4:I4"/>
    <mergeCell ref="A5:A6"/>
    <mergeCell ref="B5:B6"/>
    <mergeCell ref="C5:E6"/>
    <mergeCell ref="I5:I6"/>
  </mergeCells>
  <pageMargins left="0.5" right="0.44" top="0.28999999999999998" bottom="0.19" header="0.3" footer="0.3"/>
  <pageSetup paperSize="9" scale="105" orientation="portrait" r:id="rId1"/>
</worksheet>
</file>

<file path=xl/worksheets/sheet10.xml><?xml version="1.0" encoding="utf-8"?>
<worksheet xmlns="http://schemas.openxmlformats.org/spreadsheetml/2006/main" xmlns:r="http://schemas.openxmlformats.org/officeDocument/2006/relationships">
  <sheetPr>
    <tabColor rgb="FFFF0000"/>
  </sheetPr>
  <dimension ref="A1:IV154"/>
  <sheetViews>
    <sheetView showZeros="0" view="pageBreakPreview" topLeftCell="A133" zoomScale="110" zoomScaleSheetLayoutView="110" workbookViewId="0">
      <selection activeCell="C95" sqref="C95:I95"/>
    </sheetView>
  </sheetViews>
  <sheetFormatPr defaultColWidth="11.42578125" defaultRowHeight="15.75"/>
  <cols>
    <col min="1" max="1" width="8.28515625" style="211" customWidth="1"/>
    <col min="2" max="2" width="42" style="258" bestFit="1" customWidth="1"/>
    <col min="3" max="4" width="2.85546875" style="211" bestFit="1" customWidth="1"/>
    <col min="5" max="5" width="3.5703125" style="211" customWidth="1"/>
    <col min="6" max="6" width="10" style="245" customWidth="1"/>
    <col min="7" max="7" width="5.28515625" style="245" bestFit="1" customWidth="1"/>
    <col min="8" max="8" width="8.140625" style="245" customWidth="1"/>
    <col min="9" max="9" width="10.5703125" style="259" bestFit="1" customWidth="1"/>
    <col min="10" max="10" width="6" style="217" bestFit="1" customWidth="1"/>
    <col min="11" max="11" width="20.140625" style="206" customWidth="1"/>
    <col min="12" max="12" width="9.28515625" style="206" bestFit="1" customWidth="1"/>
    <col min="13" max="13" width="12.42578125" style="206" customWidth="1"/>
    <col min="14" max="14" width="5.42578125" style="206" customWidth="1"/>
    <col min="15" max="15" width="7.42578125" style="206" customWidth="1"/>
    <col min="16" max="16" width="9.5703125" style="206" customWidth="1"/>
    <col min="17" max="256" width="11.42578125" style="206"/>
    <col min="257" max="257" width="8.28515625" style="206" customWidth="1"/>
    <col min="258" max="258" width="42" style="206" bestFit="1" customWidth="1"/>
    <col min="259" max="260" width="2.85546875" style="206" bestFit="1" customWidth="1"/>
    <col min="261" max="261" width="5.28515625" style="206" customWidth="1"/>
    <col min="262" max="262" width="10" style="206" customWidth="1"/>
    <col min="263" max="263" width="4.85546875" style="206" bestFit="1" customWidth="1"/>
    <col min="264" max="264" width="8.140625" style="206" customWidth="1"/>
    <col min="265" max="265" width="9.42578125" style="206" bestFit="1" customWidth="1"/>
    <col min="266" max="266" width="6" style="206" bestFit="1" customWidth="1"/>
    <col min="267" max="267" width="20.140625" style="206" customWidth="1"/>
    <col min="268" max="268" width="9.28515625" style="206" bestFit="1" customWidth="1"/>
    <col min="269" max="269" width="12.42578125" style="206" customWidth="1"/>
    <col min="270" max="270" width="5.42578125" style="206" customWidth="1"/>
    <col min="271" max="271" width="7.42578125" style="206" customWidth="1"/>
    <col min="272" max="272" width="9.5703125" style="206" customWidth="1"/>
    <col min="273" max="512" width="11.42578125" style="206"/>
    <col min="513" max="513" width="8.28515625" style="206" customWidth="1"/>
    <col min="514" max="514" width="42" style="206" bestFit="1" customWidth="1"/>
    <col min="515" max="516" width="2.85546875" style="206" bestFit="1" customWidth="1"/>
    <col min="517" max="517" width="5.28515625" style="206" customWidth="1"/>
    <col min="518" max="518" width="10" style="206" customWidth="1"/>
    <col min="519" max="519" width="4.85546875" style="206" bestFit="1" customWidth="1"/>
    <col min="520" max="520" width="8.140625" style="206" customWidth="1"/>
    <col min="521" max="521" width="9.42578125" style="206" bestFit="1" customWidth="1"/>
    <col min="522" max="522" width="6" style="206" bestFit="1" customWidth="1"/>
    <col min="523" max="523" width="20.140625" style="206" customWidth="1"/>
    <col min="524" max="524" width="9.28515625" style="206" bestFit="1" customWidth="1"/>
    <col min="525" max="525" width="12.42578125" style="206" customWidth="1"/>
    <col min="526" max="526" width="5.42578125" style="206" customWidth="1"/>
    <col min="527" max="527" width="7.42578125" style="206" customWidth="1"/>
    <col min="528" max="528" width="9.5703125" style="206" customWidth="1"/>
    <col min="529" max="768" width="11.42578125" style="206"/>
    <col min="769" max="769" width="8.28515625" style="206" customWidth="1"/>
    <col min="770" max="770" width="42" style="206" bestFit="1" customWidth="1"/>
    <col min="771" max="772" width="2.85546875" style="206" bestFit="1" customWidth="1"/>
    <col min="773" max="773" width="5.28515625" style="206" customWidth="1"/>
    <col min="774" max="774" width="10" style="206" customWidth="1"/>
    <col min="775" max="775" width="4.85546875" style="206" bestFit="1" customWidth="1"/>
    <col min="776" max="776" width="8.140625" style="206" customWidth="1"/>
    <col min="777" max="777" width="9.42578125" style="206" bestFit="1" customWidth="1"/>
    <col min="778" max="778" width="6" style="206" bestFit="1" customWidth="1"/>
    <col min="779" max="779" width="20.140625" style="206" customWidth="1"/>
    <col min="780" max="780" width="9.28515625" style="206" bestFit="1" customWidth="1"/>
    <col min="781" max="781" width="12.42578125" style="206" customWidth="1"/>
    <col min="782" max="782" width="5.42578125" style="206" customWidth="1"/>
    <col min="783" max="783" width="7.42578125" style="206" customWidth="1"/>
    <col min="784" max="784" width="9.5703125" style="206" customWidth="1"/>
    <col min="785" max="1024" width="11.42578125" style="206"/>
    <col min="1025" max="1025" width="8.28515625" style="206" customWidth="1"/>
    <col min="1026" max="1026" width="42" style="206" bestFit="1" customWidth="1"/>
    <col min="1027" max="1028" width="2.85546875" style="206" bestFit="1" customWidth="1"/>
    <col min="1029" max="1029" width="5.28515625" style="206" customWidth="1"/>
    <col min="1030" max="1030" width="10" style="206" customWidth="1"/>
    <col min="1031" max="1031" width="4.85546875" style="206" bestFit="1" customWidth="1"/>
    <col min="1032" max="1032" width="8.140625" style="206" customWidth="1"/>
    <col min="1033" max="1033" width="9.42578125" style="206" bestFit="1" customWidth="1"/>
    <col min="1034" max="1034" width="6" style="206" bestFit="1" customWidth="1"/>
    <col min="1035" max="1035" width="20.140625" style="206" customWidth="1"/>
    <col min="1036" max="1036" width="9.28515625" style="206" bestFit="1" customWidth="1"/>
    <col min="1037" max="1037" width="12.42578125" style="206" customWidth="1"/>
    <col min="1038" max="1038" width="5.42578125" style="206" customWidth="1"/>
    <col min="1039" max="1039" width="7.42578125" style="206" customWidth="1"/>
    <col min="1040" max="1040" width="9.5703125" style="206" customWidth="1"/>
    <col min="1041" max="1280" width="11.42578125" style="206"/>
    <col min="1281" max="1281" width="8.28515625" style="206" customWidth="1"/>
    <col min="1282" max="1282" width="42" style="206" bestFit="1" customWidth="1"/>
    <col min="1283" max="1284" width="2.85546875" style="206" bestFit="1" customWidth="1"/>
    <col min="1285" max="1285" width="5.28515625" style="206" customWidth="1"/>
    <col min="1286" max="1286" width="10" style="206" customWidth="1"/>
    <col min="1287" max="1287" width="4.85546875" style="206" bestFit="1" customWidth="1"/>
    <col min="1288" max="1288" width="8.140625" style="206" customWidth="1"/>
    <col min="1289" max="1289" width="9.42578125" style="206" bestFit="1" customWidth="1"/>
    <col min="1290" max="1290" width="6" style="206" bestFit="1" customWidth="1"/>
    <col min="1291" max="1291" width="20.140625" style="206" customWidth="1"/>
    <col min="1292" max="1292" width="9.28515625" style="206" bestFit="1" customWidth="1"/>
    <col min="1293" max="1293" width="12.42578125" style="206" customWidth="1"/>
    <col min="1294" max="1294" width="5.42578125" style="206" customWidth="1"/>
    <col min="1295" max="1295" width="7.42578125" style="206" customWidth="1"/>
    <col min="1296" max="1296" width="9.5703125" style="206" customWidth="1"/>
    <col min="1297" max="1536" width="11.42578125" style="206"/>
    <col min="1537" max="1537" width="8.28515625" style="206" customWidth="1"/>
    <col min="1538" max="1538" width="42" style="206" bestFit="1" customWidth="1"/>
    <col min="1539" max="1540" width="2.85546875" style="206" bestFit="1" customWidth="1"/>
    <col min="1541" max="1541" width="5.28515625" style="206" customWidth="1"/>
    <col min="1542" max="1542" width="10" style="206" customWidth="1"/>
    <col min="1543" max="1543" width="4.85546875" style="206" bestFit="1" customWidth="1"/>
    <col min="1544" max="1544" width="8.140625" style="206" customWidth="1"/>
    <col min="1545" max="1545" width="9.42578125" style="206" bestFit="1" customWidth="1"/>
    <col min="1546" max="1546" width="6" style="206" bestFit="1" customWidth="1"/>
    <col min="1547" max="1547" width="20.140625" style="206" customWidth="1"/>
    <col min="1548" max="1548" width="9.28515625" style="206" bestFit="1" customWidth="1"/>
    <col min="1549" max="1549" width="12.42578125" style="206" customWidth="1"/>
    <col min="1550" max="1550" width="5.42578125" style="206" customWidth="1"/>
    <col min="1551" max="1551" width="7.42578125" style="206" customWidth="1"/>
    <col min="1552" max="1552" width="9.5703125" style="206" customWidth="1"/>
    <col min="1553" max="1792" width="11.42578125" style="206"/>
    <col min="1793" max="1793" width="8.28515625" style="206" customWidth="1"/>
    <col min="1794" max="1794" width="42" style="206" bestFit="1" customWidth="1"/>
    <col min="1795" max="1796" width="2.85546875" style="206" bestFit="1" customWidth="1"/>
    <col min="1797" max="1797" width="5.28515625" style="206" customWidth="1"/>
    <col min="1798" max="1798" width="10" style="206" customWidth="1"/>
    <col min="1799" max="1799" width="4.85546875" style="206" bestFit="1" customWidth="1"/>
    <col min="1800" max="1800" width="8.140625" style="206" customWidth="1"/>
    <col min="1801" max="1801" width="9.42578125" style="206" bestFit="1" customWidth="1"/>
    <col min="1802" max="1802" width="6" style="206" bestFit="1" customWidth="1"/>
    <col min="1803" max="1803" width="20.140625" style="206" customWidth="1"/>
    <col min="1804" max="1804" width="9.28515625" style="206" bestFit="1" customWidth="1"/>
    <col min="1805" max="1805" width="12.42578125" style="206" customWidth="1"/>
    <col min="1806" max="1806" width="5.42578125" style="206" customWidth="1"/>
    <col min="1807" max="1807" width="7.42578125" style="206" customWidth="1"/>
    <col min="1808" max="1808" width="9.5703125" style="206" customWidth="1"/>
    <col min="1809" max="2048" width="11.42578125" style="206"/>
    <col min="2049" max="2049" width="8.28515625" style="206" customWidth="1"/>
    <col min="2050" max="2050" width="42" style="206" bestFit="1" customWidth="1"/>
    <col min="2051" max="2052" width="2.85546875" style="206" bestFit="1" customWidth="1"/>
    <col min="2053" max="2053" width="5.28515625" style="206" customWidth="1"/>
    <col min="2054" max="2054" width="10" style="206" customWidth="1"/>
    <col min="2055" max="2055" width="4.85546875" style="206" bestFit="1" customWidth="1"/>
    <col min="2056" max="2056" width="8.140625" style="206" customWidth="1"/>
    <col min="2057" max="2057" width="9.42578125" style="206" bestFit="1" customWidth="1"/>
    <col min="2058" max="2058" width="6" style="206" bestFit="1" customWidth="1"/>
    <col min="2059" max="2059" width="20.140625" style="206" customWidth="1"/>
    <col min="2060" max="2060" width="9.28515625" style="206" bestFit="1" customWidth="1"/>
    <col min="2061" max="2061" width="12.42578125" style="206" customWidth="1"/>
    <col min="2062" max="2062" width="5.42578125" style="206" customWidth="1"/>
    <col min="2063" max="2063" width="7.42578125" style="206" customWidth="1"/>
    <col min="2064" max="2064" width="9.5703125" style="206" customWidth="1"/>
    <col min="2065" max="2304" width="11.42578125" style="206"/>
    <col min="2305" max="2305" width="8.28515625" style="206" customWidth="1"/>
    <col min="2306" max="2306" width="42" style="206" bestFit="1" customWidth="1"/>
    <col min="2307" max="2308" width="2.85546875" style="206" bestFit="1" customWidth="1"/>
    <col min="2309" max="2309" width="5.28515625" style="206" customWidth="1"/>
    <col min="2310" max="2310" width="10" style="206" customWidth="1"/>
    <col min="2311" max="2311" width="4.85546875" style="206" bestFit="1" customWidth="1"/>
    <col min="2312" max="2312" width="8.140625" style="206" customWidth="1"/>
    <col min="2313" max="2313" width="9.42578125" style="206" bestFit="1" customWidth="1"/>
    <col min="2314" max="2314" width="6" style="206" bestFit="1" customWidth="1"/>
    <col min="2315" max="2315" width="20.140625" style="206" customWidth="1"/>
    <col min="2316" max="2316" width="9.28515625" style="206" bestFit="1" customWidth="1"/>
    <col min="2317" max="2317" width="12.42578125" style="206" customWidth="1"/>
    <col min="2318" max="2318" width="5.42578125" style="206" customWidth="1"/>
    <col min="2319" max="2319" width="7.42578125" style="206" customWidth="1"/>
    <col min="2320" max="2320" width="9.5703125" style="206" customWidth="1"/>
    <col min="2321" max="2560" width="11.42578125" style="206"/>
    <col min="2561" max="2561" width="8.28515625" style="206" customWidth="1"/>
    <col min="2562" max="2562" width="42" style="206" bestFit="1" customWidth="1"/>
    <col min="2563" max="2564" width="2.85546875" style="206" bestFit="1" customWidth="1"/>
    <col min="2565" max="2565" width="5.28515625" style="206" customWidth="1"/>
    <col min="2566" max="2566" width="10" style="206" customWidth="1"/>
    <col min="2567" max="2567" width="4.85546875" style="206" bestFit="1" customWidth="1"/>
    <col min="2568" max="2568" width="8.140625" style="206" customWidth="1"/>
    <col min="2569" max="2569" width="9.42578125" style="206" bestFit="1" customWidth="1"/>
    <col min="2570" max="2570" width="6" style="206" bestFit="1" customWidth="1"/>
    <col min="2571" max="2571" width="20.140625" style="206" customWidth="1"/>
    <col min="2572" max="2572" width="9.28515625" style="206" bestFit="1" customWidth="1"/>
    <col min="2573" max="2573" width="12.42578125" style="206" customWidth="1"/>
    <col min="2574" max="2574" width="5.42578125" style="206" customWidth="1"/>
    <col min="2575" max="2575" width="7.42578125" style="206" customWidth="1"/>
    <col min="2576" max="2576" width="9.5703125" style="206" customWidth="1"/>
    <col min="2577" max="2816" width="11.42578125" style="206"/>
    <col min="2817" max="2817" width="8.28515625" style="206" customWidth="1"/>
    <col min="2818" max="2818" width="42" style="206" bestFit="1" customWidth="1"/>
    <col min="2819" max="2820" width="2.85546875" style="206" bestFit="1" customWidth="1"/>
    <col min="2821" max="2821" width="5.28515625" style="206" customWidth="1"/>
    <col min="2822" max="2822" width="10" style="206" customWidth="1"/>
    <col min="2823" max="2823" width="4.85546875" style="206" bestFit="1" customWidth="1"/>
    <col min="2824" max="2824" width="8.140625" style="206" customWidth="1"/>
    <col min="2825" max="2825" width="9.42578125" style="206" bestFit="1" customWidth="1"/>
    <col min="2826" max="2826" width="6" style="206" bestFit="1" customWidth="1"/>
    <col min="2827" max="2827" width="20.140625" style="206" customWidth="1"/>
    <col min="2828" max="2828" width="9.28515625" style="206" bestFit="1" customWidth="1"/>
    <col min="2829" max="2829" width="12.42578125" style="206" customWidth="1"/>
    <col min="2830" max="2830" width="5.42578125" style="206" customWidth="1"/>
    <col min="2831" max="2831" width="7.42578125" style="206" customWidth="1"/>
    <col min="2832" max="2832" width="9.5703125" style="206" customWidth="1"/>
    <col min="2833" max="3072" width="11.42578125" style="206"/>
    <col min="3073" max="3073" width="8.28515625" style="206" customWidth="1"/>
    <col min="3074" max="3074" width="42" style="206" bestFit="1" customWidth="1"/>
    <col min="3075" max="3076" width="2.85546875" style="206" bestFit="1" customWidth="1"/>
    <col min="3077" max="3077" width="5.28515625" style="206" customWidth="1"/>
    <col min="3078" max="3078" width="10" style="206" customWidth="1"/>
    <col min="3079" max="3079" width="4.85546875" style="206" bestFit="1" customWidth="1"/>
    <col min="3080" max="3080" width="8.140625" style="206" customWidth="1"/>
    <col min="3081" max="3081" width="9.42578125" style="206" bestFit="1" customWidth="1"/>
    <col min="3082" max="3082" width="6" style="206" bestFit="1" customWidth="1"/>
    <col min="3083" max="3083" width="20.140625" style="206" customWidth="1"/>
    <col min="3084" max="3084" width="9.28515625" style="206" bestFit="1" customWidth="1"/>
    <col min="3085" max="3085" width="12.42578125" style="206" customWidth="1"/>
    <col min="3086" max="3086" width="5.42578125" style="206" customWidth="1"/>
    <col min="3087" max="3087" width="7.42578125" style="206" customWidth="1"/>
    <col min="3088" max="3088" width="9.5703125" style="206" customWidth="1"/>
    <col min="3089" max="3328" width="11.42578125" style="206"/>
    <col min="3329" max="3329" width="8.28515625" style="206" customWidth="1"/>
    <col min="3330" max="3330" width="42" style="206" bestFit="1" customWidth="1"/>
    <col min="3331" max="3332" width="2.85546875" style="206" bestFit="1" customWidth="1"/>
    <col min="3333" max="3333" width="5.28515625" style="206" customWidth="1"/>
    <col min="3334" max="3334" width="10" style="206" customWidth="1"/>
    <col min="3335" max="3335" width="4.85546875" style="206" bestFit="1" customWidth="1"/>
    <col min="3336" max="3336" width="8.140625" style="206" customWidth="1"/>
    <col min="3337" max="3337" width="9.42578125" style="206" bestFit="1" customWidth="1"/>
    <col min="3338" max="3338" width="6" style="206" bestFit="1" customWidth="1"/>
    <col min="3339" max="3339" width="20.140625" style="206" customWidth="1"/>
    <col min="3340" max="3340" width="9.28515625" style="206" bestFit="1" customWidth="1"/>
    <col min="3341" max="3341" width="12.42578125" style="206" customWidth="1"/>
    <col min="3342" max="3342" width="5.42578125" style="206" customWidth="1"/>
    <col min="3343" max="3343" width="7.42578125" style="206" customWidth="1"/>
    <col min="3344" max="3344" width="9.5703125" style="206" customWidth="1"/>
    <col min="3345" max="3584" width="11.42578125" style="206"/>
    <col min="3585" max="3585" width="8.28515625" style="206" customWidth="1"/>
    <col min="3586" max="3586" width="42" style="206" bestFit="1" customWidth="1"/>
    <col min="3587" max="3588" width="2.85546875" style="206" bestFit="1" customWidth="1"/>
    <col min="3589" max="3589" width="5.28515625" style="206" customWidth="1"/>
    <col min="3590" max="3590" width="10" style="206" customWidth="1"/>
    <col min="3591" max="3591" width="4.85546875" style="206" bestFit="1" customWidth="1"/>
    <col min="3592" max="3592" width="8.140625" style="206" customWidth="1"/>
    <col min="3593" max="3593" width="9.42578125" style="206" bestFit="1" customWidth="1"/>
    <col min="3594" max="3594" width="6" style="206" bestFit="1" customWidth="1"/>
    <col min="3595" max="3595" width="20.140625" style="206" customWidth="1"/>
    <col min="3596" max="3596" width="9.28515625" style="206" bestFit="1" customWidth="1"/>
    <col min="3597" max="3597" width="12.42578125" style="206" customWidth="1"/>
    <col min="3598" max="3598" width="5.42578125" style="206" customWidth="1"/>
    <col min="3599" max="3599" width="7.42578125" style="206" customWidth="1"/>
    <col min="3600" max="3600" width="9.5703125" style="206" customWidth="1"/>
    <col min="3601" max="3840" width="11.42578125" style="206"/>
    <col min="3841" max="3841" width="8.28515625" style="206" customWidth="1"/>
    <col min="3842" max="3842" width="42" style="206" bestFit="1" customWidth="1"/>
    <col min="3843" max="3844" width="2.85546875" style="206" bestFit="1" customWidth="1"/>
    <col min="3845" max="3845" width="5.28515625" style="206" customWidth="1"/>
    <col min="3846" max="3846" width="10" style="206" customWidth="1"/>
    <col min="3847" max="3847" width="4.85546875" style="206" bestFit="1" customWidth="1"/>
    <col min="3848" max="3848" width="8.140625" style="206" customWidth="1"/>
    <col min="3849" max="3849" width="9.42578125" style="206" bestFit="1" customWidth="1"/>
    <col min="3850" max="3850" width="6" style="206" bestFit="1" customWidth="1"/>
    <col min="3851" max="3851" width="20.140625" style="206" customWidth="1"/>
    <col min="3852" max="3852" width="9.28515625" style="206" bestFit="1" customWidth="1"/>
    <col min="3853" max="3853" width="12.42578125" style="206" customWidth="1"/>
    <col min="3854" max="3854" width="5.42578125" style="206" customWidth="1"/>
    <col min="3855" max="3855" width="7.42578125" style="206" customWidth="1"/>
    <col min="3856" max="3856" width="9.5703125" style="206" customWidth="1"/>
    <col min="3857" max="4096" width="11.42578125" style="206"/>
    <col min="4097" max="4097" width="8.28515625" style="206" customWidth="1"/>
    <col min="4098" max="4098" width="42" style="206" bestFit="1" customWidth="1"/>
    <col min="4099" max="4100" width="2.85546875" style="206" bestFit="1" customWidth="1"/>
    <col min="4101" max="4101" width="5.28515625" style="206" customWidth="1"/>
    <col min="4102" max="4102" width="10" style="206" customWidth="1"/>
    <col min="4103" max="4103" width="4.85546875" style="206" bestFit="1" customWidth="1"/>
    <col min="4104" max="4104" width="8.140625" style="206" customWidth="1"/>
    <col min="4105" max="4105" width="9.42578125" style="206" bestFit="1" customWidth="1"/>
    <col min="4106" max="4106" width="6" style="206" bestFit="1" customWidth="1"/>
    <col min="4107" max="4107" width="20.140625" style="206" customWidth="1"/>
    <col min="4108" max="4108" width="9.28515625" style="206" bestFit="1" customWidth="1"/>
    <col min="4109" max="4109" width="12.42578125" style="206" customWidth="1"/>
    <col min="4110" max="4110" width="5.42578125" style="206" customWidth="1"/>
    <col min="4111" max="4111" width="7.42578125" style="206" customWidth="1"/>
    <col min="4112" max="4112" width="9.5703125" style="206" customWidth="1"/>
    <col min="4113" max="4352" width="11.42578125" style="206"/>
    <col min="4353" max="4353" width="8.28515625" style="206" customWidth="1"/>
    <col min="4354" max="4354" width="42" style="206" bestFit="1" customWidth="1"/>
    <col min="4355" max="4356" width="2.85546875" style="206" bestFit="1" customWidth="1"/>
    <col min="4357" max="4357" width="5.28515625" style="206" customWidth="1"/>
    <col min="4358" max="4358" width="10" style="206" customWidth="1"/>
    <col min="4359" max="4359" width="4.85546875" style="206" bestFit="1" customWidth="1"/>
    <col min="4360" max="4360" width="8.140625" style="206" customWidth="1"/>
    <col min="4361" max="4361" width="9.42578125" style="206" bestFit="1" customWidth="1"/>
    <col min="4362" max="4362" width="6" style="206" bestFit="1" customWidth="1"/>
    <col min="4363" max="4363" width="20.140625" style="206" customWidth="1"/>
    <col min="4364" max="4364" width="9.28515625" style="206" bestFit="1" customWidth="1"/>
    <col min="4365" max="4365" width="12.42578125" style="206" customWidth="1"/>
    <col min="4366" max="4366" width="5.42578125" style="206" customWidth="1"/>
    <col min="4367" max="4367" width="7.42578125" style="206" customWidth="1"/>
    <col min="4368" max="4368" width="9.5703125" style="206" customWidth="1"/>
    <col min="4369" max="4608" width="11.42578125" style="206"/>
    <col min="4609" max="4609" width="8.28515625" style="206" customWidth="1"/>
    <col min="4610" max="4610" width="42" style="206" bestFit="1" customWidth="1"/>
    <col min="4611" max="4612" width="2.85546875" style="206" bestFit="1" customWidth="1"/>
    <col min="4613" max="4613" width="5.28515625" style="206" customWidth="1"/>
    <col min="4614" max="4614" width="10" style="206" customWidth="1"/>
    <col min="4615" max="4615" width="4.85546875" style="206" bestFit="1" customWidth="1"/>
    <col min="4616" max="4616" width="8.140625" style="206" customWidth="1"/>
    <col min="4617" max="4617" width="9.42578125" style="206" bestFit="1" customWidth="1"/>
    <col min="4618" max="4618" width="6" style="206" bestFit="1" customWidth="1"/>
    <col min="4619" max="4619" width="20.140625" style="206" customWidth="1"/>
    <col min="4620" max="4620" width="9.28515625" style="206" bestFit="1" customWidth="1"/>
    <col min="4621" max="4621" width="12.42578125" style="206" customWidth="1"/>
    <col min="4622" max="4622" width="5.42578125" style="206" customWidth="1"/>
    <col min="4623" max="4623" width="7.42578125" style="206" customWidth="1"/>
    <col min="4624" max="4624" width="9.5703125" style="206" customWidth="1"/>
    <col min="4625" max="4864" width="11.42578125" style="206"/>
    <col min="4865" max="4865" width="8.28515625" style="206" customWidth="1"/>
    <col min="4866" max="4866" width="42" style="206" bestFit="1" customWidth="1"/>
    <col min="4867" max="4868" width="2.85546875" style="206" bestFit="1" customWidth="1"/>
    <col min="4869" max="4869" width="5.28515625" style="206" customWidth="1"/>
    <col min="4870" max="4870" width="10" style="206" customWidth="1"/>
    <col min="4871" max="4871" width="4.85546875" style="206" bestFit="1" customWidth="1"/>
    <col min="4872" max="4872" width="8.140625" style="206" customWidth="1"/>
    <col min="4873" max="4873" width="9.42578125" style="206" bestFit="1" customWidth="1"/>
    <col min="4874" max="4874" width="6" style="206" bestFit="1" customWidth="1"/>
    <col min="4875" max="4875" width="20.140625" style="206" customWidth="1"/>
    <col min="4876" max="4876" width="9.28515625" style="206" bestFit="1" customWidth="1"/>
    <col min="4877" max="4877" width="12.42578125" style="206" customWidth="1"/>
    <col min="4878" max="4878" width="5.42578125" style="206" customWidth="1"/>
    <col min="4879" max="4879" width="7.42578125" style="206" customWidth="1"/>
    <col min="4880" max="4880" width="9.5703125" style="206" customWidth="1"/>
    <col min="4881" max="5120" width="11.42578125" style="206"/>
    <col min="5121" max="5121" width="8.28515625" style="206" customWidth="1"/>
    <col min="5122" max="5122" width="42" style="206" bestFit="1" customWidth="1"/>
    <col min="5123" max="5124" width="2.85546875" style="206" bestFit="1" customWidth="1"/>
    <col min="5125" max="5125" width="5.28515625" style="206" customWidth="1"/>
    <col min="5126" max="5126" width="10" style="206" customWidth="1"/>
    <col min="5127" max="5127" width="4.85546875" style="206" bestFit="1" customWidth="1"/>
    <col min="5128" max="5128" width="8.140625" style="206" customWidth="1"/>
    <col min="5129" max="5129" width="9.42578125" style="206" bestFit="1" customWidth="1"/>
    <col min="5130" max="5130" width="6" style="206" bestFit="1" customWidth="1"/>
    <col min="5131" max="5131" width="20.140625" style="206" customWidth="1"/>
    <col min="5132" max="5132" width="9.28515625" style="206" bestFit="1" customWidth="1"/>
    <col min="5133" max="5133" width="12.42578125" style="206" customWidth="1"/>
    <col min="5134" max="5134" width="5.42578125" style="206" customWidth="1"/>
    <col min="5135" max="5135" width="7.42578125" style="206" customWidth="1"/>
    <col min="5136" max="5136" width="9.5703125" style="206" customWidth="1"/>
    <col min="5137" max="5376" width="11.42578125" style="206"/>
    <col min="5377" max="5377" width="8.28515625" style="206" customWidth="1"/>
    <col min="5378" max="5378" width="42" style="206" bestFit="1" customWidth="1"/>
    <col min="5379" max="5380" width="2.85546875" style="206" bestFit="1" customWidth="1"/>
    <col min="5381" max="5381" width="5.28515625" style="206" customWidth="1"/>
    <col min="5382" max="5382" width="10" style="206" customWidth="1"/>
    <col min="5383" max="5383" width="4.85546875" style="206" bestFit="1" customWidth="1"/>
    <col min="5384" max="5384" width="8.140625" style="206" customWidth="1"/>
    <col min="5385" max="5385" width="9.42578125" style="206" bestFit="1" customWidth="1"/>
    <col min="5386" max="5386" width="6" style="206" bestFit="1" customWidth="1"/>
    <col min="5387" max="5387" width="20.140625" style="206" customWidth="1"/>
    <col min="5388" max="5388" width="9.28515625" style="206" bestFit="1" customWidth="1"/>
    <col min="5389" max="5389" width="12.42578125" style="206" customWidth="1"/>
    <col min="5390" max="5390" width="5.42578125" style="206" customWidth="1"/>
    <col min="5391" max="5391" width="7.42578125" style="206" customWidth="1"/>
    <col min="5392" max="5392" width="9.5703125" style="206" customWidth="1"/>
    <col min="5393" max="5632" width="11.42578125" style="206"/>
    <col min="5633" max="5633" width="8.28515625" style="206" customWidth="1"/>
    <col min="5634" max="5634" width="42" style="206" bestFit="1" customWidth="1"/>
    <col min="5635" max="5636" width="2.85546875" style="206" bestFit="1" customWidth="1"/>
    <col min="5637" max="5637" width="5.28515625" style="206" customWidth="1"/>
    <col min="5638" max="5638" width="10" style="206" customWidth="1"/>
    <col min="5639" max="5639" width="4.85546875" style="206" bestFit="1" customWidth="1"/>
    <col min="5640" max="5640" width="8.140625" style="206" customWidth="1"/>
    <col min="5641" max="5641" width="9.42578125" style="206" bestFit="1" customWidth="1"/>
    <col min="5642" max="5642" width="6" style="206" bestFit="1" customWidth="1"/>
    <col min="5643" max="5643" width="20.140625" style="206" customWidth="1"/>
    <col min="5644" max="5644" width="9.28515625" style="206" bestFit="1" customWidth="1"/>
    <col min="5645" max="5645" width="12.42578125" style="206" customWidth="1"/>
    <col min="5646" max="5646" width="5.42578125" style="206" customWidth="1"/>
    <col min="5647" max="5647" width="7.42578125" style="206" customWidth="1"/>
    <col min="5648" max="5648" width="9.5703125" style="206" customWidth="1"/>
    <col min="5649" max="5888" width="11.42578125" style="206"/>
    <col min="5889" max="5889" width="8.28515625" style="206" customWidth="1"/>
    <col min="5890" max="5890" width="42" style="206" bestFit="1" customWidth="1"/>
    <col min="5891" max="5892" width="2.85546875" style="206" bestFit="1" customWidth="1"/>
    <col min="5893" max="5893" width="5.28515625" style="206" customWidth="1"/>
    <col min="5894" max="5894" width="10" style="206" customWidth="1"/>
    <col min="5895" max="5895" width="4.85546875" style="206" bestFit="1" customWidth="1"/>
    <col min="5896" max="5896" width="8.140625" style="206" customWidth="1"/>
    <col min="5897" max="5897" width="9.42578125" style="206" bestFit="1" customWidth="1"/>
    <col min="5898" max="5898" width="6" style="206" bestFit="1" customWidth="1"/>
    <col min="5899" max="5899" width="20.140625" style="206" customWidth="1"/>
    <col min="5900" max="5900" width="9.28515625" style="206" bestFit="1" customWidth="1"/>
    <col min="5901" max="5901" width="12.42578125" style="206" customWidth="1"/>
    <col min="5902" max="5902" width="5.42578125" style="206" customWidth="1"/>
    <col min="5903" max="5903" width="7.42578125" style="206" customWidth="1"/>
    <col min="5904" max="5904" width="9.5703125" style="206" customWidth="1"/>
    <col min="5905" max="6144" width="11.42578125" style="206"/>
    <col min="6145" max="6145" width="8.28515625" style="206" customWidth="1"/>
    <col min="6146" max="6146" width="42" style="206" bestFit="1" customWidth="1"/>
    <col min="6147" max="6148" width="2.85546875" style="206" bestFit="1" customWidth="1"/>
    <col min="6149" max="6149" width="5.28515625" style="206" customWidth="1"/>
    <col min="6150" max="6150" width="10" style="206" customWidth="1"/>
    <col min="6151" max="6151" width="4.85546875" style="206" bestFit="1" customWidth="1"/>
    <col min="6152" max="6152" width="8.140625" style="206" customWidth="1"/>
    <col min="6153" max="6153" width="9.42578125" style="206" bestFit="1" customWidth="1"/>
    <col min="6154" max="6154" width="6" style="206" bestFit="1" customWidth="1"/>
    <col min="6155" max="6155" width="20.140625" style="206" customWidth="1"/>
    <col min="6156" max="6156" width="9.28515625" style="206" bestFit="1" customWidth="1"/>
    <col min="6157" max="6157" width="12.42578125" style="206" customWidth="1"/>
    <col min="6158" max="6158" width="5.42578125" style="206" customWidth="1"/>
    <col min="6159" max="6159" width="7.42578125" style="206" customWidth="1"/>
    <col min="6160" max="6160" width="9.5703125" style="206" customWidth="1"/>
    <col min="6161" max="6400" width="11.42578125" style="206"/>
    <col min="6401" max="6401" width="8.28515625" style="206" customWidth="1"/>
    <col min="6402" max="6402" width="42" style="206" bestFit="1" customWidth="1"/>
    <col min="6403" max="6404" width="2.85546875" style="206" bestFit="1" customWidth="1"/>
    <col min="6405" max="6405" width="5.28515625" style="206" customWidth="1"/>
    <col min="6406" max="6406" width="10" style="206" customWidth="1"/>
    <col min="6407" max="6407" width="4.85546875" style="206" bestFit="1" customWidth="1"/>
    <col min="6408" max="6408" width="8.140625" style="206" customWidth="1"/>
    <col min="6409" max="6409" width="9.42578125" style="206" bestFit="1" customWidth="1"/>
    <col min="6410" max="6410" width="6" style="206" bestFit="1" customWidth="1"/>
    <col min="6411" max="6411" width="20.140625" style="206" customWidth="1"/>
    <col min="6412" max="6412" width="9.28515625" style="206" bestFit="1" customWidth="1"/>
    <col min="6413" max="6413" width="12.42578125" style="206" customWidth="1"/>
    <col min="6414" max="6414" width="5.42578125" style="206" customWidth="1"/>
    <col min="6415" max="6415" width="7.42578125" style="206" customWidth="1"/>
    <col min="6416" max="6416" width="9.5703125" style="206" customWidth="1"/>
    <col min="6417" max="6656" width="11.42578125" style="206"/>
    <col min="6657" max="6657" width="8.28515625" style="206" customWidth="1"/>
    <col min="6658" max="6658" width="42" style="206" bestFit="1" customWidth="1"/>
    <col min="6659" max="6660" width="2.85546875" style="206" bestFit="1" customWidth="1"/>
    <col min="6661" max="6661" width="5.28515625" style="206" customWidth="1"/>
    <col min="6662" max="6662" width="10" style="206" customWidth="1"/>
    <col min="6663" max="6663" width="4.85546875" style="206" bestFit="1" customWidth="1"/>
    <col min="6664" max="6664" width="8.140625" style="206" customWidth="1"/>
    <col min="6665" max="6665" width="9.42578125" style="206" bestFit="1" customWidth="1"/>
    <col min="6666" max="6666" width="6" style="206" bestFit="1" customWidth="1"/>
    <col min="6667" max="6667" width="20.140625" style="206" customWidth="1"/>
    <col min="6668" max="6668" width="9.28515625" style="206" bestFit="1" customWidth="1"/>
    <col min="6669" max="6669" width="12.42578125" style="206" customWidth="1"/>
    <col min="6670" max="6670" width="5.42578125" style="206" customWidth="1"/>
    <col min="6671" max="6671" width="7.42578125" style="206" customWidth="1"/>
    <col min="6672" max="6672" width="9.5703125" style="206" customWidth="1"/>
    <col min="6673" max="6912" width="11.42578125" style="206"/>
    <col min="6913" max="6913" width="8.28515625" style="206" customWidth="1"/>
    <col min="6914" max="6914" width="42" style="206" bestFit="1" customWidth="1"/>
    <col min="6915" max="6916" width="2.85546875" style="206" bestFit="1" customWidth="1"/>
    <col min="6917" max="6917" width="5.28515625" style="206" customWidth="1"/>
    <col min="6918" max="6918" width="10" style="206" customWidth="1"/>
    <col min="6919" max="6919" width="4.85546875" style="206" bestFit="1" customWidth="1"/>
    <col min="6920" max="6920" width="8.140625" style="206" customWidth="1"/>
    <col min="6921" max="6921" width="9.42578125" style="206" bestFit="1" customWidth="1"/>
    <col min="6922" max="6922" width="6" style="206" bestFit="1" customWidth="1"/>
    <col min="6923" max="6923" width="20.140625" style="206" customWidth="1"/>
    <col min="6924" max="6924" width="9.28515625" style="206" bestFit="1" customWidth="1"/>
    <col min="6925" max="6925" width="12.42578125" style="206" customWidth="1"/>
    <col min="6926" max="6926" width="5.42578125" style="206" customWidth="1"/>
    <col min="6927" max="6927" width="7.42578125" style="206" customWidth="1"/>
    <col min="6928" max="6928" width="9.5703125" style="206" customWidth="1"/>
    <col min="6929" max="7168" width="11.42578125" style="206"/>
    <col min="7169" max="7169" width="8.28515625" style="206" customWidth="1"/>
    <col min="7170" max="7170" width="42" style="206" bestFit="1" customWidth="1"/>
    <col min="7171" max="7172" width="2.85546875" style="206" bestFit="1" customWidth="1"/>
    <col min="7173" max="7173" width="5.28515625" style="206" customWidth="1"/>
    <col min="7174" max="7174" width="10" style="206" customWidth="1"/>
    <col min="7175" max="7175" width="4.85546875" style="206" bestFit="1" customWidth="1"/>
    <col min="7176" max="7176" width="8.140625" style="206" customWidth="1"/>
    <col min="7177" max="7177" width="9.42578125" style="206" bestFit="1" customWidth="1"/>
    <col min="7178" max="7178" width="6" style="206" bestFit="1" customWidth="1"/>
    <col min="7179" max="7179" width="20.140625" style="206" customWidth="1"/>
    <col min="7180" max="7180" width="9.28515625" style="206" bestFit="1" customWidth="1"/>
    <col min="7181" max="7181" width="12.42578125" style="206" customWidth="1"/>
    <col min="7182" max="7182" width="5.42578125" style="206" customWidth="1"/>
    <col min="7183" max="7183" width="7.42578125" style="206" customWidth="1"/>
    <col min="7184" max="7184" width="9.5703125" style="206" customWidth="1"/>
    <col min="7185" max="7424" width="11.42578125" style="206"/>
    <col min="7425" max="7425" width="8.28515625" style="206" customWidth="1"/>
    <col min="7426" max="7426" width="42" style="206" bestFit="1" customWidth="1"/>
    <col min="7427" max="7428" width="2.85546875" style="206" bestFit="1" customWidth="1"/>
    <col min="7429" max="7429" width="5.28515625" style="206" customWidth="1"/>
    <col min="7430" max="7430" width="10" style="206" customWidth="1"/>
    <col min="7431" max="7431" width="4.85546875" style="206" bestFit="1" customWidth="1"/>
    <col min="7432" max="7432" width="8.140625" style="206" customWidth="1"/>
    <col min="7433" max="7433" width="9.42578125" style="206" bestFit="1" customWidth="1"/>
    <col min="7434" max="7434" width="6" style="206" bestFit="1" customWidth="1"/>
    <col min="7435" max="7435" width="20.140625" style="206" customWidth="1"/>
    <col min="7436" max="7436" width="9.28515625" style="206" bestFit="1" customWidth="1"/>
    <col min="7437" max="7437" width="12.42578125" style="206" customWidth="1"/>
    <col min="7438" max="7438" width="5.42578125" style="206" customWidth="1"/>
    <col min="7439" max="7439" width="7.42578125" style="206" customWidth="1"/>
    <col min="7440" max="7440" width="9.5703125" style="206" customWidth="1"/>
    <col min="7441" max="7680" width="11.42578125" style="206"/>
    <col min="7681" max="7681" width="8.28515625" style="206" customWidth="1"/>
    <col min="7682" max="7682" width="42" style="206" bestFit="1" customWidth="1"/>
    <col min="7683" max="7684" width="2.85546875" style="206" bestFit="1" customWidth="1"/>
    <col min="7685" max="7685" width="5.28515625" style="206" customWidth="1"/>
    <col min="7686" max="7686" width="10" style="206" customWidth="1"/>
    <col min="7687" max="7687" width="4.85546875" style="206" bestFit="1" customWidth="1"/>
    <col min="7688" max="7688" width="8.140625" style="206" customWidth="1"/>
    <col min="7689" max="7689" width="9.42578125" style="206" bestFit="1" customWidth="1"/>
    <col min="7690" max="7690" width="6" style="206" bestFit="1" customWidth="1"/>
    <col min="7691" max="7691" width="20.140625" style="206" customWidth="1"/>
    <col min="7692" max="7692" width="9.28515625" style="206" bestFit="1" customWidth="1"/>
    <col min="7693" max="7693" width="12.42578125" style="206" customWidth="1"/>
    <col min="7694" max="7694" width="5.42578125" style="206" customWidth="1"/>
    <col min="7695" max="7695" width="7.42578125" style="206" customWidth="1"/>
    <col min="7696" max="7696" width="9.5703125" style="206" customWidth="1"/>
    <col min="7697" max="7936" width="11.42578125" style="206"/>
    <col min="7937" max="7937" width="8.28515625" style="206" customWidth="1"/>
    <col min="7938" max="7938" width="42" style="206" bestFit="1" customWidth="1"/>
    <col min="7939" max="7940" width="2.85546875" style="206" bestFit="1" customWidth="1"/>
    <col min="7941" max="7941" width="5.28515625" style="206" customWidth="1"/>
    <col min="7942" max="7942" width="10" style="206" customWidth="1"/>
    <col min="7943" max="7943" width="4.85546875" style="206" bestFit="1" customWidth="1"/>
    <col min="7944" max="7944" width="8.140625" style="206" customWidth="1"/>
    <col min="7945" max="7945" width="9.42578125" style="206" bestFit="1" customWidth="1"/>
    <col min="7946" max="7946" width="6" style="206" bestFit="1" customWidth="1"/>
    <col min="7947" max="7947" width="20.140625" style="206" customWidth="1"/>
    <col min="7948" max="7948" width="9.28515625" style="206" bestFit="1" customWidth="1"/>
    <col min="7949" max="7949" width="12.42578125" style="206" customWidth="1"/>
    <col min="7950" max="7950" width="5.42578125" style="206" customWidth="1"/>
    <col min="7951" max="7951" width="7.42578125" style="206" customWidth="1"/>
    <col min="7952" max="7952" width="9.5703125" style="206" customWidth="1"/>
    <col min="7953" max="8192" width="11.42578125" style="206"/>
    <col min="8193" max="8193" width="8.28515625" style="206" customWidth="1"/>
    <col min="8194" max="8194" width="42" style="206" bestFit="1" customWidth="1"/>
    <col min="8195" max="8196" width="2.85546875" style="206" bestFit="1" customWidth="1"/>
    <col min="8197" max="8197" width="5.28515625" style="206" customWidth="1"/>
    <col min="8198" max="8198" width="10" style="206" customWidth="1"/>
    <col min="8199" max="8199" width="4.85546875" style="206" bestFit="1" customWidth="1"/>
    <col min="8200" max="8200" width="8.140625" style="206" customWidth="1"/>
    <col min="8201" max="8201" width="9.42578125" style="206" bestFit="1" customWidth="1"/>
    <col min="8202" max="8202" width="6" style="206" bestFit="1" customWidth="1"/>
    <col min="8203" max="8203" width="20.140625" style="206" customWidth="1"/>
    <col min="8204" max="8204" width="9.28515625" style="206" bestFit="1" customWidth="1"/>
    <col min="8205" max="8205" width="12.42578125" style="206" customWidth="1"/>
    <col min="8206" max="8206" width="5.42578125" style="206" customWidth="1"/>
    <col min="8207" max="8207" width="7.42578125" style="206" customWidth="1"/>
    <col min="8208" max="8208" width="9.5703125" style="206" customWidth="1"/>
    <col min="8209" max="8448" width="11.42578125" style="206"/>
    <col min="8449" max="8449" width="8.28515625" style="206" customWidth="1"/>
    <col min="8450" max="8450" width="42" style="206" bestFit="1" customWidth="1"/>
    <col min="8451" max="8452" width="2.85546875" style="206" bestFit="1" customWidth="1"/>
    <col min="8453" max="8453" width="5.28515625" style="206" customWidth="1"/>
    <col min="8454" max="8454" width="10" style="206" customWidth="1"/>
    <col min="8455" max="8455" width="4.85546875" style="206" bestFit="1" customWidth="1"/>
    <col min="8456" max="8456" width="8.140625" style="206" customWidth="1"/>
    <col min="8457" max="8457" width="9.42578125" style="206" bestFit="1" customWidth="1"/>
    <col min="8458" max="8458" width="6" style="206" bestFit="1" customWidth="1"/>
    <col min="8459" max="8459" width="20.140625" style="206" customWidth="1"/>
    <col min="8460" max="8460" width="9.28515625" style="206" bestFit="1" customWidth="1"/>
    <col min="8461" max="8461" width="12.42578125" style="206" customWidth="1"/>
    <col min="8462" max="8462" width="5.42578125" style="206" customWidth="1"/>
    <col min="8463" max="8463" width="7.42578125" style="206" customWidth="1"/>
    <col min="8464" max="8464" width="9.5703125" style="206" customWidth="1"/>
    <col min="8465" max="8704" width="11.42578125" style="206"/>
    <col min="8705" max="8705" width="8.28515625" style="206" customWidth="1"/>
    <col min="8706" max="8706" width="42" style="206" bestFit="1" customWidth="1"/>
    <col min="8707" max="8708" width="2.85546875" style="206" bestFit="1" customWidth="1"/>
    <col min="8709" max="8709" width="5.28515625" style="206" customWidth="1"/>
    <col min="8710" max="8710" width="10" style="206" customWidth="1"/>
    <col min="8711" max="8711" width="4.85546875" style="206" bestFit="1" customWidth="1"/>
    <col min="8712" max="8712" width="8.140625" style="206" customWidth="1"/>
    <col min="8713" max="8713" width="9.42578125" style="206" bestFit="1" customWidth="1"/>
    <col min="8714" max="8714" width="6" style="206" bestFit="1" customWidth="1"/>
    <col min="8715" max="8715" width="20.140625" style="206" customWidth="1"/>
    <col min="8716" max="8716" width="9.28515625" style="206" bestFit="1" customWidth="1"/>
    <col min="8717" max="8717" width="12.42578125" style="206" customWidth="1"/>
    <col min="8718" max="8718" width="5.42578125" style="206" customWidth="1"/>
    <col min="8719" max="8719" width="7.42578125" style="206" customWidth="1"/>
    <col min="8720" max="8720" width="9.5703125" style="206" customWidth="1"/>
    <col min="8721" max="8960" width="11.42578125" style="206"/>
    <col min="8961" max="8961" width="8.28515625" style="206" customWidth="1"/>
    <col min="8962" max="8962" width="42" style="206" bestFit="1" customWidth="1"/>
    <col min="8963" max="8964" width="2.85546875" style="206" bestFit="1" customWidth="1"/>
    <col min="8965" max="8965" width="5.28515625" style="206" customWidth="1"/>
    <col min="8966" max="8966" width="10" style="206" customWidth="1"/>
    <col min="8967" max="8967" width="4.85546875" style="206" bestFit="1" customWidth="1"/>
    <col min="8968" max="8968" width="8.140625" style="206" customWidth="1"/>
    <col min="8969" max="8969" width="9.42578125" style="206" bestFit="1" customWidth="1"/>
    <col min="8970" max="8970" width="6" style="206" bestFit="1" customWidth="1"/>
    <col min="8971" max="8971" width="20.140625" style="206" customWidth="1"/>
    <col min="8972" max="8972" width="9.28515625" style="206" bestFit="1" customWidth="1"/>
    <col min="8973" max="8973" width="12.42578125" style="206" customWidth="1"/>
    <col min="8974" max="8974" width="5.42578125" style="206" customWidth="1"/>
    <col min="8975" max="8975" width="7.42578125" style="206" customWidth="1"/>
    <col min="8976" max="8976" width="9.5703125" style="206" customWidth="1"/>
    <col min="8977" max="9216" width="11.42578125" style="206"/>
    <col min="9217" max="9217" width="8.28515625" style="206" customWidth="1"/>
    <col min="9218" max="9218" width="42" style="206" bestFit="1" customWidth="1"/>
    <col min="9219" max="9220" width="2.85546875" style="206" bestFit="1" customWidth="1"/>
    <col min="9221" max="9221" width="5.28515625" style="206" customWidth="1"/>
    <col min="9222" max="9222" width="10" style="206" customWidth="1"/>
    <col min="9223" max="9223" width="4.85546875" style="206" bestFit="1" customWidth="1"/>
    <col min="9224" max="9224" width="8.140625" style="206" customWidth="1"/>
    <col min="9225" max="9225" width="9.42578125" style="206" bestFit="1" customWidth="1"/>
    <col min="9226" max="9226" width="6" style="206" bestFit="1" customWidth="1"/>
    <col min="9227" max="9227" width="20.140625" style="206" customWidth="1"/>
    <col min="9228" max="9228" width="9.28515625" style="206" bestFit="1" customWidth="1"/>
    <col min="9229" max="9229" width="12.42578125" style="206" customWidth="1"/>
    <col min="9230" max="9230" width="5.42578125" style="206" customWidth="1"/>
    <col min="9231" max="9231" width="7.42578125" style="206" customWidth="1"/>
    <col min="9232" max="9232" width="9.5703125" style="206" customWidth="1"/>
    <col min="9233" max="9472" width="11.42578125" style="206"/>
    <col min="9473" max="9473" width="8.28515625" style="206" customWidth="1"/>
    <col min="9474" max="9474" width="42" style="206" bestFit="1" customWidth="1"/>
    <col min="9475" max="9476" width="2.85546875" style="206" bestFit="1" customWidth="1"/>
    <col min="9477" max="9477" width="5.28515625" style="206" customWidth="1"/>
    <col min="9478" max="9478" width="10" style="206" customWidth="1"/>
    <col min="9479" max="9479" width="4.85546875" style="206" bestFit="1" customWidth="1"/>
    <col min="9480" max="9480" width="8.140625" style="206" customWidth="1"/>
    <col min="9481" max="9481" width="9.42578125" style="206" bestFit="1" customWidth="1"/>
    <col min="9482" max="9482" width="6" style="206" bestFit="1" customWidth="1"/>
    <col min="9483" max="9483" width="20.140625" style="206" customWidth="1"/>
    <col min="9484" max="9484" width="9.28515625" style="206" bestFit="1" customWidth="1"/>
    <col min="9485" max="9485" width="12.42578125" style="206" customWidth="1"/>
    <col min="9486" max="9486" width="5.42578125" style="206" customWidth="1"/>
    <col min="9487" max="9487" width="7.42578125" style="206" customWidth="1"/>
    <col min="9488" max="9488" width="9.5703125" style="206" customWidth="1"/>
    <col min="9489" max="9728" width="11.42578125" style="206"/>
    <col min="9729" max="9729" width="8.28515625" style="206" customWidth="1"/>
    <col min="9730" max="9730" width="42" style="206" bestFit="1" customWidth="1"/>
    <col min="9731" max="9732" width="2.85546875" style="206" bestFit="1" customWidth="1"/>
    <col min="9733" max="9733" width="5.28515625" style="206" customWidth="1"/>
    <col min="9734" max="9734" width="10" style="206" customWidth="1"/>
    <col min="9735" max="9735" width="4.85546875" style="206" bestFit="1" customWidth="1"/>
    <col min="9736" max="9736" width="8.140625" style="206" customWidth="1"/>
    <col min="9737" max="9737" width="9.42578125" style="206" bestFit="1" customWidth="1"/>
    <col min="9738" max="9738" width="6" style="206" bestFit="1" customWidth="1"/>
    <col min="9739" max="9739" width="20.140625" style="206" customWidth="1"/>
    <col min="9740" max="9740" width="9.28515625" style="206" bestFit="1" customWidth="1"/>
    <col min="9741" max="9741" width="12.42578125" style="206" customWidth="1"/>
    <col min="9742" max="9742" width="5.42578125" style="206" customWidth="1"/>
    <col min="9743" max="9743" width="7.42578125" style="206" customWidth="1"/>
    <col min="9744" max="9744" width="9.5703125" style="206" customWidth="1"/>
    <col min="9745" max="9984" width="11.42578125" style="206"/>
    <col min="9985" max="9985" width="8.28515625" style="206" customWidth="1"/>
    <col min="9986" max="9986" width="42" style="206" bestFit="1" customWidth="1"/>
    <col min="9987" max="9988" width="2.85546875" style="206" bestFit="1" customWidth="1"/>
    <col min="9989" max="9989" width="5.28515625" style="206" customWidth="1"/>
    <col min="9990" max="9990" width="10" style="206" customWidth="1"/>
    <col min="9991" max="9991" width="4.85546875" style="206" bestFit="1" customWidth="1"/>
    <col min="9992" max="9992" width="8.140625" style="206" customWidth="1"/>
    <col min="9993" max="9993" width="9.42578125" style="206" bestFit="1" customWidth="1"/>
    <col min="9994" max="9994" width="6" style="206" bestFit="1" customWidth="1"/>
    <col min="9995" max="9995" width="20.140625" style="206" customWidth="1"/>
    <col min="9996" max="9996" width="9.28515625" style="206" bestFit="1" customWidth="1"/>
    <col min="9997" max="9997" width="12.42578125" style="206" customWidth="1"/>
    <col min="9998" max="9998" width="5.42578125" style="206" customWidth="1"/>
    <col min="9999" max="9999" width="7.42578125" style="206" customWidth="1"/>
    <col min="10000" max="10000" width="9.5703125" style="206" customWidth="1"/>
    <col min="10001" max="10240" width="11.42578125" style="206"/>
    <col min="10241" max="10241" width="8.28515625" style="206" customWidth="1"/>
    <col min="10242" max="10242" width="42" style="206" bestFit="1" customWidth="1"/>
    <col min="10243" max="10244" width="2.85546875" style="206" bestFit="1" customWidth="1"/>
    <col min="10245" max="10245" width="5.28515625" style="206" customWidth="1"/>
    <col min="10246" max="10246" width="10" style="206" customWidth="1"/>
    <col min="10247" max="10247" width="4.85546875" style="206" bestFit="1" customWidth="1"/>
    <col min="10248" max="10248" width="8.140625" style="206" customWidth="1"/>
    <col min="10249" max="10249" width="9.42578125" style="206" bestFit="1" customWidth="1"/>
    <col min="10250" max="10250" width="6" style="206" bestFit="1" customWidth="1"/>
    <col min="10251" max="10251" width="20.140625" style="206" customWidth="1"/>
    <col min="10252" max="10252" width="9.28515625" style="206" bestFit="1" customWidth="1"/>
    <col min="10253" max="10253" width="12.42578125" style="206" customWidth="1"/>
    <col min="10254" max="10254" width="5.42578125" style="206" customWidth="1"/>
    <col min="10255" max="10255" width="7.42578125" style="206" customWidth="1"/>
    <col min="10256" max="10256" width="9.5703125" style="206" customWidth="1"/>
    <col min="10257" max="10496" width="11.42578125" style="206"/>
    <col min="10497" max="10497" width="8.28515625" style="206" customWidth="1"/>
    <col min="10498" max="10498" width="42" style="206" bestFit="1" customWidth="1"/>
    <col min="10499" max="10500" width="2.85546875" style="206" bestFit="1" customWidth="1"/>
    <col min="10501" max="10501" width="5.28515625" style="206" customWidth="1"/>
    <col min="10502" max="10502" width="10" style="206" customWidth="1"/>
    <col min="10503" max="10503" width="4.85546875" style="206" bestFit="1" customWidth="1"/>
    <col min="10504" max="10504" width="8.140625" style="206" customWidth="1"/>
    <col min="10505" max="10505" width="9.42578125" style="206" bestFit="1" customWidth="1"/>
    <col min="10506" max="10506" width="6" style="206" bestFit="1" customWidth="1"/>
    <col min="10507" max="10507" width="20.140625" style="206" customWidth="1"/>
    <col min="10508" max="10508" width="9.28515625" style="206" bestFit="1" customWidth="1"/>
    <col min="10509" max="10509" width="12.42578125" style="206" customWidth="1"/>
    <col min="10510" max="10510" width="5.42578125" style="206" customWidth="1"/>
    <col min="10511" max="10511" width="7.42578125" style="206" customWidth="1"/>
    <col min="10512" max="10512" width="9.5703125" style="206" customWidth="1"/>
    <col min="10513" max="10752" width="11.42578125" style="206"/>
    <col min="10753" max="10753" width="8.28515625" style="206" customWidth="1"/>
    <col min="10754" max="10754" width="42" style="206" bestFit="1" customWidth="1"/>
    <col min="10755" max="10756" width="2.85546875" style="206" bestFit="1" customWidth="1"/>
    <col min="10757" max="10757" width="5.28515625" style="206" customWidth="1"/>
    <col min="10758" max="10758" width="10" style="206" customWidth="1"/>
    <col min="10759" max="10759" width="4.85546875" style="206" bestFit="1" customWidth="1"/>
    <col min="10760" max="10760" width="8.140625" style="206" customWidth="1"/>
    <col min="10761" max="10761" width="9.42578125" style="206" bestFit="1" customWidth="1"/>
    <col min="10762" max="10762" width="6" style="206" bestFit="1" customWidth="1"/>
    <col min="10763" max="10763" width="20.140625" style="206" customWidth="1"/>
    <col min="10764" max="10764" width="9.28515625" style="206" bestFit="1" customWidth="1"/>
    <col min="10765" max="10765" width="12.42578125" style="206" customWidth="1"/>
    <col min="10766" max="10766" width="5.42578125" style="206" customWidth="1"/>
    <col min="10767" max="10767" width="7.42578125" style="206" customWidth="1"/>
    <col min="10768" max="10768" width="9.5703125" style="206" customWidth="1"/>
    <col min="10769" max="11008" width="11.42578125" style="206"/>
    <col min="11009" max="11009" width="8.28515625" style="206" customWidth="1"/>
    <col min="11010" max="11010" width="42" style="206" bestFit="1" customWidth="1"/>
    <col min="11011" max="11012" width="2.85546875" style="206" bestFit="1" customWidth="1"/>
    <col min="11013" max="11013" width="5.28515625" style="206" customWidth="1"/>
    <col min="11014" max="11014" width="10" style="206" customWidth="1"/>
    <col min="11015" max="11015" width="4.85546875" style="206" bestFit="1" customWidth="1"/>
    <col min="11016" max="11016" width="8.140625" style="206" customWidth="1"/>
    <col min="11017" max="11017" width="9.42578125" style="206" bestFit="1" customWidth="1"/>
    <col min="11018" max="11018" width="6" style="206" bestFit="1" customWidth="1"/>
    <col min="11019" max="11019" width="20.140625" style="206" customWidth="1"/>
    <col min="11020" max="11020" width="9.28515625" style="206" bestFit="1" customWidth="1"/>
    <col min="11021" max="11021" width="12.42578125" style="206" customWidth="1"/>
    <col min="11022" max="11022" width="5.42578125" style="206" customWidth="1"/>
    <col min="11023" max="11023" width="7.42578125" style="206" customWidth="1"/>
    <col min="11024" max="11024" width="9.5703125" style="206" customWidth="1"/>
    <col min="11025" max="11264" width="11.42578125" style="206"/>
    <col min="11265" max="11265" width="8.28515625" style="206" customWidth="1"/>
    <col min="11266" max="11266" width="42" style="206" bestFit="1" customWidth="1"/>
    <col min="11267" max="11268" width="2.85546875" style="206" bestFit="1" customWidth="1"/>
    <col min="11269" max="11269" width="5.28515625" style="206" customWidth="1"/>
    <col min="11270" max="11270" width="10" style="206" customWidth="1"/>
    <col min="11271" max="11271" width="4.85546875" style="206" bestFit="1" customWidth="1"/>
    <col min="11272" max="11272" width="8.140625" style="206" customWidth="1"/>
    <col min="11273" max="11273" width="9.42578125" style="206" bestFit="1" customWidth="1"/>
    <col min="11274" max="11274" width="6" style="206" bestFit="1" customWidth="1"/>
    <col min="11275" max="11275" width="20.140625" style="206" customWidth="1"/>
    <col min="11276" max="11276" width="9.28515625" style="206" bestFit="1" customWidth="1"/>
    <col min="11277" max="11277" width="12.42578125" style="206" customWidth="1"/>
    <col min="11278" max="11278" width="5.42578125" style="206" customWidth="1"/>
    <col min="11279" max="11279" width="7.42578125" style="206" customWidth="1"/>
    <col min="11280" max="11280" width="9.5703125" style="206" customWidth="1"/>
    <col min="11281" max="11520" width="11.42578125" style="206"/>
    <col min="11521" max="11521" width="8.28515625" style="206" customWidth="1"/>
    <col min="11522" max="11522" width="42" style="206" bestFit="1" customWidth="1"/>
    <col min="11523" max="11524" width="2.85546875" style="206" bestFit="1" customWidth="1"/>
    <col min="11525" max="11525" width="5.28515625" style="206" customWidth="1"/>
    <col min="11526" max="11526" width="10" style="206" customWidth="1"/>
    <col min="11527" max="11527" width="4.85546875" style="206" bestFit="1" customWidth="1"/>
    <col min="11528" max="11528" width="8.140625" style="206" customWidth="1"/>
    <col min="11529" max="11529" width="9.42578125" style="206" bestFit="1" customWidth="1"/>
    <col min="11530" max="11530" width="6" style="206" bestFit="1" customWidth="1"/>
    <col min="11531" max="11531" width="20.140625" style="206" customWidth="1"/>
    <col min="11532" max="11532" width="9.28515625" style="206" bestFit="1" customWidth="1"/>
    <col min="11533" max="11533" width="12.42578125" style="206" customWidth="1"/>
    <col min="11534" max="11534" width="5.42578125" style="206" customWidth="1"/>
    <col min="11535" max="11535" width="7.42578125" style="206" customWidth="1"/>
    <col min="11536" max="11536" width="9.5703125" style="206" customWidth="1"/>
    <col min="11537" max="11776" width="11.42578125" style="206"/>
    <col min="11777" max="11777" width="8.28515625" style="206" customWidth="1"/>
    <col min="11778" max="11778" width="42" style="206" bestFit="1" customWidth="1"/>
    <col min="11779" max="11780" width="2.85546875" style="206" bestFit="1" customWidth="1"/>
    <col min="11781" max="11781" width="5.28515625" style="206" customWidth="1"/>
    <col min="11782" max="11782" width="10" style="206" customWidth="1"/>
    <col min="11783" max="11783" width="4.85546875" style="206" bestFit="1" customWidth="1"/>
    <col min="11784" max="11784" width="8.140625" style="206" customWidth="1"/>
    <col min="11785" max="11785" width="9.42578125" style="206" bestFit="1" customWidth="1"/>
    <col min="11786" max="11786" width="6" style="206" bestFit="1" customWidth="1"/>
    <col min="11787" max="11787" width="20.140625" style="206" customWidth="1"/>
    <col min="11788" max="11788" width="9.28515625" style="206" bestFit="1" customWidth="1"/>
    <col min="11789" max="11789" width="12.42578125" style="206" customWidth="1"/>
    <col min="11790" max="11790" width="5.42578125" style="206" customWidth="1"/>
    <col min="11791" max="11791" width="7.42578125" style="206" customWidth="1"/>
    <col min="11792" max="11792" width="9.5703125" style="206" customWidth="1"/>
    <col min="11793" max="12032" width="11.42578125" style="206"/>
    <col min="12033" max="12033" width="8.28515625" style="206" customWidth="1"/>
    <col min="12034" max="12034" width="42" style="206" bestFit="1" customWidth="1"/>
    <col min="12035" max="12036" width="2.85546875" style="206" bestFit="1" customWidth="1"/>
    <col min="12037" max="12037" width="5.28515625" style="206" customWidth="1"/>
    <col min="12038" max="12038" width="10" style="206" customWidth="1"/>
    <col min="12039" max="12039" width="4.85546875" style="206" bestFit="1" customWidth="1"/>
    <col min="12040" max="12040" width="8.140625" style="206" customWidth="1"/>
    <col min="12041" max="12041" width="9.42578125" style="206" bestFit="1" customWidth="1"/>
    <col min="12042" max="12042" width="6" style="206" bestFit="1" customWidth="1"/>
    <col min="12043" max="12043" width="20.140625" style="206" customWidth="1"/>
    <col min="12044" max="12044" width="9.28515625" style="206" bestFit="1" customWidth="1"/>
    <col min="12045" max="12045" width="12.42578125" style="206" customWidth="1"/>
    <col min="12046" max="12046" width="5.42578125" style="206" customWidth="1"/>
    <col min="12047" max="12047" width="7.42578125" style="206" customWidth="1"/>
    <col min="12048" max="12048" width="9.5703125" style="206" customWidth="1"/>
    <col min="12049" max="12288" width="11.42578125" style="206"/>
    <col min="12289" max="12289" width="8.28515625" style="206" customWidth="1"/>
    <col min="12290" max="12290" width="42" style="206" bestFit="1" customWidth="1"/>
    <col min="12291" max="12292" width="2.85546875" style="206" bestFit="1" customWidth="1"/>
    <col min="12293" max="12293" width="5.28515625" style="206" customWidth="1"/>
    <col min="12294" max="12294" width="10" style="206" customWidth="1"/>
    <col min="12295" max="12295" width="4.85546875" style="206" bestFit="1" customWidth="1"/>
    <col min="12296" max="12296" width="8.140625" style="206" customWidth="1"/>
    <col min="12297" max="12297" width="9.42578125" style="206" bestFit="1" customWidth="1"/>
    <col min="12298" max="12298" width="6" style="206" bestFit="1" customWidth="1"/>
    <col min="12299" max="12299" width="20.140625" style="206" customWidth="1"/>
    <col min="12300" max="12300" width="9.28515625" style="206" bestFit="1" customWidth="1"/>
    <col min="12301" max="12301" width="12.42578125" style="206" customWidth="1"/>
    <col min="12302" max="12302" width="5.42578125" style="206" customWidth="1"/>
    <col min="12303" max="12303" width="7.42578125" style="206" customWidth="1"/>
    <col min="12304" max="12304" width="9.5703125" style="206" customWidth="1"/>
    <col min="12305" max="12544" width="11.42578125" style="206"/>
    <col min="12545" max="12545" width="8.28515625" style="206" customWidth="1"/>
    <col min="12546" max="12546" width="42" style="206" bestFit="1" customWidth="1"/>
    <col min="12547" max="12548" width="2.85546875" style="206" bestFit="1" customWidth="1"/>
    <col min="12549" max="12549" width="5.28515625" style="206" customWidth="1"/>
    <col min="12550" max="12550" width="10" style="206" customWidth="1"/>
    <col min="12551" max="12551" width="4.85546875" style="206" bestFit="1" customWidth="1"/>
    <col min="12552" max="12552" width="8.140625" style="206" customWidth="1"/>
    <col min="12553" max="12553" width="9.42578125" style="206" bestFit="1" customWidth="1"/>
    <col min="12554" max="12554" width="6" style="206" bestFit="1" customWidth="1"/>
    <col min="12555" max="12555" width="20.140625" style="206" customWidth="1"/>
    <col min="12556" max="12556" width="9.28515625" style="206" bestFit="1" customWidth="1"/>
    <col min="12557" max="12557" width="12.42578125" style="206" customWidth="1"/>
    <col min="12558" max="12558" width="5.42578125" style="206" customWidth="1"/>
    <col min="12559" max="12559" width="7.42578125" style="206" customWidth="1"/>
    <col min="12560" max="12560" width="9.5703125" style="206" customWidth="1"/>
    <col min="12561" max="12800" width="11.42578125" style="206"/>
    <col min="12801" max="12801" width="8.28515625" style="206" customWidth="1"/>
    <col min="12802" max="12802" width="42" style="206" bestFit="1" customWidth="1"/>
    <col min="12803" max="12804" width="2.85546875" style="206" bestFit="1" customWidth="1"/>
    <col min="12805" max="12805" width="5.28515625" style="206" customWidth="1"/>
    <col min="12806" max="12806" width="10" style="206" customWidth="1"/>
    <col min="12807" max="12807" width="4.85546875" style="206" bestFit="1" customWidth="1"/>
    <col min="12808" max="12808" width="8.140625" style="206" customWidth="1"/>
    <col min="12809" max="12809" width="9.42578125" style="206" bestFit="1" customWidth="1"/>
    <col min="12810" max="12810" width="6" style="206" bestFit="1" customWidth="1"/>
    <col min="12811" max="12811" width="20.140625" style="206" customWidth="1"/>
    <col min="12812" max="12812" width="9.28515625" style="206" bestFit="1" customWidth="1"/>
    <col min="12813" max="12813" width="12.42578125" style="206" customWidth="1"/>
    <col min="12814" max="12814" width="5.42578125" style="206" customWidth="1"/>
    <col min="12815" max="12815" width="7.42578125" style="206" customWidth="1"/>
    <col min="12816" max="12816" width="9.5703125" style="206" customWidth="1"/>
    <col min="12817" max="13056" width="11.42578125" style="206"/>
    <col min="13057" max="13057" width="8.28515625" style="206" customWidth="1"/>
    <col min="13058" max="13058" width="42" style="206" bestFit="1" customWidth="1"/>
    <col min="13059" max="13060" width="2.85546875" style="206" bestFit="1" customWidth="1"/>
    <col min="13061" max="13061" width="5.28515625" style="206" customWidth="1"/>
    <col min="13062" max="13062" width="10" style="206" customWidth="1"/>
    <col min="13063" max="13063" width="4.85546875" style="206" bestFit="1" customWidth="1"/>
    <col min="13064" max="13064" width="8.140625" style="206" customWidth="1"/>
    <col min="13065" max="13065" width="9.42578125" style="206" bestFit="1" customWidth="1"/>
    <col min="13066" max="13066" width="6" style="206" bestFit="1" customWidth="1"/>
    <col min="13067" max="13067" width="20.140625" style="206" customWidth="1"/>
    <col min="13068" max="13068" width="9.28515625" style="206" bestFit="1" customWidth="1"/>
    <col min="13069" max="13069" width="12.42578125" style="206" customWidth="1"/>
    <col min="13070" max="13070" width="5.42578125" style="206" customWidth="1"/>
    <col min="13071" max="13071" width="7.42578125" style="206" customWidth="1"/>
    <col min="13072" max="13072" width="9.5703125" style="206" customWidth="1"/>
    <col min="13073" max="13312" width="11.42578125" style="206"/>
    <col min="13313" max="13313" width="8.28515625" style="206" customWidth="1"/>
    <col min="13314" max="13314" width="42" style="206" bestFit="1" customWidth="1"/>
    <col min="13315" max="13316" width="2.85546875" style="206" bestFit="1" customWidth="1"/>
    <col min="13317" max="13317" width="5.28515625" style="206" customWidth="1"/>
    <col min="13318" max="13318" width="10" style="206" customWidth="1"/>
    <col min="13319" max="13319" width="4.85546875" style="206" bestFit="1" customWidth="1"/>
    <col min="13320" max="13320" width="8.140625" style="206" customWidth="1"/>
    <col min="13321" max="13321" width="9.42578125" style="206" bestFit="1" customWidth="1"/>
    <col min="13322" max="13322" width="6" style="206" bestFit="1" customWidth="1"/>
    <col min="13323" max="13323" width="20.140625" style="206" customWidth="1"/>
    <col min="13324" max="13324" width="9.28515625" style="206" bestFit="1" customWidth="1"/>
    <col min="13325" max="13325" width="12.42578125" style="206" customWidth="1"/>
    <col min="13326" max="13326" width="5.42578125" style="206" customWidth="1"/>
    <col min="13327" max="13327" width="7.42578125" style="206" customWidth="1"/>
    <col min="13328" max="13328" width="9.5703125" style="206" customWidth="1"/>
    <col min="13329" max="13568" width="11.42578125" style="206"/>
    <col min="13569" max="13569" width="8.28515625" style="206" customWidth="1"/>
    <col min="13570" max="13570" width="42" style="206" bestFit="1" customWidth="1"/>
    <col min="13571" max="13572" width="2.85546875" style="206" bestFit="1" customWidth="1"/>
    <col min="13573" max="13573" width="5.28515625" style="206" customWidth="1"/>
    <col min="13574" max="13574" width="10" style="206" customWidth="1"/>
    <col min="13575" max="13575" width="4.85546875" style="206" bestFit="1" customWidth="1"/>
    <col min="13576" max="13576" width="8.140625" style="206" customWidth="1"/>
    <col min="13577" max="13577" width="9.42578125" style="206" bestFit="1" customWidth="1"/>
    <col min="13578" max="13578" width="6" style="206" bestFit="1" customWidth="1"/>
    <col min="13579" max="13579" width="20.140625" style="206" customWidth="1"/>
    <col min="13580" max="13580" width="9.28515625" style="206" bestFit="1" customWidth="1"/>
    <col min="13581" max="13581" width="12.42578125" style="206" customWidth="1"/>
    <col min="13582" max="13582" width="5.42578125" style="206" customWidth="1"/>
    <col min="13583" max="13583" width="7.42578125" style="206" customWidth="1"/>
    <col min="13584" max="13584" width="9.5703125" style="206" customWidth="1"/>
    <col min="13585" max="13824" width="11.42578125" style="206"/>
    <col min="13825" max="13825" width="8.28515625" style="206" customWidth="1"/>
    <col min="13826" max="13826" width="42" style="206" bestFit="1" customWidth="1"/>
    <col min="13827" max="13828" width="2.85546875" style="206" bestFit="1" customWidth="1"/>
    <col min="13829" max="13829" width="5.28515625" style="206" customWidth="1"/>
    <col min="13830" max="13830" width="10" style="206" customWidth="1"/>
    <col min="13831" max="13831" width="4.85546875" style="206" bestFit="1" customWidth="1"/>
    <col min="13832" max="13832" width="8.140625" style="206" customWidth="1"/>
    <col min="13833" max="13833" width="9.42578125" style="206" bestFit="1" customWidth="1"/>
    <col min="13834" max="13834" width="6" style="206" bestFit="1" customWidth="1"/>
    <col min="13835" max="13835" width="20.140625" style="206" customWidth="1"/>
    <col min="13836" max="13836" width="9.28515625" style="206" bestFit="1" customWidth="1"/>
    <col min="13837" max="13837" width="12.42578125" style="206" customWidth="1"/>
    <col min="13838" max="13838" width="5.42578125" style="206" customWidth="1"/>
    <col min="13839" max="13839" width="7.42578125" style="206" customWidth="1"/>
    <col min="13840" max="13840" width="9.5703125" style="206" customWidth="1"/>
    <col min="13841" max="14080" width="11.42578125" style="206"/>
    <col min="14081" max="14081" width="8.28515625" style="206" customWidth="1"/>
    <col min="14082" max="14082" width="42" style="206" bestFit="1" customWidth="1"/>
    <col min="14083" max="14084" width="2.85546875" style="206" bestFit="1" customWidth="1"/>
    <col min="14085" max="14085" width="5.28515625" style="206" customWidth="1"/>
    <col min="14086" max="14086" width="10" style="206" customWidth="1"/>
    <col min="14087" max="14087" width="4.85546875" style="206" bestFit="1" customWidth="1"/>
    <col min="14088" max="14088" width="8.140625" style="206" customWidth="1"/>
    <col min="14089" max="14089" width="9.42578125" style="206" bestFit="1" customWidth="1"/>
    <col min="14090" max="14090" width="6" style="206" bestFit="1" customWidth="1"/>
    <col min="14091" max="14091" width="20.140625" style="206" customWidth="1"/>
    <col min="14092" max="14092" width="9.28515625" style="206" bestFit="1" customWidth="1"/>
    <col min="14093" max="14093" width="12.42578125" style="206" customWidth="1"/>
    <col min="14094" max="14094" width="5.42578125" style="206" customWidth="1"/>
    <col min="14095" max="14095" width="7.42578125" style="206" customWidth="1"/>
    <col min="14096" max="14096" width="9.5703125" style="206" customWidth="1"/>
    <col min="14097" max="14336" width="11.42578125" style="206"/>
    <col min="14337" max="14337" width="8.28515625" style="206" customWidth="1"/>
    <col min="14338" max="14338" width="42" style="206" bestFit="1" customWidth="1"/>
    <col min="14339" max="14340" width="2.85546875" style="206" bestFit="1" customWidth="1"/>
    <col min="14341" max="14341" width="5.28515625" style="206" customWidth="1"/>
    <col min="14342" max="14342" width="10" style="206" customWidth="1"/>
    <col min="14343" max="14343" width="4.85546875" style="206" bestFit="1" customWidth="1"/>
    <col min="14344" max="14344" width="8.140625" style="206" customWidth="1"/>
    <col min="14345" max="14345" width="9.42578125" style="206" bestFit="1" customWidth="1"/>
    <col min="14346" max="14346" width="6" style="206" bestFit="1" customWidth="1"/>
    <col min="14347" max="14347" width="20.140625" style="206" customWidth="1"/>
    <col min="14348" max="14348" width="9.28515625" style="206" bestFit="1" customWidth="1"/>
    <col min="14349" max="14349" width="12.42578125" style="206" customWidth="1"/>
    <col min="14350" max="14350" width="5.42578125" style="206" customWidth="1"/>
    <col min="14351" max="14351" width="7.42578125" style="206" customWidth="1"/>
    <col min="14352" max="14352" width="9.5703125" style="206" customWidth="1"/>
    <col min="14353" max="14592" width="11.42578125" style="206"/>
    <col min="14593" max="14593" width="8.28515625" style="206" customWidth="1"/>
    <col min="14594" max="14594" width="42" style="206" bestFit="1" customWidth="1"/>
    <col min="14595" max="14596" width="2.85546875" style="206" bestFit="1" customWidth="1"/>
    <col min="14597" max="14597" width="5.28515625" style="206" customWidth="1"/>
    <col min="14598" max="14598" width="10" style="206" customWidth="1"/>
    <col min="14599" max="14599" width="4.85546875" style="206" bestFit="1" customWidth="1"/>
    <col min="14600" max="14600" width="8.140625" style="206" customWidth="1"/>
    <col min="14601" max="14601" width="9.42578125" style="206" bestFit="1" customWidth="1"/>
    <col min="14602" max="14602" width="6" style="206" bestFit="1" customWidth="1"/>
    <col min="14603" max="14603" width="20.140625" style="206" customWidth="1"/>
    <col min="14604" max="14604" width="9.28515625" style="206" bestFit="1" customWidth="1"/>
    <col min="14605" max="14605" width="12.42578125" style="206" customWidth="1"/>
    <col min="14606" max="14606" width="5.42578125" style="206" customWidth="1"/>
    <col min="14607" max="14607" width="7.42578125" style="206" customWidth="1"/>
    <col min="14608" max="14608" width="9.5703125" style="206" customWidth="1"/>
    <col min="14609" max="14848" width="11.42578125" style="206"/>
    <col min="14849" max="14849" width="8.28515625" style="206" customWidth="1"/>
    <col min="14850" max="14850" width="42" style="206" bestFit="1" customWidth="1"/>
    <col min="14851" max="14852" width="2.85546875" style="206" bestFit="1" customWidth="1"/>
    <col min="14853" max="14853" width="5.28515625" style="206" customWidth="1"/>
    <col min="14854" max="14854" width="10" style="206" customWidth="1"/>
    <col min="14855" max="14855" width="4.85546875" style="206" bestFit="1" customWidth="1"/>
    <col min="14856" max="14856" width="8.140625" style="206" customWidth="1"/>
    <col min="14857" max="14857" width="9.42578125" style="206" bestFit="1" customWidth="1"/>
    <col min="14858" max="14858" width="6" style="206" bestFit="1" customWidth="1"/>
    <col min="14859" max="14859" width="20.140625" style="206" customWidth="1"/>
    <col min="14860" max="14860" width="9.28515625" style="206" bestFit="1" customWidth="1"/>
    <col min="14861" max="14861" width="12.42578125" style="206" customWidth="1"/>
    <col min="14862" max="14862" width="5.42578125" style="206" customWidth="1"/>
    <col min="14863" max="14863" width="7.42578125" style="206" customWidth="1"/>
    <col min="14864" max="14864" width="9.5703125" style="206" customWidth="1"/>
    <col min="14865" max="15104" width="11.42578125" style="206"/>
    <col min="15105" max="15105" width="8.28515625" style="206" customWidth="1"/>
    <col min="15106" max="15106" width="42" style="206" bestFit="1" customWidth="1"/>
    <col min="15107" max="15108" width="2.85546875" style="206" bestFit="1" customWidth="1"/>
    <col min="15109" max="15109" width="5.28515625" style="206" customWidth="1"/>
    <col min="15110" max="15110" width="10" style="206" customWidth="1"/>
    <col min="15111" max="15111" width="4.85546875" style="206" bestFit="1" customWidth="1"/>
    <col min="15112" max="15112" width="8.140625" style="206" customWidth="1"/>
    <col min="15113" max="15113" width="9.42578125" style="206" bestFit="1" customWidth="1"/>
    <col min="15114" max="15114" width="6" style="206" bestFit="1" customWidth="1"/>
    <col min="15115" max="15115" width="20.140625" style="206" customWidth="1"/>
    <col min="15116" max="15116" width="9.28515625" style="206" bestFit="1" customWidth="1"/>
    <col min="15117" max="15117" width="12.42578125" style="206" customWidth="1"/>
    <col min="15118" max="15118" width="5.42578125" style="206" customWidth="1"/>
    <col min="15119" max="15119" width="7.42578125" style="206" customWidth="1"/>
    <col min="15120" max="15120" width="9.5703125" style="206" customWidth="1"/>
    <col min="15121" max="15360" width="11.42578125" style="206"/>
    <col min="15361" max="15361" width="8.28515625" style="206" customWidth="1"/>
    <col min="15362" max="15362" width="42" style="206" bestFit="1" customWidth="1"/>
    <col min="15363" max="15364" width="2.85546875" style="206" bestFit="1" customWidth="1"/>
    <col min="15365" max="15365" width="5.28515625" style="206" customWidth="1"/>
    <col min="15366" max="15366" width="10" style="206" customWidth="1"/>
    <col min="15367" max="15367" width="4.85546875" style="206" bestFit="1" customWidth="1"/>
    <col min="15368" max="15368" width="8.140625" style="206" customWidth="1"/>
    <col min="15369" max="15369" width="9.42578125" style="206" bestFit="1" customWidth="1"/>
    <col min="15370" max="15370" width="6" style="206" bestFit="1" customWidth="1"/>
    <col min="15371" max="15371" width="20.140625" style="206" customWidth="1"/>
    <col min="15372" max="15372" width="9.28515625" style="206" bestFit="1" customWidth="1"/>
    <col min="15373" max="15373" width="12.42578125" style="206" customWidth="1"/>
    <col min="15374" max="15374" width="5.42578125" style="206" customWidth="1"/>
    <col min="15375" max="15375" width="7.42578125" style="206" customWidth="1"/>
    <col min="15376" max="15376" width="9.5703125" style="206" customWidth="1"/>
    <col min="15377" max="15616" width="11.42578125" style="206"/>
    <col min="15617" max="15617" width="8.28515625" style="206" customWidth="1"/>
    <col min="15618" max="15618" width="42" style="206" bestFit="1" customWidth="1"/>
    <col min="15619" max="15620" width="2.85546875" style="206" bestFit="1" customWidth="1"/>
    <col min="15621" max="15621" width="5.28515625" style="206" customWidth="1"/>
    <col min="15622" max="15622" width="10" style="206" customWidth="1"/>
    <col min="15623" max="15623" width="4.85546875" style="206" bestFit="1" customWidth="1"/>
    <col min="15624" max="15624" width="8.140625" style="206" customWidth="1"/>
    <col min="15625" max="15625" width="9.42578125" style="206" bestFit="1" customWidth="1"/>
    <col min="15626" max="15626" width="6" style="206" bestFit="1" customWidth="1"/>
    <col min="15627" max="15627" width="20.140625" style="206" customWidth="1"/>
    <col min="15628" max="15628" width="9.28515625" style="206" bestFit="1" customWidth="1"/>
    <col min="15629" max="15629" width="12.42578125" style="206" customWidth="1"/>
    <col min="15630" max="15630" width="5.42578125" style="206" customWidth="1"/>
    <col min="15631" max="15631" width="7.42578125" style="206" customWidth="1"/>
    <col min="15632" max="15632" width="9.5703125" style="206" customWidth="1"/>
    <col min="15633" max="15872" width="11.42578125" style="206"/>
    <col min="15873" max="15873" width="8.28515625" style="206" customWidth="1"/>
    <col min="15874" max="15874" width="42" style="206" bestFit="1" customWidth="1"/>
    <col min="15875" max="15876" width="2.85546875" style="206" bestFit="1" customWidth="1"/>
    <col min="15877" max="15877" width="5.28515625" style="206" customWidth="1"/>
    <col min="15878" max="15878" width="10" style="206" customWidth="1"/>
    <col min="15879" max="15879" width="4.85546875" style="206" bestFit="1" customWidth="1"/>
    <col min="15880" max="15880" width="8.140625" style="206" customWidth="1"/>
    <col min="15881" max="15881" width="9.42578125" style="206" bestFit="1" customWidth="1"/>
    <col min="15882" max="15882" width="6" style="206" bestFit="1" customWidth="1"/>
    <col min="15883" max="15883" width="20.140625" style="206" customWidth="1"/>
    <col min="15884" max="15884" width="9.28515625" style="206" bestFit="1" customWidth="1"/>
    <col min="15885" max="15885" width="12.42578125" style="206" customWidth="1"/>
    <col min="15886" max="15886" width="5.42578125" style="206" customWidth="1"/>
    <col min="15887" max="15887" width="7.42578125" style="206" customWidth="1"/>
    <col min="15888" max="15888" width="9.5703125" style="206" customWidth="1"/>
    <col min="15889" max="16128" width="11.42578125" style="206"/>
    <col min="16129" max="16129" width="8.28515625" style="206" customWidth="1"/>
    <col min="16130" max="16130" width="42" style="206" bestFit="1" customWidth="1"/>
    <col min="16131" max="16132" width="2.85546875" style="206" bestFit="1" customWidth="1"/>
    <col min="16133" max="16133" width="5.28515625" style="206" customWidth="1"/>
    <col min="16134" max="16134" width="10" style="206" customWidth="1"/>
    <col min="16135" max="16135" width="4.85546875" style="206" bestFit="1" customWidth="1"/>
    <col min="16136" max="16136" width="8.140625" style="206" customWidth="1"/>
    <col min="16137" max="16137" width="9.42578125" style="206" bestFit="1" customWidth="1"/>
    <col min="16138" max="16138" width="6" style="206" bestFit="1" customWidth="1"/>
    <col min="16139" max="16139" width="20.140625" style="206" customWidth="1"/>
    <col min="16140" max="16140" width="9.28515625" style="206" bestFit="1" customWidth="1"/>
    <col min="16141" max="16141" width="12.42578125" style="206" customWidth="1"/>
    <col min="16142" max="16142" width="5.42578125" style="206" customWidth="1"/>
    <col min="16143" max="16143" width="7.42578125" style="206" customWidth="1"/>
    <col min="16144" max="16144" width="9.5703125" style="206" customWidth="1"/>
    <col min="16145" max="16384" width="11.42578125" style="206"/>
  </cols>
  <sheetData>
    <row r="1" spans="1:15">
      <c r="A1" s="205" t="s">
        <v>200</v>
      </c>
      <c r="B1" s="205"/>
      <c r="C1" s="205"/>
      <c r="D1" s="205"/>
      <c r="E1" s="205"/>
      <c r="F1" s="205"/>
      <c r="G1" s="205"/>
      <c r="H1" s="205"/>
      <c r="I1" s="205"/>
      <c r="J1" s="205"/>
    </row>
    <row r="2" spans="1:15">
      <c r="A2" s="205" t="s">
        <v>201</v>
      </c>
      <c r="B2" s="205"/>
      <c r="C2" s="205"/>
      <c r="D2" s="205"/>
      <c r="E2" s="205"/>
      <c r="F2" s="205"/>
      <c r="G2" s="205"/>
      <c r="H2" s="205"/>
      <c r="I2" s="205"/>
      <c r="J2" s="205"/>
    </row>
    <row r="3" spans="1:15">
      <c r="A3" s="205" t="s">
        <v>202</v>
      </c>
      <c r="B3" s="205"/>
      <c r="C3" s="205"/>
      <c r="D3" s="205"/>
      <c r="E3" s="205"/>
      <c r="F3" s="205"/>
      <c r="G3" s="205"/>
      <c r="H3" s="205"/>
      <c r="I3" s="205"/>
      <c r="J3" s="205"/>
    </row>
    <row r="4" spans="1:15">
      <c r="A4" s="205" t="s">
        <v>203</v>
      </c>
      <c r="B4" s="205"/>
      <c r="C4" s="205"/>
      <c r="D4" s="205"/>
      <c r="E4" s="205"/>
      <c r="F4" s="205"/>
      <c r="G4" s="205"/>
      <c r="H4" s="205"/>
      <c r="I4" s="205"/>
      <c r="J4" s="205"/>
    </row>
    <row r="5" spans="1:15" ht="49.5" customHeight="1">
      <c r="A5" s="207" t="s">
        <v>229</v>
      </c>
      <c r="B5" s="207"/>
      <c r="C5" s="207"/>
      <c r="D5" s="207"/>
      <c r="E5" s="207"/>
      <c r="F5" s="207"/>
      <c r="G5" s="207"/>
      <c r="H5" s="207"/>
      <c r="I5" s="207"/>
      <c r="J5" s="207"/>
      <c r="K5" s="206" t="s">
        <v>230</v>
      </c>
    </row>
    <row r="6" spans="1:15" s="211" customFormat="1">
      <c r="A6" s="208" t="s">
        <v>204</v>
      </c>
      <c r="B6" s="209" t="s">
        <v>205</v>
      </c>
      <c r="C6" s="208" t="s">
        <v>206</v>
      </c>
      <c r="D6" s="208"/>
      <c r="E6" s="208"/>
      <c r="F6" s="210" t="s">
        <v>207</v>
      </c>
      <c r="G6" s="210"/>
      <c r="H6" s="210"/>
      <c r="I6" s="208" t="s">
        <v>208</v>
      </c>
      <c r="J6" s="208"/>
      <c r="K6" s="206" t="s">
        <v>230</v>
      </c>
    </row>
    <row r="7" spans="1:15">
      <c r="A7" s="208"/>
      <c r="B7" s="209"/>
      <c r="C7" s="208"/>
      <c r="D7" s="208"/>
      <c r="E7" s="208"/>
      <c r="F7" s="212" t="s">
        <v>5</v>
      </c>
      <c r="G7" s="212" t="s">
        <v>6</v>
      </c>
      <c r="H7" s="212" t="s">
        <v>7</v>
      </c>
      <c r="I7" s="208"/>
      <c r="J7" s="208"/>
    </row>
    <row r="8" spans="1:15" s="218" customFormat="1" ht="35.25" customHeight="1">
      <c r="A8" s="213">
        <v>1</v>
      </c>
      <c r="B8" s="214" t="s">
        <v>231</v>
      </c>
      <c r="C8" s="213"/>
      <c r="D8" s="213"/>
      <c r="E8" s="213"/>
      <c r="F8" s="215"/>
      <c r="G8" s="215"/>
      <c r="H8" s="215"/>
      <c r="I8" s="216"/>
      <c r="J8" s="217"/>
    </row>
    <row r="9" spans="1:15" s="218" customFormat="1">
      <c r="A9" s="213"/>
      <c r="B9" s="219" t="s">
        <v>232</v>
      </c>
      <c r="C9" s="213"/>
      <c r="D9" s="213"/>
      <c r="E9" s="213"/>
      <c r="F9" s="215"/>
      <c r="G9" s="215"/>
      <c r="H9" s="215"/>
      <c r="I9" s="216"/>
      <c r="J9" s="217"/>
    </row>
    <row r="10" spans="1:15" s="218" customFormat="1">
      <c r="A10" s="213"/>
      <c r="B10" s="219" t="s">
        <v>233</v>
      </c>
      <c r="C10" s="213">
        <v>1</v>
      </c>
      <c r="D10" s="213"/>
      <c r="E10" s="213">
        <v>8</v>
      </c>
      <c r="F10" s="216">
        <v>0.45</v>
      </c>
      <c r="G10" s="216">
        <v>0.45</v>
      </c>
      <c r="H10" s="216">
        <v>0.6</v>
      </c>
      <c r="I10" s="216">
        <f t="shared" ref="I10:I11" si="0">PRODUCT(C10:H10)</f>
        <v>0.97199999999999998</v>
      </c>
      <c r="J10" s="220"/>
      <c r="L10" s="218">
        <f>L15/3</f>
        <v>0</v>
      </c>
    </row>
    <row r="11" spans="1:15" s="218" customFormat="1">
      <c r="A11" s="213"/>
      <c r="B11" s="219" t="s">
        <v>234</v>
      </c>
      <c r="C11" s="213">
        <v>1</v>
      </c>
      <c r="D11" s="213"/>
      <c r="E11" s="213">
        <v>1</v>
      </c>
      <c r="F11" s="216">
        <v>23.1</v>
      </c>
      <c r="G11" s="216">
        <v>0.38</v>
      </c>
      <c r="H11" s="216">
        <v>0.2</v>
      </c>
      <c r="I11" s="216">
        <f t="shared" si="0"/>
        <v>1.7556000000000003</v>
      </c>
      <c r="J11" s="220"/>
    </row>
    <row r="12" spans="1:15" s="218" customFormat="1">
      <c r="A12" s="213"/>
      <c r="B12" s="219"/>
      <c r="C12" s="213"/>
      <c r="D12" s="213"/>
      <c r="E12" s="213"/>
      <c r="F12" s="216"/>
      <c r="G12" s="216"/>
      <c r="H12" s="216"/>
      <c r="I12" s="221">
        <f>SUM(I10:I11)</f>
        <v>2.7276000000000002</v>
      </c>
      <c r="J12" s="222"/>
    </row>
    <row r="13" spans="1:15" ht="18.75">
      <c r="A13" s="213"/>
      <c r="B13" s="219"/>
      <c r="C13" s="213"/>
      <c r="D13" s="213"/>
      <c r="E13" s="213"/>
      <c r="F13" s="216"/>
      <c r="G13" s="216"/>
      <c r="H13" s="216"/>
      <c r="I13" s="221">
        <f>CEILING(I12,0.1)</f>
        <v>2.8000000000000003</v>
      </c>
      <c r="J13" s="222" t="s">
        <v>235</v>
      </c>
    </row>
    <row r="14" spans="1:15">
      <c r="A14" s="213"/>
      <c r="B14" s="219"/>
      <c r="C14" s="213"/>
      <c r="D14" s="213"/>
      <c r="E14" s="213"/>
      <c r="F14" s="216"/>
      <c r="G14" s="216"/>
      <c r="H14" s="216"/>
      <c r="I14" s="221"/>
      <c r="J14" s="222"/>
    </row>
    <row r="15" spans="1:15" s="224" customFormat="1">
      <c r="A15" s="213">
        <v>2</v>
      </c>
      <c r="B15" s="223" t="s">
        <v>236</v>
      </c>
      <c r="C15" s="213"/>
      <c r="D15" s="213"/>
      <c r="E15" s="213"/>
      <c r="F15" s="216"/>
      <c r="G15" s="216"/>
      <c r="H15" s="216"/>
      <c r="I15" s="216"/>
      <c r="J15" s="220"/>
      <c r="M15" s="225"/>
    </row>
    <row r="16" spans="1:15" s="224" customFormat="1">
      <c r="A16" s="213"/>
      <c r="B16" s="219" t="s">
        <v>233</v>
      </c>
      <c r="C16" s="213">
        <v>1</v>
      </c>
      <c r="D16" s="213"/>
      <c r="E16" s="213">
        <v>8</v>
      </c>
      <c r="F16" s="216">
        <v>0.45</v>
      </c>
      <c r="G16" s="216">
        <v>0.45</v>
      </c>
      <c r="H16" s="216">
        <v>0.1</v>
      </c>
      <c r="I16" s="216">
        <f t="shared" ref="I16:I18" si="1">PRODUCT(C16:H16)</f>
        <v>0.16200000000000003</v>
      </c>
      <c r="J16" s="220"/>
      <c r="O16" s="224">
        <f>57.5+5.6+2.6+3.75+67</f>
        <v>136.44999999999999</v>
      </c>
    </row>
    <row r="17" spans="1:13" s="224" customFormat="1">
      <c r="A17" s="213"/>
      <c r="B17" s="219" t="s">
        <v>234</v>
      </c>
      <c r="C17" s="213">
        <v>1</v>
      </c>
      <c r="D17" s="213"/>
      <c r="E17" s="213">
        <v>1</v>
      </c>
      <c r="F17" s="216">
        <v>23.1</v>
      </c>
      <c r="G17" s="216">
        <v>0.38</v>
      </c>
      <c r="H17" s="216">
        <v>0.1</v>
      </c>
      <c r="I17" s="216">
        <f t="shared" si="1"/>
        <v>0.87780000000000014</v>
      </c>
      <c r="J17" s="220"/>
    </row>
    <row r="18" spans="1:13" s="224" customFormat="1">
      <c r="A18" s="213"/>
      <c r="B18" s="219" t="s">
        <v>237</v>
      </c>
      <c r="C18" s="213">
        <v>1</v>
      </c>
      <c r="D18" s="213"/>
      <c r="E18" s="213">
        <v>1</v>
      </c>
      <c r="F18" s="216">
        <v>20.350000000000001</v>
      </c>
      <c r="G18" s="216">
        <v>2.77</v>
      </c>
      <c r="H18" s="216">
        <v>0.15</v>
      </c>
      <c r="I18" s="216">
        <f t="shared" si="1"/>
        <v>8.455425</v>
      </c>
      <c r="J18" s="220"/>
    </row>
    <row r="19" spans="1:13" s="224" customFormat="1">
      <c r="A19" s="213"/>
      <c r="B19" s="219"/>
      <c r="C19" s="213"/>
      <c r="D19" s="213"/>
      <c r="E19" s="213"/>
      <c r="F19" s="216"/>
      <c r="G19" s="216"/>
      <c r="H19" s="221"/>
      <c r="I19" s="221">
        <f>SUM(I16:I18)</f>
        <v>9.4952249999999996</v>
      </c>
      <c r="J19" s="222"/>
    </row>
    <row r="20" spans="1:13" ht="18.75">
      <c r="A20" s="213"/>
      <c r="B20" s="219"/>
      <c r="C20" s="213"/>
      <c r="D20" s="213"/>
      <c r="E20" s="213"/>
      <c r="F20" s="216"/>
      <c r="G20" s="216"/>
      <c r="H20" s="221"/>
      <c r="I20" s="221">
        <f>CEILING(I19,0.1)</f>
        <v>9.5</v>
      </c>
      <c r="J20" s="222" t="s">
        <v>235</v>
      </c>
    </row>
    <row r="21" spans="1:13">
      <c r="A21" s="213"/>
      <c r="B21" s="219"/>
      <c r="C21" s="213"/>
      <c r="D21" s="213"/>
      <c r="E21" s="213"/>
      <c r="F21" s="216"/>
      <c r="G21" s="216"/>
      <c r="H21" s="221"/>
      <c r="I21" s="221"/>
      <c r="J21" s="222"/>
    </row>
    <row r="22" spans="1:13" s="218" customFormat="1" ht="47.25">
      <c r="A22" s="213">
        <v>3</v>
      </c>
      <c r="B22" s="226" t="s">
        <v>238</v>
      </c>
      <c r="C22" s="213"/>
      <c r="D22" s="213"/>
      <c r="E22" s="213"/>
      <c r="F22" s="215"/>
      <c r="G22" s="215"/>
      <c r="H22" s="215"/>
      <c r="I22" s="216"/>
      <c r="J22" s="217"/>
      <c r="M22" s="218" t="e">
        <f>#REF!+1.2</f>
        <v>#REF!</v>
      </c>
    </row>
    <row r="23" spans="1:13" s="218" customFormat="1">
      <c r="A23" s="213"/>
      <c r="B23" s="219" t="s">
        <v>233</v>
      </c>
      <c r="C23" s="213">
        <v>1</v>
      </c>
      <c r="D23" s="213"/>
      <c r="E23" s="213">
        <v>8</v>
      </c>
      <c r="F23" s="216">
        <v>0.45</v>
      </c>
      <c r="G23" s="216">
        <v>0.45</v>
      </c>
      <c r="H23" s="216">
        <v>0.1</v>
      </c>
      <c r="I23" s="216">
        <f t="shared" ref="I23:I25" si="2">PRODUCT(C23:H23)</f>
        <v>0.16200000000000003</v>
      </c>
      <c r="J23" s="220"/>
      <c r="L23" s="218">
        <f>L25/3</f>
        <v>0</v>
      </c>
    </row>
    <row r="24" spans="1:13" s="218" customFormat="1">
      <c r="A24" s="213"/>
      <c r="B24" s="219" t="s">
        <v>234</v>
      </c>
      <c r="C24" s="213">
        <v>1</v>
      </c>
      <c r="D24" s="213"/>
      <c r="E24" s="213">
        <v>1</v>
      </c>
      <c r="F24" s="216">
        <v>23.1</v>
      </c>
      <c r="G24" s="216">
        <v>0.38</v>
      </c>
      <c r="H24" s="216">
        <v>0.1</v>
      </c>
      <c r="I24" s="216">
        <f t="shared" si="2"/>
        <v>0.87780000000000014</v>
      </c>
      <c r="J24" s="220"/>
      <c r="M24" s="218" t="e">
        <f>#REF!/3</f>
        <v>#REF!</v>
      </c>
    </row>
    <row r="25" spans="1:13" s="218" customFormat="1">
      <c r="A25" s="213"/>
      <c r="B25" s="219" t="s">
        <v>237</v>
      </c>
      <c r="C25" s="213">
        <v>1</v>
      </c>
      <c r="D25" s="213"/>
      <c r="E25" s="213">
        <v>1</v>
      </c>
      <c r="F25" s="216">
        <v>20.350000000000001</v>
      </c>
      <c r="G25" s="216">
        <v>2.77</v>
      </c>
      <c r="H25" s="216">
        <v>0.15</v>
      </c>
      <c r="I25" s="216">
        <f t="shared" si="2"/>
        <v>8.455425</v>
      </c>
      <c r="J25" s="220"/>
    </row>
    <row r="26" spans="1:13" s="218" customFormat="1">
      <c r="A26" s="213"/>
      <c r="B26" s="219"/>
      <c r="C26" s="213"/>
      <c r="D26" s="213"/>
      <c r="E26" s="213"/>
      <c r="F26" s="215"/>
      <c r="G26" s="215"/>
      <c r="H26" s="215"/>
      <c r="I26" s="216">
        <f>SUM(I23:I25)</f>
        <v>9.4952249999999996</v>
      </c>
      <c r="J26" s="217"/>
    </row>
    <row r="27" spans="1:13" s="218" customFormat="1" ht="18.75">
      <c r="A27" s="213"/>
      <c r="B27" s="219"/>
      <c r="C27" s="213"/>
      <c r="D27" s="213"/>
      <c r="E27" s="213"/>
      <c r="F27" s="215"/>
      <c r="G27" s="215"/>
      <c r="H27" s="227" t="s">
        <v>25</v>
      </c>
      <c r="I27" s="221">
        <f>CEILING(I26,0.1)</f>
        <v>9.5</v>
      </c>
      <c r="J27" s="222" t="s">
        <v>235</v>
      </c>
    </row>
    <row r="28" spans="1:13" s="218" customFormat="1">
      <c r="A28" s="213">
        <v>4</v>
      </c>
      <c r="B28" s="219" t="s">
        <v>239</v>
      </c>
      <c r="C28" s="228"/>
      <c r="D28" s="228"/>
      <c r="E28" s="228"/>
      <c r="F28" s="229"/>
      <c r="G28" s="229"/>
      <c r="H28" s="229"/>
      <c r="I28" s="216"/>
      <c r="J28" s="215"/>
    </row>
    <row r="29" spans="1:13" s="218" customFormat="1">
      <c r="A29" s="213"/>
      <c r="B29" s="219" t="s">
        <v>240</v>
      </c>
      <c r="C29" s="213">
        <v>1</v>
      </c>
      <c r="D29" s="213"/>
      <c r="E29" s="213">
        <v>1</v>
      </c>
      <c r="F29" s="216">
        <v>20.350000000000001</v>
      </c>
      <c r="G29" s="216">
        <v>3</v>
      </c>
      <c r="H29" s="216">
        <v>0.1</v>
      </c>
      <c r="I29" s="216">
        <f>PRODUCT(C29:H29)</f>
        <v>6.1050000000000004</v>
      </c>
      <c r="J29" s="217"/>
    </row>
    <row r="30" spans="1:13" s="218" customFormat="1">
      <c r="A30" s="213"/>
      <c r="B30" s="219" t="s">
        <v>241</v>
      </c>
      <c r="C30" s="213">
        <v>1</v>
      </c>
      <c r="D30" s="213"/>
      <c r="E30" s="213">
        <v>1</v>
      </c>
      <c r="F30" s="216">
        <v>0.45</v>
      </c>
      <c r="G30" s="216">
        <v>0.45</v>
      </c>
      <c r="H30" s="216">
        <v>0.4</v>
      </c>
      <c r="I30" s="216">
        <f>PRODUCT(C30:H30)</f>
        <v>8.1000000000000016E-2</v>
      </c>
      <c r="J30" s="217"/>
    </row>
    <row r="31" spans="1:13" s="218" customFormat="1" ht="18.75">
      <c r="A31" s="213"/>
      <c r="B31" s="219"/>
      <c r="C31" s="213"/>
      <c r="D31" s="213"/>
      <c r="E31" s="213"/>
      <c r="F31" s="229"/>
      <c r="G31" s="229"/>
      <c r="H31" s="230" t="s">
        <v>25</v>
      </c>
      <c r="I31" s="221">
        <f>SUM(I29:I30)</f>
        <v>6.1860000000000008</v>
      </c>
      <c r="J31" s="217" t="s">
        <v>242</v>
      </c>
    </row>
    <row r="32" spans="1:13" s="218" customFormat="1" ht="18.75">
      <c r="A32" s="213"/>
      <c r="B32" s="219"/>
      <c r="C32" s="213"/>
      <c r="D32" s="213"/>
      <c r="E32" s="213"/>
      <c r="F32" s="216"/>
      <c r="G32" s="216"/>
      <c r="H32" s="227" t="s">
        <v>25</v>
      </c>
      <c r="I32" s="221">
        <f>CEILING(I31,0.1)</f>
        <v>6.2</v>
      </c>
      <c r="J32" s="222" t="s">
        <v>235</v>
      </c>
    </row>
    <row r="33" spans="1:256" s="218" customFormat="1">
      <c r="A33" s="213"/>
      <c r="B33" s="219"/>
      <c r="C33" s="213"/>
      <c r="D33" s="213"/>
      <c r="E33" s="213"/>
      <c r="F33" s="216"/>
      <c r="G33" s="216"/>
      <c r="H33" s="221"/>
      <c r="I33" s="221" t="s">
        <v>44</v>
      </c>
      <c r="J33" s="231"/>
    </row>
    <row r="34" spans="1:256" s="218" customFormat="1" ht="47.25">
      <c r="A34" s="213">
        <v>5</v>
      </c>
      <c r="B34" s="226" t="s">
        <v>243</v>
      </c>
      <c r="C34" s="213"/>
      <c r="D34" s="213"/>
      <c r="E34" s="213"/>
      <c r="F34" s="216"/>
      <c r="G34" s="216"/>
      <c r="H34" s="216"/>
      <c r="I34" s="216"/>
      <c r="J34" s="217"/>
    </row>
    <row r="35" spans="1:256" s="218" customFormat="1">
      <c r="A35" s="213"/>
      <c r="B35" s="219" t="s">
        <v>244</v>
      </c>
      <c r="C35" s="213">
        <v>1</v>
      </c>
      <c r="D35" s="213"/>
      <c r="E35" s="213">
        <v>1</v>
      </c>
      <c r="F35" s="216">
        <v>23.1</v>
      </c>
      <c r="G35" s="216">
        <v>0.23</v>
      </c>
      <c r="H35" s="216">
        <v>0.3</v>
      </c>
      <c r="I35" s="216">
        <f>PRODUCT(C35:H35)</f>
        <v>1.5939000000000001</v>
      </c>
      <c r="J35" s="217"/>
    </row>
    <row r="36" spans="1:256" s="218" customFormat="1">
      <c r="A36" s="213"/>
      <c r="B36" s="219"/>
      <c r="C36" s="213"/>
      <c r="D36" s="213"/>
      <c r="E36" s="213"/>
      <c r="F36" s="216"/>
      <c r="G36" s="216"/>
      <c r="H36" s="227"/>
      <c r="I36" s="216">
        <f>SUM(I35:I35)</f>
        <v>1.5939000000000001</v>
      </c>
      <c r="J36" s="222"/>
    </row>
    <row r="37" spans="1:256" s="218" customFormat="1" ht="18.75">
      <c r="A37" s="213"/>
      <c r="B37" s="219"/>
      <c r="C37" s="213"/>
      <c r="D37" s="213"/>
      <c r="E37" s="213"/>
      <c r="F37" s="216"/>
      <c r="G37" s="216"/>
      <c r="H37" s="227" t="s">
        <v>25</v>
      </c>
      <c r="I37" s="221">
        <f>CEILING(I36,0.1)</f>
        <v>1.6</v>
      </c>
      <c r="J37" s="222" t="s">
        <v>235</v>
      </c>
    </row>
    <row r="38" spans="1:256" s="218" customFormat="1" ht="16.5" customHeight="1">
      <c r="A38" s="213"/>
      <c r="B38" s="219"/>
      <c r="C38" s="213"/>
      <c r="D38" s="213"/>
      <c r="E38" s="213"/>
      <c r="F38" s="215"/>
      <c r="G38" s="215"/>
      <c r="H38" s="232"/>
      <c r="I38" s="221"/>
      <c r="J38" s="217"/>
    </row>
    <row r="39" spans="1:256">
      <c r="A39" s="213"/>
      <c r="B39" s="233"/>
      <c r="C39" s="213"/>
      <c r="D39" s="213"/>
      <c r="E39" s="213"/>
      <c r="F39" s="215"/>
      <c r="G39" s="215"/>
      <c r="H39" s="227"/>
      <c r="I39" s="221"/>
      <c r="J39" s="222"/>
    </row>
    <row r="40" spans="1:256">
      <c r="A40" s="213">
        <v>6</v>
      </c>
      <c r="B40" s="234" t="s">
        <v>245</v>
      </c>
      <c r="C40" s="213"/>
      <c r="D40" s="213"/>
      <c r="E40" s="213"/>
      <c r="F40" s="215"/>
      <c r="G40" s="215"/>
      <c r="H40" s="227"/>
      <c r="I40" s="221"/>
      <c r="J40" s="222"/>
    </row>
    <row r="41" spans="1:256">
      <c r="A41" s="213"/>
      <c r="B41" s="219" t="s">
        <v>246</v>
      </c>
      <c r="C41" s="213">
        <v>1</v>
      </c>
      <c r="D41" s="213"/>
      <c r="E41" s="213">
        <v>1</v>
      </c>
      <c r="F41" s="216">
        <v>23.1</v>
      </c>
      <c r="G41" s="215"/>
      <c r="H41" s="232">
        <v>0.3</v>
      </c>
      <c r="I41" s="216">
        <f>PRODUCT(C41:H41)</f>
        <v>6.9300000000000006</v>
      </c>
      <c r="J41" s="222"/>
    </row>
    <row r="42" spans="1:256">
      <c r="A42" s="213"/>
      <c r="B42" s="219"/>
      <c r="C42" s="213">
        <v>1</v>
      </c>
      <c r="D42" s="213"/>
      <c r="E42" s="213">
        <v>1</v>
      </c>
      <c r="F42" s="216">
        <v>22.89</v>
      </c>
      <c r="G42" s="215"/>
      <c r="H42" s="232">
        <v>0.3</v>
      </c>
      <c r="I42" s="216">
        <f>PRODUCT(C42:H42)</f>
        <v>6.867</v>
      </c>
      <c r="J42" s="222"/>
    </row>
    <row r="43" spans="1:256">
      <c r="A43" s="235"/>
      <c r="B43" s="236"/>
      <c r="C43" s="237">
        <v>1</v>
      </c>
      <c r="D43" s="237"/>
      <c r="E43" s="237">
        <v>1</v>
      </c>
      <c r="F43" s="236">
        <v>22.89</v>
      </c>
      <c r="G43" s="236"/>
      <c r="H43" s="236">
        <v>0.23</v>
      </c>
      <c r="I43" s="216">
        <f>PRODUCT(C43:H43)</f>
        <v>5.2647000000000004</v>
      </c>
      <c r="J43" s="238"/>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39"/>
      <c r="AI43" s="239"/>
      <c r="AJ43" s="239"/>
      <c r="AK43" s="239"/>
      <c r="AL43" s="239"/>
      <c r="AM43" s="239"/>
      <c r="AN43" s="239"/>
      <c r="AO43" s="239"/>
      <c r="AP43" s="239"/>
      <c r="AQ43" s="239"/>
      <c r="AR43" s="239"/>
      <c r="AS43" s="239"/>
      <c r="AT43" s="239"/>
      <c r="AU43" s="239"/>
      <c r="AV43" s="239"/>
      <c r="AW43" s="239"/>
      <c r="AX43" s="239"/>
      <c r="AY43" s="239"/>
      <c r="AZ43" s="239"/>
      <c r="BA43" s="239"/>
      <c r="BB43" s="239"/>
      <c r="BC43" s="239"/>
      <c r="BD43" s="239"/>
      <c r="BE43" s="239"/>
      <c r="BF43" s="239"/>
      <c r="BG43" s="239"/>
      <c r="BH43" s="239"/>
      <c r="BI43" s="239"/>
      <c r="BJ43" s="239"/>
      <c r="BK43" s="239"/>
      <c r="BL43" s="239"/>
      <c r="BM43" s="239"/>
      <c r="BN43" s="239"/>
      <c r="BO43" s="239"/>
      <c r="BP43" s="239"/>
      <c r="BQ43" s="239"/>
      <c r="BR43" s="239"/>
      <c r="BS43" s="239"/>
      <c r="BT43" s="239"/>
      <c r="BU43" s="239"/>
      <c r="BV43" s="239"/>
      <c r="BW43" s="239"/>
      <c r="BX43" s="239"/>
      <c r="BY43" s="239"/>
      <c r="BZ43" s="239"/>
      <c r="CA43" s="239"/>
      <c r="CB43" s="239"/>
      <c r="CC43" s="239"/>
      <c r="CD43" s="239"/>
      <c r="CE43" s="239"/>
      <c r="CF43" s="239"/>
      <c r="CG43" s="239"/>
      <c r="CH43" s="239"/>
      <c r="CI43" s="239"/>
      <c r="CJ43" s="239"/>
      <c r="CK43" s="239"/>
      <c r="CL43" s="239"/>
      <c r="CM43" s="239"/>
      <c r="CN43" s="239"/>
      <c r="CO43" s="239"/>
      <c r="CP43" s="239"/>
      <c r="CQ43" s="239"/>
      <c r="CR43" s="239"/>
      <c r="CS43" s="239"/>
      <c r="CT43" s="239"/>
      <c r="CU43" s="239"/>
      <c r="CV43" s="239"/>
      <c r="CW43" s="239"/>
      <c r="CX43" s="239"/>
      <c r="CY43" s="239"/>
      <c r="CZ43" s="239"/>
      <c r="DA43" s="239"/>
      <c r="DB43" s="239"/>
      <c r="DC43" s="239"/>
      <c r="DD43" s="239"/>
      <c r="DE43" s="239"/>
      <c r="DF43" s="239"/>
      <c r="DG43" s="239"/>
      <c r="DH43" s="239"/>
      <c r="DI43" s="239"/>
      <c r="DJ43" s="239"/>
      <c r="DK43" s="239"/>
      <c r="DL43" s="239"/>
      <c r="DM43" s="239"/>
      <c r="DN43" s="239"/>
      <c r="DO43" s="239"/>
      <c r="DP43" s="239"/>
      <c r="DQ43" s="239"/>
      <c r="DR43" s="239"/>
      <c r="DS43" s="239"/>
      <c r="DT43" s="239"/>
      <c r="DU43" s="239"/>
      <c r="DV43" s="239"/>
      <c r="DW43" s="239"/>
      <c r="DX43" s="239"/>
      <c r="DY43" s="239"/>
      <c r="DZ43" s="239"/>
      <c r="EA43" s="239"/>
      <c r="EB43" s="239"/>
      <c r="EC43" s="239"/>
      <c r="ED43" s="239"/>
      <c r="EE43" s="239"/>
      <c r="EF43" s="239"/>
      <c r="EG43" s="239"/>
      <c r="EH43" s="239"/>
      <c r="EI43" s="239"/>
      <c r="EJ43" s="239"/>
      <c r="EK43" s="239"/>
      <c r="EL43" s="239"/>
      <c r="EM43" s="239"/>
      <c r="EN43" s="239"/>
      <c r="EO43" s="239"/>
      <c r="EP43" s="239"/>
      <c r="EQ43" s="239"/>
      <c r="ER43" s="239"/>
      <c r="ES43" s="239"/>
      <c r="ET43" s="239"/>
      <c r="EU43" s="239"/>
      <c r="EV43" s="239"/>
      <c r="EW43" s="239"/>
      <c r="EX43" s="239"/>
      <c r="EY43" s="239"/>
      <c r="EZ43" s="239"/>
      <c r="FA43" s="239"/>
      <c r="FB43" s="239"/>
      <c r="FC43" s="239"/>
      <c r="FD43" s="239"/>
      <c r="FE43" s="239"/>
      <c r="FF43" s="239"/>
      <c r="FG43" s="239"/>
      <c r="FH43" s="239"/>
      <c r="FI43" s="239"/>
      <c r="FJ43" s="239"/>
      <c r="FK43" s="239"/>
      <c r="FL43" s="239"/>
      <c r="FM43" s="239"/>
      <c r="FN43" s="239"/>
      <c r="FO43" s="239"/>
      <c r="FP43" s="239"/>
      <c r="FQ43" s="239"/>
      <c r="FR43" s="239"/>
      <c r="FS43" s="239"/>
      <c r="FT43" s="239"/>
      <c r="FU43" s="239"/>
      <c r="FV43" s="239"/>
      <c r="FW43" s="239"/>
      <c r="FX43" s="239"/>
      <c r="FY43" s="239"/>
      <c r="FZ43" s="239"/>
      <c r="GA43" s="239"/>
      <c r="GB43" s="239"/>
      <c r="GC43" s="239"/>
      <c r="GD43" s="239"/>
      <c r="GE43" s="239"/>
      <c r="GF43" s="239"/>
      <c r="GG43" s="239"/>
      <c r="GH43" s="239"/>
      <c r="GI43" s="239"/>
      <c r="GJ43" s="239"/>
      <c r="GK43" s="239"/>
      <c r="GL43" s="239"/>
      <c r="GM43" s="239"/>
      <c r="GN43" s="239"/>
      <c r="GO43" s="239"/>
      <c r="GP43" s="239"/>
      <c r="GQ43" s="239"/>
      <c r="GR43" s="239"/>
      <c r="GS43" s="239"/>
      <c r="GT43" s="239"/>
      <c r="GU43" s="239"/>
      <c r="GV43" s="239"/>
      <c r="GW43" s="239"/>
      <c r="GX43" s="239"/>
      <c r="GY43" s="239"/>
      <c r="GZ43" s="239"/>
      <c r="HA43" s="239"/>
      <c r="HB43" s="239"/>
      <c r="HC43" s="239"/>
      <c r="HD43" s="239"/>
      <c r="HE43" s="239"/>
      <c r="HF43" s="239"/>
      <c r="HG43" s="239"/>
      <c r="HH43" s="239"/>
      <c r="HI43" s="239"/>
      <c r="HJ43" s="239"/>
      <c r="HK43" s="239"/>
      <c r="HL43" s="239"/>
      <c r="HM43" s="239"/>
      <c r="HN43" s="239"/>
      <c r="HO43" s="239"/>
      <c r="HP43" s="239"/>
      <c r="HQ43" s="239"/>
      <c r="HR43" s="239"/>
      <c r="HS43" s="239"/>
      <c r="HT43" s="239"/>
      <c r="HU43" s="239"/>
      <c r="HV43" s="239"/>
      <c r="HW43" s="239"/>
      <c r="HX43" s="239"/>
      <c r="HY43" s="239"/>
      <c r="HZ43" s="239"/>
      <c r="IA43" s="239"/>
      <c r="IB43" s="239"/>
      <c r="IC43" s="239"/>
      <c r="ID43" s="239"/>
      <c r="IE43" s="239"/>
      <c r="IF43" s="239"/>
      <c r="IG43" s="239"/>
      <c r="IH43" s="239"/>
      <c r="II43" s="239"/>
      <c r="IJ43" s="239"/>
      <c r="IK43" s="239"/>
      <c r="IL43" s="239"/>
      <c r="IM43" s="239"/>
      <c r="IN43" s="239"/>
      <c r="IO43" s="239"/>
      <c r="IP43" s="239"/>
      <c r="IQ43" s="239"/>
      <c r="IR43" s="239"/>
      <c r="IS43" s="239"/>
      <c r="IT43" s="239"/>
      <c r="IU43" s="239"/>
      <c r="IV43" s="239"/>
    </row>
    <row r="44" spans="1:256">
      <c r="A44" s="213"/>
      <c r="B44" s="226"/>
      <c r="C44" s="213"/>
      <c r="D44" s="213"/>
      <c r="E44" s="213"/>
      <c r="F44" s="215"/>
      <c r="G44" s="215"/>
      <c r="H44" s="227"/>
      <c r="I44" s="221">
        <f>SUM(I41:I43)</f>
        <v>19.061700000000002</v>
      </c>
      <c r="J44" s="222"/>
    </row>
    <row r="45" spans="1:256">
      <c r="A45" s="213"/>
      <c r="B45" s="226"/>
      <c r="C45" s="213"/>
      <c r="D45" s="213"/>
      <c r="E45" s="213"/>
      <c r="F45" s="215"/>
      <c r="G45" s="215"/>
      <c r="H45" s="227" t="s">
        <v>25</v>
      </c>
      <c r="I45" s="221">
        <f>CEILING(I44,0.1)</f>
        <v>19.100000000000001</v>
      </c>
      <c r="J45" s="222" t="s">
        <v>247</v>
      </c>
    </row>
    <row r="46" spans="1:256">
      <c r="A46" s="240"/>
      <c r="B46" s="226"/>
      <c r="C46" s="213"/>
      <c r="D46" s="213"/>
      <c r="E46" s="213"/>
      <c r="F46" s="215"/>
      <c r="G46" s="215"/>
      <c r="H46" s="227"/>
      <c r="I46" s="221"/>
      <c r="J46" s="222"/>
    </row>
    <row r="47" spans="1:256" ht="39.75" customHeight="1">
      <c r="A47" s="213">
        <v>7</v>
      </c>
      <c r="B47" s="236" t="s">
        <v>248</v>
      </c>
      <c r="C47" s="213"/>
      <c r="D47" s="213"/>
      <c r="E47" s="213"/>
      <c r="F47" s="215"/>
      <c r="G47" s="215"/>
      <c r="H47" s="227"/>
      <c r="I47" s="221"/>
      <c r="J47" s="222"/>
    </row>
    <row r="48" spans="1:256">
      <c r="A48" s="213"/>
      <c r="B48" s="219" t="s">
        <v>246</v>
      </c>
      <c r="C48" s="213">
        <v>1</v>
      </c>
      <c r="D48" s="213"/>
      <c r="E48" s="213">
        <v>1</v>
      </c>
      <c r="F48" s="216">
        <v>23.1</v>
      </c>
      <c r="G48" s="215"/>
      <c r="H48" s="232">
        <v>0.3</v>
      </c>
      <c r="I48" s="216">
        <f>PRODUCT(C48:H48)</f>
        <v>6.9300000000000006</v>
      </c>
      <c r="J48" s="222"/>
    </row>
    <row r="49" spans="1:256">
      <c r="A49" s="213"/>
      <c r="B49" s="219"/>
      <c r="C49" s="213">
        <v>1</v>
      </c>
      <c r="D49" s="213"/>
      <c r="E49" s="213">
        <v>1</v>
      </c>
      <c r="F49" s="216">
        <v>22.89</v>
      </c>
      <c r="G49" s="215"/>
      <c r="H49" s="232">
        <v>0.3</v>
      </c>
      <c r="I49" s="216">
        <f>PRODUCT(C49:H49)</f>
        <v>6.867</v>
      </c>
      <c r="J49" s="222"/>
      <c r="K49" s="239"/>
      <c r="L49" s="239"/>
      <c r="M49" s="239"/>
      <c r="N49" s="239"/>
      <c r="O49" s="239"/>
      <c r="P49" s="239"/>
      <c r="Q49" s="239"/>
      <c r="R49" s="239"/>
      <c r="S49" s="239"/>
      <c r="T49" s="239"/>
      <c r="U49" s="239"/>
      <c r="V49" s="239"/>
      <c r="W49" s="239"/>
      <c r="X49" s="239"/>
      <c r="Y49" s="239"/>
      <c r="Z49" s="239"/>
      <c r="AA49" s="239"/>
      <c r="AB49" s="239"/>
      <c r="AC49" s="239"/>
      <c r="AD49" s="239"/>
      <c r="AE49" s="239"/>
      <c r="AF49" s="239"/>
      <c r="AG49" s="239"/>
      <c r="AH49" s="239"/>
      <c r="AI49" s="239"/>
      <c r="AJ49" s="239"/>
      <c r="AK49" s="239"/>
      <c r="AL49" s="239"/>
      <c r="AM49" s="239"/>
      <c r="AN49" s="239"/>
      <c r="AO49" s="239"/>
      <c r="AP49" s="239"/>
      <c r="AQ49" s="239"/>
      <c r="AR49" s="239"/>
      <c r="AS49" s="239"/>
      <c r="AT49" s="239"/>
      <c r="AU49" s="239"/>
      <c r="AV49" s="239"/>
      <c r="AW49" s="239"/>
      <c r="AX49" s="239"/>
      <c r="AY49" s="239"/>
      <c r="AZ49" s="239"/>
      <c r="BA49" s="239"/>
      <c r="BB49" s="239"/>
      <c r="BC49" s="239"/>
      <c r="BD49" s="239"/>
      <c r="BE49" s="239"/>
      <c r="BF49" s="239"/>
      <c r="BG49" s="239"/>
      <c r="BH49" s="239"/>
      <c r="BI49" s="239"/>
      <c r="BJ49" s="239"/>
      <c r="BK49" s="239"/>
      <c r="BL49" s="239"/>
      <c r="BM49" s="239"/>
      <c r="BN49" s="239"/>
      <c r="BO49" s="239"/>
      <c r="BP49" s="239"/>
      <c r="BQ49" s="239"/>
      <c r="BR49" s="239"/>
      <c r="BS49" s="239"/>
      <c r="BT49" s="239"/>
      <c r="BU49" s="239"/>
      <c r="BV49" s="239"/>
      <c r="BW49" s="239"/>
      <c r="BX49" s="239"/>
      <c r="BY49" s="239"/>
      <c r="BZ49" s="239"/>
      <c r="CA49" s="239"/>
      <c r="CB49" s="239"/>
      <c r="CC49" s="239"/>
      <c r="CD49" s="239"/>
      <c r="CE49" s="239"/>
      <c r="CF49" s="239"/>
      <c r="CG49" s="239"/>
      <c r="CH49" s="239"/>
      <c r="CI49" s="239"/>
      <c r="CJ49" s="239"/>
      <c r="CK49" s="239"/>
      <c r="CL49" s="239"/>
      <c r="CM49" s="239"/>
      <c r="CN49" s="239"/>
      <c r="CO49" s="239"/>
      <c r="CP49" s="239"/>
      <c r="CQ49" s="239"/>
      <c r="CR49" s="239"/>
      <c r="CS49" s="239"/>
      <c r="CT49" s="239"/>
      <c r="CU49" s="239"/>
      <c r="CV49" s="239"/>
      <c r="CW49" s="239"/>
      <c r="CX49" s="239"/>
      <c r="CY49" s="239"/>
      <c r="CZ49" s="239"/>
      <c r="DA49" s="239"/>
      <c r="DB49" s="239"/>
      <c r="DC49" s="239"/>
      <c r="DD49" s="239"/>
      <c r="DE49" s="239"/>
      <c r="DF49" s="239"/>
      <c r="DG49" s="239"/>
      <c r="DH49" s="239"/>
      <c r="DI49" s="239"/>
      <c r="DJ49" s="239"/>
      <c r="DK49" s="239"/>
      <c r="DL49" s="239"/>
      <c r="DM49" s="239"/>
      <c r="DN49" s="239"/>
      <c r="DO49" s="239"/>
      <c r="DP49" s="239"/>
      <c r="DQ49" s="239"/>
      <c r="DR49" s="239"/>
      <c r="DS49" s="239"/>
      <c r="DT49" s="239"/>
      <c r="DU49" s="239"/>
      <c r="DV49" s="239"/>
      <c r="DW49" s="239"/>
      <c r="DX49" s="239"/>
      <c r="DY49" s="239"/>
      <c r="DZ49" s="239"/>
      <c r="EA49" s="239"/>
      <c r="EB49" s="239"/>
      <c r="EC49" s="239"/>
      <c r="ED49" s="239"/>
      <c r="EE49" s="239"/>
      <c r="EF49" s="239"/>
      <c r="EG49" s="239"/>
      <c r="EH49" s="239"/>
      <c r="EI49" s="239"/>
      <c r="EJ49" s="239"/>
      <c r="EK49" s="239"/>
      <c r="EL49" s="239"/>
      <c r="EM49" s="239"/>
      <c r="EN49" s="239"/>
      <c r="EO49" s="239"/>
      <c r="EP49" s="239"/>
      <c r="EQ49" s="239"/>
      <c r="ER49" s="239"/>
      <c r="ES49" s="239"/>
      <c r="ET49" s="239"/>
      <c r="EU49" s="239"/>
      <c r="EV49" s="239"/>
      <c r="EW49" s="239"/>
      <c r="EX49" s="239"/>
      <c r="EY49" s="239"/>
      <c r="EZ49" s="239"/>
      <c r="FA49" s="239"/>
      <c r="FB49" s="239"/>
      <c r="FC49" s="239"/>
      <c r="FD49" s="239"/>
      <c r="FE49" s="239"/>
      <c r="FF49" s="239"/>
      <c r="FG49" s="239"/>
      <c r="FH49" s="239"/>
      <c r="FI49" s="239"/>
      <c r="FJ49" s="239"/>
      <c r="FK49" s="239"/>
      <c r="FL49" s="239"/>
      <c r="FM49" s="239"/>
      <c r="FN49" s="239"/>
      <c r="FO49" s="239"/>
      <c r="FP49" s="239"/>
      <c r="FQ49" s="239"/>
      <c r="FR49" s="239"/>
      <c r="FS49" s="239"/>
      <c r="FT49" s="239"/>
      <c r="FU49" s="239"/>
      <c r="FV49" s="239"/>
      <c r="FW49" s="239"/>
      <c r="FX49" s="239"/>
      <c r="FY49" s="239"/>
      <c r="FZ49" s="239"/>
      <c r="GA49" s="239"/>
      <c r="GB49" s="239"/>
      <c r="GC49" s="239"/>
      <c r="GD49" s="239"/>
      <c r="GE49" s="239"/>
      <c r="GF49" s="239"/>
      <c r="GG49" s="239"/>
      <c r="GH49" s="239"/>
      <c r="GI49" s="239"/>
      <c r="GJ49" s="239"/>
      <c r="GK49" s="239"/>
      <c r="GL49" s="239"/>
      <c r="GM49" s="239"/>
      <c r="GN49" s="239"/>
      <c r="GO49" s="239"/>
      <c r="GP49" s="239"/>
      <c r="GQ49" s="239"/>
      <c r="GR49" s="239"/>
      <c r="GS49" s="239"/>
      <c r="GT49" s="239"/>
      <c r="GU49" s="239"/>
      <c r="GV49" s="239"/>
      <c r="GW49" s="239"/>
      <c r="GX49" s="239"/>
      <c r="GY49" s="239"/>
      <c r="GZ49" s="239"/>
      <c r="HA49" s="239"/>
      <c r="HB49" s="239"/>
      <c r="HC49" s="239"/>
      <c r="HD49" s="239"/>
      <c r="HE49" s="239"/>
      <c r="HF49" s="239"/>
      <c r="HG49" s="239"/>
      <c r="HH49" s="239"/>
      <c r="HI49" s="239"/>
      <c r="HJ49" s="239"/>
      <c r="HK49" s="239"/>
      <c r="HL49" s="239"/>
      <c r="HM49" s="239"/>
      <c r="HN49" s="239"/>
      <c r="HO49" s="239"/>
      <c r="HP49" s="239"/>
      <c r="HQ49" s="239"/>
      <c r="HR49" s="239"/>
      <c r="HS49" s="239"/>
      <c r="HT49" s="239"/>
      <c r="HU49" s="239"/>
      <c r="HV49" s="239"/>
      <c r="HW49" s="239"/>
      <c r="HX49" s="239"/>
      <c r="HY49" s="239"/>
      <c r="HZ49" s="239"/>
      <c r="IA49" s="239"/>
      <c r="IB49" s="239"/>
      <c r="IC49" s="239"/>
      <c r="ID49" s="239"/>
      <c r="IE49" s="239"/>
      <c r="IF49" s="239"/>
      <c r="IG49" s="239"/>
      <c r="IH49" s="239"/>
      <c r="II49" s="239"/>
      <c r="IJ49" s="239"/>
      <c r="IK49" s="239"/>
      <c r="IL49" s="239"/>
      <c r="IM49" s="239"/>
      <c r="IN49" s="239"/>
      <c r="IO49" s="239"/>
      <c r="IP49" s="239"/>
      <c r="IQ49" s="239"/>
      <c r="IR49" s="239"/>
      <c r="IS49" s="239"/>
      <c r="IT49" s="239"/>
      <c r="IU49" s="239"/>
      <c r="IV49" s="239"/>
    </row>
    <row r="50" spans="1:256">
      <c r="A50" s="235"/>
      <c r="B50" s="236"/>
      <c r="C50" s="237">
        <v>1</v>
      </c>
      <c r="D50" s="237"/>
      <c r="E50" s="237">
        <v>1</v>
      </c>
      <c r="F50" s="236">
        <v>22.89</v>
      </c>
      <c r="G50" s="236"/>
      <c r="H50" s="236">
        <v>0.23</v>
      </c>
      <c r="I50" s="216">
        <f>PRODUCT(C50:H50)</f>
        <v>5.2647000000000004</v>
      </c>
      <c r="J50" s="238"/>
      <c r="K50" s="239"/>
      <c r="L50" s="239"/>
      <c r="M50" s="239"/>
      <c r="N50" s="239"/>
      <c r="O50" s="239"/>
      <c r="P50" s="239"/>
      <c r="Q50" s="239"/>
      <c r="R50" s="239"/>
      <c r="S50" s="239"/>
      <c r="T50" s="239"/>
      <c r="U50" s="239"/>
      <c r="V50" s="239"/>
      <c r="W50" s="239"/>
      <c r="X50" s="239"/>
      <c r="Y50" s="239"/>
      <c r="Z50" s="239"/>
      <c r="AA50" s="239"/>
      <c r="AB50" s="239"/>
      <c r="AC50" s="239"/>
      <c r="AD50" s="239"/>
      <c r="AE50" s="239"/>
      <c r="AF50" s="239"/>
      <c r="AG50" s="239"/>
      <c r="AH50" s="239"/>
      <c r="AI50" s="239"/>
      <c r="AJ50" s="239"/>
      <c r="AK50" s="239"/>
      <c r="AL50" s="239"/>
      <c r="AM50" s="239"/>
      <c r="AN50" s="239"/>
      <c r="AO50" s="239"/>
      <c r="AP50" s="239"/>
      <c r="AQ50" s="239"/>
      <c r="AR50" s="239"/>
      <c r="AS50" s="239"/>
      <c r="AT50" s="239"/>
      <c r="AU50" s="239"/>
      <c r="AV50" s="239"/>
      <c r="AW50" s="239"/>
      <c r="AX50" s="239"/>
      <c r="AY50" s="239"/>
      <c r="AZ50" s="239"/>
      <c r="BA50" s="239"/>
      <c r="BB50" s="239"/>
      <c r="BC50" s="239"/>
      <c r="BD50" s="239"/>
      <c r="BE50" s="239"/>
      <c r="BF50" s="239"/>
      <c r="BG50" s="239"/>
      <c r="BH50" s="239"/>
      <c r="BI50" s="239"/>
      <c r="BJ50" s="239"/>
      <c r="BK50" s="239"/>
      <c r="BL50" s="239"/>
      <c r="BM50" s="239"/>
      <c r="BN50" s="239"/>
      <c r="BO50" s="239"/>
      <c r="BP50" s="239"/>
      <c r="BQ50" s="239"/>
      <c r="BR50" s="239"/>
      <c r="BS50" s="239"/>
      <c r="BT50" s="239"/>
      <c r="BU50" s="239"/>
      <c r="BV50" s="239"/>
      <c r="BW50" s="239"/>
      <c r="BX50" s="239"/>
      <c r="BY50" s="239"/>
      <c r="BZ50" s="239"/>
      <c r="CA50" s="239"/>
      <c r="CB50" s="239"/>
      <c r="CC50" s="239"/>
      <c r="CD50" s="239"/>
      <c r="CE50" s="239"/>
      <c r="CF50" s="239"/>
      <c r="CG50" s="239"/>
      <c r="CH50" s="239"/>
      <c r="CI50" s="239"/>
      <c r="CJ50" s="239"/>
      <c r="CK50" s="239"/>
      <c r="CL50" s="239"/>
      <c r="CM50" s="239"/>
      <c r="CN50" s="239"/>
      <c r="CO50" s="239"/>
      <c r="CP50" s="239"/>
      <c r="CQ50" s="239"/>
      <c r="CR50" s="239"/>
      <c r="CS50" s="239"/>
      <c r="CT50" s="239"/>
      <c r="CU50" s="239"/>
      <c r="CV50" s="239"/>
      <c r="CW50" s="239"/>
      <c r="CX50" s="239"/>
      <c r="CY50" s="239"/>
      <c r="CZ50" s="239"/>
      <c r="DA50" s="239"/>
      <c r="DB50" s="239"/>
      <c r="DC50" s="239"/>
      <c r="DD50" s="239"/>
      <c r="DE50" s="239"/>
      <c r="DF50" s="239"/>
      <c r="DG50" s="239"/>
      <c r="DH50" s="239"/>
      <c r="DI50" s="239"/>
      <c r="DJ50" s="239"/>
      <c r="DK50" s="239"/>
      <c r="DL50" s="239"/>
      <c r="DM50" s="239"/>
      <c r="DN50" s="239"/>
      <c r="DO50" s="239"/>
      <c r="DP50" s="239"/>
      <c r="DQ50" s="239"/>
      <c r="DR50" s="239"/>
      <c r="DS50" s="239"/>
      <c r="DT50" s="239"/>
      <c r="DU50" s="239"/>
      <c r="DV50" s="239"/>
      <c r="DW50" s="239"/>
      <c r="DX50" s="239"/>
      <c r="DY50" s="239"/>
      <c r="DZ50" s="239"/>
      <c r="EA50" s="239"/>
      <c r="EB50" s="239"/>
      <c r="EC50" s="239"/>
      <c r="ED50" s="239"/>
      <c r="EE50" s="239"/>
      <c r="EF50" s="239"/>
      <c r="EG50" s="239"/>
      <c r="EH50" s="239"/>
      <c r="EI50" s="239"/>
      <c r="EJ50" s="239"/>
      <c r="EK50" s="239"/>
      <c r="EL50" s="239"/>
      <c r="EM50" s="239"/>
      <c r="EN50" s="239"/>
      <c r="EO50" s="239"/>
      <c r="EP50" s="239"/>
      <c r="EQ50" s="239"/>
      <c r="ER50" s="239"/>
      <c r="ES50" s="239"/>
      <c r="ET50" s="239"/>
      <c r="EU50" s="239"/>
      <c r="EV50" s="239"/>
      <c r="EW50" s="239"/>
      <c r="EX50" s="239"/>
      <c r="EY50" s="239"/>
      <c r="EZ50" s="239"/>
      <c r="FA50" s="239"/>
      <c r="FB50" s="239"/>
      <c r="FC50" s="239"/>
      <c r="FD50" s="239"/>
      <c r="FE50" s="239"/>
      <c r="FF50" s="239"/>
      <c r="FG50" s="239"/>
      <c r="FH50" s="239"/>
      <c r="FI50" s="239"/>
      <c r="FJ50" s="239"/>
      <c r="FK50" s="239"/>
      <c r="FL50" s="239"/>
      <c r="FM50" s="239"/>
      <c r="FN50" s="239"/>
      <c r="FO50" s="239"/>
      <c r="FP50" s="239"/>
      <c r="FQ50" s="239"/>
      <c r="FR50" s="239"/>
      <c r="FS50" s="239"/>
      <c r="FT50" s="239"/>
      <c r="FU50" s="239"/>
      <c r="FV50" s="239"/>
      <c r="FW50" s="239"/>
      <c r="FX50" s="239"/>
      <c r="FY50" s="239"/>
      <c r="FZ50" s="239"/>
      <c r="GA50" s="239"/>
      <c r="GB50" s="239"/>
      <c r="GC50" s="239"/>
      <c r="GD50" s="239"/>
      <c r="GE50" s="239"/>
      <c r="GF50" s="239"/>
      <c r="GG50" s="239"/>
      <c r="GH50" s="239"/>
      <c r="GI50" s="239"/>
      <c r="GJ50" s="239"/>
      <c r="GK50" s="239"/>
      <c r="GL50" s="239"/>
      <c r="GM50" s="239"/>
      <c r="GN50" s="239"/>
      <c r="GO50" s="239"/>
      <c r="GP50" s="239"/>
      <c r="GQ50" s="239"/>
      <c r="GR50" s="239"/>
      <c r="GS50" s="239"/>
      <c r="GT50" s="239"/>
      <c r="GU50" s="239"/>
      <c r="GV50" s="239"/>
      <c r="GW50" s="239"/>
      <c r="GX50" s="239"/>
      <c r="GY50" s="239"/>
      <c r="GZ50" s="239"/>
      <c r="HA50" s="239"/>
      <c r="HB50" s="239"/>
      <c r="HC50" s="239"/>
      <c r="HD50" s="239"/>
      <c r="HE50" s="239"/>
      <c r="HF50" s="239"/>
      <c r="HG50" s="239"/>
      <c r="HH50" s="239"/>
      <c r="HI50" s="239"/>
      <c r="HJ50" s="239"/>
      <c r="HK50" s="239"/>
      <c r="HL50" s="239"/>
      <c r="HM50" s="239"/>
      <c r="HN50" s="239"/>
      <c r="HO50" s="239"/>
      <c r="HP50" s="239"/>
      <c r="HQ50" s="239"/>
      <c r="HR50" s="239"/>
      <c r="HS50" s="239"/>
      <c r="HT50" s="239"/>
      <c r="HU50" s="239"/>
      <c r="HV50" s="239"/>
      <c r="HW50" s="239"/>
      <c r="HX50" s="239"/>
      <c r="HY50" s="239"/>
      <c r="HZ50" s="239"/>
      <c r="IA50" s="239"/>
      <c r="IB50" s="239"/>
      <c r="IC50" s="239"/>
      <c r="ID50" s="239"/>
      <c r="IE50" s="239"/>
      <c r="IF50" s="239"/>
      <c r="IG50" s="239"/>
      <c r="IH50" s="239"/>
      <c r="II50" s="239"/>
      <c r="IJ50" s="239"/>
      <c r="IK50" s="239"/>
      <c r="IL50" s="239"/>
      <c r="IM50" s="239"/>
      <c r="IN50" s="239"/>
      <c r="IO50" s="239"/>
      <c r="IP50" s="239"/>
      <c r="IQ50" s="239"/>
      <c r="IR50" s="239"/>
      <c r="IS50" s="239"/>
      <c r="IT50" s="239"/>
      <c r="IU50" s="239"/>
      <c r="IV50" s="239"/>
    </row>
    <row r="51" spans="1:256">
      <c r="A51" s="213"/>
      <c r="B51" s="226"/>
      <c r="C51" s="213"/>
      <c r="D51" s="213"/>
      <c r="E51" s="213"/>
      <c r="F51" s="215"/>
      <c r="G51" s="215"/>
      <c r="H51" s="227"/>
      <c r="I51" s="221">
        <f>SUM(I48:I50)</f>
        <v>19.061700000000002</v>
      </c>
      <c r="J51" s="222"/>
    </row>
    <row r="52" spans="1:256">
      <c r="A52" s="213"/>
      <c r="B52" s="226"/>
      <c r="C52" s="213"/>
      <c r="D52" s="213"/>
      <c r="E52" s="213"/>
      <c r="F52" s="215"/>
      <c r="G52" s="215"/>
      <c r="H52" s="227" t="s">
        <v>25</v>
      </c>
      <c r="I52" s="221">
        <f>CEILING(I51,0.1)</f>
        <v>19.100000000000001</v>
      </c>
      <c r="J52" s="222" t="s">
        <v>247</v>
      </c>
    </row>
    <row r="53" spans="1:256">
      <c r="A53" s="213"/>
      <c r="B53" s="226"/>
      <c r="C53" s="213"/>
      <c r="D53" s="213"/>
      <c r="E53" s="213"/>
      <c r="F53" s="215"/>
      <c r="G53" s="215"/>
      <c r="H53" s="227"/>
      <c r="I53" s="221"/>
      <c r="J53" s="222"/>
    </row>
    <row r="54" spans="1:256">
      <c r="A54" s="213"/>
      <c r="B54" s="226"/>
      <c r="C54" s="213"/>
      <c r="D54" s="213"/>
      <c r="E54" s="213"/>
      <c r="F54" s="215"/>
      <c r="G54" s="215"/>
      <c r="H54" s="227"/>
      <c r="I54" s="221"/>
      <c r="J54" s="222"/>
    </row>
    <row r="55" spans="1:256" ht="47.25">
      <c r="A55" s="213">
        <v>8</v>
      </c>
      <c r="B55" s="226" t="s">
        <v>249</v>
      </c>
      <c r="C55" s="213"/>
      <c r="D55" s="213"/>
      <c r="E55" s="213"/>
      <c r="F55" s="215"/>
      <c r="G55" s="215"/>
      <c r="H55" s="227"/>
      <c r="I55" s="221"/>
      <c r="J55" s="222"/>
    </row>
    <row r="56" spans="1:256">
      <c r="A56" s="213"/>
      <c r="B56" s="226" t="s">
        <v>250</v>
      </c>
      <c r="C56" s="213"/>
      <c r="D56" s="213"/>
      <c r="E56" s="213"/>
      <c r="F56" s="215"/>
      <c r="G56" s="215"/>
      <c r="H56" s="227"/>
      <c r="I56" s="221"/>
      <c r="J56" s="222"/>
    </row>
    <row r="57" spans="1:256">
      <c r="A57" s="213"/>
      <c r="B57" s="219" t="s">
        <v>251</v>
      </c>
      <c r="C57" s="213">
        <v>1</v>
      </c>
      <c r="D57" s="213"/>
      <c r="E57" s="213">
        <v>2</v>
      </c>
      <c r="F57" s="216">
        <v>57.92</v>
      </c>
      <c r="G57" s="215"/>
      <c r="H57" s="232">
        <v>3.8</v>
      </c>
      <c r="I57" s="216">
        <f t="shared" ref="I57:I72" si="3">PRODUCT(C57:H57)</f>
        <v>440.19200000000001</v>
      </c>
      <c r="J57" s="222"/>
    </row>
    <row r="58" spans="1:256">
      <c r="A58" s="235"/>
      <c r="B58" s="236" t="s">
        <v>252</v>
      </c>
      <c r="C58" s="237">
        <v>2</v>
      </c>
      <c r="D58" s="237"/>
      <c r="E58" s="237">
        <v>10</v>
      </c>
      <c r="F58" s="236">
        <v>0.12</v>
      </c>
      <c r="G58" s="236"/>
      <c r="H58" s="236">
        <v>3.8</v>
      </c>
      <c r="I58" s="216">
        <f t="shared" si="3"/>
        <v>9.1199999999999992</v>
      </c>
      <c r="J58" s="238"/>
      <c r="K58" s="239"/>
      <c r="L58" s="239"/>
      <c r="M58" s="239"/>
      <c r="N58" s="239"/>
      <c r="O58" s="239"/>
      <c r="P58" s="239"/>
      <c r="Q58" s="239"/>
      <c r="R58" s="239"/>
      <c r="S58" s="239"/>
      <c r="T58" s="239"/>
      <c r="U58" s="239"/>
      <c r="V58" s="239"/>
      <c r="W58" s="239"/>
      <c r="X58" s="239"/>
      <c r="Y58" s="239"/>
      <c r="Z58" s="239"/>
      <c r="AA58" s="239"/>
      <c r="AB58" s="239"/>
      <c r="AC58" s="239"/>
      <c r="AD58" s="239"/>
      <c r="AE58" s="239"/>
      <c r="AF58" s="239"/>
      <c r="AG58" s="239"/>
      <c r="AH58" s="239"/>
      <c r="AI58" s="239"/>
      <c r="AJ58" s="239"/>
      <c r="AK58" s="239"/>
      <c r="AL58" s="239"/>
      <c r="AM58" s="239"/>
      <c r="AN58" s="239"/>
      <c r="AO58" s="239"/>
      <c r="AP58" s="239"/>
      <c r="AQ58" s="239"/>
      <c r="AR58" s="239"/>
      <c r="AS58" s="239"/>
      <c r="AT58" s="239"/>
      <c r="AU58" s="239"/>
      <c r="AV58" s="239"/>
      <c r="AW58" s="239"/>
      <c r="AX58" s="239"/>
      <c r="AY58" s="239"/>
      <c r="AZ58" s="239"/>
      <c r="BA58" s="239"/>
      <c r="BB58" s="239"/>
      <c r="BC58" s="239"/>
      <c r="BD58" s="239"/>
      <c r="BE58" s="239"/>
      <c r="BF58" s="239"/>
      <c r="BG58" s="239"/>
      <c r="BH58" s="239"/>
      <c r="BI58" s="239"/>
      <c r="BJ58" s="239"/>
      <c r="BK58" s="239"/>
      <c r="BL58" s="239"/>
      <c r="BM58" s="239"/>
      <c r="BN58" s="239"/>
      <c r="BO58" s="239"/>
      <c r="BP58" s="239"/>
      <c r="BQ58" s="239"/>
      <c r="BR58" s="239"/>
      <c r="BS58" s="239"/>
      <c r="BT58" s="239"/>
      <c r="BU58" s="239"/>
      <c r="BV58" s="239"/>
      <c r="BW58" s="239"/>
      <c r="BX58" s="239"/>
      <c r="BY58" s="239"/>
      <c r="BZ58" s="239"/>
      <c r="CA58" s="239"/>
      <c r="CB58" s="239"/>
      <c r="CC58" s="239"/>
      <c r="CD58" s="239"/>
      <c r="CE58" s="239"/>
      <c r="CF58" s="239"/>
      <c r="CG58" s="239"/>
      <c r="CH58" s="239"/>
      <c r="CI58" s="239"/>
      <c r="CJ58" s="239"/>
      <c r="CK58" s="239"/>
      <c r="CL58" s="239"/>
      <c r="CM58" s="239"/>
      <c r="CN58" s="239"/>
      <c r="CO58" s="239"/>
      <c r="CP58" s="239"/>
      <c r="CQ58" s="239"/>
      <c r="CR58" s="239"/>
      <c r="CS58" s="239"/>
      <c r="CT58" s="239"/>
      <c r="CU58" s="239"/>
      <c r="CV58" s="239"/>
      <c r="CW58" s="239"/>
      <c r="CX58" s="239"/>
      <c r="CY58" s="239"/>
      <c r="CZ58" s="239"/>
      <c r="DA58" s="239"/>
      <c r="DB58" s="239"/>
      <c r="DC58" s="239"/>
      <c r="DD58" s="239"/>
      <c r="DE58" s="239"/>
      <c r="DF58" s="239"/>
      <c r="DG58" s="239"/>
      <c r="DH58" s="239"/>
      <c r="DI58" s="239"/>
      <c r="DJ58" s="239"/>
      <c r="DK58" s="239"/>
      <c r="DL58" s="239"/>
      <c r="DM58" s="239"/>
      <c r="DN58" s="239"/>
      <c r="DO58" s="239"/>
      <c r="DP58" s="239"/>
      <c r="DQ58" s="239"/>
      <c r="DR58" s="239"/>
      <c r="DS58" s="239"/>
      <c r="DT58" s="239"/>
      <c r="DU58" s="239"/>
      <c r="DV58" s="239"/>
      <c r="DW58" s="239"/>
      <c r="DX58" s="239"/>
      <c r="DY58" s="239"/>
      <c r="DZ58" s="239"/>
      <c r="EA58" s="239"/>
      <c r="EB58" s="239"/>
      <c r="EC58" s="239"/>
      <c r="ED58" s="239"/>
      <c r="EE58" s="239"/>
      <c r="EF58" s="239"/>
      <c r="EG58" s="239"/>
      <c r="EH58" s="239"/>
      <c r="EI58" s="239"/>
      <c r="EJ58" s="239"/>
      <c r="EK58" s="239"/>
      <c r="EL58" s="239"/>
      <c r="EM58" s="239"/>
      <c r="EN58" s="239"/>
      <c r="EO58" s="239"/>
      <c r="EP58" s="239"/>
      <c r="EQ58" s="239"/>
      <c r="ER58" s="239"/>
      <c r="ES58" s="239"/>
      <c r="ET58" s="239"/>
      <c r="EU58" s="239"/>
      <c r="EV58" s="239"/>
      <c r="EW58" s="239"/>
      <c r="EX58" s="239"/>
      <c r="EY58" s="239"/>
      <c r="EZ58" s="239"/>
      <c r="FA58" s="239"/>
      <c r="FB58" s="239"/>
      <c r="FC58" s="239"/>
      <c r="FD58" s="239"/>
      <c r="FE58" s="239"/>
      <c r="FF58" s="239"/>
      <c r="FG58" s="239"/>
      <c r="FH58" s="239"/>
      <c r="FI58" s="239"/>
      <c r="FJ58" s="239"/>
      <c r="FK58" s="239"/>
      <c r="FL58" s="239"/>
      <c r="FM58" s="239"/>
      <c r="FN58" s="239"/>
      <c r="FO58" s="239"/>
      <c r="FP58" s="239"/>
      <c r="FQ58" s="239"/>
      <c r="FR58" s="239"/>
      <c r="FS58" s="239"/>
      <c r="FT58" s="239"/>
      <c r="FU58" s="239"/>
      <c r="FV58" s="239"/>
      <c r="FW58" s="239"/>
      <c r="FX58" s="239"/>
      <c r="FY58" s="239"/>
      <c r="FZ58" s="239"/>
      <c r="GA58" s="239"/>
      <c r="GB58" s="239"/>
      <c r="GC58" s="239"/>
      <c r="GD58" s="239"/>
      <c r="GE58" s="239"/>
      <c r="GF58" s="239"/>
      <c r="GG58" s="239"/>
      <c r="GH58" s="239"/>
      <c r="GI58" s="239"/>
      <c r="GJ58" s="239"/>
      <c r="GK58" s="239"/>
      <c r="GL58" s="239"/>
      <c r="GM58" s="239"/>
      <c r="GN58" s="239"/>
      <c r="GO58" s="239"/>
      <c r="GP58" s="239"/>
      <c r="GQ58" s="239"/>
      <c r="GR58" s="239"/>
      <c r="GS58" s="239"/>
      <c r="GT58" s="239"/>
      <c r="GU58" s="239"/>
      <c r="GV58" s="239"/>
      <c r="GW58" s="239"/>
      <c r="GX58" s="239"/>
      <c r="GY58" s="239"/>
      <c r="GZ58" s="239"/>
      <c r="HA58" s="239"/>
      <c r="HB58" s="239"/>
      <c r="HC58" s="239"/>
      <c r="HD58" s="239"/>
      <c r="HE58" s="239"/>
      <c r="HF58" s="239"/>
      <c r="HG58" s="239"/>
      <c r="HH58" s="239"/>
      <c r="HI58" s="239"/>
      <c r="HJ58" s="239"/>
      <c r="HK58" s="239"/>
      <c r="HL58" s="239"/>
      <c r="HM58" s="239"/>
      <c r="HN58" s="239"/>
      <c r="HO58" s="239"/>
      <c r="HP58" s="239"/>
      <c r="HQ58" s="239"/>
      <c r="HR58" s="239"/>
      <c r="HS58" s="239"/>
      <c r="HT58" s="239"/>
      <c r="HU58" s="239"/>
      <c r="HV58" s="239"/>
      <c r="HW58" s="239"/>
      <c r="HX58" s="239"/>
      <c r="HY58" s="239"/>
      <c r="HZ58" s="239"/>
      <c r="IA58" s="239"/>
      <c r="IB58" s="239"/>
      <c r="IC58" s="239"/>
      <c r="ID58" s="239"/>
      <c r="IE58" s="239"/>
      <c r="IF58" s="239"/>
      <c r="IG58" s="239"/>
      <c r="IH58" s="239"/>
      <c r="II58" s="239"/>
      <c r="IJ58" s="239"/>
      <c r="IK58" s="239"/>
      <c r="IL58" s="239"/>
      <c r="IM58" s="239"/>
      <c r="IN58" s="239"/>
      <c r="IO58" s="239"/>
      <c r="IP58" s="239"/>
      <c r="IQ58" s="239"/>
      <c r="IR58" s="239"/>
      <c r="IS58" s="239"/>
      <c r="IT58" s="239"/>
      <c r="IU58" s="239"/>
      <c r="IV58" s="239"/>
    </row>
    <row r="59" spans="1:256">
      <c r="A59" s="235"/>
      <c r="B59" s="236" t="s">
        <v>253</v>
      </c>
      <c r="C59" s="237">
        <v>3</v>
      </c>
      <c r="D59" s="237"/>
      <c r="E59" s="237">
        <v>1</v>
      </c>
      <c r="F59" s="236">
        <v>28.16</v>
      </c>
      <c r="G59" s="236">
        <v>0.08</v>
      </c>
      <c r="H59" s="236"/>
      <c r="I59" s="216">
        <f t="shared" si="3"/>
        <v>6.7584000000000009</v>
      </c>
      <c r="J59" s="238"/>
      <c r="K59" s="239"/>
      <c r="L59" s="239"/>
      <c r="M59" s="239"/>
      <c r="N59" s="239"/>
      <c r="O59" s="239"/>
      <c r="P59" s="239"/>
      <c r="Q59" s="239"/>
      <c r="R59" s="239"/>
      <c r="S59" s="239"/>
      <c r="T59" s="239"/>
      <c r="U59" s="239"/>
      <c r="V59" s="239"/>
      <c r="W59" s="239"/>
      <c r="X59" s="239"/>
      <c r="Y59" s="239"/>
      <c r="Z59" s="239"/>
      <c r="AA59" s="239"/>
      <c r="AB59" s="239"/>
      <c r="AC59" s="239"/>
      <c r="AD59" s="239"/>
      <c r="AE59" s="239"/>
      <c r="AF59" s="239"/>
      <c r="AG59" s="239"/>
      <c r="AH59" s="239"/>
      <c r="AI59" s="239"/>
      <c r="AJ59" s="239"/>
      <c r="AK59" s="239"/>
      <c r="AL59" s="239"/>
      <c r="AM59" s="239"/>
      <c r="AN59" s="239"/>
      <c r="AO59" s="239"/>
      <c r="AP59" s="239"/>
      <c r="AQ59" s="239"/>
      <c r="AR59" s="239"/>
      <c r="AS59" s="239"/>
      <c r="AT59" s="239"/>
      <c r="AU59" s="239"/>
      <c r="AV59" s="239"/>
      <c r="AW59" s="239"/>
      <c r="AX59" s="239"/>
      <c r="AY59" s="239"/>
      <c r="AZ59" s="239"/>
      <c r="BA59" s="239"/>
      <c r="BB59" s="239"/>
      <c r="BC59" s="239"/>
      <c r="BD59" s="239"/>
      <c r="BE59" s="239"/>
      <c r="BF59" s="239"/>
      <c r="BG59" s="239"/>
      <c r="BH59" s="239"/>
      <c r="BI59" s="239"/>
      <c r="BJ59" s="239"/>
      <c r="BK59" s="239"/>
      <c r="BL59" s="239"/>
      <c r="BM59" s="239"/>
      <c r="BN59" s="239"/>
      <c r="BO59" s="239"/>
      <c r="BP59" s="239"/>
      <c r="BQ59" s="239"/>
      <c r="BR59" s="239"/>
      <c r="BS59" s="239"/>
      <c r="BT59" s="239"/>
      <c r="BU59" s="239"/>
      <c r="BV59" s="239"/>
      <c r="BW59" s="239"/>
      <c r="BX59" s="239"/>
      <c r="BY59" s="239"/>
      <c r="BZ59" s="239"/>
      <c r="CA59" s="239"/>
      <c r="CB59" s="239"/>
      <c r="CC59" s="239"/>
      <c r="CD59" s="239"/>
      <c r="CE59" s="239"/>
      <c r="CF59" s="239"/>
      <c r="CG59" s="239"/>
      <c r="CH59" s="239"/>
      <c r="CI59" s="239"/>
      <c r="CJ59" s="239"/>
      <c r="CK59" s="239"/>
      <c r="CL59" s="239"/>
      <c r="CM59" s="239"/>
      <c r="CN59" s="239"/>
      <c r="CO59" s="239"/>
      <c r="CP59" s="239"/>
      <c r="CQ59" s="239"/>
      <c r="CR59" s="239"/>
      <c r="CS59" s="239"/>
      <c r="CT59" s="239"/>
      <c r="CU59" s="239"/>
      <c r="CV59" s="239"/>
      <c r="CW59" s="239"/>
      <c r="CX59" s="239"/>
      <c r="CY59" s="239"/>
      <c r="CZ59" s="239"/>
      <c r="DA59" s="239"/>
      <c r="DB59" s="239"/>
      <c r="DC59" s="239"/>
      <c r="DD59" s="239"/>
      <c r="DE59" s="239"/>
      <c r="DF59" s="239"/>
      <c r="DG59" s="239"/>
      <c r="DH59" s="239"/>
      <c r="DI59" s="239"/>
      <c r="DJ59" s="239"/>
      <c r="DK59" s="239"/>
      <c r="DL59" s="239"/>
      <c r="DM59" s="239"/>
      <c r="DN59" s="239"/>
      <c r="DO59" s="239"/>
      <c r="DP59" s="239"/>
      <c r="DQ59" s="239"/>
      <c r="DR59" s="239"/>
      <c r="DS59" s="239"/>
      <c r="DT59" s="239"/>
      <c r="DU59" s="239"/>
      <c r="DV59" s="239"/>
      <c r="DW59" s="239"/>
      <c r="DX59" s="239"/>
      <c r="DY59" s="239"/>
      <c r="DZ59" s="239"/>
      <c r="EA59" s="239"/>
      <c r="EB59" s="239"/>
      <c r="EC59" s="239"/>
      <c r="ED59" s="239"/>
      <c r="EE59" s="239"/>
      <c r="EF59" s="239"/>
      <c r="EG59" s="239"/>
      <c r="EH59" s="239"/>
      <c r="EI59" s="239"/>
      <c r="EJ59" s="239"/>
      <c r="EK59" s="239"/>
      <c r="EL59" s="239"/>
      <c r="EM59" s="239"/>
      <c r="EN59" s="239"/>
      <c r="EO59" s="239"/>
      <c r="EP59" s="239"/>
      <c r="EQ59" s="239"/>
      <c r="ER59" s="239"/>
      <c r="ES59" s="239"/>
      <c r="ET59" s="239"/>
      <c r="EU59" s="239"/>
      <c r="EV59" s="239"/>
      <c r="EW59" s="239"/>
      <c r="EX59" s="239"/>
      <c r="EY59" s="239"/>
      <c r="EZ59" s="239"/>
      <c r="FA59" s="239"/>
      <c r="FB59" s="239"/>
      <c r="FC59" s="239"/>
      <c r="FD59" s="239"/>
      <c r="FE59" s="239"/>
      <c r="FF59" s="239"/>
      <c r="FG59" s="239"/>
      <c r="FH59" s="239"/>
      <c r="FI59" s="239"/>
      <c r="FJ59" s="239"/>
      <c r="FK59" s="239"/>
      <c r="FL59" s="239"/>
      <c r="FM59" s="239"/>
      <c r="FN59" s="239"/>
      <c r="FO59" s="239"/>
      <c r="FP59" s="239"/>
      <c r="FQ59" s="239"/>
      <c r="FR59" s="239"/>
      <c r="FS59" s="239"/>
      <c r="FT59" s="239"/>
      <c r="FU59" s="239"/>
      <c r="FV59" s="239"/>
      <c r="FW59" s="239"/>
      <c r="FX59" s="239"/>
      <c r="FY59" s="239"/>
      <c r="FZ59" s="239"/>
      <c r="GA59" s="239"/>
      <c r="GB59" s="239"/>
      <c r="GC59" s="239"/>
      <c r="GD59" s="239"/>
      <c r="GE59" s="239"/>
      <c r="GF59" s="239"/>
      <c r="GG59" s="239"/>
      <c r="GH59" s="239"/>
      <c r="GI59" s="239"/>
      <c r="GJ59" s="239"/>
      <c r="GK59" s="239"/>
      <c r="GL59" s="239"/>
      <c r="GM59" s="239"/>
      <c r="GN59" s="239"/>
      <c r="GO59" s="239"/>
      <c r="GP59" s="239"/>
      <c r="GQ59" s="239"/>
      <c r="GR59" s="239"/>
      <c r="GS59" s="239"/>
      <c r="GT59" s="239"/>
      <c r="GU59" s="239"/>
      <c r="GV59" s="239"/>
      <c r="GW59" s="239"/>
      <c r="GX59" s="239"/>
      <c r="GY59" s="239"/>
      <c r="GZ59" s="239"/>
      <c r="HA59" s="239"/>
      <c r="HB59" s="239"/>
      <c r="HC59" s="239"/>
      <c r="HD59" s="239"/>
      <c r="HE59" s="239"/>
      <c r="HF59" s="239"/>
      <c r="HG59" s="239"/>
      <c r="HH59" s="239"/>
      <c r="HI59" s="239"/>
      <c r="HJ59" s="239"/>
      <c r="HK59" s="239"/>
      <c r="HL59" s="239"/>
      <c r="HM59" s="239"/>
      <c r="HN59" s="239"/>
      <c r="HO59" s="239"/>
      <c r="HP59" s="239"/>
      <c r="HQ59" s="239"/>
      <c r="HR59" s="239"/>
      <c r="HS59" s="239"/>
      <c r="HT59" s="239"/>
      <c r="HU59" s="239"/>
      <c r="HV59" s="239"/>
      <c r="HW59" s="239"/>
      <c r="HX59" s="239"/>
      <c r="HY59" s="239"/>
      <c r="HZ59" s="239"/>
      <c r="IA59" s="239"/>
      <c r="IB59" s="239"/>
      <c r="IC59" s="239"/>
      <c r="ID59" s="239"/>
      <c r="IE59" s="239"/>
      <c r="IF59" s="239"/>
      <c r="IG59" s="239"/>
      <c r="IH59" s="239"/>
      <c r="II59" s="239"/>
      <c r="IJ59" s="239"/>
      <c r="IK59" s="239"/>
      <c r="IL59" s="239"/>
      <c r="IM59" s="239"/>
      <c r="IN59" s="239"/>
      <c r="IO59" s="239"/>
      <c r="IP59" s="239"/>
      <c r="IQ59" s="239"/>
      <c r="IR59" s="239"/>
      <c r="IS59" s="239"/>
      <c r="IT59" s="239"/>
      <c r="IU59" s="239"/>
      <c r="IV59" s="239"/>
    </row>
    <row r="60" spans="1:256">
      <c r="A60" s="235"/>
      <c r="B60" s="236"/>
      <c r="C60" s="237">
        <v>3</v>
      </c>
      <c r="D60" s="237"/>
      <c r="E60" s="237">
        <v>1</v>
      </c>
      <c r="F60" s="236">
        <v>29.5</v>
      </c>
      <c r="G60" s="236">
        <v>0.08</v>
      </c>
      <c r="H60" s="236"/>
      <c r="I60" s="216">
        <f t="shared" si="3"/>
        <v>7.08</v>
      </c>
      <c r="J60" s="238"/>
      <c r="K60" s="239"/>
      <c r="L60" s="239"/>
      <c r="M60" s="239"/>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39"/>
      <c r="AM60" s="239"/>
      <c r="AN60" s="239"/>
      <c r="AO60" s="239"/>
      <c r="AP60" s="239"/>
      <c r="AQ60" s="239"/>
      <c r="AR60" s="239"/>
      <c r="AS60" s="239"/>
      <c r="AT60" s="239"/>
      <c r="AU60" s="239"/>
      <c r="AV60" s="239"/>
      <c r="AW60" s="239"/>
      <c r="AX60" s="239"/>
      <c r="AY60" s="239"/>
      <c r="AZ60" s="239"/>
      <c r="BA60" s="239"/>
      <c r="BB60" s="239"/>
      <c r="BC60" s="239"/>
      <c r="BD60" s="239"/>
      <c r="BE60" s="239"/>
      <c r="BF60" s="239"/>
      <c r="BG60" s="239"/>
      <c r="BH60" s="239"/>
      <c r="BI60" s="239"/>
      <c r="BJ60" s="239"/>
      <c r="BK60" s="239"/>
      <c r="BL60" s="239"/>
      <c r="BM60" s="239"/>
      <c r="BN60" s="239"/>
      <c r="BO60" s="239"/>
      <c r="BP60" s="239"/>
      <c r="BQ60" s="239"/>
      <c r="BR60" s="239"/>
      <c r="BS60" s="239"/>
      <c r="BT60" s="239"/>
      <c r="BU60" s="239"/>
      <c r="BV60" s="239"/>
      <c r="BW60" s="239"/>
      <c r="BX60" s="239"/>
      <c r="BY60" s="239"/>
      <c r="BZ60" s="239"/>
      <c r="CA60" s="239"/>
      <c r="CB60" s="239"/>
      <c r="CC60" s="239"/>
      <c r="CD60" s="239"/>
      <c r="CE60" s="239"/>
      <c r="CF60" s="239"/>
      <c r="CG60" s="239"/>
      <c r="CH60" s="239"/>
      <c r="CI60" s="239"/>
      <c r="CJ60" s="239"/>
      <c r="CK60" s="239"/>
      <c r="CL60" s="239"/>
      <c r="CM60" s="239"/>
      <c r="CN60" s="239"/>
      <c r="CO60" s="239"/>
      <c r="CP60" s="239"/>
      <c r="CQ60" s="239"/>
      <c r="CR60" s="239"/>
      <c r="CS60" s="239"/>
      <c r="CT60" s="239"/>
      <c r="CU60" s="239"/>
      <c r="CV60" s="239"/>
      <c r="CW60" s="239"/>
      <c r="CX60" s="239"/>
      <c r="CY60" s="239"/>
      <c r="CZ60" s="239"/>
      <c r="DA60" s="239"/>
      <c r="DB60" s="239"/>
      <c r="DC60" s="239"/>
      <c r="DD60" s="239"/>
      <c r="DE60" s="239"/>
      <c r="DF60" s="239"/>
      <c r="DG60" s="239"/>
      <c r="DH60" s="239"/>
      <c r="DI60" s="239"/>
      <c r="DJ60" s="239"/>
      <c r="DK60" s="239"/>
      <c r="DL60" s="239"/>
      <c r="DM60" s="239"/>
      <c r="DN60" s="239"/>
      <c r="DO60" s="239"/>
      <c r="DP60" s="239"/>
      <c r="DQ60" s="239"/>
      <c r="DR60" s="239"/>
      <c r="DS60" s="239"/>
      <c r="DT60" s="239"/>
      <c r="DU60" s="239"/>
      <c r="DV60" s="239"/>
      <c r="DW60" s="239"/>
      <c r="DX60" s="239"/>
      <c r="DY60" s="239"/>
      <c r="DZ60" s="239"/>
      <c r="EA60" s="239"/>
      <c r="EB60" s="239"/>
      <c r="EC60" s="239"/>
      <c r="ED60" s="239"/>
      <c r="EE60" s="239"/>
      <c r="EF60" s="239"/>
      <c r="EG60" s="239"/>
      <c r="EH60" s="239"/>
      <c r="EI60" s="239"/>
      <c r="EJ60" s="239"/>
      <c r="EK60" s="239"/>
      <c r="EL60" s="239"/>
      <c r="EM60" s="239"/>
      <c r="EN60" s="239"/>
      <c r="EO60" s="239"/>
      <c r="EP60" s="239"/>
      <c r="EQ60" s="239"/>
      <c r="ER60" s="239"/>
      <c r="ES60" s="239"/>
      <c r="ET60" s="239"/>
      <c r="EU60" s="239"/>
      <c r="EV60" s="239"/>
      <c r="EW60" s="239"/>
      <c r="EX60" s="239"/>
      <c r="EY60" s="239"/>
      <c r="EZ60" s="239"/>
      <c r="FA60" s="239"/>
      <c r="FB60" s="239"/>
      <c r="FC60" s="239"/>
      <c r="FD60" s="239"/>
      <c r="FE60" s="239"/>
      <c r="FF60" s="239"/>
      <c r="FG60" s="239"/>
      <c r="FH60" s="239"/>
      <c r="FI60" s="239"/>
      <c r="FJ60" s="239"/>
      <c r="FK60" s="239"/>
      <c r="FL60" s="239"/>
      <c r="FM60" s="239"/>
      <c r="FN60" s="239"/>
      <c r="FO60" s="239"/>
      <c r="FP60" s="239"/>
      <c r="FQ60" s="239"/>
      <c r="FR60" s="239"/>
      <c r="FS60" s="239"/>
      <c r="FT60" s="239"/>
      <c r="FU60" s="239"/>
      <c r="FV60" s="239"/>
      <c r="FW60" s="239"/>
      <c r="FX60" s="239"/>
      <c r="FY60" s="239"/>
      <c r="FZ60" s="239"/>
      <c r="GA60" s="239"/>
      <c r="GB60" s="239"/>
      <c r="GC60" s="239"/>
      <c r="GD60" s="239"/>
      <c r="GE60" s="239"/>
      <c r="GF60" s="239"/>
      <c r="GG60" s="239"/>
      <c r="GH60" s="239"/>
      <c r="GI60" s="239"/>
      <c r="GJ60" s="239"/>
      <c r="GK60" s="239"/>
      <c r="GL60" s="239"/>
      <c r="GM60" s="239"/>
      <c r="GN60" s="239"/>
      <c r="GO60" s="239"/>
      <c r="GP60" s="239"/>
      <c r="GQ60" s="239"/>
      <c r="GR60" s="239"/>
      <c r="GS60" s="239"/>
      <c r="GT60" s="239"/>
      <c r="GU60" s="239"/>
      <c r="GV60" s="239"/>
      <c r="GW60" s="239"/>
      <c r="GX60" s="239"/>
      <c r="GY60" s="239"/>
      <c r="GZ60" s="239"/>
      <c r="HA60" s="239"/>
      <c r="HB60" s="239"/>
      <c r="HC60" s="239"/>
      <c r="HD60" s="239"/>
      <c r="HE60" s="239"/>
      <c r="HF60" s="239"/>
      <c r="HG60" s="239"/>
      <c r="HH60" s="239"/>
      <c r="HI60" s="239"/>
      <c r="HJ60" s="239"/>
      <c r="HK60" s="239"/>
      <c r="HL60" s="239"/>
      <c r="HM60" s="239"/>
      <c r="HN60" s="239"/>
      <c r="HO60" s="239"/>
      <c r="HP60" s="239"/>
      <c r="HQ60" s="239"/>
      <c r="HR60" s="239"/>
      <c r="HS60" s="239"/>
      <c r="HT60" s="239"/>
      <c r="HU60" s="239"/>
      <c r="HV60" s="239"/>
      <c r="HW60" s="239"/>
      <c r="HX60" s="239"/>
      <c r="HY60" s="239"/>
      <c r="HZ60" s="239"/>
      <c r="IA60" s="239"/>
      <c r="IB60" s="239"/>
      <c r="IC60" s="239"/>
      <c r="ID60" s="239"/>
      <c r="IE60" s="239"/>
      <c r="IF60" s="239"/>
      <c r="IG60" s="239"/>
      <c r="IH60" s="239"/>
      <c r="II60" s="239"/>
      <c r="IJ60" s="239"/>
      <c r="IK60" s="239"/>
      <c r="IL60" s="239"/>
      <c r="IM60" s="239"/>
      <c r="IN60" s="239"/>
      <c r="IO60" s="239"/>
      <c r="IP60" s="239"/>
      <c r="IQ60" s="239"/>
      <c r="IR60" s="239"/>
      <c r="IS60" s="239"/>
      <c r="IT60" s="239"/>
      <c r="IU60" s="239"/>
      <c r="IV60" s="239"/>
    </row>
    <row r="61" spans="1:256">
      <c r="A61" s="235"/>
      <c r="B61" s="236" t="s">
        <v>254</v>
      </c>
      <c r="C61" s="237">
        <v>1</v>
      </c>
      <c r="D61" s="237"/>
      <c r="E61" s="237">
        <v>1</v>
      </c>
      <c r="F61" s="236">
        <v>9.32</v>
      </c>
      <c r="G61" s="236"/>
      <c r="H61" s="236">
        <v>3.8</v>
      </c>
      <c r="I61" s="216">
        <f t="shared" si="3"/>
        <v>35.415999999999997</v>
      </c>
      <c r="J61" s="238"/>
      <c r="K61" s="239"/>
      <c r="L61" s="239"/>
      <c r="M61" s="239"/>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39"/>
      <c r="AM61" s="239"/>
      <c r="AN61" s="239"/>
      <c r="AO61" s="239"/>
      <c r="AP61" s="239"/>
      <c r="AQ61" s="239"/>
      <c r="AR61" s="239"/>
      <c r="AS61" s="239"/>
      <c r="AT61" s="239"/>
      <c r="AU61" s="239"/>
      <c r="AV61" s="239"/>
      <c r="AW61" s="239"/>
      <c r="AX61" s="239"/>
      <c r="AY61" s="239"/>
      <c r="AZ61" s="239"/>
      <c r="BA61" s="239"/>
      <c r="BB61" s="239"/>
      <c r="BC61" s="239"/>
      <c r="BD61" s="239"/>
      <c r="BE61" s="239"/>
      <c r="BF61" s="239"/>
      <c r="BG61" s="239"/>
      <c r="BH61" s="239"/>
      <c r="BI61" s="239"/>
      <c r="BJ61" s="239"/>
      <c r="BK61" s="239"/>
      <c r="BL61" s="239"/>
      <c r="BM61" s="239"/>
      <c r="BN61" s="239"/>
      <c r="BO61" s="239"/>
      <c r="BP61" s="239"/>
      <c r="BQ61" s="239"/>
      <c r="BR61" s="239"/>
      <c r="BS61" s="239"/>
      <c r="BT61" s="239"/>
      <c r="BU61" s="239"/>
      <c r="BV61" s="239"/>
      <c r="BW61" s="239"/>
      <c r="BX61" s="239"/>
      <c r="BY61" s="239"/>
      <c r="BZ61" s="239"/>
      <c r="CA61" s="239"/>
      <c r="CB61" s="239"/>
      <c r="CC61" s="239"/>
      <c r="CD61" s="239"/>
      <c r="CE61" s="239"/>
      <c r="CF61" s="239"/>
      <c r="CG61" s="239"/>
      <c r="CH61" s="239"/>
      <c r="CI61" s="239"/>
      <c r="CJ61" s="239"/>
      <c r="CK61" s="239"/>
      <c r="CL61" s="239"/>
      <c r="CM61" s="239"/>
      <c r="CN61" s="239"/>
      <c r="CO61" s="239"/>
      <c r="CP61" s="239"/>
      <c r="CQ61" s="239"/>
      <c r="CR61" s="239"/>
      <c r="CS61" s="239"/>
      <c r="CT61" s="239"/>
      <c r="CU61" s="239"/>
      <c r="CV61" s="239"/>
      <c r="CW61" s="239"/>
      <c r="CX61" s="239"/>
      <c r="CY61" s="239"/>
      <c r="CZ61" s="239"/>
      <c r="DA61" s="239"/>
      <c r="DB61" s="239"/>
      <c r="DC61" s="239"/>
      <c r="DD61" s="239"/>
      <c r="DE61" s="239"/>
      <c r="DF61" s="239"/>
      <c r="DG61" s="239"/>
      <c r="DH61" s="239"/>
      <c r="DI61" s="239"/>
      <c r="DJ61" s="239"/>
      <c r="DK61" s="239"/>
      <c r="DL61" s="239"/>
      <c r="DM61" s="239"/>
      <c r="DN61" s="239"/>
      <c r="DO61" s="239"/>
      <c r="DP61" s="239"/>
      <c r="DQ61" s="239"/>
      <c r="DR61" s="239"/>
      <c r="DS61" s="239"/>
      <c r="DT61" s="239"/>
      <c r="DU61" s="239"/>
      <c r="DV61" s="239"/>
      <c r="DW61" s="239"/>
      <c r="DX61" s="239"/>
      <c r="DY61" s="239"/>
      <c r="DZ61" s="239"/>
      <c r="EA61" s="239"/>
      <c r="EB61" s="239"/>
      <c r="EC61" s="239"/>
      <c r="ED61" s="239"/>
      <c r="EE61" s="239"/>
      <c r="EF61" s="239"/>
      <c r="EG61" s="239"/>
      <c r="EH61" s="239"/>
      <c r="EI61" s="239"/>
      <c r="EJ61" s="239"/>
      <c r="EK61" s="239"/>
      <c r="EL61" s="239"/>
      <c r="EM61" s="239"/>
      <c r="EN61" s="239"/>
      <c r="EO61" s="239"/>
      <c r="EP61" s="239"/>
      <c r="EQ61" s="239"/>
      <c r="ER61" s="239"/>
      <c r="ES61" s="239"/>
      <c r="ET61" s="239"/>
      <c r="EU61" s="239"/>
      <c r="EV61" s="239"/>
      <c r="EW61" s="239"/>
      <c r="EX61" s="239"/>
      <c r="EY61" s="239"/>
      <c r="EZ61" s="239"/>
      <c r="FA61" s="239"/>
      <c r="FB61" s="239"/>
      <c r="FC61" s="239"/>
      <c r="FD61" s="239"/>
      <c r="FE61" s="239"/>
      <c r="FF61" s="239"/>
      <c r="FG61" s="239"/>
      <c r="FH61" s="239"/>
      <c r="FI61" s="239"/>
      <c r="FJ61" s="239"/>
      <c r="FK61" s="239"/>
      <c r="FL61" s="239"/>
      <c r="FM61" s="239"/>
      <c r="FN61" s="239"/>
      <c r="FO61" s="239"/>
      <c r="FP61" s="239"/>
      <c r="FQ61" s="239"/>
      <c r="FR61" s="239"/>
      <c r="FS61" s="239"/>
      <c r="FT61" s="239"/>
      <c r="FU61" s="239"/>
      <c r="FV61" s="239"/>
      <c r="FW61" s="239"/>
      <c r="FX61" s="239"/>
      <c r="FY61" s="239"/>
      <c r="FZ61" s="239"/>
      <c r="GA61" s="239"/>
      <c r="GB61" s="239"/>
      <c r="GC61" s="239"/>
      <c r="GD61" s="239"/>
      <c r="GE61" s="239"/>
      <c r="GF61" s="239"/>
      <c r="GG61" s="239"/>
      <c r="GH61" s="239"/>
      <c r="GI61" s="239"/>
      <c r="GJ61" s="239"/>
      <c r="GK61" s="239"/>
      <c r="GL61" s="239"/>
      <c r="GM61" s="239"/>
      <c r="GN61" s="239"/>
      <c r="GO61" s="239"/>
      <c r="GP61" s="239"/>
      <c r="GQ61" s="239"/>
      <c r="GR61" s="239"/>
      <c r="GS61" s="239"/>
      <c r="GT61" s="239"/>
      <c r="GU61" s="239"/>
      <c r="GV61" s="239"/>
      <c r="GW61" s="239"/>
      <c r="GX61" s="239"/>
      <c r="GY61" s="239"/>
      <c r="GZ61" s="239"/>
      <c r="HA61" s="239"/>
      <c r="HB61" s="239"/>
      <c r="HC61" s="239"/>
      <c r="HD61" s="239"/>
      <c r="HE61" s="239"/>
      <c r="HF61" s="239"/>
      <c r="HG61" s="239"/>
      <c r="HH61" s="239"/>
      <c r="HI61" s="239"/>
      <c r="HJ61" s="239"/>
      <c r="HK61" s="239"/>
      <c r="HL61" s="239"/>
      <c r="HM61" s="239"/>
      <c r="HN61" s="239"/>
      <c r="HO61" s="239"/>
      <c r="HP61" s="239"/>
      <c r="HQ61" s="239"/>
      <c r="HR61" s="239"/>
      <c r="HS61" s="239"/>
      <c r="HT61" s="239"/>
      <c r="HU61" s="239"/>
      <c r="HV61" s="239"/>
      <c r="HW61" s="239"/>
      <c r="HX61" s="239"/>
      <c r="HY61" s="239"/>
      <c r="HZ61" s="239"/>
      <c r="IA61" s="239"/>
      <c r="IB61" s="239"/>
      <c r="IC61" s="239"/>
      <c r="ID61" s="239"/>
      <c r="IE61" s="239"/>
      <c r="IF61" s="239"/>
      <c r="IG61" s="239"/>
      <c r="IH61" s="239"/>
      <c r="II61" s="239"/>
      <c r="IJ61" s="239"/>
      <c r="IK61" s="239"/>
      <c r="IL61" s="239"/>
      <c r="IM61" s="239"/>
      <c r="IN61" s="239"/>
      <c r="IO61" s="239"/>
      <c r="IP61" s="239"/>
      <c r="IQ61" s="239"/>
      <c r="IR61" s="239"/>
      <c r="IS61" s="239"/>
      <c r="IT61" s="239"/>
      <c r="IU61" s="239"/>
      <c r="IV61" s="239"/>
    </row>
    <row r="62" spans="1:256">
      <c r="A62" s="235"/>
      <c r="B62" s="236"/>
      <c r="C62" s="237">
        <v>1</v>
      </c>
      <c r="D62" s="237"/>
      <c r="E62" s="237">
        <v>1</v>
      </c>
      <c r="F62" s="236">
        <v>3.55</v>
      </c>
      <c r="G62" s="236"/>
      <c r="H62" s="236">
        <v>4.4000000000000004</v>
      </c>
      <c r="I62" s="216">
        <f t="shared" si="3"/>
        <v>15.620000000000001</v>
      </c>
      <c r="J62" s="238"/>
      <c r="K62" s="239"/>
      <c r="L62" s="239"/>
      <c r="M62" s="239"/>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239"/>
      <c r="AW62" s="239"/>
      <c r="AX62" s="239"/>
      <c r="AY62" s="239"/>
      <c r="AZ62" s="239"/>
      <c r="BA62" s="239"/>
      <c r="BB62" s="239"/>
      <c r="BC62" s="239"/>
      <c r="BD62" s="239"/>
      <c r="BE62" s="239"/>
      <c r="BF62" s="239"/>
      <c r="BG62" s="239"/>
      <c r="BH62" s="239"/>
      <c r="BI62" s="239"/>
      <c r="BJ62" s="239"/>
      <c r="BK62" s="239"/>
      <c r="BL62" s="239"/>
      <c r="BM62" s="239"/>
      <c r="BN62" s="239"/>
      <c r="BO62" s="239"/>
      <c r="BP62" s="239"/>
      <c r="BQ62" s="239"/>
      <c r="BR62" s="239"/>
      <c r="BS62" s="239"/>
      <c r="BT62" s="239"/>
      <c r="BU62" s="239"/>
      <c r="BV62" s="239"/>
      <c r="BW62" s="239"/>
      <c r="BX62" s="239"/>
      <c r="BY62" s="239"/>
      <c r="BZ62" s="239"/>
      <c r="CA62" s="239"/>
      <c r="CB62" s="239"/>
      <c r="CC62" s="239"/>
      <c r="CD62" s="239"/>
      <c r="CE62" s="239"/>
      <c r="CF62" s="239"/>
      <c r="CG62" s="239"/>
      <c r="CH62" s="239"/>
      <c r="CI62" s="239"/>
      <c r="CJ62" s="239"/>
      <c r="CK62" s="239"/>
      <c r="CL62" s="239"/>
      <c r="CM62" s="239"/>
      <c r="CN62" s="239"/>
      <c r="CO62" s="239"/>
      <c r="CP62" s="239"/>
      <c r="CQ62" s="239"/>
      <c r="CR62" s="239"/>
      <c r="CS62" s="239"/>
      <c r="CT62" s="239"/>
      <c r="CU62" s="239"/>
      <c r="CV62" s="239"/>
      <c r="CW62" s="239"/>
      <c r="CX62" s="239"/>
      <c r="CY62" s="239"/>
      <c r="CZ62" s="239"/>
      <c r="DA62" s="239"/>
      <c r="DB62" s="239"/>
      <c r="DC62" s="239"/>
      <c r="DD62" s="239"/>
      <c r="DE62" s="239"/>
      <c r="DF62" s="239"/>
      <c r="DG62" s="239"/>
      <c r="DH62" s="239"/>
      <c r="DI62" s="239"/>
      <c r="DJ62" s="239"/>
      <c r="DK62" s="239"/>
      <c r="DL62" s="239"/>
      <c r="DM62" s="239"/>
      <c r="DN62" s="239"/>
      <c r="DO62" s="239"/>
      <c r="DP62" s="239"/>
      <c r="DQ62" s="239"/>
      <c r="DR62" s="239"/>
      <c r="DS62" s="239"/>
      <c r="DT62" s="239"/>
      <c r="DU62" s="239"/>
      <c r="DV62" s="239"/>
      <c r="DW62" s="239"/>
      <c r="DX62" s="239"/>
      <c r="DY62" s="239"/>
      <c r="DZ62" s="239"/>
      <c r="EA62" s="239"/>
      <c r="EB62" s="239"/>
      <c r="EC62" s="239"/>
      <c r="ED62" s="239"/>
      <c r="EE62" s="239"/>
      <c r="EF62" s="239"/>
      <c r="EG62" s="239"/>
      <c r="EH62" s="239"/>
      <c r="EI62" s="239"/>
      <c r="EJ62" s="239"/>
      <c r="EK62" s="239"/>
      <c r="EL62" s="239"/>
      <c r="EM62" s="239"/>
      <c r="EN62" s="239"/>
      <c r="EO62" s="239"/>
      <c r="EP62" s="239"/>
      <c r="EQ62" s="239"/>
      <c r="ER62" s="239"/>
      <c r="ES62" s="239"/>
      <c r="ET62" s="239"/>
      <c r="EU62" s="239"/>
      <c r="EV62" s="239"/>
      <c r="EW62" s="239"/>
      <c r="EX62" s="239"/>
      <c r="EY62" s="239"/>
      <c r="EZ62" s="239"/>
      <c r="FA62" s="239"/>
      <c r="FB62" s="239"/>
      <c r="FC62" s="239"/>
      <c r="FD62" s="239"/>
      <c r="FE62" s="239"/>
      <c r="FF62" s="239"/>
      <c r="FG62" s="239"/>
      <c r="FH62" s="239"/>
      <c r="FI62" s="239"/>
      <c r="FJ62" s="239"/>
      <c r="FK62" s="239"/>
      <c r="FL62" s="239"/>
      <c r="FM62" s="239"/>
      <c r="FN62" s="239"/>
      <c r="FO62" s="239"/>
      <c r="FP62" s="239"/>
      <c r="FQ62" s="239"/>
      <c r="FR62" s="239"/>
      <c r="FS62" s="239"/>
      <c r="FT62" s="239"/>
      <c r="FU62" s="239"/>
      <c r="FV62" s="239"/>
      <c r="FW62" s="239"/>
      <c r="FX62" s="239"/>
      <c r="FY62" s="239"/>
      <c r="FZ62" s="239"/>
      <c r="GA62" s="239"/>
      <c r="GB62" s="239"/>
      <c r="GC62" s="239"/>
      <c r="GD62" s="239"/>
      <c r="GE62" s="239"/>
      <c r="GF62" s="239"/>
      <c r="GG62" s="239"/>
      <c r="GH62" s="239"/>
      <c r="GI62" s="239"/>
      <c r="GJ62" s="239"/>
      <c r="GK62" s="239"/>
      <c r="GL62" s="239"/>
      <c r="GM62" s="239"/>
      <c r="GN62" s="239"/>
      <c r="GO62" s="239"/>
      <c r="GP62" s="239"/>
      <c r="GQ62" s="239"/>
      <c r="GR62" s="239"/>
      <c r="GS62" s="239"/>
      <c r="GT62" s="239"/>
      <c r="GU62" s="239"/>
      <c r="GV62" s="239"/>
      <c r="GW62" s="239"/>
      <c r="GX62" s="239"/>
      <c r="GY62" s="239"/>
      <c r="GZ62" s="239"/>
      <c r="HA62" s="239"/>
      <c r="HB62" s="239"/>
      <c r="HC62" s="239"/>
      <c r="HD62" s="239"/>
      <c r="HE62" s="239"/>
      <c r="HF62" s="239"/>
      <c r="HG62" s="239"/>
      <c r="HH62" s="239"/>
      <c r="HI62" s="239"/>
      <c r="HJ62" s="239"/>
      <c r="HK62" s="239"/>
      <c r="HL62" s="239"/>
      <c r="HM62" s="239"/>
      <c r="HN62" s="239"/>
      <c r="HO62" s="239"/>
      <c r="HP62" s="239"/>
      <c r="HQ62" s="239"/>
      <c r="HR62" s="239"/>
      <c r="HS62" s="239"/>
      <c r="HT62" s="239"/>
      <c r="HU62" s="239"/>
      <c r="HV62" s="239"/>
      <c r="HW62" s="239"/>
      <c r="HX62" s="239"/>
      <c r="HY62" s="239"/>
      <c r="HZ62" s="239"/>
      <c r="IA62" s="239"/>
      <c r="IB62" s="239"/>
      <c r="IC62" s="239"/>
      <c r="ID62" s="239"/>
      <c r="IE62" s="239"/>
      <c r="IF62" s="239"/>
      <c r="IG62" s="239"/>
      <c r="IH62" s="239"/>
      <c r="II62" s="239"/>
      <c r="IJ62" s="239"/>
      <c r="IK62" s="239"/>
      <c r="IL62" s="239"/>
      <c r="IM62" s="239"/>
      <c r="IN62" s="239"/>
      <c r="IO62" s="239"/>
      <c r="IP62" s="239"/>
      <c r="IQ62" s="239"/>
      <c r="IR62" s="239"/>
      <c r="IS62" s="239"/>
      <c r="IT62" s="239"/>
      <c r="IU62" s="239"/>
      <c r="IV62" s="239"/>
    </row>
    <row r="63" spans="1:256">
      <c r="A63" s="235"/>
      <c r="B63" s="236" t="s">
        <v>255</v>
      </c>
      <c r="C63" s="237">
        <v>1</v>
      </c>
      <c r="D63" s="237"/>
      <c r="E63" s="237">
        <v>1</v>
      </c>
      <c r="F63" s="236">
        <v>11.26</v>
      </c>
      <c r="G63" s="236"/>
      <c r="H63" s="236">
        <v>3</v>
      </c>
      <c r="I63" s="216">
        <f t="shared" si="3"/>
        <v>33.78</v>
      </c>
      <c r="J63" s="238"/>
      <c r="K63" s="239"/>
      <c r="L63" s="239"/>
      <c r="M63" s="239"/>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39"/>
      <c r="AM63" s="239"/>
      <c r="AN63" s="239"/>
      <c r="AO63" s="239"/>
      <c r="AP63" s="239"/>
      <c r="AQ63" s="239"/>
      <c r="AR63" s="239"/>
      <c r="AS63" s="239"/>
      <c r="AT63" s="239"/>
      <c r="AU63" s="239"/>
      <c r="AV63" s="239"/>
      <c r="AW63" s="239"/>
      <c r="AX63" s="239"/>
      <c r="AY63" s="239"/>
      <c r="AZ63" s="239"/>
      <c r="BA63" s="239"/>
      <c r="BB63" s="239"/>
      <c r="BC63" s="239"/>
      <c r="BD63" s="239"/>
      <c r="BE63" s="239"/>
      <c r="BF63" s="239"/>
      <c r="BG63" s="239"/>
      <c r="BH63" s="239"/>
      <c r="BI63" s="239"/>
      <c r="BJ63" s="239"/>
      <c r="BK63" s="239"/>
      <c r="BL63" s="239"/>
      <c r="BM63" s="239"/>
      <c r="BN63" s="239"/>
      <c r="BO63" s="239"/>
      <c r="BP63" s="239"/>
      <c r="BQ63" s="239"/>
      <c r="BR63" s="239"/>
      <c r="BS63" s="239"/>
      <c r="BT63" s="239"/>
      <c r="BU63" s="239"/>
      <c r="BV63" s="239"/>
      <c r="BW63" s="239"/>
      <c r="BX63" s="239"/>
      <c r="BY63" s="239"/>
      <c r="BZ63" s="239"/>
      <c r="CA63" s="239"/>
      <c r="CB63" s="239"/>
      <c r="CC63" s="239"/>
      <c r="CD63" s="239"/>
      <c r="CE63" s="239"/>
      <c r="CF63" s="239"/>
      <c r="CG63" s="239"/>
      <c r="CH63" s="239"/>
      <c r="CI63" s="239"/>
      <c r="CJ63" s="239"/>
      <c r="CK63" s="239"/>
      <c r="CL63" s="239"/>
      <c r="CM63" s="239"/>
      <c r="CN63" s="239"/>
      <c r="CO63" s="239"/>
      <c r="CP63" s="239"/>
      <c r="CQ63" s="239"/>
      <c r="CR63" s="239"/>
      <c r="CS63" s="239"/>
      <c r="CT63" s="239"/>
      <c r="CU63" s="239"/>
      <c r="CV63" s="239"/>
      <c r="CW63" s="239"/>
      <c r="CX63" s="239"/>
      <c r="CY63" s="239"/>
      <c r="CZ63" s="239"/>
      <c r="DA63" s="239"/>
      <c r="DB63" s="239"/>
      <c r="DC63" s="239"/>
      <c r="DD63" s="239"/>
      <c r="DE63" s="239"/>
      <c r="DF63" s="239"/>
      <c r="DG63" s="239"/>
      <c r="DH63" s="239"/>
      <c r="DI63" s="239"/>
      <c r="DJ63" s="239"/>
      <c r="DK63" s="239"/>
      <c r="DL63" s="239"/>
      <c r="DM63" s="239"/>
      <c r="DN63" s="239"/>
      <c r="DO63" s="239"/>
      <c r="DP63" s="239"/>
      <c r="DQ63" s="239"/>
      <c r="DR63" s="239"/>
      <c r="DS63" s="239"/>
      <c r="DT63" s="239"/>
      <c r="DU63" s="239"/>
      <c r="DV63" s="239"/>
      <c r="DW63" s="239"/>
      <c r="DX63" s="239"/>
      <c r="DY63" s="239"/>
      <c r="DZ63" s="239"/>
      <c r="EA63" s="239"/>
      <c r="EB63" s="239"/>
      <c r="EC63" s="239"/>
      <c r="ED63" s="239"/>
      <c r="EE63" s="239"/>
      <c r="EF63" s="239"/>
      <c r="EG63" s="239"/>
      <c r="EH63" s="239"/>
      <c r="EI63" s="239"/>
      <c r="EJ63" s="239"/>
      <c r="EK63" s="239"/>
      <c r="EL63" s="239"/>
      <c r="EM63" s="239"/>
      <c r="EN63" s="239"/>
      <c r="EO63" s="239"/>
      <c r="EP63" s="239"/>
      <c r="EQ63" s="239"/>
      <c r="ER63" s="239"/>
      <c r="ES63" s="239"/>
      <c r="ET63" s="239"/>
      <c r="EU63" s="239"/>
      <c r="EV63" s="239"/>
      <c r="EW63" s="239"/>
      <c r="EX63" s="239"/>
      <c r="EY63" s="239"/>
      <c r="EZ63" s="239"/>
      <c r="FA63" s="239"/>
      <c r="FB63" s="239"/>
      <c r="FC63" s="239"/>
      <c r="FD63" s="239"/>
      <c r="FE63" s="239"/>
      <c r="FF63" s="239"/>
      <c r="FG63" s="239"/>
      <c r="FH63" s="239"/>
      <c r="FI63" s="239"/>
      <c r="FJ63" s="239"/>
      <c r="FK63" s="239"/>
      <c r="FL63" s="239"/>
      <c r="FM63" s="239"/>
      <c r="FN63" s="239"/>
      <c r="FO63" s="239"/>
      <c r="FP63" s="239"/>
      <c r="FQ63" s="239"/>
      <c r="FR63" s="239"/>
      <c r="FS63" s="239"/>
      <c r="FT63" s="239"/>
      <c r="FU63" s="239"/>
      <c r="FV63" s="239"/>
      <c r="FW63" s="239"/>
      <c r="FX63" s="239"/>
      <c r="FY63" s="239"/>
      <c r="FZ63" s="239"/>
      <c r="GA63" s="239"/>
      <c r="GB63" s="239"/>
      <c r="GC63" s="239"/>
      <c r="GD63" s="239"/>
      <c r="GE63" s="239"/>
      <c r="GF63" s="239"/>
      <c r="GG63" s="239"/>
      <c r="GH63" s="239"/>
      <c r="GI63" s="239"/>
      <c r="GJ63" s="239"/>
      <c r="GK63" s="239"/>
      <c r="GL63" s="239"/>
      <c r="GM63" s="239"/>
      <c r="GN63" s="239"/>
      <c r="GO63" s="239"/>
      <c r="GP63" s="239"/>
      <c r="GQ63" s="239"/>
      <c r="GR63" s="239"/>
      <c r="GS63" s="239"/>
      <c r="GT63" s="239"/>
      <c r="GU63" s="239"/>
      <c r="GV63" s="239"/>
      <c r="GW63" s="239"/>
      <c r="GX63" s="239"/>
      <c r="GY63" s="239"/>
      <c r="GZ63" s="239"/>
      <c r="HA63" s="239"/>
      <c r="HB63" s="239"/>
      <c r="HC63" s="239"/>
      <c r="HD63" s="239"/>
      <c r="HE63" s="239"/>
      <c r="HF63" s="239"/>
      <c r="HG63" s="239"/>
      <c r="HH63" s="239"/>
      <c r="HI63" s="239"/>
      <c r="HJ63" s="239"/>
      <c r="HK63" s="239"/>
      <c r="HL63" s="239"/>
      <c r="HM63" s="239"/>
      <c r="HN63" s="239"/>
      <c r="HO63" s="239"/>
      <c r="HP63" s="239"/>
      <c r="HQ63" s="239"/>
      <c r="HR63" s="239"/>
      <c r="HS63" s="239"/>
      <c r="HT63" s="239"/>
      <c r="HU63" s="239"/>
      <c r="HV63" s="239"/>
      <c r="HW63" s="239"/>
      <c r="HX63" s="239"/>
      <c r="HY63" s="239"/>
      <c r="HZ63" s="239"/>
      <c r="IA63" s="239"/>
      <c r="IB63" s="239"/>
      <c r="IC63" s="239"/>
      <c r="ID63" s="239"/>
      <c r="IE63" s="239"/>
      <c r="IF63" s="239"/>
      <c r="IG63" s="239"/>
      <c r="IH63" s="239"/>
      <c r="II63" s="239"/>
      <c r="IJ63" s="239"/>
      <c r="IK63" s="239"/>
      <c r="IL63" s="239"/>
      <c r="IM63" s="239"/>
      <c r="IN63" s="239"/>
      <c r="IO63" s="239"/>
      <c r="IP63" s="239"/>
      <c r="IQ63" s="239"/>
      <c r="IR63" s="239"/>
      <c r="IS63" s="239"/>
      <c r="IT63" s="239"/>
      <c r="IU63" s="239"/>
      <c r="IV63" s="239"/>
    </row>
    <row r="64" spans="1:256">
      <c r="A64" s="235"/>
      <c r="B64" s="236" t="s">
        <v>256</v>
      </c>
      <c r="C64" s="237">
        <v>1</v>
      </c>
      <c r="D64" s="237"/>
      <c r="E64" s="237">
        <v>1</v>
      </c>
      <c r="F64" s="236">
        <v>1.08</v>
      </c>
      <c r="G64" s="236"/>
      <c r="H64" s="236">
        <v>1.6</v>
      </c>
      <c r="I64" s="216">
        <f t="shared" si="3"/>
        <v>1.7280000000000002</v>
      </c>
      <c r="J64" s="238"/>
      <c r="K64" s="239"/>
      <c r="L64" s="239"/>
      <c r="M64" s="239"/>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239"/>
      <c r="AR64" s="239"/>
      <c r="AS64" s="239"/>
      <c r="AT64" s="239"/>
      <c r="AU64" s="239"/>
      <c r="AV64" s="239"/>
      <c r="AW64" s="239"/>
      <c r="AX64" s="239"/>
      <c r="AY64" s="239"/>
      <c r="AZ64" s="239"/>
      <c r="BA64" s="239"/>
      <c r="BB64" s="239"/>
      <c r="BC64" s="239"/>
      <c r="BD64" s="239"/>
      <c r="BE64" s="239"/>
      <c r="BF64" s="239"/>
      <c r="BG64" s="239"/>
      <c r="BH64" s="239"/>
      <c r="BI64" s="239"/>
      <c r="BJ64" s="239"/>
      <c r="BK64" s="239"/>
      <c r="BL64" s="239"/>
      <c r="BM64" s="239"/>
      <c r="BN64" s="239"/>
      <c r="BO64" s="239"/>
      <c r="BP64" s="239"/>
      <c r="BQ64" s="239"/>
      <c r="BR64" s="239"/>
      <c r="BS64" s="239"/>
      <c r="BT64" s="239"/>
      <c r="BU64" s="239"/>
      <c r="BV64" s="239"/>
      <c r="BW64" s="239"/>
      <c r="BX64" s="239"/>
      <c r="BY64" s="239"/>
      <c r="BZ64" s="239"/>
      <c r="CA64" s="239"/>
      <c r="CB64" s="239"/>
      <c r="CC64" s="239"/>
      <c r="CD64" s="239"/>
      <c r="CE64" s="239"/>
      <c r="CF64" s="239"/>
      <c r="CG64" s="239"/>
      <c r="CH64" s="239"/>
      <c r="CI64" s="239"/>
      <c r="CJ64" s="239"/>
      <c r="CK64" s="239"/>
      <c r="CL64" s="239"/>
      <c r="CM64" s="239"/>
      <c r="CN64" s="239"/>
      <c r="CO64" s="239"/>
      <c r="CP64" s="239"/>
      <c r="CQ64" s="239"/>
      <c r="CR64" s="239"/>
      <c r="CS64" s="239"/>
      <c r="CT64" s="239"/>
      <c r="CU64" s="239"/>
      <c r="CV64" s="239"/>
      <c r="CW64" s="239"/>
      <c r="CX64" s="239"/>
      <c r="CY64" s="239"/>
      <c r="CZ64" s="239"/>
      <c r="DA64" s="239"/>
      <c r="DB64" s="239"/>
      <c r="DC64" s="239"/>
      <c r="DD64" s="239"/>
      <c r="DE64" s="239"/>
      <c r="DF64" s="239"/>
      <c r="DG64" s="239"/>
      <c r="DH64" s="239"/>
      <c r="DI64" s="239"/>
      <c r="DJ64" s="239"/>
      <c r="DK64" s="239"/>
      <c r="DL64" s="239"/>
      <c r="DM64" s="239"/>
      <c r="DN64" s="239"/>
      <c r="DO64" s="239"/>
      <c r="DP64" s="239"/>
      <c r="DQ64" s="239"/>
      <c r="DR64" s="239"/>
      <c r="DS64" s="239"/>
      <c r="DT64" s="239"/>
      <c r="DU64" s="239"/>
      <c r="DV64" s="239"/>
      <c r="DW64" s="239"/>
      <c r="DX64" s="239"/>
      <c r="DY64" s="239"/>
      <c r="DZ64" s="239"/>
      <c r="EA64" s="239"/>
      <c r="EB64" s="239"/>
      <c r="EC64" s="239"/>
      <c r="ED64" s="239"/>
      <c r="EE64" s="239"/>
      <c r="EF64" s="239"/>
      <c r="EG64" s="239"/>
      <c r="EH64" s="239"/>
      <c r="EI64" s="239"/>
      <c r="EJ64" s="239"/>
      <c r="EK64" s="239"/>
      <c r="EL64" s="239"/>
      <c r="EM64" s="239"/>
      <c r="EN64" s="239"/>
      <c r="EO64" s="239"/>
      <c r="EP64" s="239"/>
      <c r="EQ64" s="239"/>
      <c r="ER64" s="239"/>
      <c r="ES64" s="239"/>
      <c r="ET64" s="239"/>
      <c r="EU64" s="239"/>
      <c r="EV64" s="239"/>
      <c r="EW64" s="239"/>
      <c r="EX64" s="239"/>
      <c r="EY64" s="239"/>
      <c r="EZ64" s="239"/>
      <c r="FA64" s="239"/>
      <c r="FB64" s="239"/>
      <c r="FC64" s="239"/>
      <c r="FD64" s="239"/>
      <c r="FE64" s="239"/>
      <c r="FF64" s="239"/>
      <c r="FG64" s="239"/>
      <c r="FH64" s="239"/>
      <c r="FI64" s="239"/>
      <c r="FJ64" s="239"/>
      <c r="FK64" s="239"/>
      <c r="FL64" s="239"/>
      <c r="FM64" s="239"/>
      <c r="FN64" s="239"/>
      <c r="FO64" s="239"/>
      <c r="FP64" s="239"/>
      <c r="FQ64" s="239"/>
      <c r="FR64" s="239"/>
      <c r="FS64" s="239"/>
      <c r="FT64" s="239"/>
      <c r="FU64" s="239"/>
      <c r="FV64" s="239"/>
      <c r="FW64" s="239"/>
      <c r="FX64" s="239"/>
      <c r="FY64" s="239"/>
      <c r="FZ64" s="239"/>
      <c r="GA64" s="239"/>
      <c r="GB64" s="239"/>
      <c r="GC64" s="239"/>
      <c r="GD64" s="239"/>
      <c r="GE64" s="239"/>
      <c r="GF64" s="239"/>
      <c r="GG64" s="239"/>
      <c r="GH64" s="239"/>
      <c r="GI64" s="239"/>
      <c r="GJ64" s="239"/>
      <c r="GK64" s="239"/>
      <c r="GL64" s="239"/>
      <c r="GM64" s="239"/>
      <c r="GN64" s="239"/>
      <c r="GO64" s="239"/>
      <c r="GP64" s="239"/>
      <c r="GQ64" s="239"/>
      <c r="GR64" s="239"/>
      <c r="GS64" s="239"/>
      <c r="GT64" s="239"/>
      <c r="GU64" s="239"/>
      <c r="GV64" s="239"/>
      <c r="GW64" s="239"/>
      <c r="GX64" s="239"/>
      <c r="GY64" s="239"/>
      <c r="GZ64" s="239"/>
      <c r="HA64" s="239"/>
      <c r="HB64" s="239"/>
      <c r="HC64" s="239"/>
      <c r="HD64" s="239"/>
      <c r="HE64" s="239"/>
      <c r="HF64" s="239"/>
      <c r="HG64" s="239"/>
      <c r="HH64" s="239"/>
      <c r="HI64" s="239"/>
      <c r="HJ64" s="239"/>
      <c r="HK64" s="239"/>
      <c r="HL64" s="239"/>
      <c r="HM64" s="239"/>
      <c r="HN64" s="239"/>
      <c r="HO64" s="239"/>
      <c r="HP64" s="239"/>
      <c r="HQ64" s="239"/>
      <c r="HR64" s="239"/>
      <c r="HS64" s="239"/>
      <c r="HT64" s="239"/>
      <c r="HU64" s="239"/>
      <c r="HV64" s="239"/>
      <c r="HW64" s="239"/>
      <c r="HX64" s="239"/>
      <c r="HY64" s="239"/>
      <c r="HZ64" s="239"/>
      <c r="IA64" s="239"/>
      <c r="IB64" s="239"/>
      <c r="IC64" s="239"/>
      <c r="ID64" s="239"/>
      <c r="IE64" s="239"/>
      <c r="IF64" s="239"/>
      <c r="IG64" s="239"/>
      <c r="IH64" s="239"/>
      <c r="II64" s="239"/>
      <c r="IJ64" s="239"/>
      <c r="IK64" s="239"/>
      <c r="IL64" s="239"/>
      <c r="IM64" s="239"/>
      <c r="IN64" s="239"/>
      <c r="IO64" s="239"/>
      <c r="IP64" s="239"/>
      <c r="IQ64" s="239"/>
      <c r="IR64" s="239"/>
      <c r="IS64" s="239"/>
      <c r="IT64" s="239"/>
      <c r="IU64" s="239"/>
      <c r="IV64" s="239"/>
    </row>
    <row r="65" spans="1:256">
      <c r="A65" s="235"/>
      <c r="B65" s="236"/>
      <c r="C65" s="237">
        <v>1</v>
      </c>
      <c r="D65" s="237"/>
      <c r="E65" s="237">
        <v>2</v>
      </c>
      <c r="F65" s="236">
        <v>0.5</v>
      </c>
      <c r="G65" s="236">
        <v>0.12</v>
      </c>
      <c r="H65" s="236"/>
      <c r="I65" s="216">
        <f t="shared" si="3"/>
        <v>0.12</v>
      </c>
      <c r="J65" s="238"/>
      <c r="K65" s="239"/>
      <c r="L65" s="239"/>
      <c r="M65" s="239"/>
      <c r="N65" s="239"/>
      <c r="O65" s="239"/>
      <c r="P65" s="239"/>
      <c r="Q65" s="239"/>
      <c r="R65" s="239"/>
      <c r="S65" s="239"/>
      <c r="T65" s="239"/>
      <c r="U65" s="239"/>
      <c r="V65" s="239"/>
      <c r="W65" s="239"/>
      <c r="X65" s="239"/>
      <c r="Y65" s="239"/>
      <c r="Z65" s="239"/>
      <c r="AA65" s="239"/>
      <c r="AB65" s="239"/>
      <c r="AC65" s="239"/>
      <c r="AD65" s="239"/>
      <c r="AE65" s="239"/>
      <c r="AF65" s="239"/>
      <c r="AG65" s="239"/>
      <c r="AH65" s="239"/>
      <c r="AI65" s="239"/>
      <c r="AJ65" s="239"/>
      <c r="AK65" s="239"/>
      <c r="AL65" s="239"/>
      <c r="AM65" s="239"/>
      <c r="AN65" s="239"/>
      <c r="AO65" s="239"/>
      <c r="AP65" s="239"/>
      <c r="AQ65" s="239"/>
      <c r="AR65" s="239"/>
      <c r="AS65" s="239"/>
      <c r="AT65" s="239"/>
      <c r="AU65" s="239"/>
      <c r="AV65" s="239"/>
      <c r="AW65" s="239"/>
      <c r="AX65" s="239"/>
      <c r="AY65" s="239"/>
      <c r="AZ65" s="239"/>
      <c r="BA65" s="239"/>
      <c r="BB65" s="239"/>
      <c r="BC65" s="239"/>
      <c r="BD65" s="239"/>
      <c r="BE65" s="239"/>
      <c r="BF65" s="239"/>
      <c r="BG65" s="239"/>
      <c r="BH65" s="239"/>
      <c r="BI65" s="239"/>
      <c r="BJ65" s="239"/>
      <c r="BK65" s="239"/>
      <c r="BL65" s="239"/>
      <c r="BM65" s="239"/>
      <c r="BN65" s="239"/>
      <c r="BO65" s="239"/>
      <c r="BP65" s="239"/>
      <c r="BQ65" s="239"/>
      <c r="BR65" s="239"/>
      <c r="BS65" s="239"/>
      <c r="BT65" s="239"/>
      <c r="BU65" s="239"/>
      <c r="BV65" s="239"/>
      <c r="BW65" s="239"/>
      <c r="BX65" s="239"/>
      <c r="BY65" s="239"/>
      <c r="BZ65" s="239"/>
      <c r="CA65" s="239"/>
      <c r="CB65" s="239"/>
      <c r="CC65" s="239"/>
      <c r="CD65" s="239"/>
      <c r="CE65" s="239"/>
      <c r="CF65" s="239"/>
      <c r="CG65" s="239"/>
      <c r="CH65" s="239"/>
      <c r="CI65" s="239"/>
      <c r="CJ65" s="239"/>
      <c r="CK65" s="239"/>
      <c r="CL65" s="239"/>
      <c r="CM65" s="239"/>
      <c r="CN65" s="239"/>
      <c r="CO65" s="239"/>
      <c r="CP65" s="239"/>
      <c r="CQ65" s="239"/>
      <c r="CR65" s="239"/>
      <c r="CS65" s="239"/>
      <c r="CT65" s="239"/>
      <c r="CU65" s="239"/>
      <c r="CV65" s="239"/>
      <c r="CW65" s="239"/>
      <c r="CX65" s="239"/>
      <c r="CY65" s="239"/>
      <c r="CZ65" s="239"/>
      <c r="DA65" s="239"/>
      <c r="DB65" s="239"/>
      <c r="DC65" s="239"/>
      <c r="DD65" s="239"/>
      <c r="DE65" s="239"/>
      <c r="DF65" s="239"/>
      <c r="DG65" s="239"/>
      <c r="DH65" s="239"/>
      <c r="DI65" s="239"/>
      <c r="DJ65" s="239"/>
      <c r="DK65" s="239"/>
      <c r="DL65" s="239"/>
      <c r="DM65" s="239"/>
      <c r="DN65" s="239"/>
      <c r="DO65" s="239"/>
      <c r="DP65" s="239"/>
      <c r="DQ65" s="239"/>
      <c r="DR65" s="239"/>
      <c r="DS65" s="239"/>
      <c r="DT65" s="239"/>
      <c r="DU65" s="239"/>
      <c r="DV65" s="239"/>
      <c r="DW65" s="239"/>
      <c r="DX65" s="239"/>
      <c r="DY65" s="239"/>
      <c r="DZ65" s="239"/>
      <c r="EA65" s="239"/>
      <c r="EB65" s="239"/>
      <c r="EC65" s="239"/>
      <c r="ED65" s="239"/>
      <c r="EE65" s="239"/>
      <c r="EF65" s="239"/>
      <c r="EG65" s="239"/>
      <c r="EH65" s="239"/>
      <c r="EI65" s="239"/>
      <c r="EJ65" s="239"/>
      <c r="EK65" s="239"/>
      <c r="EL65" s="239"/>
      <c r="EM65" s="239"/>
      <c r="EN65" s="239"/>
      <c r="EO65" s="239"/>
      <c r="EP65" s="239"/>
      <c r="EQ65" s="239"/>
      <c r="ER65" s="239"/>
      <c r="ES65" s="239"/>
      <c r="ET65" s="239"/>
      <c r="EU65" s="239"/>
      <c r="EV65" s="239"/>
      <c r="EW65" s="239"/>
      <c r="EX65" s="239"/>
      <c r="EY65" s="239"/>
      <c r="EZ65" s="239"/>
      <c r="FA65" s="239"/>
      <c r="FB65" s="239"/>
      <c r="FC65" s="239"/>
      <c r="FD65" s="239"/>
      <c r="FE65" s="239"/>
      <c r="FF65" s="239"/>
      <c r="FG65" s="239"/>
      <c r="FH65" s="239"/>
      <c r="FI65" s="239"/>
      <c r="FJ65" s="239"/>
      <c r="FK65" s="239"/>
      <c r="FL65" s="239"/>
      <c r="FM65" s="239"/>
      <c r="FN65" s="239"/>
      <c r="FO65" s="239"/>
      <c r="FP65" s="239"/>
      <c r="FQ65" s="239"/>
      <c r="FR65" s="239"/>
      <c r="FS65" s="239"/>
      <c r="FT65" s="239"/>
      <c r="FU65" s="239"/>
      <c r="FV65" s="239"/>
      <c r="FW65" s="239"/>
      <c r="FX65" s="239"/>
      <c r="FY65" s="239"/>
      <c r="FZ65" s="239"/>
      <c r="GA65" s="239"/>
      <c r="GB65" s="239"/>
      <c r="GC65" s="239"/>
      <c r="GD65" s="239"/>
      <c r="GE65" s="239"/>
      <c r="GF65" s="239"/>
      <c r="GG65" s="239"/>
      <c r="GH65" s="239"/>
      <c r="GI65" s="239"/>
      <c r="GJ65" s="239"/>
      <c r="GK65" s="239"/>
      <c r="GL65" s="239"/>
      <c r="GM65" s="239"/>
      <c r="GN65" s="239"/>
      <c r="GO65" s="239"/>
      <c r="GP65" s="239"/>
      <c r="GQ65" s="239"/>
      <c r="GR65" s="239"/>
      <c r="GS65" s="239"/>
      <c r="GT65" s="239"/>
      <c r="GU65" s="239"/>
      <c r="GV65" s="239"/>
      <c r="GW65" s="239"/>
      <c r="GX65" s="239"/>
      <c r="GY65" s="239"/>
      <c r="GZ65" s="239"/>
      <c r="HA65" s="239"/>
      <c r="HB65" s="239"/>
      <c r="HC65" s="239"/>
      <c r="HD65" s="239"/>
      <c r="HE65" s="239"/>
      <c r="HF65" s="239"/>
      <c r="HG65" s="239"/>
      <c r="HH65" s="239"/>
      <c r="HI65" s="239"/>
      <c r="HJ65" s="239"/>
      <c r="HK65" s="239"/>
      <c r="HL65" s="239"/>
      <c r="HM65" s="239"/>
      <c r="HN65" s="239"/>
      <c r="HO65" s="239"/>
      <c r="HP65" s="239"/>
      <c r="HQ65" s="239"/>
      <c r="HR65" s="239"/>
      <c r="HS65" s="239"/>
      <c r="HT65" s="239"/>
      <c r="HU65" s="239"/>
      <c r="HV65" s="239"/>
      <c r="HW65" s="239"/>
      <c r="HX65" s="239"/>
      <c r="HY65" s="239"/>
      <c r="HZ65" s="239"/>
      <c r="IA65" s="239"/>
      <c r="IB65" s="239"/>
      <c r="IC65" s="239"/>
      <c r="ID65" s="239"/>
      <c r="IE65" s="239"/>
      <c r="IF65" s="239"/>
      <c r="IG65" s="239"/>
      <c r="IH65" s="239"/>
      <c r="II65" s="239"/>
      <c r="IJ65" s="239"/>
      <c r="IK65" s="239"/>
      <c r="IL65" s="239"/>
      <c r="IM65" s="239"/>
      <c r="IN65" s="239"/>
      <c r="IO65" s="239"/>
      <c r="IP65" s="239"/>
      <c r="IQ65" s="239"/>
      <c r="IR65" s="239"/>
      <c r="IS65" s="239"/>
      <c r="IT65" s="239"/>
      <c r="IU65" s="239"/>
      <c r="IV65" s="239"/>
    </row>
    <row r="66" spans="1:256">
      <c r="A66" s="235"/>
      <c r="B66" s="236" t="s">
        <v>257</v>
      </c>
      <c r="C66" s="237">
        <v>2</v>
      </c>
      <c r="D66" s="237"/>
      <c r="E66" s="237">
        <v>3</v>
      </c>
      <c r="F66" s="236">
        <v>1</v>
      </c>
      <c r="G66" s="236">
        <v>1.8</v>
      </c>
      <c r="H66" s="236"/>
      <c r="I66" s="216">
        <f t="shared" si="3"/>
        <v>10.8</v>
      </c>
      <c r="J66" s="238"/>
      <c r="K66" s="239"/>
      <c r="L66" s="239"/>
      <c r="M66" s="239"/>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39"/>
      <c r="AM66" s="239"/>
      <c r="AN66" s="239"/>
      <c r="AO66" s="239"/>
      <c r="AP66" s="239"/>
      <c r="AQ66" s="239"/>
      <c r="AR66" s="239"/>
      <c r="AS66" s="239"/>
      <c r="AT66" s="239"/>
      <c r="AU66" s="239"/>
      <c r="AV66" s="239"/>
      <c r="AW66" s="239"/>
      <c r="AX66" s="239"/>
      <c r="AY66" s="239"/>
      <c r="AZ66" s="239"/>
      <c r="BA66" s="239"/>
      <c r="BB66" s="239"/>
      <c r="BC66" s="239"/>
      <c r="BD66" s="239"/>
      <c r="BE66" s="239"/>
      <c r="BF66" s="239"/>
      <c r="BG66" s="239"/>
      <c r="BH66" s="239"/>
      <c r="BI66" s="239"/>
      <c r="BJ66" s="239"/>
      <c r="BK66" s="239"/>
      <c r="BL66" s="239"/>
      <c r="BM66" s="239"/>
      <c r="BN66" s="239"/>
      <c r="BO66" s="239"/>
      <c r="BP66" s="239"/>
      <c r="BQ66" s="239"/>
      <c r="BR66" s="239"/>
      <c r="BS66" s="239"/>
      <c r="BT66" s="239"/>
      <c r="BU66" s="239"/>
      <c r="BV66" s="239"/>
      <c r="BW66" s="239"/>
      <c r="BX66" s="239"/>
      <c r="BY66" s="239"/>
      <c r="BZ66" s="239"/>
      <c r="CA66" s="239"/>
      <c r="CB66" s="239"/>
      <c r="CC66" s="239"/>
      <c r="CD66" s="239"/>
      <c r="CE66" s="239"/>
      <c r="CF66" s="239"/>
      <c r="CG66" s="239"/>
      <c r="CH66" s="239"/>
      <c r="CI66" s="239"/>
      <c r="CJ66" s="239"/>
      <c r="CK66" s="239"/>
      <c r="CL66" s="239"/>
      <c r="CM66" s="239"/>
      <c r="CN66" s="239"/>
      <c r="CO66" s="239"/>
      <c r="CP66" s="239"/>
      <c r="CQ66" s="239"/>
      <c r="CR66" s="239"/>
      <c r="CS66" s="239"/>
      <c r="CT66" s="239"/>
      <c r="CU66" s="239"/>
      <c r="CV66" s="239"/>
      <c r="CW66" s="239"/>
      <c r="CX66" s="239"/>
      <c r="CY66" s="239"/>
      <c r="CZ66" s="239"/>
      <c r="DA66" s="239"/>
      <c r="DB66" s="239"/>
      <c r="DC66" s="239"/>
      <c r="DD66" s="239"/>
      <c r="DE66" s="239"/>
      <c r="DF66" s="239"/>
      <c r="DG66" s="239"/>
      <c r="DH66" s="239"/>
      <c r="DI66" s="239"/>
      <c r="DJ66" s="239"/>
      <c r="DK66" s="239"/>
      <c r="DL66" s="239"/>
      <c r="DM66" s="239"/>
      <c r="DN66" s="239"/>
      <c r="DO66" s="239"/>
      <c r="DP66" s="239"/>
      <c r="DQ66" s="239"/>
      <c r="DR66" s="239"/>
      <c r="DS66" s="239"/>
      <c r="DT66" s="239"/>
      <c r="DU66" s="239"/>
      <c r="DV66" s="239"/>
      <c r="DW66" s="239"/>
      <c r="DX66" s="239"/>
      <c r="DY66" s="239"/>
      <c r="DZ66" s="239"/>
      <c r="EA66" s="239"/>
      <c r="EB66" s="239"/>
      <c r="EC66" s="239"/>
      <c r="ED66" s="239"/>
      <c r="EE66" s="239"/>
      <c r="EF66" s="239"/>
      <c r="EG66" s="239"/>
      <c r="EH66" s="239"/>
      <c r="EI66" s="239"/>
      <c r="EJ66" s="239"/>
      <c r="EK66" s="239"/>
      <c r="EL66" s="239"/>
      <c r="EM66" s="239"/>
      <c r="EN66" s="239"/>
      <c r="EO66" s="239"/>
      <c r="EP66" s="239"/>
      <c r="EQ66" s="239"/>
      <c r="ER66" s="239"/>
      <c r="ES66" s="239"/>
      <c r="ET66" s="239"/>
      <c r="EU66" s="239"/>
      <c r="EV66" s="239"/>
      <c r="EW66" s="239"/>
      <c r="EX66" s="239"/>
      <c r="EY66" s="239"/>
      <c r="EZ66" s="239"/>
      <c r="FA66" s="239"/>
      <c r="FB66" s="239"/>
      <c r="FC66" s="239"/>
      <c r="FD66" s="239"/>
      <c r="FE66" s="239"/>
      <c r="FF66" s="239"/>
      <c r="FG66" s="239"/>
      <c r="FH66" s="239"/>
      <c r="FI66" s="239"/>
      <c r="FJ66" s="239"/>
      <c r="FK66" s="239"/>
      <c r="FL66" s="239"/>
      <c r="FM66" s="239"/>
      <c r="FN66" s="239"/>
      <c r="FO66" s="239"/>
      <c r="FP66" s="239"/>
      <c r="FQ66" s="239"/>
      <c r="FR66" s="239"/>
      <c r="FS66" s="239"/>
      <c r="FT66" s="239"/>
      <c r="FU66" s="239"/>
      <c r="FV66" s="239"/>
      <c r="FW66" s="239"/>
      <c r="FX66" s="239"/>
      <c r="FY66" s="239"/>
      <c r="FZ66" s="239"/>
      <c r="GA66" s="239"/>
      <c r="GB66" s="239"/>
      <c r="GC66" s="239"/>
      <c r="GD66" s="239"/>
      <c r="GE66" s="239"/>
      <c r="GF66" s="239"/>
      <c r="GG66" s="239"/>
      <c r="GH66" s="239"/>
      <c r="GI66" s="239"/>
      <c r="GJ66" s="239"/>
      <c r="GK66" s="239"/>
      <c r="GL66" s="239"/>
      <c r="GM66" s="239"/>
      <c r="GN66" s="239"/>
      <c r="GO66" s="239"/>
      <c r="GP66" s="239"/>
      <c r="GQ66" s="239"/>
      <c r="GR66" s="239"/>
      <c r="GS66" s="239"/>
      <c r="GT66" s="239"/>
      <c r="GU66" s="239"/>
      <c r="GV66" s="239"/>
      <c r="GW66" s="239"/>
      <c r="GX66" s="239"/>
      <c r="GY66" s="239"/>
      <c r="GZ66" s="239"/>
      <c r="HA66" s="239"/>
      <c r="HB66" s="239"/>
      <c r="HC66" s="239"/>
      <c r="HD66" s="239"/>
      <c r="HE66" s="239"/>
      <c r="HF66" s="239"/>
      <c r="HG66" s="239"/>
      <c r="HH66" s="239"/>
      <c r="HI66" s="239"/>
      <c r="HJ66" s="239"/>
      <c r="HK66" s="239"/>
      <c r="HL66" s="239"/>
      <c r="HM66" s="239"/>
      <c r="HN66" s="239"/>
      <c r="HO66" s="239"/>
      <c r="HP66" s="239"/>
      <c r="HQ66" s="239"/>
      <c r="HR66" s="239"/>
      <c r="HS66" s="239"/>
      <c r="HT66" s="239"/>
      <c r="HU66" s="239"/>
      <c r="HV66" s="239"/>
      <c r="HW66" s="239"/>
      <c r="HX66" s="239"/>
      <c r="HY66" s="239"/>
      <c r="HZ66" s="239"/>
      <c r="IA66" s="239"/>
      <c r="IB66" s="239"/>
      <c r="IC66" s="239"/>
      <c r="ID66" s="239"/>
      <c r="IE66" s="239"/>
      <c r="IF66" s="239"/>
      <c r="IG66" s="239"/>
      <c r="IH66" s="239"/>
      <c r="II66" s="239"/>
      <c r="IJ66" s="239"/>
      <c r="IK66" s="239"/>
      <c r="IL66" s="239"/>
      <c r="IM66" s="239"/>
      <c r="IN66" s="239"/>
      <c r="IO66" s="239"/>
      <c r="IP66" s="239"/>
      <c r="IQ66" s="239"/>
      <c r="IR66" s="239"/>
      <c r="IS66" s="239"/>
      <c r="IT66" s="239"/>
      <c r="IU66" s="239"/>
      <c r="IV66" s="239"/>
    </row>
    <row r="67" spans="1:256">
      <c r="A67" s="235"/>
      <c r="B67" s="236" t="s">
        <v>258</v>
      </c>
      <c r="C67" s="237">
        <v>2</v>
      </c>
      <c r="D67" s="237"/>
      <c r="E67" s="237">
        <v>2</v>
      </c>
      <c r="F67" s="236">
        <v>1.37</v>
      </c>
      <c r="G67" s="236"/>
      <c r="H67" s="236">
        <v>0.52</v>
      </c>
      <c r="I67" s="216">
        <f t="shared" si="3"/>
        <v>2.8496000000000001</v>
      </c>
      <c r="J67" s="238"/>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39"/>
      <c r="BK67" s="239"/>
      <c r="BL67" s="239"/>
      <c r="BM67" s="239"/>
      <c r="BN67" s="239"/>
      <c r="BO67" s="239"/>
      <c r="BP67" s="239"/>
      <c r="BQ67" s="239"/>
      <c r="BR67" s="239"/>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39"/>
      <c r="EQ67" s="239"/>
      <c r="ER67" s="239"/>
      <c r="ES67" s="239"/>
      <c r="ET67" s="239"/>
      <c r="EU67" s="239"/>
      <c r="EV67" s="239"/>
      <c r="EW67" s="239"/>
      <c r="EX67" s="239"/>
      <c r="EY67" s="239"/>
      <c r="EZ67" s="239"/>
      <c r="FA67" s="239"/>
      <c r="FB67" s="239"/>
      <c r="FC67" s="239"/>
      <c r="FD67" s="239"/>
      <c r="FE67" s="239"/>
      <c r="FF67" s="239"/>
      <c r="FG67" s="239"/>
      <c r="FH67" s="239"/>
      <c r="FI67" s="239"/>
      <c r="FJ67" s="239"/>
      <c r="FK67" s="239"/>
      <c r="FL67" s="239"/>
      <c r="FM67" s="239"/>
      <c r="FN67" s="239"/>
      <c r="FO67" s="239"/>
      <c r="FP67" s="239"/>
      <c r="FQ67" s="239"/>
      <c r="FR67" s="239"/>
      <c r="FS67" s="239"/>
      <c r="FT67" s="239"/>
      <c r="FU67" s="239"/>
      <c r="FV67" s="239"/>
      <c r="FW67" s="239"/>
      <c r="FX67" s="239"/>
      <c r="FY67" s="239"/>
      <c r="FZ67" s="239"/>
      <c r="GA67" s="239"/>
      <c r="GB67" s="239"/>
      <c r="GC67" s="239"/>
      <c r="GD67" s="239"/>
      <c r="GE67" s="239"/>
      <c r="GF67" s="239"/>
      <c r="GG67" s="239"/>
      <c r="GH67" s="239"/>
      <c r="GI67" s="239"/>
      <c r="GJ67" s="239"/>
      <c r="GK67" s="239"/>
      <c r="GL67" s="239"/>
      <c r="GM67" s="239"/>
      <c r="GN67" s="239"/>
      <c r="GO67" s="239"/>
      <c r="GP67" s="239"/>
      <c r="GQ67" s="239"/>
      <c r="GR67" s="239"/>
      <c r="GS67" s="239"/>
      <c r="GT67" s="239"/>
      <c r="GU67" s="239"/>
      <c r="GV67" s="239"/>
      <c r="GW67" s="239"/>
      <c r="GX67" s="239"/>
      <c r="GY67" s="239"/>
      <c r="GZ67" s="239"/>
      <c r="HA67" s="239"/>
      <c r="HB67" s="239"/>
      <c r="HC67" s="239"/>
      <c r="HD67" s="239"/>
      <c r="HE67" s="239"/>
      <c r="HF67" s="239"/>
      <c r="HG67" s="239"/>
      <c r="HH67" s="239"/>
      <c r="HI67" s="239"/>
      <c r="HJ67" s="239"/>
      <c r="HK67" s="239"/>
      <c r="HL67" s="239"/>
      <c r="HM67" s="239"/>
      <c r="HN67" s="239"/>
      <c r="HO67" s="239"/>
      <c r="HP67" s="239"/>
      <c r="HQ67" s="239"/>
      <c r="HR67" s="239"/>
      <c r="HS67" s="239"/>
      <c r="HT67" s="239"/>
      <c r="HU67" s="239"/>
      <c r="HV67" s="239"/>
      <c r="HW67" s="239"/>
      <c r="HX67" s="239"/>
      <c r="HY67" s="239"/>
      <c r="HZ67" s="239"/>
      <c r="IA67" s="239"/>
      <c r="IB67" s="239"/>
      <c r="IC67" s="239"/>
      <c r="ID67" s="239"/>
      <c r="IE67" s="239"/>
      <c r="IF67" s="239"/>
      <c r="IG67" s="239"/>
      <c r="IH67" s="239"/>
      <c r="II67" s="239"/>
      <c r="IJ67" s="239"/>
      <c r="IK67" s="239"/>
      <c r="IL67" s="239"/>
      <c r="IM67" s="239"/>
      <c r="IN67" s="239"/>
      <c r="IO67" s="239"/>
      <c r="IP67" s="239"/>
      <c r="IQ67" s="239"/>
      <c r="IR67" s="239"/>
      <c r="IS67" s="239"/>
      <c r="IT67" s="239"/>
      <c r="IU67" s="239"/>
      <c r="IV67" s="239"/>
    </row>
    <row r="68" spans="1:256">
      <c r="A68" s="235"/>
      <c r="B68" s="236" t="s">
        <v>259</v>
      </c>
      <c r="C68" s="237">
        <v>1</v>
      </c>
      <c r="D68" s="237"/>
      <c r="E68" s="237">
        <v>2</v>
      </c>
      <c r="F68" s="236">
        <v>0.65</v>
      </c>
      <c r="G68" s="236"/>
      <c r="H68" s="236">
        <v>3.08</v>
      </c>
      <c r="I68" s="216">
        <f t="shared" si="3"/>
        <v>4.0040000000000004</v>
      </c>
      <c r="J68" s="238"/>
      <c r="K68" s="239"/>
      <c r="L68" s="239"/>
      <c r="M68" s="239"/>
      <c r="N68" s="239"/>
      <c r="O68" s="239"/>
      <c r="P68" s="239"/>
      <c r="Q68" s="239"/>
      <c r="R68" s="239"/>
      <c r="S68" s="239"/>
      <c r="T68" s="239"/>
      <c r="U68" s="239"/>
      <c r="V68" s="239"/>
      <c r="W68" s="239"/>
      <c r="X68" s="239"/>
      <c r="Y68" s="239"/>
      <c r="Z68" s="239"/>
      <c r="AA68" s="239"/>
      <c r="AB68" s="239"/>
      <c r="AC68" s="239"/>
      <c r="AD68" s="239"/>
      <c r="AE68" s="239"/>
      <c r="AF68" s="239"/>
      <c r="AG68" s="239"/>
      <c r="AH68" s="239"/>
      <c r="AI68" s="239"/>
      <c r="AJ68" s="239"/>
      <c r="AK68" s="239"/>
      <c r="AL68" s="239"/>
      <c r="AM68" s="239"/>
      <c r="AN68" s="239"/>
      <c r="AO68" s="239"/>
      <c r="AP68" s="239"/>
      <c r="AQ68" s="239"/>
      <c r="AR68" s="239"/>
      <c r="AS68" s="239"/>
      <c r="AT68" s="239"/>
      <c r="AU68" s="239"/>
      <c r="AV68" s="239"/>
      <c r="AW68" s="239"/>
      <c r="AX68" s="239"/>
      <c r="AY68" s="239"/>
      <c r="AZ68" s="239"/>
      <c r="BA68" s="239"/>
      <c r="BB68" s="239"/>
      <c r="BC68" s="239"/>
      <c r="BD68" s="239"/>
      <c r="BE68" s="239"/>
      <c r="BF68" s="239"/>
      <c r="BG68" s="239"/>
      <c r="BH68" s="239"/>
      <c r="BI68" s="239"/>
      <c r="BJ68" s="239"/>
      <c r="BK68" s="239"/>
      <c r="BL68" s="239"/>
      <c r="BM68" s="239"/>
      <c r="BN68" s="239"/>
      <c r="BO68" s="239"/>
      <c r="BP68" s="239"/>
      <c r="BQ68" s="239"/>
      <c r="BR68" s="239"/>
      <c r="BS68" s="239"/>
      <c r="BT68" s="239"/>
      <c r="BU68" s="239"/>
      <c r="BV68" s="239"/>
      <c r="BW68" s="239"/>
      <c r="BX68" s="239"/>
      <c r="BY68" s="239"/>
      <c r="BZ68" s="239"/>
      <c r="CA68" s="239"/>
      <c r="CB68" s="239"/>
      <c r="CC68" s="239"/>
      <c r="CD68" s="239"/>
      <c r="CE68" s="239"/>
      <c r="CF68" s="239"/>
      <c r="CG68" s="239"/>
      <c r="CH68" s="239"/>
      <c r="CI68" s="239"/>
      <c r="CJ68" s="239"/>
      <c r="CK68" s="239"/>
      <c r="CL68" s="239"/>
      <c r="CM68" s="239"/>
      <c r="CN68" s="239"/>
      <c r="CO68" s="239"/>
      <c r="CP68" s="239"/>
      <c r="CQ68" s="239"/>
      <c r="CR68" s="239"/>
      <c r="CS68" s="239"/>
      <c r="CT68" s="239"/>
      <c r="CU68" s="239"/>
      <c r="CV68" s="239"/>
      <c r="CW68" s="239"/>
      <c r="CX68" s="239"/>
      <c r="CY68" s="239"/>
      <c r="CZ68" s="239"/>
      <c r="DA68" s="239"/>
      <c r="DB68" s="239"/>
      <c r="DC68" s="239"/>
      <c r="DD68" s="239"/>
      <c r="DE68" s="239"/>
      <c r="DF68" s="239"/>
      <c r="DG68" s="239"/>
      <c r="DH68" s="239"/>
      <c r="DI68" s="239"/>
      <c r="DJ68" s="239"/>
      <c r="DK68" s="239"/>
      <c r="DL68" s="239"/>
      <c r="DM68" s="239"/>
      <c r="DN68" s="239"/>
      <c r="DO68" s="239"/>
      <c r="DP68" s="239"/>
      <c r="DQ68" s="239"/>
      <c r="DR68" s="239"/>
      <c r="DS68" s="239"/>
      <c r="DT68" s="239"/>
      <c r="DU68" s="239"/>
      <c r="DV68" s="239"/>
      <c r="DW68" s="239"/>
      <c r="DX68" s="239"/>
      <c r="DY68" s="239"/>
      <c r="DZ68" s="239"/>
      <c r="EA68" s="239"/>
      <c r="EB68" s="239"/>
      <c r="EC68" s="239"/>
      <c r="ED68" s="239"/>
      <c r="EE68" s="239"/>
      <c r="EF68" s="239"/>
      <c r="EG68" s="239"/>
      <c r="EH68" s="239"/>
      <c r="EI68" s="239"/>
      <c r="EJ68" s="239"/>
      <c r="EK68" s="239"/>
      <c r="EL68" s="239"/>
      <c r="EM68" s="239"/>
      <c r="EN68" s="239"/>
      <c r="EO68" s="239"/>
      <c r="EP68" s="239"/>
      <c r="EQ68" s="239"/>
      <c r="ER68" s="239"/>
      <c r="ES68" s="239"/>
      <c r="ET68" s="239"/>
      <c r="EU68" s="239"/>
      <c r="EV68" s="239"/>
      <c r="EW68" s="239"/>
      <c r="EX68" s="239"/>
      <c r="EY68" s="239"/>
      <c r="EZ68" s="239"/>
      <c r="FA68" s="239"/>
      <c r="FB68" s="239"/>
      <c r="FC68" s="239"/>
      <c r="FD68" s="239"/>
      <c r="FE68" s="239"/>
      <c r="FF68" s="239"/>
      <c r="FG68" s="239"/>
      <c r="FH68" s="239"/>
      <c r="FI68" s="239"/>
      <c r="FJ68" s="239"/>
      <c r="FK68" s="239"/>
      <c r="FL68" s="239"/>
      <c r="FM68" s="239"/>
      <c r="FN68" s="239"/>
      <c r="FO68" s="239"/>
      <c r="FP68" s="239"/>
      <c r="FQ68" s="239"/>
      <c r="FR68" s="239"/>
      <c r="FS68" s="239"/>
      <c r="FT68" s="239"/>
      <c r="FU68" s="239"/>
      <c r="FV68" s="239"/>
      <c r="FW68" s="239"/>
      <c r="FX68" s="239"/>
      <c r="FY68" s="239"/>
      <c r="FZ68" s="239"/>
      <c r="GA68" s="239"/>
      <c r="GB68" s="239"/>
      <c r="GC68" s="239"/>
      <c r="GD68" s="239"/>
      <c r="GE68" s="239"/>
      <c r="GF68" s="239"/>
      <c r="GG68" s="239"/>
      <c r="GH68" s="239"/>
      <c r="GI68" s="239"/>
      <c r="GJ68" s="239"/>
      <c r="GK68" s="239"/>
      <c r="GL68" s="239"/>
      <c r="GM68" s="239"/>
      <c r="GN68" s="239"/>
      <c r="GO68" s="239"/>
      <c r="GP68" s="239"/>
      <c r="GQ68" s="239"/>
      <c r="GR68" s="239"/>
      <c r="GS68" s="239"/>
      <c r="GT68" s="239"/>
      <c r="GU68" s="239"/>
      <c r="GV68" s="239"/>
      <c r="GW68" s="239"/>
      <c r="GX68" s="239"/>
      <c r="GY68" s="239"/>
      <c r="GZ68" s="239"/>
      <c r="HA68" s="239"/>
      <c r="HB68" s="239"/>
      <c r="HC68" s="239"/>
      <c r="HD68" s="239"/>
      <c r="HE68" s="239"/>
      <c r="HF68" s="239"/>
      <c r="HG68" s="239"/>
      <c r="HH68" s="239"/>
      <c r="HI68" s="239"/>
      <c r="HJ68" s="239"/>
      <c r="HK68" s="239"/>
      <c r="HL68" s="239"/>
      <c r="HM68" s="239"/>
      <c r="HN68" s="239"/>
      <c r="HO68" s="239"/>
      <c r="HP68" s="239"/>
      <c r="HQ68" s="239"/>
      <c r="HR68" s="239"/>
      <c r="HS68" s="239"/>
      <c r="HT68" s="239"/>
      <c r="HU68" s="239"/>
      <c r="HV68" s="239"/>
      <c r="HW68" s="239"/>
      <c r="HX68" s="239"/>
      <c r="HY68" s="239"/>
      <c r="HZ68" s="239"/>
      <c r="IA68" s="239"/>
      <c r="IB68" s="239"/>
      <c r="IC68" s="239"/>
      <c r="ID68" s="239"/>
      <c r="IE68" s="239"/>
      <c r="IF68" s="239"/>
      <c r="IG68" s="239"/>
      <c r="IH68" s="239"/>
      <c r="II68" s="239"/>
      <c r="IJ68" s="239"/>
      <c r="IK68" s="239"/>
      <c r="IL68" s="239"/>
      <c r="IM68" s="239"/>
      <c r="IN68" s="239"/>
      <c r="IO68" s="239"/>
      <c r="IP68" s="239"/>
      <c r="IQ68" s="239"/>
      <c r="IR68" s="239"/>
      <c r="IS68" s="239"/>
      <c r="IT68" s="239"/>
      <c r="IU68" s="239"/>
      <c r="IV68" s="239"/>
    </row>
    <row r="69" spans="1:256">
      <c r="A69" s="235"/>
      <c r="B69" s="236" t="s">
        <v>260</v>
      </c>
      <c r="C69" s="237">
        <v>1</v>
      </c>
      <c r="D69" s="237"/>
      <c r="E69" s="237">
        <v>-1</v>
      </c>
      <c r="F69" s="236">
        <v>0.97</v>
      </c>
      <c r="G69" s="236"/>
      <c r="H69" s="236">
        <v>2.1</v>
      </c>
      <c r="I69" s="216">
        <f t="shared" si="3"/>
        <v>-2.0369999999999999</v>
      </c>
      <c r="J69" s="238"/>
      <c r="K69" s="239"/>
      <c r="L69" s="239"/>
      <c r="M69" s="239"/>
      <c r="N69" s="239"/>
      <c r="O69" s="239"/>
      <c r="P69" s="239"/>
      <c r="Q69" s="239"/>
      <c r="R69" s="239"/>
      <c r="S69" s="239"/>
      <c r="T69" s="239"/>
      <c r="U69" s="239"/>
      <c r="V69" s="239"/>
      <c r="W69" s="239"/>
      <c r="X69" s="239"/>
      <c r="Y69" s="239"/>
      <c r="Z69" s="239"/>
      <c r="AA69" s="239"/>
      <c r="AB69" s="239"/>
      <c r="AC69" s="239"/>
      <c r="AD69" s="239"/>
      <c r="AE69" s="239"/>
      <c r="AF69" s="239"/>
      <c r="AG69" s="239"/>
      <c r="AH69" s="239"/>
      <c r="AI69" s="239"/>
      <c r="AJ69" s="239"/>
      <c r="AK69" s="239"/>
      <c r="AL69" s="239"/>
      <c r="AM69" s="239"/>
      <c r="AN69" s="239"/>
      <c r="AO69" s="239"/>
      <c r="AP69" s="239"/>
      <c r="AQ69" s="239"/>
      <c r="AR69" s="239"/>
      <c r="AS69" s="239"/>
      <c r="AT69" s="239"/>
      <c r="AU69" s="239"/>
      <c r="AV69" s="239"/>
      <c r="AW69" s="239"/>
      <c r="AX69" s="239"/>
      <c r="AY69" s="239"/>
      <c r="AZ69" s="239"/>
      <c r="BA69" s="239"/>
      <c r="BB69" s="239"/>
      <c r="BC69" s="239"/>
      <c r="BD69" s="239"/>
      <c r="BE69" s="239"/>
      <c r="BF69" s="239"/>
      <c r="BG69" s="239"/>
      <c r="BH69" s="239"/>
      <c r="BI69" s="239"/>
      <c r="BJ69" s="239"/>
      <c r="BK69" s="239"/>
      <c r="BL69" s="239"/>
      <c r="BM69" s="239"/>
      <c r="BN69" s="239"/>
      <c r="BO69" s="239"/>
      <c r="BP69" s="239"/>
      <c r="BQ69" s="239"/>
      <c r="BR69" s="239"/>
      <c r="BS69" s="239"/>
      <c r="BT69" s="239"/>
      <c r="BU69" s="239"/>
      <c r="BV69" s="239"/>
      <c r="BW69" s="239"/>
      <c r="BX69" s="239"/>
      <c r="BY69" s="239"/>
      <c r="BZ69" s="239"/>
      <c r="CA69" s="239"/>
      <c r="CB69" s="239"/>
      <c r="CC69" s="239"/>
      <c r="CD69" s="239"/>
      <c r="CE69" s="239"/>
      <c r="CF69" s="239"/>
      <c r="CG69" s="239"/>
      <c r="CH69" s="239"/>
      <c r="CI69" s="239"/>
      <c r="CJ69" s="239"/>
      <c r="CK69" s="239"/>
      <c r="CL69" s="239"/>
      <c r="CM69" s="239"/>
      <c r="CN69" s="239"/>
      <c r="CO69" s="239"/>
      <c r="CP69" s="239"/>
      <c r="CQ69" s="239"/>
      <c r="CR69" s="239"/>
      <c r="CS69" s="239"/>
      <c r="CT69" s="239"/>
      <c r="CU69" s="239"/>
      <c r="CV69" s="239"/>
      <c r="CW69" s="239"/>
      <c r="CX69" s="239"/>
      <c r="CY69" s="239"/>
      <c r="CZ69" s="239"/>
      <c r="DA69" s="239"/>
      <c r="DB69" s="239"/>
      <c r="DC69" s="239"/>
      <c r="DD69" s="239"/>
      <c r="DE69" s="239"/>
      <c r="DF69" s="239"/>
      <c r="DG69" s="239"/>
      <c r="DH69" s="239"/>
      <c r="DI69" s="239"/>
      <c r="DJ69" s="239"/>
      <c r="DK69" s="239"/>
      <c r="DL69" s="239"/>
      <c r="DM69" s="239"/>
      <c r="DN69" s="239"/>
      <c r="DO69" s="239"/>
      <c r="DP69" s="239"/>
      <c r="DQ69" s="239"/>
      <c r="DR69" s="239"/>
      <c r="DS69" s="239"/>
      <c r="DT69" s="239"/>
      <c r="DU69" s="239"/>
      <c r="DV69" s="239"/>
      <c r="DW69" s="239"/>
      <c r="DX69" s="239"/>
      <c r="DY69" s="239"/>
      <c r="DZ69" s="239"/>
      <c r="EA69" s="239"/>
      <c r="EB69" s="239"/>
      <c r="EC69" s="239"/>
      <c r="ED69" s="239"/>
      <c r="EE69" s="239"/>
      <c r="EF69" s="239"/>
      <c r="EG69" s="239"/>
      <c r="EH69" s="239"/>
      <c r="EI69" s="239"/>
      <c r="EJ69" s="239"/>
      <c r="EK69" s="239"/>
      <c r="EL69" s="239"/>
      <c r="EM69" s="239"/>
      <c r="EN69" s="239"/>
      <c r="EO69" s="239"/>
      <c r="EP69" s="239"/>
      <c r="EQ69" s="239"/>
      <c r="ER69" s="239"/>
      <c r="ES69" s="239"/>
      <c r="ET69" s="239"/>
      <c r="EU69" s="239"/>
      <c r="EV69" s="239"/>
      <c r="EW69" s="239"/>
      <c r="EX69" s="239"/>
      <c r="EY69" s="239"/>
      <c r="EZ69" s="239"/>
      <c r="FA69" s="239"/>
      <c r="FB69" s="239"/>
      <c r="FC69" s="239"/>
      <c r="FD69" s="239"/>
      <c r="FE69" s="239"/>
      <c r="FF69" s="239"/>
      <c r="FG69" s="239"/>
      <c r="FH69" s="239"/>
      <c r="FI69" s="239"/>
      <c r="FJ69" s="239"/>
      <c r="FK69" s="239"/>
      <c r="FL69" s="239"/>
      <c r="FM69" s="239"/>
      <c r="FN69" s="239"/>
      <c r="FO69" s="239"/>
      <c r="FP69" s="239"/>
      <c r="FQ69" s="239"/>
      <c r="FR69" s="239"/>
      <c r="FS69" s="239"/>
      <c r="FT69" s="239"/>
      <c r="FU69" s="239"/>
      <c r="FV69" s="239"/>
      <c r="FW69" s="239"/>
      <c r="FX69" s="239"/>
      <c r="FY69" s="239"/>
      <c r="FZ69" s="239"/>
      <c r="GA69" s="239"/>
      <c r="GB69" s="239"/>
      <c r="GC69" s="239"/>
      <c r="GD69" s="239"/>
      <c r="GE69" s="239"/>
      <c r="GF69" s="239"/>
      <c r="GG69" s="239"/>
      <c r="GH69" s="239"/>
      <c r="GI69" s="239"/>
      <c r="GJ69" s="239"/>
      <c r="GK69" s="239"/>
      <c r="GL69" s="239"/>
      <c r="GM69" s="239"/>
      <c r="GN69" s="239"/>
      <c r="GO69" s="239"/>
      <c r="GP69" s="239"/>
      <c r="GQ69" s="239"/>
      <c r="GR69" s="239"/>
      <c r="GS69" s="239"/>
      <c r="GT69" s="239"/>
      <c r="GU69" s="239"/>
      <c r="GV69" s="239"/>
      <c r="GW69" s="239"/>
      <c r="GX69" s="239"/>
      <c r="GY69" s="239"/>
      <c r="GZ69" s="239"/>
      <c r="HA69" s="239"/>
      <c r="HB69" s="239"/>
      <c r="HC69" s="239"/>
      <c r="HD69" s="239"/>
      <c r="HE69" s="239"/>
      <c r="HF69" s="239"/>
      <c r="HG69" s="239"/>
      <c r="HH69" s="239"/>
      <c r="HI69" s="239"/>
      <c r="HJ69" s="239"/>
      <c r="HK69" s="239"/>
      <c r="HL69" s="239"/>
      <c r="HM69" s="239"/>
      <c r="HN69" s="239"/>
      <c r="HO69" s="239"/>
      <c r="HP69" s="239"/>
      <c r="HQ69" s="239"/>
      <c r="HR69" s="239"/>
      <c r="HS69" s="239"/>
      <c r="HT69" s="239"/>
      <c r="HU69" s="239"/>
      <c r="HV69" s="239"/>
      <c r="HW69" s="239"/>
      <c r="HX69" s="239"/>
      <c r="HY69" s="239"/>
      <c r="HZ69" s="239"/>
      <c r="IA69" s="239"/>
      <c r="IB69" s="239"/>
      <c r="IC69" s="239"/>
      <c r="ID69" s="239"/>
      <c r="IE69" s="239"/>
      <c r="IF69" s="239"/>
      <c r="IG69" s="239"/>
      <c r="IH69" s="239"/>
      <c r="II69" s="239"/>
      <c r="IJ69" s="239"/>
      <c r="IK69" s="239"/>
      <c r="IL69" s="239"/>
      <c r="IM69" s="239"/>
      <c r="IN69" s="239"/>
      <c r="IO69" s="239"/>
      <c r="IP69" s="239"/>
      <c r="IQ69" s="239"/>
      <c r="IR69" s="239"/>
      <c r="IS69" s="239"/>
      <c r="IT69" s="239"/>
      <c r="IU69" s="239"/>
      <c r="IV69" s="239"/>
    </row>
    <row r="70" spans="1:256">
      <c r="A70" s="235"/>
      <c r="B70" s="236" t="s">
        <v>261</v>
      </c>
      <c r="C70" s="237">
        <v>1</v>
      </c>
      <c r="D70" s="237"/>
      <c r="E70" s="237">
        <v>-1</v>
      </c>
      <c r="F70" s="236">
        <v>3</v>
      </c>
      <c r="G70" s="236"/>
      <c r="H70" s="236">
        <v>2.12</v>
      </c>
      <c r="I70" s="216">
        <f t="shared" si="3"/>
        <v>-6.36</v>
      </c>
      <c r="J70" s="238"/>
      <c r="K70" s="239"/>
      <c r="L70" s="239"/>
      <c r="M70" s="239"/>
      <c r="N70" s="239"/>
      <c r="O70" s="239"/>
      <c r="P70" s="239"/>
      <c r="Q70" s="239"/>
      <c r="R70" s="239"/>
      <c r="S70" s="239"/>
      <c r="T70" s="239"/>
      <c r="U70" s="239"/>
      <c r="V70" s="239"/>
      <c r="W70" s="239"/>
      <c r="X70" s="239"/>
      <c r="Y70" s="239"/>
      <c r="Z70" s="239"/>
      <c r="AA70" s="239"/>
      <c r="AB70" s="239"/>
      <c r="AC70" s="239"/>
      <c r="AD70" s="239"/>
      <c r="AE70" s="239"/>
      <c r="AF70" s="239"/>
      <c r="AG70" s="239"/>
      <c r="AH70" s="239"/>
      <c r="AI70" s="239"/>
      <c r="AJ70" s="239"/>
      <c r="AK70" s="239"/>
      <c r="AL70" s="239"/>
      <c r="AM70" s="239"/>
      <c r="AN70" s="239"/>
      <c r="AO70" s="239"/>
      <c r="AP70" s="239"/>
      <c r="AQ70" s="239"/>
      <c r="AR70" s="239"/>
      <c r="AS70" s="239"/>
      <c r="AT70" s="239"/>
      <c r="AU70" s="239"/>
      <c r="AV70" s="239"/>
      <c r="AW70" s="239"/>
      <c r="AX70" s="239"/>
      <c r="AY70" s="239"/>
      <c r="AZ70" s="239"/>
      <c r="BA70" s="239"/>
      <c r="BB70" s="239"/>
      <c r="BC70" s="239"/>
      <c r="BD70" s="239"/>
      <c r="BE70" s="239"/>
      <c r="BF70" s="239"/>
      <c r="BG70" s="239"/>
      <c r="BH70" s="239"/>
      <c r="BI70" s="239"/>
      <c r="BJ70" s="239"/>
      <c r="BK70" s="239"/>
      <c r="BL70" s="239"/>
      <c r="BM70" s="239"/>
      <c r="BN70" s="239"/>
      <c r="BO70" s="239"/>
      <c r="BP70" s="239"/>
      <c r="BQ70" s="239"/>
      <c r="BR70" s="239"/>
      <c r="BS70" s="239"/>
      <c r="BT70" s="239"/>
      <c r="BU70" s="239"/>
      <c r="BV70" s="239"/>
      <c r="BW70" s="239"/>
      <c r="BX70" s="239"/>
      <c r="BY70" s="239"/>
      <c r="BZ70" s="239"/>
      <c r="CA70" s="239"/>
      <c r="CB70" s="239"/>
      <c r="CC70" s="239"/>
      <c r="CD70" s="239"/>
      <c r="CE70" s="239"/>
      <c r="CF70" s="239"/>
      <c r="CG70" s="239"/>
      <c r="CH70" s="239"/>
      <c r="CI70" s="239"/>
      <c r="CJ70" s="239"/>
      <c r="CK70" s="239"/>
      <c r="CL70" s="239"/>
      <c r="CM70" s="239"/>
      <c r="CN70" s="239"/>
      <c r="CO70" s="239"/>
      <c r="CP70" s="239"/>
      <c r="CQ70" s="239"/>
      <c r="CR70" s="239"/>
      <c r="CS70" s="239"/>
      <c r="CT70" s="239"/>
      <c r="CU70" s="239"/>
      <c r="CV70" s="239"/>
      <c r="CW70" s="239"/>
      <c r="CX70" s="239"/>
      <c r="CY70" s="239"/>
      <c r="CZ70" s="239"/>
      <c r="DA70" s="239"/>
      <c r="DB70" s="239"/>
      <c r="DC70" s="239"/>
      <c r="DD70" s="239"/>
      <c r="DE70" s="239"/>
      <c r="DF70" s="239"/>
      <c r="DG70" s="239"/>
      <c r="DH70" s="239"/>
      <c r="DI70" s="239"/>
      <c r="DJ70" s="239"/>
      <c r="DK70" s="239"/>
      <c r="DL70" s="239"/>
      <c r="DM70" s="239"/>
      <c r="DN70" s="239"/>
      <c r="DO70" s="239"/>
      <c r="DP70" s="239"/>
      <c r="DQ70" s="239"/>
      <c r="DR70" s="239"/>
      <c r="DS70" s="239"/>
      <c r="DT70" s="239"/>
      <c r="DU70" s="239"/>
      <c r="DV70" s="239"/>
      <c r="DW70" s="239"/>
      <c r="DX70" s="239"/>
      <c r="DY70" s="239"/>
      <c r="DZ70" s="239"/>
      <c r="EA70" s="239"/>
      <c r="EB70" s="239"/>
      <c r="EC70" s="239"/>
      <c r="ED70" s="239"/>
      <c r="EE70" s="239"/>
      <c r="EF70" s="239"/>
      <c r="EG70" s="239"/>
      <c r="EH70" s="239"/>
      <c r="EI70" s="239"/>
      <c r="EJ70" s="239"/>
      <c r="EK70" s="239"/>
      <c r="EL70" s="239"/>
      <c r="EM70" s="239"/>
      <c r="EN70" s="239"/>
      <c r="EO70" s="239"/>
      <c r="EP70" s="239"/>
      <c r="EQ70" s="239"/>
      <c r="ER70" s="239"/>
      <c r="ES70" s="239"/>
      <c r="ET70" s="239"/>
      <c r="EU70" s="239"/>
      <c r="EV70" s="239"/>
      <c r="EW70" s="239"/>
      <c r="EX70" s="239"/>
      <c r="EY70" s="239"/>
      <c r="EZ70" s="239"/>
      <c r="FA70" s="239"/>
      <c r="FB70" s="239"/>
      <c r="FC70" s="239"/>
      <c r="FD70" s="239"/>
      <c r="FE70" s="239"/>
      <c r="FF70" s="239"/>
      <c r="FG70" s="239"/>
      <c r="FH70" s="239"/>
      <c r="FI70" s="239"/>
      <c r="FJ70" s="239"/>
      <c r="FK70" s="239"/>
      <c r="FL70" s="239"/>
      <c r="FM70" s="239"/>
      <c r="FN70" s="239"/>
      <c r="FO70" s="239"/>
      <c r="FP70" s="239"/>
      <c r="FQ70" s="239"/>
      <c r="FR70" s="239"/>
      <c r="FS70" s="239"/>
      <c r="FT70" s="239"/>
      <c r="FU70" s="239"/>
      <c r="FV70" s="239"/>
      <c r="FW70" s="239"/>
      <c r="FX70" s="239"/>
      <c r="FY70" s="239"/>
      <c r="FZ70" s="239"/>
      <c r="GA70" s="239"/>
      <c r="GB70" s="239"/>
      <c r="GC70" s="239"/>
      <c r="GD70" s="239"/>
      <c r="GE70" s="239"/>
      <c r="GF70" s="239"/>
      <c r="GG70" s="239"/>
      <c r="GH70" s="239"/>
      <c r="GI70" s="239"/>
      <c r="GJ70" s="239"/>
      <c r="GK70" s="239"/>
      <c r="GL70" s="239"/>
      <c r="GM70" s="239"/>
      <c r="GN70" s="239"/>
      <c r="GO70" s="239"/>
      <c r="GP70" s="239"/>
      <c r="GQ70" s="239"/>
      <c r="GR70" s="239"/>
      <c r="GS70" s="239"/>
      <c r="GT70" s="239"/>
      <c r="GU70" s="239"/>
      <c r="GV70" s="239"/>
      <c r="GW70" s="239"/>
      <c r="GX70" s="239"/>
      <c r="GY70" s="239"/>
      <c r="GZ70" s="239"/>
      <c r="HA70" s="239"/>
      <c r="HB70" s="239"/>
      <c r="HC70" s="239"/>
      <c r="HD70" s="239"/>
      <c r="HE70" s="239"/>
      <c r="HF70" s="239"/>
      <c r="HG70" s="239"/>
      <c r="HH70" s="239"/>
      <c r="HI70" s="239"/>
      <c r="HJ70" s="239"/>
      <c r="HK70" s="239"/>
      <c r="HL70" s="239"/>
      <c r="HM70" s="239"/>
      <c r="HN70" s="239"/>
      <c r="HO70" s="239"/>
      <c r="HP70" s="239"/>
      <c r="HQ70" s="239"/>
      <c r="HR70" s="239"/>
      <c r="HS70" s="239"/>
      <c r="HT70" s="239"/>
      <c r="HU70" s="239"/>
      <c r="HV70" s="239"/>
      <c r="HW70" s="239"/>
      <c r="HX70" s="239"/>
      <c r="HY70" s="239"/>
      <c r="HZ70" s="239"/>
      <c r="IA70" s="239"/>
      <c r="IB70" s="239"/>
      <c r="IC70" s="239"/>
      <c r="ID70" s="239"/>
      <c r="IE70" s="239"/>
      <c r="IF70" s="239"/>
      <c r="IG70" s="239"/>
      <c r="IH70" s="239"/>
      <c r="II70" s="239"/>
      <c r="IJ70" s="239"/>
      <c r="IK70" s="239"/>
      <c r="IL70" s="239"/>
      <c r="IM70" s="239"/>
      <c r="IN70" s="239"/>
      <c r="IO70" s="239"/>
      <c r="IP70" s="239"/>
      <c r="IQ70" s="239"/>
      <c r="IR70" s="239"/>
      <c r="IS70" s="239"/>
      <c r="IT70" s="239"/>
      <c r="IU70" s="239"/>
      <c r="IV70" s="239"/>
    </row>
    <row r="71" spans="1:256">
      <c r="A71" s="235"/>
      <c r="B71" s="236" t="s">
        <v>262</v>
      </c>
      <c r="C71" s="237">
        <v>1</v>
      </c>
      <c r="D71" s="237"/>
      <c r="E71" s="237">
        <v>1</v>
      </c>
      <c r="F71" s="236">
        <v>18.55</v>
      </c>
      <c r="G71" s="236"/>
      <c r="H71" s="236">
        <v>1</v>
      </c>
      <c r="I71" s="216">
        <f t="shared" si="3"/>
        <v>18.55</v>
      </c>
      <c r="J71" s="238"/>
      <c r="K71" s="239"/>
      <c r="L71" s="239"/>
      <c r="M71" s="239"/>
      <c r="N71" s="239"/>
      <c r="O71" s="239"/>
      <c r="P71" s="239"/>
      <c r="Q71" s="239"/>
      <c r="R71" s="239"/>
      <c r="S71" s="239"/>
      <c r="T71" s="239"/>
      <c r="U71" s="239"/>
      <c r="V71" s="239"/>
      <c r="W71" s="239"/>
      <c r="X71" s="239"/>
      <c r="Y71" s="239"/>
      <c r="Z71" s="239"/>
      <c r="AA71" s="239"/>
      <c r="AB71" s="239"/>
      <c r="AC71" s="239"/>
      <c r="AD71" s="239"/>
      <c r="AE71" s="239"/>
      <c r="AF71" s="239"/>
      <c r="AG71" s="239"/>
      <c r="AH71" s="239"/>
      <c r="AI71" s="239"/>
      <c r="AJ71" s="239"/>
      <c r="AK71" s="239"/>
      <c r="AL71" s="239"/>
      <c r="AM71" s="239"/>
      <c r="AN71" s="239"/>
      <c r="AO71" s="239"/>
      <c r="AP71" s="239"/>
      <c r="AQ71" s="239"/>
      <c r="AR71" s="239"/>
      <c r="AS71" s="239"/>
      <c r="AT71" s="239"/>
      <c r="AU71" s="239"/>
      <c r="AV71" s="239"/>
      <c r="AW71" s="239"/>
      <c r="AX71" s="239"/>
      <c r="AY71" s="239"/>
      <c r="AZ71" s="239"/>
      <c r="BA71" s="239"/>
      <c r="BB71" s="239"/>
      <c r="BC71" s="239"/>
      <c r="BD71" s="239"/>
      <c r="BE71" s="239"/>
      <c r="BF71" s="239"/>
      <c r="BG71" s="239"/>
      <c r="BH71" s="239"/>
      <c r="BI71" s="239"/>
      <c r="BJ71" s="239"/>
      <c r="BK71" s="239"/>
      <c r="BL71" s="239"/>
      <c r="BM71" s="239"/>
      <c r="BN71" s="239"/>
      <c r="BO71" s="239"/>
      <c r="BP71" s="239"/>
      <c r="BQ71" s="239"/>
      <c r="BR71" s="239"/>
      <c r="BS71" s="239"/>
      <c r="BT71" s="239"/>
      <c r="BU71" s="239"/>
      <c r="BV71" s="239"/>
      <c r="BW71" s="239"/>
      <c r="BX71" s="239"/>
      <c r="BY71" s="239"/>
      <c r="BZ71" s="239"/>
      <c r="CA71" s="239"/>
      <c r="CB71" s="239"/>
      <c r="CC71" s="239"/>
      <c r="CD71" s="239"/>
      <c r="CE71" s="239"/>
      <c r="CF71" s="239"/>
      <c r="CG71" s="239"/>
      <c r="CH71" s="239"/>
      <c r="CI71" s="239"/>
      <c r="CJ71" s="239"/>
      <c r="CK71" s="239"/>
      <c r="CL71" s="239"/>
      <c r="CM71" s="239"/>
      <c r="CN71" s="239"/>
      <c r="CO71" s="239"/>
      <c r="CP71" s="239"/>
      <c r="CQ71" s="239"/>
      <c r="CR71" s="239"/>
      <c r="CS71" s="239"/>
      <c r="CT71" s="239"/>
      <c r="CU71" s="239"/>
      <c r="CV71" s="239"/>
      <c r="CW71" s="239"/>
      <c r="CX71" s="239"/>
      <c r="CY71" s="239"/>
      <c r="CZ71" s="239"/>
      <c r="DA71" s="239"/>
      <c r="DB71" s="239"/>
      <c r="DC71" s="239"/>
      <c r="DD71" s="239"/>
      <c r="DE71" s="239"/>
      <c r="DF71" s="239"/>
      <c r="DG71" s="239"/>
      <c r="DH71" s="239"/>
      <c r="DI71" s="239"/>
      <c r="DJ71" s="239"/>
      <c r="DK71" s="239"/>
      <c r="DL71" s="239"/>
      <c r="DM71" s="239"/>
      <c r="DN71" s="239"/>
      <c r="DO71" s="239"/>
      <c r="DP71" s="239"/>
      <c r="DQ71" s="239"/>
      <c r="DR71" s="239"/>
      <c r="DS71" s="239"/>
      <c r="DT71" s="239"/>
      <c r="DU71" s="239"/>
      <c r="DV71" s="239"/>
      <c r="DW71" s="239"/>
      <c r="DX71" s="239"/>
      <c r="DY71" s="239"/>
      <c r="DZ71" s="239"/>
      <c r="EA71" s="239"/>
      <c r="EB71" s="239"/>
      <c r="EC71" s="239"/>
      <c r="ED71" s="239"/>
      <c r="EE71" s="239"/>
      <c r="EF71" s="239"/>
      <c r="EG71" s="239"/>
      <c r="EH71" s="239"/>
      <c r="EI71" s="239"/>
      <c r="EJ71" s="239"/>
      <c r="EK71" s="239"/>
      <c r="EL71" s="239"/>
      <c r="EM71" s="239"/>
      <c r="EN71" s="239"/>
      <c r="EO71" s="239"/>
      <c r="EP71" s="239"/>
      <c r="EQ71" s="239"/>
      <c r="ER71" s="239"/>
      <c r="ES71" s="239"/>
      <c r="ET71" s="239"/>
      <c r="EU71" s="239"/>
      <c r="EV71" s="239"/>
      <c r="EW71" s="239"/>
      <c r="EX71" s="239"/>
      <c r="EY71" s="239"/>
      <c r="EZ71" s="239"/>
      <c r="FA71" s="239"/>
      <c r="FB71" s="239"/>
      <c r="FC71" s="239"/>
      <c r="FD71" s="239"/>
      <c r="FE71" s="239"/>
      <c r="FF71" s="239"/>
      <c r="FG71" s="239"/>
      <c r="FH71" s="239"/>
      <c r="FI71" s="239"/>
      <c r="FJ71" s="239"/>
      <c r="FK71" s="239"/>
      <c r="FL71" s="239"/>
      <c r="FM71" s="239"/>
      <c r="FN71" s="239"/>
      <c r="FO71" s="239"/>
      <c r="FP71" s="239"/>
      <c r="FQ71" s="239"/>
      <c r="FR71" s="239"/>
      <c r="FS71" s="239"/>
      <c r="FT71" s="239"/>
      <c r="FU71" s="239"/>
      <c r="FV71" s="239"/>
      <c r="FW71" s="239"/>
      <c r="FX71" s="239"/>
      <c r="FY71" s="239"/>
      <c r="FZ71" s="239"/>
      <c r="GA71" s="239"/>
      <c r="GB71" s="239"/>
      <c r="GC71" s="239"/>
      <c r="GD71" s="239"/>
      <c r="GE71" s="239"/>
      <c r="GF71" s="239"/>
      <c r="GG71" s="239"/>
      <c r="GH71" s="239"/>
      <c r="GI71" s="239"/>
      <c r="GJ71" s="239"/>
      <c r="GK71" s="239"/>
      <c r="GL71" s="239"/>
      <c r="GM71" s="239"/>
      <c r="GN71" s="239"/>
      <c r="GO71" s="239"/>
      <c r="GP71" s="239"/>
      <c r="GQ71" s="239"/>
      <c r="GR71" s="239"/>
      <c r="GS71" s="239"/>
      <c r="GT71" s="239"/>
      <c r="GU71" s="239"/>
      <c r="GV71" s="239"/>
      <c r="GW71" s="239"/>
      <c r="GX71" s="239"/>
      <c r="GY71" s="239"/>
      <c r="GZ71" s="239"/>
      <c r="HA71" s="239"/>
      <c r="HB71" s="239"/>
      <c r="HC71" s="239"/>
      <c r="HD71" s="239"/>
      <c r="HE71" s="239"/>
      <c r="HF71" s="239"/>
      <c r="HG71" s="239"/>
      <c r="HH71" s="239"/>
      <c r="HI71" s="239"/>
      <c r="HJ71" s="239"/>
      <c r="HK71" s="239"/>
      <c r="HL71" s="239"/>
      <c r="HM71" s="239"/>
      <c r="HN71" s="239"/>
      <c r="HO71" s="239"/>
      <c r="HP71" s="239"/>
      <c r="HQ71" s="239"/>
      <c r="HR71" s="239"/>
      <c r="HS71" s="239"/>
      <c r="HT71" s="239"/>
      <c r="HU71" s="239"/>
      <c r="HV71" s="239"/>
      <c r="HW71" s="239"/>
      <c r="HX71" s="239"/>
      <c r="HY71" s="239"/>
      <c r="HZ71" s="239"/>
      <c r="IA71" s="239"/>
      <c r="IB71" s="239"/>
      <c r="IC71" s="239"/>
      <c r="ID71" s="239"/>
      <c r="IE71" s="239"/>
      <c r="IF71" s="239"/>
      <c r="IG71" s="239"/>
      <c r="IH71" s="239"/>
      <c r="II71" s="239"/>
      <c r="IJ71" s="239"/>
      <c r="IK71" s="239"/>
      <c r="IL71" s="239"/>
      <c r="IM71" s="239"/>
      <c r="IN71" s="239"/>
      <c r="IO71" s="239"/>
      <c r="IP71" s="239"/>
      <c r="IQ71" s="239"/>
      <c r="IR71" s="239"/>
      <c r="IS71" s="239"/>
      <c r="IT71" s="239"/>
      <c r="IU71" s="239"/>
      <c r="IV71" s="239"/>
    </row>
    <row r="72" spans="1:256">
      <c r="A72" s="235"/>
      <c r="B72" s="236"/>
      <c r="C72" s="237">
        <v>1</v>
      </c>
      <c r="D72" s="237"/>
      <c r="E72" s="237">
        <v>1</v>
      </c>
      <c r="F72" s="236">
        <v>2.5</v>
      </c>
      <c r="G72" s="236"/>
      <c r="H72" s="236">
        <v>0.5</v>
      </c>
      <c r="I72" s="216">
        <f t="shared" si="3"/>
        <v>1.25</v>
      </c>
      <c r="J72" s="238"/>
      <c r="K72" s="239"/>
      <c r="L72" s="239"/>
      <c r="M72" s="239"/>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239"/>
      <c r="AR72" s="239"/>
      <c r="AS72" s="239"/>
      <c r="AT72" s="239"/>
      <c r="AU72" s="239"/>
      <c r="AV72" s="239"/>
      <c r="AW72" s="239"/>
      <c r="AX72" s="239"/>
      <c r="AY72" s="239"/>
      <c r="AZ72" s="239"/>
      <c r="BA72" s="239"/>
      <c r="BB72" s="239"/>
      <c r="BC72" s="239"/>
      <c r="BD72" s="239"/>
      <c r="BE72" s="239"/>
      <c r="BF72" s="239"/>
      <c r="BG72" s="239"/>
      <c r="BH72" s="239"/>
      <c r="BI72" s="239"/>
      <c r="BJ72" s="239"/>
      <c r="BK72" s="239"/>
      <c r="BL72" s="239"/>
      <c r="BM72" s="239"/>
      <c r="BN72" s="239"/>
      <c r="BO72" s="239"/>
      <c r="BP72" s="239"/>
      <c r="BQ72" s="239"/>
      <c r="BR72" s="239"/>
      <c r="BS72" s="239"/>
      <c r="BT72" s="239"/>
      <c r="BU72" s="239"/>
      <c r="BV72" s="239"/>
      <c r="BW72" s="239"/>
      <c r="BX72" s="239"/>
      <c r="BY72" s="239"/>
      <c r="BZ72" s="239"/>
      <c r="CA72" s="239"/>
      <c r="CB72" s="239"/>
      <c r="CC72" s="239"/>
      <c r="CD72" s="239"/>
      <c r="CE72" s="239"/>
      <c r="CF72" s="239"/>
      <c r="CG72" s="239"/>
      <c r="CH72" s="239"/>
      <c r="CI72" s="239"/>
      <c r="CJ72" s="239"/>
      <c r="CK72" s="239"/>
      <c r="CL72" s="239"/>
      <c r="CM72" s="239"/>
      <c r="CN72" s="239"/>
      <c r="CO72" s="239"/>
      <c r="CP72" s="239"/>
      <c r="CQ72" s="239"/>
      <c r="CR72" s="239"/>
      <c r="CS72" s="239"/>
      <c r="CT72" s="239"/>
      <c r="CU72" s="239"/>
      <c r="CV72" s="239"/>
      <c r="CW72" s="239"/>
      <c r="CX72" s="239"/>
      <c r="CY72" s="239"/>
      <c r="CZ72" s="239"/>
      <c r="DA72" s="239"/>
      <c r="DB72" s="239"/>
      <c r="DC72" s="239"/>
      <c r="DD72" s="239"/>
      <c r="DE72" s="239"/>
      <c r="DF72" s="239"/>
      <c r="DG72" s="239"/>
      <c r="DH72" s="239"/>
      <c r="DI72" s="239"/>
      <c r="DJ72" s="239"/>
      <c r="DK72" s="239"/>
      <c r="DL72" s="239"/>
      <c r="DM72" s="239"/>
      <c r="DN72" s="239"/>
      <c r="DO72" s="239"/>
      <c r="DP72" s="239"/>
      <c r="DQ72" s="239"/>
      <c r="DR72" s="239"/>
      <c r="DS72" s="239"/>
      <c r="DT72" s="239"/>
      <c r="DU72" s="239"/>
      <c r="DV72" s="239"/>
      <c r="DW72" s="239"/>
      <c r="DX72" s="239"/>
      <c r="DY72" s="239"/>
      <c r="DZ72" s="239"/>
      <c r="EA72" s="239"/>
      <c r="EB72" s="239"/>
      <c r="EC72" s="239"/>
      <c r="ED72" s="239"/>
      <c r="EE72" s="239"/>
      <c r="EF72" s="239"/>
      <c r="EG72" s="239"/>
      <c r="EH72" s="239"/>
      <c r="EI72" s="239"/>
      <c r="EJ72" s="239"/>
      <c r="EK72" s="239"/>
      <c r="EL72" s="239"/>
      <c r="EM72" s="239"/>
      <c r="EN72" s="239"/>
      <c r="EO72" s="239"/>
      <c r="EP72" s="239"/>
      <c r="EQ72" s="239"/>
      <c r="ER72" s="239"/>
      <c r="ES72" s="239"/>
      <c r="ET72" s="239"/>
      <c r="EU72" s="239"/>
      <c r="EV72" s="239"/>
      <c r="EW72" s="239"/>
      <c r="EX72" s="239"/>
      <c r="EY72" s="239"/>
      <c r="EZ72" s="239"/>
      <c r="FA72" s="239"/>
      <c r="FB72" s="239"/>
      <c r="FC72" s="239"/>
      <c r="FD72" s="239"/>
      <c r="FE72" s="239"/>
      <c r="FF72" s="239"/>
      <c r="FG72" s="239"/>
      <c r="FH72" s="239"/>
      <c r="FI72" s="239"/>
      <c r="FJ72" s="239"/>
      <c r="FK72" s="239"/>
      <c r="FL72" s="239"/>
      <c r="FM72" s="239"/>
      <c r="FN72" s="239"/>
      <c r="FO72" s="239"/>
      <c r="FP72" s="239"/>
      <c r="FQ72" s="239"/>
      <c r="FR72" s="239"/>
      <c r="FS72" s="239"/>
      <c r="FT72" s="239"/>
      <c r="FU72" s="239"/>
      <c r="FV72" s="239"/>
      <c r="FW72" s="239"/>
      <c r="FX72" s="239"/>
      <c r="FY72" s="239"/>
      <c r="FZ72" s="239"/>
      <c r="GA72" s="239"/>
      <c r="GB72" s="239"/>
      <c r="GC72" s="239"/>
      <c r="GD72" s="239"/>
      <c r="GE72" s="239"/>
      <c r="GF72" s="239"/>
      <c r="GG72" s="239"/>
      <c r="GH72" s="239"/>
      <c r="GI72" s="239"/>
      <c r="GJ72" s="239"/>
      <c r="GK72" s="239"/>
      <c r="GL72" s="239"/>
      <c r="GM72" s="239"/>
      <c r="GN72" s="239"/>
      <c r="GO72" s="239"/>
      <c r="GP72" s="239"/>
      <c r="GQ72" s="239"/>
      <c r="GR72" s="239"/>
      <c r="GS72" s="239"/>
      <c r="GT72" s="239"/>
      <c r="GU72" s="239"/>
      <c r="GV72" s="239"/>
      <c r="GW72" s="239"/>
      <c r="GX72" s="239"/>
      <c r="GY72" s="239"/>
      <c r="GZ72" s="239"/>
      <c r="HA72" s="239"/>
      <c r="HB72" s="239"/>
      <c r="HC72" s="239"/>
      <c r="HD72" s="239"/>
      <c r="HE72" s="239"/>
      <c r="HF72" s="239"/>
      <c r="HG72" s="239"/>
      <c r="HH72" s="239"/>
      <c r="HI72" s="239"/>
      <c r="HJ72" s="239"/>
      <c r="HK72" s="239"/>
      <c r="HL72" s="239"/>
      <c r="HM72" s="239"/>
      <c r="HN72" s="239"/>
      <c r="HO72" s="239"/>
      <c r="HP72" s="239"/>
      <c r="HQ72" s="239"/>
      <c r="HR72" s="239"/>
      <c r="HS72" s="239"/>
      <c r="HT72" s="239"/>
      <c r="HU72" s="239"/>
      <c r="HV72" s="239"/>
      <c r="HW72" s="239"/>
      <c r="HX72" s="239"/>
      <c r="HY72" s="239"/>
      <c r="HZ72" s="239"/>
      <c r="IA72" s="239"/>
      <c r="IB72" s="239"/>
      <c r="IC72" s="239"/>
      <c r="ID72" s="239"/>
      <c r="IE72" s="239"/>
      <c r="IF72" s="239"/>
      <c r="IG72" s="239"/>
      <c r="IH72" s="239"/>
      <c r="II72" s="239"/>
      <c r="IJ72" s="239"/>
      <c r="IK72" s="239"/>
      <c r="IL72" s="239"/>
      <c r="IM72" s="239"/>
      <c r="IN72" s="239"/>
      <c r="IO72" s="239"/>
      <c r="IP72" s="239"/>
      <c r="IQ72" s="239"/>
      <c r="IR72" s="239"/>
      <c r="IS72" s="239"/>
      <c r="IT72" s="239"/>
      <c r="IU72" s="239"/>
      <c r="IV72" s="239"/>
    </row>
    <row r="73" spans="1:256">
      <c r="A73" s="213"/>
      <c r="B73" s="226"/>
      <c r="C73" s="213"/>
      <c r="D73" s="213"/>
      <c r="E73" s="213"/>
      <c r="F73" s="215"/>
      <c r="G73" s="215"/>
      <c r="H73" s="227"/>
      <c r="I73" s="221">
        <f>SUM(I57:I72)</f>
        <v>578.87099999999975</v>
      </c>
      <c r="J73" s="222"/>
    </row>
    <row r="74" spans="1:256">
      <c r="A74" s="213"/>
      <c r="B74" s="226"/>
      <c r="C74" s="213"/>
      <c r="D74" s="213"/>
      <c r="E74" s="213"/>
      <c r="F74" s="215"/>
      <c r="G74" s="215"/>
      <c r="H74" s="227" t="s">
        <v>25</v>
      </c>
      <c r="I74" s="221">
        <v>579</v>
      </c>
      <c r="J74" s="222" t="s">
        <v>247</v>
      </c>
    </row>
    <row r="75" spans="1:256">
      <c r="A75" s="213"/>
      <c r="B75" s="226"/>
      <c r="C75" s="213"/>
      <c r="D75" s="213"/>
      <c r="E75" s="213"/>
      <c r="F75" s="215"/>
      <c r="G75" s="215"/>
      <c r="H75" s="227"/>
      <c r="I75" s="221"/>
      <c r="J75" s="222"/>
    </row>
    <row r="76" spans="1:256">
      <c r="A76" s="213"/>
      <c r="B76" s="226"/>
      <c r="C76" s="213"/>
      <c r="D76" s="213"/>
      <c r="E76" s="213"/>
      <c r="F76" s="215"/>
      <c r="G76" s="215"/>
      <c r="H76" s="227"/>
      <c r="I76" s="221"/>
      <c r="J76" s="222"/>
    </row>
    <row r="77" spans="1:256">
      <c r="A77" s="213">
        <v>9</v>
      </c>
      <c r="B77" s="226" t="s">
        <v>263</v>
      </c>
      <c r="C77" s="213"/>
      <c r="D77" s="213"/>
      <c r="E77" s="213"/>
      <c r="F77" s="215"/>
      <c r="G77" s="215"/>
      <c r="H77" s="227"/>
      <c r="I77" s="221"/>
      <c r="J77" s="222"/>
    </row>
    <row r="78" spans="1:256">
      <c r="A78" s="213"/>
      <c r="B78" s="236" t="s">
        <v>264</v>
      </c>
      <c r="C78" s="213">
        <v>1</v>
      </c>
      <c r="D78" s="213"/>
      <c r="E78" s="213">
        <v>1</v>
      </c>
      <c r="F78" s="215">
        <v>20.350000000000001</v>
      </c>
      <c r="G78" s="215">
        <v>2.75</v>
      </c>
      <c r="H78" s="227"/>
      <c r="I78" s="216">
        <f>PRODUCT(C78:H78)</f>
        <v>55.962500000000006</v>
      </c>
      <c r="J78" s="222"/>
    </row>
    <row r="79" spans="1:256" s="218" customFormat="1">
      <c r="A79" s="213"/>
      <c r="B79" s="226"/>
      <c r="C79" s="213"/>
      <c r="D79" s="213"/>
      <c r="E79" s="213"/>
      <c r="F79" s="215"/>
      <c r="G79" s="215"/>
      <c r="H79" s="232"/>
      <c r="I79" s="216">
        <f>SUM(I78:I78)</f>
        <v>55.962500000000006</v>
      </c>
      <c r="J79" s="222"/>
    </row>
    <row r="80" spans="1:256">
      <c r="A80" s="213"/>
      <c r="B80" s="226"/>
      <c r="C80" s="213"/>
      <c r="D80" s="213"/>
      <c r="E80" s="213"/>
      <c r="F80" s="215"/>
      <c r="G80" s="215"/>
      <c r="H80" s="227" t="s">
        <v>25</v>
      </c>
      <c r="I80" s="221">
        <f>CEILING(I79,0.1)</f>
        <v>56</v>
      </c>
      <c r="J80" s="222" t="s">
        <v>247</v>
      </c>
    </row>
    <row r="81" spans="1:12">
      <c r="A81" s="213"/>
      <c r="B81" s="226"/>
      <c r="C81" s="213"/>
      <c r="D81" s="213"/>
      <c r="E81" s="213"/>
      <c r="F81" s="215"/>
      <c r="G81" s="215"/>
      <c r="H81" s="227"/>
      <c r="I81" s="216"/>
      <c r="J81" s="222"/>
    </row>
    <row r="82" spans="1:12" ht="66.75" customHeight="1">
      <c r="A82" s="213">
        <v>10</v>
      </c>
      <c r="B82" s="236" t="s">
        <v>265</v>
      </c>
      <c r="C82" s="213"/>
      <c r="D82" s="213"/>
      <c r="E82" s="213"/>
      <c r="F82" s="215"/>
      <c r="G82" s="215"/>
      <c r="H82" s="227"/>
      <c r="I82" s="221"/>
      <c r="J82" s="222"/>
    </row>
    <row r="83" spans="1:12">
      <c r="A83" s="213"/>
      <c r="B83" s="236" t="s">
        <v>266</v>
      </c>
      <c r="C83" s="213">
        <v>1</v>
      </c>
      <c r="D83" s="213"/>
      <c r="E83" s="213">
        <v>8</v>
      </c>
      <c r="F83" s="215"/>
      <c r="G83" s="215"/>
      <c r="H83" s="227"/>
      <c r="I83" s="221">
        <f>PRODUCT(C83:H83)</f>
        <v>8</v>
      </c>
      <c r="J83" s="222" t="s">
        <v>37</v>
      </c>
    </row>
    <row r="84" spans="1:12">
      <c r="A84" s="213"/>
      <c r="B84" s="226"/>
      <c r="C84" s="213"/>
      <c r="D84" s="213"/>
      <c r="E84" s="213"/>
      <c r="F84" s="215"/>
      <c r="G84" s="215"/>
      <c r="H84" s="227"/>
      <c r="I84" s="221"/>
      <c r="J84" s="222"/>
    </row>
    <row r="85" spans="1:12" ht="63">
      <c r="A85" s="213">
        <v>11</v>
      </c>
      <c r="B85" s="236" t="s">
        <v>267</v>
      </c>
      <c r="C85" s="241">
        <v>1</v>
      </c>
      <c r="D85" s="241"/>
      <c r="E85" s="241">
        <v>8</v>
      </c>
      <c r="F85" s="242"/>
      <c r="G85" s="242"/>
      <c r="H85" s="227"/>
      <c r="I85" s="227">
        <f>PRODUCT(C85:H85)</f>
        <v>8</v>
      </c>
      <c r="J85" s="222" t="s">
        <v>37</v>
      </c>
    </row>
    <row r="86" spans="1:12">
      <c r="A86" s="213"/>
      <c r="B86" s="226"/>
      <c r="C86" s="213"/>
      <c r="D86" s="213"/>
      <c r="E86" s="213"/>
      <c r="F86" s="215"/>
      <c r="G86" s="215"/>
      <c r="H86" s="227"/>
      <c r="I86" s="221"/>
      <c r="J86" s="222"/>
    </row>
    <row r="87" spans="1:12" ht="89.25" customHeight="1">
      <c r="A87" s="213">
        <v>12</v>
      </c>
      <c r="B87" s="243" t="s">
        <v>268</v>
      </c>
      <c r="C87" s="241">
        <v>1</v>
      </c>
      <c r="D87" s="241"/>
      <c r="E87" s="241">
        <v>8</v>
      </c>
      <c r="F87" s="242"/>
      <c r="G87" s="242"/>
      <c r="H87" s="227"/>
      <c r="I87" s="227">
        <f>PRODUCT(C87:H87)</f>
        <v>8</v>
      </c>
      <c r="J87" s="222" t="s">
        <v>37</v>
      </c>
    </row>
    <row r="88" spans="1:12">
      <c r="A88" s="213"/>
      <c r="B88" s="226"/>
      <c r="C88" s="213"/>
      <c r="D88" s="213"/>
      <c r="E88" s="213"/>
      <c r="F88" s="215"/>
      <c r="G88" s="215"/>
      <c r="H88" s="227"/>
      <c r="I88" s="221"/>
      <c r="J88" s="222"/>
    </row>
    <row r="89" spans="1:12" ht="96" customHeight="1">
      <c r="A89" s="213">
        <v>13</v>
      </c>
      <c r="B89" s="236" t="s">
        <v>269</v>
      </c>
      <c r="C89" s="244">
        <v>1</v>
      </c>
      <c r="D89" s="244"/>
      <c r="E89" s="244">
        <v>8</v>
      </c>
      <c r="F89" s="215"/>
      <c r="G89" s="215"/>
      <c r="H89" s="227"/>
      <c r="I89" s="227">
        <f>PRODUCT(C89:H89)</f>
        <v>8</v>
      </c>
      <c r="J89" s="222" t="s">
        <v>37</v>
      </c>
    </row>
    <row r="90" spans="1:12">
      <c r="A90" s="213"/>
      <c r="B90" s="226"/>
      <c r="C90" s="213"/>
      <c r="D90" s="213"/>
      <c r="E90" s="213"/>
      <c r="F90" s="215"/>
      <c r="G90" s="215"/>
      <c r="H90" s="227"/>
      <c r="I90" s="221"/>
      <c r="J90" s="222"/>
    </row>
    <row r="91" spans="1:12" ht="222.75" customHeight="1">
      <c r="A91" s="213">
        <v>14</v>
      </c>
      <c r="B91" s="226" t="s">
        <v>270</v>
      </c>
      <c r="C91" s="213">
        <v>1</v>
      </c>
      <c r="D91" s="213"/>
      <c r="E91" s="213">
        <v>1</v>
      </c>
      <c r="F91" s="215"/>
      <c r="G91" s="215"/>
      <c r="H91" s="227"/>
      <c r="I91" s="227">
        <f>PRODUCT(C91:H91)</f>
        <v>1</v>
      </c>
      <c r="J91" s="222" t="s">
        <v>74</v>
      </c>
    </row>
    <row r="92" spans="1:12">
      <c r="A92" s="213"/>
      <c r="B92" s="226"/>
      <c r="C92" s="213"/>
      <c r="D92" s="213"/>
      <c r="E92" s="213"/>
      <c r="F92" s="215"/>
      <c r="G92" s="215"/>
      <c r="H92" s="227"/>
      <c r="I92" s="216"/>
      <c r="J92" s="222"/>
    </row>
    <row r="93" spans="1:12" ht="177" customHeight="1">
      <c r="A93" s="213">
        <v>15</v>
      </c>
      <c r="B93" s="226" t="s">
        <v>271</v>
      </c>
      <c r="C93" s="213">
        <v>1</v>
      </c>
      <c r="D93" s="213"/>
      <c r="E93" s="213">
        <v>1</v>
      </c>
      <c r="F93" s="215">
        <v>40</v>
      </c>
      <c r="G93" s="215"/>
      <c r="H93" s="227"/>
      <c r="I93" s="216">
        <f>PRODUCT(C93:H93)</f>
        <v>40</v>
      </c>
      <c r="J93" s="222" t="s">
        <v>15</v>
      </c>
      <c r="L93" s="245">
        <f>2*8*0.5*1.45*2.9</f>
        <v>33.64</v>
      </c>
    </row>
    <row r="94" spans="1:12">
      <c r="A94" s="213"/>
      <c r="B94" s="226"/>
      <c r="C94" s="213"/>
      <c r="D94" s="213"/>
      <c r="E94" s="213"/>
      <c r="F94" s="215"/>
      <c r="G94" s="215"/>
      <c r="H94" s="227"/>
      <c r="I94" s="221"/>
      <c r="J94" s="222"/>
      <c r="L94" s="245"/>
    </row>
    <row r="95" spans="1:12" ht="163.5" customHeight="1">
      <c r="A95" s="213">
        <v>16</v>
      </c>
      <c r="B95" s="226" t="s">
        <v>272</v>
      </c>
      <c r="C95" s="241">
        <v>1</v>
      </c>
      <c r="D95" s="241"/>
      <c r="E95" s="241">
        <v>1</v>
      </c>
      <c r="F95" s="242">
        <v>50</v>
      </c>
      <c r="G95" s="242"/>
      <c r="H95" s="227"/>
      <c r="I95" s="232">
        <f>PRODUCT(C95:H95)</f>
        <v>50</v>
      </c>
      <c r="J95" s="222" t="s">
        <v>15</v>
      </c>
      <c r="L95" s="245"/>
    </row>
    <row r="96" spans="1:12">
      <c r="A96" s="213"/>
      <c r="B96" s="226"/>
      <c r="C96" s="213"/>
      <c r="D96" s="213"/>
      <c r="E96" s="213"/>
      <c r="F96" s="215"/>
      <c r="G96" s="215"/>
      <c r="H96" s="227"/>
      <c r="I96" s="221"/>
      <c r="J96" s="222"/>
      <c r="L96" s="245"/>
    </row>
    <row r="97" spans="1:12" ht="227.25" customHeight="1">
      <c r="A97" s="213">
        <v>17</v>
      </c>
      <c r="B97" s="226" t="s">
        <v>273</v>
      </c>
      <c r="C97" s="213"/>
      <c r="D97" s="213"/>
      <c r="E97" s="213"/>
      <c r="F97" s="215"/>
      <c r="G97" s="215"/>
      <c r="H97" s="227"/>
      <c r="I97" s="221"/>
      <c r="J97" s="222"/>
      <c r="L97" s="245"/>
    </row>
    <row r="98" spans="1:12">
      <c r="A98" s="213"/>
      <c r="B98" s="226" t="s">
        <v>274</v>
      </c>
      <c r="C98" s="213">
        <v>2</v>
      </c>
      <c r="D98" s="213"/>
      <c r="E98" s="213">
        <v>8</v>
      </c>
      <c r="F98" s="215"/>
      <c r="G98" s="215"/>
      <c r="H98" s="227"/>
      <c r="I98" s="221">
        <f>PRODUCT(C98:H98)</f>
        <v>16</v>
      </c>
      <c r="J98" s="222" t="s">
        <v>18</v>
      </c>
      <c r="L98" s="245"/>
    </row>
    <row r="99" spans="1:12">
      <c r="A99" s="213"/>
      <c r="B99" s="226"/>
      <c r="C99" s="213"/>
      <c r="D99" s="213"/>
      <c r="E99" s="213"/>
      <c r="F99" s="215"/>
      <c r="G99" s="215"/>
      <c r="H99" s="227"/>
      <c r="I99" s="221"/>
      <c r="J99" s="222"/>
      <c r="L99" s="245"/>
    </row>
    <row r="100" spans="1:12" ht="107.25" customHeight="1">
      <c r="A100" s="213">
        <v>18</v>
      </c>
      <c r="B100" s="226" t="s">
        <v>275</v>
      </c>
      <c r="C100" s="213"/>
      <c r="D100" s="213"/>
      <c r="E100" s="213"/>
      <c r="F100" s="215"/>
      <c r="G100" s="215"/>
      <c r="H100" s="227"/>
      <c r="I100" s="221"/>
      <c r="J100" s="222"/>
      <c r="L100" s="245"/>
    </row>
    <row r="101" spans="1:12">
      <c r="A101" s="213"/>
      <c r="B101" s="226" t="s">
        <v>276</v>
      </c>
      <c r="C101" s="213">
        <v>1</v>
      </c>
      <c r="D101" s="213"/>
      <c r="E101" s="213">
        <v>1</v>
      </c>
      <c r="F101" s="215"/>
      <c r="G101" s="215"/>
      <c r="H101" s="227"/>
      <c r="I101" s="221">
        <f>PRODUCT(C101:H101)</f>
        <v>1</v>
      </c>
      <c r="J101" s="222" t="s">
        <v>18</v>
      </c>
      <c r="L101" s="245"/>
    </row>
    <row r="102" spans="1:12">
      <c r="A102" s="213"/>
      <c r="B102" s="226"/>
      <c r="C102" s="213"/>
      <c r="D102" s="213"/>
      <c r="E102" s="213"/>
      <c r="F102" s="215"/>
      <c r="G102" s="215"/>
      <c r="H102" s="227"/>
      <c r="I102" s="221"/>
      <c r="J102" s="222"/>
      <c r="L102" s="245"/>
    </row>
    <row r="103" spans="1:12" ht="27" customHeight="1">
      <c r="A103" s="213">
        <v>19</v>
      </c>
      <c r="B103" s="226" t="s">
        <v>277</v>
      </c>
      <c r="C103" s="213">
        <v>1</v>
      </c>
      <c r="D103" s="213"/>
      <c r="E103" s="213">
        <v>1</v>
      </c>
      <c r="F103" s="215"/>
      <c r="G103" s="215"/>
      <c r="H103" s="227"/>
      <c r="I103" s="221">
        <f>PRODUCT(C103:H103)</f>
        <v>1</v>
      </c>
      <c r="J103" s="222" t="s">
        <v>74</v>
      </c>
      <c r="L103" s="245"/>
    </row>
    <row r="104" spans="1:12">
      <c r="A104" s="213"/>
      <c r="B104" s="246"/>
      <c r="C104" s="213"/>
      <c r="D104" s="213"/>
      <c r="E104" s="213"/>
      <c r="F104" s="215"/>
      <c r="G104" s="215"/>
      <c r="H104" s="227"/>
      <c r="I104" s="221"/>
      <c r="J104" s="222"/>
      <c r="L104" s="245"/>
    </row>
    <row r="105" spans="1:12" ht="64.5" customHeight="1">
      <c r="A105" s="213">
        <v>20</v>
      </c>
      <c r="B105" s="226" t="s">
        <v>278</v>
      </c>
      <c r="C105" s="213"/>
      <c r="D105" s="213"/>
      <c r="E105" s="213"/>
      <c r="F105" s="215"/>
      <c r="G105" s="215"/>
      <c r="H105" s="227"/>
      <c r="I105" s="221"/>
      <c r="J105" s="222"/>
      <c r="L105" s="245"/>
    </row>
    <row r="106" spans="1:12" ht="41.25" customHeight="1">
      <c r="A106" s="213"/>
      <c r="B106" s="247" t="s">
        <v>279</v>
      </c>
      <c r="C106" s="228"/>
      <c r="D106" s="228"/>
      <c r="E106" s="228"/>
      <c r="F106" s="216"/>
      <c r="G106" s="216"/>
      <c r="H106" s="216"/>
      <c r="I106" s="216"/>
      <c r="J106" s="248"/>
      <c r="L106" s="245"/>
    </row>
    <row r="107" spans="1:12">
      <c r="A107" s="213"/>
      <c r="B107" s="249" t="s">
        <v>241</v>
      </c>
      <c r="C107" s="228">
        <v>1</v>
      </c>
      <c r="D107" s="228"/>
      <c r="E107" s="228">
        <v>8</v>
      </c>
      <c r="F107" s="216"/>
      <c r="G107" s="216"/>
      <c r="H107" s="216">
        <v>3.55</v>
      </c>
      <c r="I107" s="216">
        <f>PRODUCT(C107:H107)</f>
        <v>28.4</v>
      </c>
      <c r="J107" s="248"/>
      <c r="L107" s="245"/>
    </row>
    <row r="108" spans="1:12">
      <c r="A108" s="213"/>
      <c r="B108" s="249" t="s">
        <v>280</v>
      </c>
      <c r="C108" s="228">
        <v>1</v>
      </c>
      <c r="D108" s="228"/>
      <c r="E108" s="228">
        <v>2</v>
      </c>
      <c r="F108" s="216">
        <v>20.350000000000001</v>
      </c>
      <c r="G108" s="216"/>
      <c r="H108" s="216"/>
      <c r="I108" s="216">
        <f t="shared" ref="I108:I109" si="4">PRODUCT(C108:H108)</f>
        <v>40.700000000000003</v>
      </c>
      <c r="J108" s="248"/>
      <c r="L108" s="245"/>
    </row>
    <row r="109" spans="1:12">
      <c r="A109" s="213"/>
      <c r="B109" s="249"/>
      <c r="C109" s="228">
        <v>1</v>
      </c>
      <c r="D109" s="228"/>
      <c r="E109" s="228">
        <v>2</v>
      </c>
      <c r="F109" s="216">
        <v>3.9</v>
      </c>
      <c r="G109" s="216"/>
      <c r="H109" s="216"/>
      <c r="I109" s="216">
        <f t="shared" si="4"/>
        <v>7.8</v>
      </c>
      <c r="J109" s="248"/>
      <c r="L109" s="245"/>
    </row>
    <row r="110" spans="1:12">
      <c r="A110" s="213"/>
      <c r="B110" s="249"/>
      <c r="C110" s="228"/>
      <c r="D110" s="228"/>
      <c r="E110" s="228"/>
      <c r="F110" s="216"/>
      <c r="G110" s="216"/>
      <c r="H110" s="216"/>
      <c r="I110" s="216">
        <f>SUM(I107:I109)</f>
        <v>76.899999999999991</v>
      </c>
      <c r="J110" s="220" t="s">
        <v>15</v>
      </c>
      <c r="L110" s="245"/>
    </row>
    <row r="111" spans="1:12">
      <c r="A111" s="213"/>
      <c r="B111" s="249"/>
      <c r="C111" s="228"/>
      <c r="D111" s="228"/>
      <c r="E111" s="228"/>
      <c r="F111" s="216"/>
      <c r="G111" s="216"/>
      <c r="H111" s="216"/>
      <c r="I111" s="216">
        <f>I110*16.98</f>
        <v>1305.7619999999999</v>
      </c>
      <c r="J111" s="220" t="s">
        <v>281</v>
      </c>
      <c r="L111" s="245"/>
    </row>
    <row r="112" spans="1:12">
      <c r="A112" s="213"/>
      <c r="B112" s="246"/>
      <c r="C112" s="213"/>
      <c r="D112" s="213"/>
      <c r="E112" s="213"/>
      <c r="F112" s="215"/>
      <c r="G112" s="215"/>
      <c r="H112" s="227"/>
      <c r="I112" s="221"/>
      <c r="J112" s="222"/>
      <c r="L112" s="245"/>
    </row>
    <row r="113" spans="1:12" ht="31.5">
      <c r="A113" s="213"/>
      <c r="B113" s="247" t="s">
        <v>282</v>
      </c>
      <c r="C113" s="228"/>
      <c r="D113" s="228"/>
      <c r="E113" s="228"/>
      <c r="F113" s="216"/>
      <c r="G113" s="216"/>
      <c r="H113" s="221"/>
      <c r="I113" s="221"/>
      <c r="J113" s="248"/>
      <c r="L113" s="245"/>
    </row>
    <row r="114" spans="1:12">
      <c r="A114" s="213"/>
      <c r="B114" s="249" t="s">
        <v>283</v>
      </c>
      <c r="C114" s="228">
        <v>1</v>
      </c>
      <c r="D114" s="228"/>
      <c r="E114" s="228">
        <v>2</v>
      </c>
      <c r="F114" s="216">
        <v>20.350000000000001</v>
      </c>
      <c r="G114" s="216"/>
      <c r="H114" s="216"/>
      <c r="I114" s="216">
        <f t="shared" ref="I114" si="5">PRODUCT(C114:H114)</f>
        <v>40.700000000000003</v>
      </c>
      <c r="J114" s="248"/>
      <c r="L114" s="245"/>
    </row>
    <row r="115" spans="1:12">
      <c r="A115" s="213"/>
      <c r="B115" s="249"/>
      <c r="C115" s="228"/>
      <c r="D115" s="228"/>
      <c r="E115" s="228"/>
      <c r="F115" s="216"/>
      <c r="G115" s="216"/>
      <c r="H115" s="221"/>
      <c r="I115" s="216">
        <f>SUM(I114)</f>
        <v>40.700000000000003</v>
      </c>
      <c r="J115" s="220" t="s">
        <v>15</v>
      </c>
      <c r="L115" s="245"/>
    </row>
    <row r="116" spans="1:12">
      <c r="A116" s="213"/>
      <c r="B116" s="249"/>
      <c r="C116" s="228"/>
      <c r="D116" s="228"/>
      <c r="E116" s="228"/>
      <c r="F116" s="216"/>
      <c r="G116" s="216"/>
      <c r="H116" s="221"/>
      <c r="I116" s="216">
        <f>I115*10.3</f>
        <v>419.21000000000004</v>
      </c>
      <c r="J116" s="220" t="s">
        <v>281</v>
      </c>
      <c r="L116" s="245"/>
    </row>
    <row r="117" spans="1:12">
      <c r="A117" s="213"/>
      <c r="B117" s="246"/>
      <c r="C117" s="213"/>
      <c r="D117" s="213"/>
      <c r="E117" s="213"/>
      <c r="F117" s="215"/>
      <c r="G117" s="215"/>
      <c r="H117" s="227"/>
      <c r="I117" s="221"/>
      <c r="J117" s="222"/>
      <c r="L117" s="245"/>
    </row>
    <row r="118" spans="1:12" ht="31.5">
      <c r="A118" s="213"/>
      <c r="B118" s="247" t="s">
        <v>284</v>
      </c>
      <c r="C118" s="228"/>
      <c r="D118" s="228"/>
      <c r="E118" s="228"/>
      <c r="F118" s="216"/>
      <c r="G118" s="216"/>
      <c r="H118" s="216"/>
      <c r="I118" s="216"/>
      <c r="J118" s="220"/>
      <c r="L118" s="245"/>
    </row>
    <row r="119" spans="1:12" ht="16.5" customHeight="1">
      <c r="A119" s="213"/>
      <c r="B119" s="249" t="s">
        <v>285</v>
      </c>
      <c r="C119" s="228">
        <v>1</v>
      </c>
      <c r="D119" s="228"/>
      <c r="E119" s="228">
        <v>6</v>
      </c>
      <c r="F119" s="216">
        <v>3.9</v>
      </c>
      <c r="G119" s="216"/>
      <c r="H119" s="216"/>
      <c r="I119" s="216">
        <f t="shared" ref="I119" si="6">PRODUCT(C119:H119)</f>
        <v>23.4</v>
      </c>
      <c r="J119" s="220"/>
      <c r="L119" s="245"/>
    </row>
    <row r="120" spans="1:12">
      <c r="A120" s="213"/>
      <c r="B120" s="249"/>
      <c r="C120" s="228"/>
      <c r="D120" s="228"/>
      <c r="E120" s="228"/>
      <c r="F120" s="216"/>
      <c r="G120" s="216"/>
      <c r="H120" s="216"/>
      <c r="I120" s="216">
        <f>SUM(I119)</f>
        <v>23.4</v>
      </c>
      <c r="J120" s="220" t="s">
        <v>15</v>
      </c>
      <c r="L120" s="245"/>
    </row>
    <row r="121" spans="1:12">
      <c r="A121" s="213"/>
      <c r="B121" s="249"/>
      <c r="C121" s="228"/>
      <c r="D121" s="228"/>
      <c r="E121" s="228"/>
      <c r="F121" s="216"/>
      <c r="G121" s="216"/>
      <c r="H121" s="216"/>
      <c r="I121" s="216">
        <f>I120*5.95</f>
        <v>139.22999999999999</v>
      </c>
      <c r="J121" s="220" t="s">
        <v>281</v>
      </c>
      <c r="L121" s="245"/>
    </row>
    <row r="122" spans="1:12">
      <c r="A122" s="213"/>
      <c r="B122" s="249"/>
      <c r="C122" s="228"/>
      <c r="D122" s="228"/>
      <c r="E122" s="228"/>
      <c r="F122" s="216"/>
      <c r="G122" s="216"/>
      <c r="H122" s="216"/>
      <c r="I122" s="216"/>
      <c r="J122" s="220"/>
      <c r="L122" s="245"/>
    </row>
    <row r="123" spans="1:12">
      <c r="A123" s="213"/>
      <c r="B123" s="249" t="s">
        <v>286</v>
      </c>
      <c r="C123" s="228">
        <v>2</v>
      </c>
      <c r="D123" s="228"/>
      <c r="E123" s="228">
        <v>8</v>
      </c>
      <c r="F123" s="216">
        <v>0.3</v>
      </c>
      <c r="G123" s="216">
        <v>0.3</v>
      </c>
      <c r="H123" s="216"/>
      <c r="I123" s="216">
        <f>PRODUCT(C123:H123)</f>
        <v>1.44</v>
      </c>
      <c r="J123" s="220"/>
      <c r="L123" s="245"/>
    </row>
    <row r="124" spans="1:12">
      <c r="A124" s="213"/>
      <c r="B124" s="249"/>
      <c r="C124" s="228"/>
      <c r="D124" s="228"/>
      <c r="E124" s="228"/>
      <c r="F124" s="216"/>
      <c r="G124" s="216"/>
      <c r="H124" s="216"/>
      <c r="I124" s="216">
        <f>SUM(I123:I123)*30</f>
        <v>43.199999999999996</v>
      </c>
      <c r="J124" s="220" t="s">
        <v>281</v>
      </c>
      <c r="L124" s="245"/>
    </row>
    <row r="125" spans="1:12">
      <c r="A125" s="213"/>
      <c r="B125" s="249"/>
      <c r="C125" s="228"/>
      <c r="D125" s="228"/>
      <c r="E125" s="228"/>
      <c r="F125" s="216"/>
      <c r="G125" s="216"/>
      <c r="H125" s="216"/>
      <c r="I125" s="216"/>
      <c r="J125" s="220"/>
      <c r="L125" s="245"/>
    </row>
    <row r="126" spans="1:12">
      <c r="A126" s="213"/>
      <c r="B126" s="246" t="s">
        <v>34</v>
      </c>
      <c r="C126" s="213"/>
      <c r="D126" s="213"/>
      <c r="E126" s="213"/>
      <c r="F126" s="215"/>
      <c r="G126" s="215"/>
      <c r="H126" s="227"/>
      <c r="I126" s="221">
        <f>I111+I116+I121+I124</f>
        <v>1907.402</v>
      </c>
      <c r="J126" s="222" t="s">
        <v>281</v>
      </c>
      <c r="L126" s="245"/>
    </row>
    <row r="127" spans="1:12">
      <c r="A127" s="213"/>
      <c r="B127" s="246"/>
      <c r="C127" s="213"/>
      <c r="D127" s="213"/>
      <c r="E127" s="213"/>
      <c r="F127" s="215"/>
      <c r="G127" s="215"/>
      <c r="H127" s="227"/>
      <c r="I127" s="221"/>
      <c r="J127" s="222"/>
      <c r="L127" s="245"/>
    </row>
    <row r="128" spans="1:12" ht="31.5">
      <c r="A128" s="213">
        <v>21</v>
      </c>
      <c r="B128" s="226" t="s">
        <v>287</v>
      </c>
      <c r="C128" s="213"/>
      <c r="D128" s="213"/>
      <c r="E128" s="213"/>
      <c r="F128" s="215"/>
      <c r="G128" s="215"/>
      <c r="H128" s="227"/>
      <c r="I128" s="221"/>
      <c r="J128" s="222"/>
      <c r="L128" s="245"/>
    </row>
    <row r="129" spans="1:12">
      <c r="A129" s="213"/>
      <c r="B129" s="249" t="s">
        <v>241</v>
      </c>
      <c r="C129" s="228">
        <v>1</v>
      </c>
      <c r="D129" s="228"/>
      <c r="E129" s="228">
        <v>8</v>
      </c>
      <c r="F129" s="215">
        <v>0.4</v>
      </c>
      <c r="G129" s="215"/>
      <c r="H129" s="232">
        <v>3.55</v>
      </c>
      <c r="I129" s="216">
        <f>PRODUCT(C129:H129)</f>
        <v>11.36</v>
      </c>
      <c r="J129" s="222"/>
      <c r="L129" s="245"/>
    </row>
    <row r="130" spans="1:12">
      <c r="A130" s="213"/>
      <c r="B130" s="249" t="s">
        <v>280</v>
      </c>
      <c r="C130" s="228">
        <v>1</v>
      </c>
      <c r="D130" s="228"/>
      <c r="E130" s="228">
        <v>2</v>
      </c>
      <c r="F130" s="215">
        <v>0.4</v>
      </c>
      <c r="G130" s="215"/>
      <c r="H130" s="232">
        <v>20.350000000000001</v>
      </c>
      <c r="I130" s="216">
        <f t="shared" ref="I130:I134" si="7">PRODUCT(C130:H130)</f>
        <v>16.28</v>
      </c>
      <c r="J130" s="222"/>
      <c r="L130" s="245"/>
    </row>
    <row r="131" spans="1:12">
      <c r="A131" s="213"/>
      <c r="B131" s="249"/>
      <c r="C131" s="228">
        <v>1</v>
      </c>
      <c r="D131" s="228"/>
      <c r="E131" s="228">
        <v>2</v>
      </c>
      <c r="F131" s="215">
        <v>0.4</v>
      </c>
      <c r="G131" s="215"/>
      <c r="H131" s="232">
        <v>3.9</v>
      </c>
      <c r="I131" s="216">
        <f t="shared" si="7"/>
        <v>3.12</v>
      </c>
      <c r="J131" s="222"/>
      <c r="L131" s="245"/>
    </row>
    <row r="132" spans="1:12">
      <c r="A132" s="213"/>
      <c r="B132" s="249" t="s">
        <v>283</v>
      </c>
      <c r="C132" s="228">
        <v>1</v>
      </c>
      <c r="D132" s="228"/>
      <c r="E132" s="228">
        <v>2</v>
      </c>
      <c r="F132" s="215">
        <v>0.3</v>
      </c>
      <c r="G132" s="215"/>
      <c r="H132" s="232">
        <v>20.3</v>
      </c>
      <c r="I132" s="216">
        <f t="shared" si="7"/>
        <v>12.18</v>
      </c>
      <c r="J132" s="222"/>
      <c r="L132" s="245"/>
    </row>
    <row r="133" spans="1:12">
      <c r="A133" s="213"/>
      <c r="B133" s="249" t="s">
        <v>288</v>
      </c>
      <c r="C133" s="228">
        <v>1</v>
      </c>
      <c r="D133" s="228"/>
      <c r="E133" s="228">
        <v>6</v>
      </c>
      <c r="F133" s="215">
        <v>0.2</v>
      </c>
      <c r="G133" s="215"/>
      <c r="H133" s="232">
        <v>3.9</v>
      </c>
      <c r="I133" s="216">
        <f t="shared" si="7"/>
        <v>4.6800000000000006</v>
      </c>
      <c r="J133" s="222"/>
      <c r="L133" s="245"/>
    </row>
    <row r="134" spans="1:12">
      <c r="A134" s="213"/>
      <c r="B134" s="249" t="s">
        <v>286</v>
      </c>
      <c r="C134" s="228">
        <v>2</v>
      </c>
      <c r="D134" s="228"/>
      <c r="E134" s="228">
        <v>8</v>
      </c>
      <c r="F134" s="216">
        <v>0.3</v>
      </c>
      <c r="G134" s="216">
        <v>0.3</v>
      </c>
      <c r="H134" s="216"/>
      <c r="I134" s="216">
        <f t="shared" si="7"/>
        <v>1.44</v>
      </c>
      <c r="J134" s="222"/>
      <c r="L134" s="245"/>
    </row>
    <row r="135" spans="1:12">
      <c r="A135" s="213"/>
      <c r="B135" s="246"/>
      <c r="C135" s="213"/>
      <c r="D135" s="213"/>
      <c r="E135" s="213"/>
      <c r="F135" s="215"/>
      <c r="G135" s="215"/>
      <c r="H135" s="227"/>
      <c r="I135" s="221">
        <f>SUM(I129:I134)</f>
        <v>49.059999999999995</v>
      </c>
      <c r="J135" s="222"/>
      <c r="L135" s="245"/>
    </row>
    <row r="136" spans="1:12">
      <c r="A136" s="213"/>
      <c r="B136" s="246"/>
      <c r="C136" s="213"/>
      <c r="D136" s="213"/>
      <c r="E136" s="213"/>
      <c r="F136" s="215"/>
      <c r="G136" s="215"/>
      <c r="H136" s="227" t="s">
        <v>25</v>
      </c>
      <c r="I136" s="221">
        <v>49.1</v>
      </c>
      <c r="J136" s="222" t="s">
        <v>289</v>
      </c>
      <c r="L136" s="245"/>
    </row>
    <row r="137" spans="1:12">
      <c r="A137" s="213"/>
      <c r="B137" s="246"/>
      <c r="C137" s="213"/>
      <c r="D137" s="213"/>
      <c r="E137" s="213"/>
      <c r="F137" s="215"/>
      <c r="G137" s="215"/>
      <c r="H137" s="227"/>
      <c r="I137" s="221"/>
      <c r="J137" s="222"/>
      <c r="L137" s="245"/>
    </row>
    <row r="138" spans="1:12" ht="34.5" customHeight="1">
      <c r="A138" s="213">
        <v>22</v>
      </c>
      <c r="B138" s="226" t="s">
        <v>290</v>
      </c>
      <c r="C138" s="213">
        <v>1</v>
      </c>
      <c r="D138" s="213"/>
      <c r="E138" s="213">
        <v>1</v>
      </c>
      <c r="F138" s="220">
        <v>21.95</v>
      </c>
      <c r="G138" s="220"/>
      <c r="H138" s="216">
        <v>3.9</v>
      </c>
      <c r="I138" s="216">
        <f t="shared" ref="I138" si="8">PRODUCT(C138:H138)</f>
        <v>85.60499999999999</v>
      </c>
      <c r="J138" s="222"/>
      <c r="L138" s="245"/>
    </row>
    <row r="139" spans="1:12">
      <c r="A139" s="213"/>
      <c r="B139" s="246"/>
      <c r="C139" s="213"/>
      <c r="D139" s="213"/>
      <c r="E139" s="213"/>
      <c r="F139" s="215"/>
      <c r="G139" s="215"/>
      <c r="H139" s="227"/>
      <c r="I139" s="216">
        <f>SUM(I138)</f>
        <v>85.60499999999999</v>
      </c>
      <c r="J139" s="222"/>
      <c r="L139" s="245"/>
    </row>
    <row r="140" spans="1:12">
      <c r="A140" s="213"/>
      <c r="B140" s="246"/>
      <c r="C140" s="213"/>
      <c r="D140" s="213"/>
      <c r="E140" s="213"/>
      <c r="F140" s="215"/>
      <c r="G140" s="215"/>
      <c r="H140" s="227" t="s">
        <v>25</v>
      </c>
      <c r="I140" s="221">
        <v>85.7</v>
      </c>
      <c r="J140" s="222" t="s">
        <v>289</v>
      </c>
      <c r="L140" s="245"/>
    </row>
    <row r="141" spans="1:12">
      <c r="A141" s="213"/>
      <c r="B141" s="246"/>
      <c r="C141" s="213"/>
      <c r="D141" s="213"/>
      <c r="E141" s="213"/>
      <c r="F141" s="215"/>
      <c r="G141" s="215"/>
      <c r="H141" s="227"/>
      <c r="I141" s="221"/>
      <c r="J141" s="222"/>
      <c r="L141" s="245"/>
    </row>
    <row r="142" spans="1:12">
      <c r="A142" s="213"/>
      <c r="B142" s="246"/>
      <c r="C142" s="213"/>
      <c r="D142" s="213"/>
      <c r="E142" s="213"/>
      <c r="F142" s="215"/>
      <c r="G142" s="215"/>
      <c r="H142" s="227"/>
      <c r="I142" s="221"/>
      <c r="J142" s="222"/>
      <c r="L142" s="245"/>
    </row>
    <row r="143" spans="1:12">
      <c r="A143" s="213">
        <v>23</v>
      </c>
      <c r="B143" s="250" t="s">
        <v>291</v>
      </c>
      <c r="C143" s="213"/>
      <c r="D143" s="213"/>
      <c r="E143" s="213"/>
      <c r="F143" s="215"/>
      <c r="G143" s="215"/>
      <c r="H143" s="227"/>
      <c r="I143" s="227" t="s">
        <v>38</v>
      </c>
      <c r="J143" s="222"/>
      <c r="L143" s="245"/>
    </row>
    <row r="144" spans="1:12">
      <c r="A144" s="213">
        <v>24</v>
      </c>
      <c r="B144" s="226" t="s">
        <v>292</v>
      </c>
      <c r="C144" s="213"/>
      <c r="D144" s="213"/>
      <c r="E144" s="213"/>
      <c r="F144" s="215"/>
      <c r="G144" s="215"/>
      <c r="H144" s="230"/>
      <c r="I144" s="227" t="s">
        <v>38</v>
      </c>
      <c r="J144" s="222"/>
    </row>
    <row r="145" spans="1:10">
      <c r="A145" s="213">
        <v>25</v>
      </c>
      <c r="B145" s="226" t="s">
        <v>32</v>
      </c>
      <c r="C145" s="213"/>
      <c r="D145" s="213"/>
      <c r="E145" s="213"/>
      <c r="F145" s="215"/>
      <c r="G145" s="215"/>
      <c r="H145" s="230"/>
      <c r="I145" s="227" t="s">
        <v>38</v>
      </c>
      <c r="J145" s="222"/>
    </row>
    <row r="146" spans="1:10">
      <c r="A146" s="213">
        <v>26</v>
      </c>
      <c r="B146" s="219" t="s">
        <v>293</v>
      </c>
      <c r="C146" s="213"/>
      <c r="D146" s="213"/>
      <c r="E146" s="213"/>
      <c r="F146" s="215"/>
      <c r="G146" s="215"/>
      <c r="H146" s="215"/>
      <c r="I146" s="227" t="s">
        <v>38</v>
      </c>
    </row>
    <row r="147" spans="1:10" ht="24" customHeight="1">
      <c r="A147" s="251"/>
      <c r="B147" s="252"/>
      <c r="C147" s="251"/>
      <c r="D147" s="251"/>
      <c r="E147" s="251"/>
      <c r="F147" s="253"/>
      <c r="G147" s="253"/>
      <c r="H147" s="253"/>
      <c r="I147" s="254"/>
      <c r="J147" s="255"/>
    </row>
    <row r="148" spans="1:10">
      <c r="A148" s="251"/>
      <c r="B148" s="252"/>
      <c r="C148" s="251"/>
      <c r="D148" s="251"/>
      <c r="E148" s="251"/>
      <c r="F148" s="253"/>
      <c r="G148" s="253"/>
      <c r="H148" s="253"/>
      <c r="I148" s="254"/>
      <c r="J148" s="255"/>
    </row>
    <row r="149" spans="1:10">
      <c r="A149" s="256"/>
      <c r="B149" s="256"/>
      <c r="C149" s="256"/>
      <c r="D149" s="256"/>
      <c r="E149" s="256"/>
      <c r="F149" s="256"/>
      <c r="G149" s="256"/>
      <c r="H149" s="256"/>
      <c r="I149" s="256"/>
      <c r="J149" s="256"/>
    </row>
    <row r="150" spans="1:10">
      <c r="A150" s="251"/>
      <c r="B150" s="252"/>
      <c r="C150" s="251"/>
      <c r="D150" s="251"/>
      <c r="E150" s="251"/>
      <c r="F150" s="253"/>
      <c r="G150" s="253"/>
      <c r="H150" s="257"/>
      <c r="I150" s="257"/>
      <c r="J150" s="257"/>
    </row>
    <row r="151" spans="1:10">
      <c r="J151" s="206"/>
    </row>
    <row r="152" spans="1:10">
      <c r="J152" s="206"/>
    </row>
    <row r="153" spans="1:10">
      <c r="J153" s="206"/>
    </row>
    <row r="154" spans="1:10">
      <c r="J154" s="206"/>
    </row>
  </sheetData>
  <mergeCells count="12">
    <mergeCell ref="A149:J149"/>
    <mergeCell ref="H150:J150"/>
    <mergeCell ref="A1:J1"/>
    <mergeCell ref="A2:J2"/>
    <mergeCell ref="A3:J3"/>
    <mergeCell ref="A4:J4"/>
    <mergeCell ref="A5:J5"/>
    <mergeCell ref="A6:A7"/>
    <mergeCell ref="B6:B7"/>
    <mergeCell ref="C6:E7"/>
    <mergeCell ref="F6:H6"/>
    <mergeCell ref="I6:J7"/>
  </mergeCells>
  <printOptions horizontalCentered="1"/>
  <pageMargins left="0.74803149606299213" right="0.27559055118110237" top="0.35433070866141736" bottom="0.19" header="0.35433070866141736" footer="0.19685039370078741"/>
  <pageSetup paperSize="9" scale="99" orientation="portrait" verticalDpi="300" r:id="rId1"/>
  <headerFooter differentOddEven="1">
    <oddHeader>&amp;C&amp;"+,Italic"V &amp; AC @ Alandur</oddHeader>
    <oddFooter>&amp;C&amp;"+,Italic"&amp;P</oddFooter>
  </headerFooter>
  <rowBreaks count="2" manualBreakCount="2">
    <brk id="86" max="9" man="1"/>
    <brk id="95" max="9" man="1"/>
  </rowBreaks>
</worksheet>
</file>

<file path=xl/worksheets/sheet11.xml><?xml version="1.0" encoding="utf-8"?>
<worksheet xmlns="http://schemas.openxmlformats.org/spreadsheetml/2006/main" xmlns:r="http://schemas.openxmlformats.org/officeDocument/2006/relationships">
  <sheetPr>
    <tabColor rgb="FFFF0000"/>
  </sheetPr>
  <dimension ref="A1:J120"/>
  <sheetViews>
    <sheetView view="pageBreakPreview" topLeftCell="A31" zoomScaleNormal="70" zoomScaleSheetLayoutView="100" workbookViewId="0">
      <selection activeCell="C37" sqref="C37"/>
    </sheetView>
  </sheetViews>
  <sheetFormatPr defaultColWidth="11.42578125" defaultRowHeight="15.75"/>
  <cols>
    <col min="1" max="1" width="6.28515625" style="306" customWidth="1"/>
    <col min="2" max="2" width="10" style="307" customWidth="1"/>
    <col min="3" max="3" width="58.140625" style="261" customWidth="1"/>
    <col min="4" max="4" width="13.85546875" style="308" bestFit="1" customWidth="1"/>
    <col min="5" max="5" width="6.28515625" style="308" customWidth="1"/>
    <col min="6" max="6" width="14.28515625" style="308" bestFit="1" customWidth="1"/>
    <col min="7" max="7" width="13.28515625" style="261" bestFit="1" customWidth="1"/>
    <col min="8" max="8" width="11.42578125" style="261" bestFit="1" customWidth="1"/>
    <col min="9" max="9" width="13.85546875" style="261" bestFit="1" customWidth="1"/>
    <col min="10" max="10" width="12.42578125" style="261" bestFit="1" customWidth="1"/>
    <col min="11" max="256" width="11.42578125" style="261"/>
    <col min="257" max="257" width="7.85546875" style="261" customWidth="1"/>
    <col min="258" max="258" width="10" style="261" customWidth="1"/>
    <col min="259" max="259" width="58.140625" style="261" customWidth="1"/>
    <col min="260" max="260" width="13.85546875" style="261" bestFit="1" customWidth="1"/>
    <col min="261" max="261" width="6.28515625" style="261" customWidth="1"/>
    <col min="262" max="262" width="13.85546875" style="261" bestFit="1" customWidth="1"/>
    <col min="263" max="263" width="13.28515625" style="261" bestFit="1" customWidth="1"/>
    <col min="264" max="264" width="11.42578125" style="261"/>
    <col min="265" max="265" width="13.85546875" style="261" bestFit="1" customWidth="1"/>
    <col min="266" max="266" width="12.42578125" style="261" bestFit="1" customWidth="1"/>
    <col min="267" max="512" width="11.42578125" style="261"/>
    <col min="513" max="513" width="7.85546875" style="261" customWidth="1"/>
    <col min="514" max="514" width="10" style="261" customWidth="1"/>
    <col min="515" max="515" width="58.140625" style="261" customWidth="1"/>
    <col min="516" max="516" width="13.85546875" style="261" bestFit="1" customWidth="1"/>
    <col min="517" max="517" width="6.28515625" style="261" customWidth="1"/>
    <col min="518" max="518" width="13.85546875" style="261" bestFit="1" customWidth="1"/>
    <col min="519" max="519" width="13.28515625" style="261" bestFit="1" customWidth="1"/>
    <col min="520" max="520" width="11.42578125" style="261"/>
    <col min="521" max="521" width="13.85546875" style="261" bestFit="1" customWidth="1"/>
    <col min="522" max="522" width="12.42578125" style="261" bestFit="1" customWidth="1"/>
    <col min="523" max="768" width="11.42578125" style="261"/>
    <col min="769" max="769" width="7.85546875" style="261" customWidth="1"/>
    <col min="770" max="770" width="10" style="261" customWidth="1"/>
    <col min="771" max="771" width="58.140625" style="261" customWidth="1"/>
    <col min="772" max="772" width="13.85546875" style="261" bestFit="1" customWidth="1"/>
    <col min="773" max="773" width="6.28515625" style="261" customWidth="1"/>
    <col min="774" max="774" width="13.85546875" style="261" bestFit="1" customWidth="1"/>
    <col min="775" max="775" width="13.28515625" style="261" bestFit="1" customWidth="1"/>
    <col min="776" max="776" width="11.42578125" style="261"/>
    <col min="777" max="777" width="13.85546875" style="261" bestFit="1" customWidth="1"/>
    <col min="778" max="778" width="12.42578125" style="261" bestFit="1" customWidth="1"/>
    <col min="779" max="1024" width="11.42578125" style="261"/>
    <col min="1025" max="1025" width="7.85546875" style="261" customWidth="1"/>
    <col min="1026" max="1026" width="10" style="261" customWidth="1"/>
    <col min="1027" max="1027" width="58.140625" style="261" customWidth="1"/>
    <col min="1028" max="1028" width="13.85546875" style="261" bestFit="1" customWidth="1"/>
    <col min="1029" max="1029" width="6.28515625" style="261" customWidth="1"/>
    <col min="1030" max="1030" width="13.85546875" style="261" bestFit="1" customWidth="1"/>
    <col min="1031" max="1031" width="13.28515625" style="261" bestFit="1" customWidth="1"/>
    <col min="1032" max="1032" width="11.42578125" style="261"/>
    <col min="1033" max="1033" width="13.85546875" style="261" bestFit="1" customWidth="1"/>
    <col min="1034" max="1034" width="12.42578125" style="261" bestFit="1" customWidth="1"/>
    <col min="1035" max="1280" width="11.42578125" style="261"/>
    <col min="1281" max="1281" width="7.85546875" style="261" customWidth="1"/>
    <col min="1282" max="1282" width="10" style="261" customWidth="1"/>
    <col min="1283" max="1283" width="58.140625" style="261" customWidth="1"/>
    <col min="1284" max="1284" width="13.85546875" style="261" bestFit="1" customWidth="1"/>
    <col min="1285" max="1285" width="6.28515625" style="261" customWidth="1"/>
    <col min="1286" max="1286" width="13.85546875" style="261" bestFit="1" customWidth="1"/>
    <col min="1287" max="1287" width="13.28515625" style="261" bestFit="1" customWidth="1"/>
    <col min="1288" max="1288" width="11.42578125" style="261"/>
    <col min="1289" max="1289" width="13.85546875" style="261" bestFit="1" customWidth="1"/>
    <col min="1290" max="1290" width="12.42578125" style="261" bestFit="1" customWidth="1"/>
    <col min="1291" max="1536" width="11.42578125" style="261"/>
    <col min="1537" max="1537" width="7.85546875" style="261" customWidth="1"/>
    <col min="1538" max="1538" width="10" style="261" customWidth="1"/>
    <col min="1539" max="1539" width="58.140625" style="261" customWidth="1"/>
    <col min="1540" max="1540" width="13.85546875" style="261" bestFit="1" customWidth="1"/>
    <col min="1541" max="1541" width="6.28515625" style="261" customWidth="1"/>
    <col min="1542" max="1542" width="13.85546875" style="261" bestFit="1" customWidth="1"/>
    <col min="1543" max="1543" width="13.28515625" style="261" bestFit="1" customWidth="1"/>
    <col min="1544" max="1544" width="11.42578125" style="261"/>
    <col min="1545" max="1545" width="13.85546875" style="261" bestFit="1" customWidth="1"/>
    <col min="1546" max="1546" width="12.42578125" style="261" bestFit="1" customWidth="1"/>
    <col min="1547" max="1792" width="11.42578125" style="261"/>
    <col min="1793" max="1793" width="7.85546875" style="261" customWidth="1"/>
    <col min="1794" max="1794" width="10" style="261" customWidth="1"/>
    <col min="1795" max="1795" width="58.140625" style="261" customWidth="1"/>
    <col min="1796" max="1796" width="13.85546875" style="261" bestFit="1" customWidth="1"/>
    <col min="1797" max="1797" width="6.28515625" style="261" customWidth="1"/>
    <col min="1798" max="1798" width="13.85546875" style="261" bestFit="1" customWidth="1"/>
    <col min="1799" max="1799" width="13.28515625" style="261" bestFit="1" customWidth="1"/>
    <col min="1800" max="1800" width="11.42578125" style="261"/>
    <col min="1801" max="1801" width="13.85546875" style="261" bestFit="1" customWidth="1"/>
    <col min="1802" max="1802" width="12.42578125" style="261" bestFit="1" customWidth="1"/>
    <col min="1803" max="2048" width="11.42578125" style="261"/>
    <col min="2049" max="2049" width="7.85546875" style="261" customWidth="1"/>
    <col min="2050" max="2050" width="10" style="261" customWidth="1"/>
    <col min="2051" max="2051" width="58.140625" style="261" customWidth="1"/>
    <col min="2052" max="2052" width="13.85546875" style="261" bestFit="1" customWidth="1"/>
    <col min="2053" max="2053" width="6.28515625" style="261" customWidth="1"/>
    <col min="2054" max="2054" width="13.85546875" style="261" bestFit="1" customWidth="1"/>
    <col min="2055" max="2055" width="13.28515625" style="261" bestFit="1" customWidth="1"/>
    <col min="2056" max="2056" width="11.42578125" style="261"/>
    <col min="2057" max="2057" width="13.85546875" style="261" bestFit="1" customWidth="1"/>
    <col min="2058" max="2058" width="12.42578125" style="261" bestFit="1" customWidth="1"/>
    <col min="2059" max="2304" width="11.42578125" style="261"/>
    <col min="2305" max="2305" width="7.85546875" style="261" customWidth="1"/>
    <col min="2306" max="2306" width="10" style="261" customWidth="1"/>
    <col min="2307" max="2307" width="58.140625" style="261" customWidth="1"/>
    <col min="2308" max="2308" width="13.85546875" style="261" bestFit="1" customWidth="1"/>
    <col min="2309" max="2309" width="6.28515625" style="261" customWidth="1"/>
    <col min="2310" max="2310" width="13.85546875" style="261" bestFit="1" customWidth="1"/>
    <col min="2311" max="2311" width="13.28515625" style="261" bestFit="1" customWidth="1"/>
    <col min="2312" max="2312" width="11.42578125" style="261"/>
    <col min="2313" max="2313" width="13.85546875" style="261" bestFit="1" customWidth="1"/>
    <col min="2314" max="2314" width="12.42578125" style="261" bestFit="1" customWidth="1"/>
    <col min="2315" max="2560" width="11.42578125" style="261"/>
    <col min="2561" max="2561" width="7.85546875" style="261" customWidth="1"/>
    <col min="2562" max="2562" width="10" style="261" customWidth="1"/>
    <col min="2563" max="2563" width="58.140625" style="261" customWidth="1"/>
    <col min="2564" max="2564" width="13.85546875" style="261" bestFit="1" customWidth="1"/>
    <col min="2565" max="2565" width="6.28515625" style="261" customWidth="1"/>
    <col min="2566" max="2566" width="13.85546875" style="261" bestFit="1" customWidth="1"/>
    <col min="2567" max="2567" width="13.28515625" style="261" bestFit="1" customWidth="1"/>
    <col min="2568" max="2568" width="11.42578125" style="261"/>
    <col min="2569" max="2569" width="13.85546875" style="261" bestFit="1" customWidth="1"/>
    <col min="2570" max="2570" width="12.42578125" style="261" bestFit="1" customWidth="1"/>
    <col min="2571" max="2816" width="11.42578125" style="261"/>
    <col min="2817" max="2817" width="7.85546875" style="261" customWidth="1"/>
    <col min="2818" max="2818" width="10" style="261" customWidth="1"/>
    <col min="2819" max="2819" width="58.140625" style="261" customWidth="1"/>
    <col min="2820" max="2820" width="13.85546875" style="261" bestFit="1" customWidth="1"/>
    <col min="2821" max="2821" width="6.28515625" style="261" customWidth="1"/>
    <col min="2822" max="2822" width="13.85546875" style="261" bestFit="1" customWidth="1"/>
    <col min="2823" max="2823" width="13.28515625" style="261" bestFit="1" customWidth="1"/>
    <col min="2824" max="2824" width="11.42578125" style="261"/>
    <col min="2825" max="2825" width="13.85546875" style="261" bestFit="1" customWidth="1"/>
    <col min="2826" max="2826" width="12.42578125" style="261" bestFit="1" customWidth="1"/>
    <col min="2827" max="3072" width="11.42578125" style="261"/>
    <col min="3073" max="3073" width="7.85546875" style="261" customWidth="1"/>
    <col min="3074" max="3074" width="10" style="261" customWidth="1"/>
    <col min="3075" max="3075" width="58.140625" style="261" customWidth="1"/>
    <col min="3076" max="3076" width="13.85546875" style="261" bestFit="1" customWidth="1"/>
    <col min="3077" max="3077" width="6.28515625" style="261" customWidth="1"/>
    <col min="3078" max="3078" width="13.85546875" style="261" bestFit="1" customWidth="1"/>
    <col min="3079" max="3079" width="13.28515625" style="261" bestFit="1" customWidth="1"/>
    <col min="3080" max="3080" width="11.42578125" style="261"/>
    <col min="3081" max="3081" width="13.85546875" style="261" bestFit="1" customWidth="1"/>
    <col min="3082" max="3082" width="12.42578125" style="261" bestFit="1" customWidth="1"/>
    <col min="3083" max="3328" width="11.42578125" style="261"/>
    <col min="3329" max="3329" width="7.85546875" style="261" customWidth="1"/>
    <col min="3330" max="3330" width="10" style="261" customWidth="1"/>
    <col min="3331" max="3331" width="58.140625" style="261" customWidth="1"/>
    <col min="3332" max="3332" width="13.85546875" style="261" bestFit="1" customWidth="1"/>
    <col min="3333" max="3333" width="6.28515625" style="261" customWidth="1"/>
    <col min="3334" max="3334" width="13.85546875" style="261" bestFit="1" customWidth="1"/>
    <col min="3335" max="3335" width="13.28515625" style="261" bestFit="1" customWidth="1"/>
    <col min="3336" max="3336" width="11.42578125" style="261"/>
    <col min="3337" max="3337" width="13.85546875" style="261" bestFit="1" customWidth="1"/>
    <col min="3338" max="3338" width="12.42578125" style="261" bestFit="1" customWidth="1"/>
    <col min="3339" max="3584" width="11.42578125" style="261"/>
    <col min="3585" max="3585" width="7.85546875" style="261" customWidth="1"/>
    <col min="3586" max="3586" width="10" style="261" customWidth="1"/>
    <col min="3587" max="3587" width="58.140625" style="261" customWidth="1"/>
    <col min="3588" max="3588" width="13.85546875" style="261" bestFit="1" customWidth="1"/>
    <col min="3589" max="3589" width="6.28515625" style="261" customWidth="1"/>
    <col min="3590" max="3590" width="13.85546875" style="261" bestFit="1" customWidth="1"/>
    <col min="3591" max="3591" width="13.28515625" style="261" bestFit="1" customWidth="1"/>
    <col min="3592" max="3592" width="11.42578125" style="261"/>
    <col min="3593" max="3593" width="13.85546875" style="261" bestFit="1" customWidth="1"/>
    <col min="3594" max="3594" width="12.42578125" style="261" bestFit="1" customWidth="1"/>
    <col min="3595" max="3840" width="11.42578125" style="261"/>
    <col min="3841" max="3841" width="7.85546875" style="261" customWidth="1"/>
    <col min="3842" max="3842" width="10" style="261" customWidth="1"/>
    <col min="3843" max="3843" width="58.140625" style="261" customWidth="1"/>
    <col min="3844" max="3844" width="13.85546875" style="261" bestFit="1" customWidth="1"/>
    <col min="3845" max="3845" width="6.28515625" style="261" customWidth="1"/>
    <col min="3846" max="3846" width="13.85546875" style="261" bestFit="1" customWidth="1"/>
    <col min="3847" max="3847" width="13.28515625" style="261" bestFit="1" customWidth="1"/>
    <col min="3848" max="3848" width="11.42578125" style="261"/>
    <col min="3849" max="3849" width="13.85546875" style="261" bestFit="1" customWidth="1"/>
    <col min="3850" max="3850" width="12.42578125" style="261" bestFit="1" customWidth="1"/>
    <col min="3851" max="4096" width="11.42578125" style="261"/>
    <col min="4097" max="4097" width="7.85546875" style="261" customWidth="1"/>
    <col min="4098" max="4098" width="10" style="261" customWidth="1"/>
    <col min="4099" max="4099" width="58.140625" style="261" customWidth="1"/>
    <col min="4100" max="4100" width="13.85546875" style="261" bestFit="1" customWidth="1"/>
    <col min="4101" max="4101" width="6.28515625" style="261" customWidth="1"/>
    <col min="4102" max="4102" width="13.85546875" style="261" bestFit="1" customWidth="1"/>
    <col min="4103" max="4103" width="13.28515625" style="261" bestFit="1" customWidth="1"/>
    <col min="4104" max="4104" width="11.42578125" style="261"/>
    <col min="4105" max="4105" width="13.85546875" style="261" bestFit="1" customWidth="1"/>
    <col min="4106" max="4106" width="12.42578125" style="261" bestFit="1" customWidth="1"/>
    <col min="4107" max="4352" width="11.42578125" style="261"/>
    <col min="4353" max="4353" width="7.85546875" style="261" customWidth="1"/>
    <col min="4354" max="4354" width="10" style="261" customWidth="1"/>
    <col min="4355" max="4355" width="58.140625" style="261" customWidth="1"/>
    <col min="4356" max="4356" width="13.85546875" style="261" bestFit="1" customWidth="1"/>
    <col min="4357" max="4357" width="6.28515625" style="261" customWidth="1"/>
    <col min="4358" max="4358" width="13.85546875" style="261" bestFit="1" customWidth="1"/>
    <col min="4359" max="4359" width="13.28515625" style="261" bestFit="1" customWidth="1"/>
    <col min="4360" max="4360" width="11.42578125" style="261"/>
    <col min="4361" max="4361" width="13.85546875" style="261" bestFit="1" customWidth="1"/>
    <col min="4362" max="4362" width="12.42578125" style="261" bestFit="1" customWidth="1"/>
    <col min="4363" max="4608" width="11.42578125" style="261"/>
    <col min="4609" max="4609" width="7.85546875" style="261" customWidth="1"/>
    <col min="4610" max="4610" width="10" style="261" customWidth="1"/>
    <col min="4611" max="4611" width="58.140625" style="261" customWidth="1"/>
    <col min="4612" max="4612" width="13.85546875" style="261" bestFit="1" customWidth="1"/>
    <col min="4613" max="4613" width="6.28515625" style="261" customWidth="1"/>
    <col min="4614" max="4614" width="13.85546875" style="261" bestFit="1" customWidth="1"/>
    <col min="4615" max="4615" width="13.28515625" style="261" bestFit="1" customWidth="1"/>
    <col min="4616" max="4616" width="11.42578125" style="261"/>
    <col min="4617" max="4617" width="13.85546875" style="261" bestFit="1" customWidth="1"/>
    <col min="4618" max="4618" width="12.42578125" style="261" bestFit="1" customWidth="1"/>
    <col min="4619" max="4864" width="11.42578125" style="261"/>
    <col min="4865" max="4865" width="7.85546875" style="261" customWidth="1"/>
    <col min="4866" max="4866" width="10" style="261" customWidth="1"/>
    <col min="4867" max="4867" width="58.140625" style="261" customWidth="1"/>
    <col min="4868" max="4868" width="13.85546875" style="261" bestFit="1" customWidth="1"/>
    <col min="4869" max="4869" width="6.28515625" style="261" customWidth="1"/>
    <col min="4870" max="4870" width="13.85546875" style="261" bestFit="1" customWidth="1"/>
    <col min="4871" max="4871" width="13.28515625" style="261" bestFit="1" customWidth="1"/>
    <col min="4872" max="4872" width="11.42578125" style="261"/>
    <col min="4873" max="4873" width="13.85546875" style="261" bestFit="1" customWidth="1"/>
    <col min="4874" max="4874" width="12.42578125" style="261" bestFit="1" customWidth="1"/>
    <col min="4875" max="5120" width="11.42578125" style="261"/>
    <col min="5121" max="5121" width="7.85546875" style="261" customWidth="1"/>
    <col min="5122" max="5122" width="10" style="261" customWidth="1"/>
    <col min="5123" max="5123" width="58.140625" style="261" customWidth="1"/>
    <col min="5124" max="5124" width="13.85546875" style="261" bestFit="1" customWidth="1"/>
    <col min="5125" max="5125" width="6.28515625" style="261" customWidth="1"/>
    <col min="5126" max="5126" width="13.85546875" style="261" bestFit="1" customWidth="1"/>
    <col min="5127" max="5127" width="13.28515625" style="261" bestFit="1" customWidth="1"/>
    <col min="5128" max="5128" width="11.42578125" style="261"/>
    <col min="5129" max="5129" width="13.85546875" style="261" bestFit="1" customWidth="1"/>
    <col min="5130" max="5130" width="12.42578125" style="261" bestFit="1" customWidth="1"/>
    <col min="5131" max="5376" width="11.42578125" style="261"/>
    <col min="5377" max="5377" width="7.85546875" style="261" customWidth="1"/>
    <col min="5378" max="5378" width="10" style="261" customWidth="1"/>
    <col min="5379" max="5379" width="58.140625" style="261" customWidth="1"/>
    <col min="5380" max="5380" width="13.85546875" style="261" bestFit="1" customWidth="1"/>
    <col min="5381" max="5381" width="6.28515625" style="261" customWidth="1"/>
    <col min="5382" max="5382" width="13.85546875" style="261" bestFit="1" customWidth="1"/>
    <col min="5383" max="5383" width="13.28515625" style="261" bestFit="1" customWidth="1"/>
    <col min="5384" max="5384" width="11.42578125" style="261"/>
    <col min="5385" max="5385" width="13.85546875" style="261" bestFit="1" customWidth="1"/>
    <col min="5386" max="5386" width="12.42578125" style="261" bestFit="1" customWidth="1"/>
    <col min="5387" max="5632" width="11.42578125" style="261"/>
    <col min="5633" max="5633" width="7.85546875" style="261" customWidth="1"/>
    <col min="5634" max="5634" width="10" style="261" customWidth="1"/>
    <col min="5635" max="5635" width="58.140625" style="261" customWidth="1"/>
    <col min="5636" max="5636" width="13.85546875" style="261" bestFit="1" customWidth="1"/>
    <col min="5637" max="5637" width="6.28515625" style="261" customWidth="1"/>
    <col min="5638" max="5638" width="13.85546875" style="261" bestFit="1" customWidth="1"/>
    <col min="5639" max="5639" width="13.28515625" style="261" bestFit="1" customWidth="1"/>
    <col min="5640" max="5640" width="11.42578125" style="261"/>
    <col min="5641" max="5641" width="13.85546875" style="261" bestFit="1" customWidth="1"/>
    <col min="5642" max="5642" width="12.42578125" style="261" bestFit="1" customWidth="1"/>
    <col min="5643" max="5888" width="11.42578125" style="261"/>
    <col min="5889" max="5889" width="7.85546875" style="261" customWidth="1"/>
    <col min="5890" max="5890" width="10" style="261" customWidth="1"/>
    <col min="5891" max="5891" width="58.140625" style="261" customWidth="1"/>
    <col min="5892" max="5892" width="13.85546875" style="261" bestFit="1" customWidth="1"/>
    <col min="5893" max="5893" width="6.28515625" style="261" customWidth="1"/>
    <col min="5894" max="5894" width="13.85546875" style="261" bestFit="1" customWidth="1"/>
    <col min="5895" max="5895" width="13.28515625" style="261" bestFit="1" customWidth="1"/>
    <col min="5896" max="5896" width="11.42578125" style="261"/>
    <col min="5897" max="5897" width="13.85546875" style="261" bestFit="1" customWidth="1"/>
    <col min="5898" max="5898" width="12.42578125" style="261" bestFit="1" customWidth="1"/>
    <col min="5899" max="6144" width="11.42578125" style="261"/>
    <col min="6145" max="6145" width="7.85546875" style="261" customWidth="1"/>
    <col min="6146" max="6146" width="10" style="261" customWidth="1"/>
    <col min="6147" max="6147" width="58.140625" style="261" customWidth="1"/>
    <col min="6148" max="6148" width="13.85546875" style="261" bestFit="1" customWidth="1"/>
    <col min="6149" max="6149" width="6.28515625" style="261" customWidth="1"/>
    <col min="6150" max="6150" width="13.85546875" style="261" bestFit="1" customWidth="1"/>
    <col min="6151" max="6151" width="13.28515625" style="261" bestFit="1" customWidth="1"/>
    <col min="6152" max="6152" width="11.42578125" style="261"/>
    <col min="6153" max="6153" width="13.85546875" style="261" bestFit="1" customWidth="1"/>
    <col min="6154" max="6154" width="12.42578125" style="261" bestFit="1" customWidth="1"/>
    <col min="6155" max="6400" width="11.42578125" style="261"/>
    <col min="6401" max="6401" width="7.85546875" style="261" customWidth="1"/>
    <col min="6402" max="6402" width="10" style="261" customWidth="1"/>
    <col min="6403" max="6403" width="58.140625" style="261" customWidth="1"/>
    <col min="6404" max="6404" width="13.85546875" style="261" bestFit="1" customWidth="1"/>
    <col min="6405" max="6405" width="6.28515625" style="261" customWidth="1"/>
    <col min="6406" max="6406" width="13.85546875" style="261" bestFit="1" customWidth="1"/>
    <col min="6407" max="6407" width="13.28515625" style="261" bestFit="1" customWidth="1"/>
    <col min="6408" max="6408" width="11.42578125" style="261"/>
    <col min="6409" max="6409" width="13.85546875" style="261" bestFit="1" customWidth="1"/>
    <col min="6410" max="6410" width="12.42578125" style="261" bestFit="1" customWidth="1"/>
    <col min="6411" max="6656" width="11.42578125" style="261"/>
    <col min="6657" max="6657" width="7.85546875" style="261" customWidth="1"/>
    <col min="6658" max="6658" width="10" style="261" customWidth="1"/>
    <col min="6659" max="6659" width="58.140625" style="261" customWidth="1"/>
    <col min="6660" max="6660" width="13.85546875" style="261" bestFit="1" customWidth="1"/>
    <col min="6661" max="6661" width="6.28515625" style="261" customWidth="1"/>
    <col min="6662" max="6662" width="13.85546875" style="261" bestFit="1" customWidth="1"/>
    <col min="6663" max="6663" width="13.28515625" style="261" bestFit="1" customWidth="1"/>
    <col min="6664" max="6664" width="11.42578125" style="261"/>
    <col min="6665" max="6665" width="13.85546875" style="261" bestFit="1" customWidth="1"/>
    <col min="6666" max="6666" width="12.42578125" style="261" bestFit="1" customWidth="1"/>
    <col min="6667" max="6912" width="11.42578125" style="261"/>
    <col min="6913" max="6913" width="7.85546875" style="261" customWidth="1"/>
    <col min="6914" max="6914" width="10" style="261" customWidth="1"/>
    <col min="6915" max="6915" width="58.140625" style="261" customWidth="1"/>
    <col min="6916" max="6916" width="13.85546875" style="261" bestFit="1" customWidth="1"/>
    <col min="6917" max="6917" width="6.28515625" style="261" customWidth="1"/>
    <col min="6918" max="6918" width="13.85546875" style="261" bestFit="1" customWidth="1"/>
    <col min="6919" max="6919" width="13.28515625" style="261" bestFit="1" customWidth="1"/>
    <col min="6920" max="6920" width="11.42578125" style="261"/>
    <col min="6921" max="6921" width="13.85546875" style="261" bestFit="1" customWidth="1"/>
    <col min="6922" max="6922" width="12.42578125" style="261" bestFit="1" customWidth="1"/>
    <col min="6923" max="7168" width="11.42578125" style="261"/>
    <col min="7169" max="7169" width="7.85546875" style="261" customWidth="1"/>
    <col min="7170" max="7170" width="10" style="261" customWidth="1"/>
    <col min="7171" max="7171" width="58.140625" style="261" customWidth="1"/>
    <col min="7172" max="7172" width="13.85546875" style="261" bestFit="1" customWidth="1"/>
    <col min="7173" max="7173" width="6.28515625" style="261" customWidth="1"/>
    <col min="7174" max="7174" width="13.85546875" style="261" bestFit="1" customWidth="1"/>
    <col min="7175" max="7175" width="13.28515625" style="261" bestFit="1" customWidth="1"/>
    <col min="7176" max="7176" width="11.42578125" style="261"/>
    <col min="7177" max="7177" width="13.85546875" style="261" bestFit="1" customWidth="1"/>
    <col min="7178" max="7178" width="12.42578125" style="261" bestFit="1" customWidth="1"/>
    <col min="7179" max="7424" width="11.42578125" style="261"/>
    <col min="7425" max="7425" width="7.85546875" style="261" customWidth="1"/>
    <col min="7426" max="7426" width="10" style="261" customWidth="1"/>
    <col min="7427" max="7427" width="58.140625" style="261" customWidth="1"/>
    <col min="7428" max="7428" width="13.85546875" style="261" bestFit="1" customWidth="1"/>
    <col min="7429" max="7429" width="6.28515625" style="261" customWidth="1"/>
    <col min="7430" max="7430" width="13.85546875" style="261" bestFit="1" customWidth="1"/>
    <col min="7431" max="7431" width="13.28515625" style="261" bestFit="1" customWidth="1"/>
    <col min="7432" max="7432" width="11.42578125" style="261"/>
    <col min="7433" max="7433" width="13.85546875" style="261" bestFit="1" customWidth="1"/>
    <col min="7434" max="7434" width="12.42578125" style="261" bestFit="1" customWidth="1"/>
    <col min="7435" max="7680" width="11.42578125" style="261"/>
    <col min="7681" max="7681" width="7.85546875" style="261" customWidth="1"/>
    <col min="7682" max="7682" width="10" style="261" customWidth="1"/>
    <col min="7683" max="7683" width="58.140625" style="261" customWidth="1"/>
    <col min="7684" max="7684" width="13.85546875" style="261" bestFit="1" customWidth="1"/>
    <col min="7685" max="7685" width="6.28515625" style="261" customWidth="1"/>
    <col min="7686" max="7686" width="13.85546875" style="261" bestFit="1" customWidth="1"/>
    <col min="7687" max="7687" width="13.28515625" style="261" bestFit="1" customWidth="1"/>
    <col min="7688" max="7688" width="11.42578125" style="261"/>
    <col min="7689" max="7689" width="13.85546875" style="261" bestFit="1" customWidth="1"/>
    <col min="7690" max="7690" width="12.42578125" style="261" bestFit="1" customWidth="1"/>
    <col min="7691" max="7936" width="11.42578125" style="261"/>
    <col min="7937" max="7937" width="7.85546875" style="261" customWidth="1"/>
    <col min="7938" max="7938" width="10" style="261" customWidth="1"/>
    <col min="7939" max="7939" width="58.140625" style="261" customWidth="1"/>
    <col min="7940" max="7940" width="13.85546875" style="261" bestFit="1" customWidth="1"/>
    <col min="7941" max="7941" width="6.28515625" style="261" customWidth="1"/>
    <col min="7942" max="7942" width="13.85546875" style="261" bestFit="1" customWidth="1"/>
    <col min="7943" max="7943" width="13.28515625" style="261" bestFit="1" customWidth="1"/>
    <col min="7944" max="7944" width="11.42578125" style="261"/>
    <col min="7945" max="7945" width="13.85546875" style="261" bestFit="1" customWidth="1"/>
    <col min="7946" max="7946" width="12.42578125" style="261" bestFit="1" customWidth="1"/>
    <col min="7947" max="8192" width="11.42578125" style="261"/>
    <col min="8193" max="8193" width="7.85546875" style="261" customWidth="1"/>
    <col min="8194" max="8194" width="10" style="261" customWidth="1"/>
    <col min="8195" max="8195" width="58.140625" style="261" customWidth="1"/>
    <col min="8196" max="8196" width="13.85546875" style="261" bestFit="1" customWidth="1"/>
    <col min="8197" max="8197" width="6.28515625" style="261" customWidth="1"/>
    <col min="8198" max="8198" width="13.85546875" style="261" bestFit="1" customWidth="1"/>
    <col min="8199" max="8199" width="13.28515625" style="261" bestFit="1" customWidth="1"/>
    <col min="8200" max="8200" width="11.42578125" style="261"/>
    <col min="8201" max="8201" width="13.85546875" style="261" bestFit="1" customWidth="1"/>
    <col min="8202" max="8202" width="12.42578125" style="261" bestFit="1" customWidth="1"/>
    <col min="8203" max="8448" width="11.42578125" style="261"/>
    <col min="8449" max="8449" width="7.85546875" style="261" customWidth="1"/>
    <col min="8450" max="8450" width="10" style="261" customWidth="1"/>
    <col min="8451" max="8451" width="58.140625" style="261" customWidth="1"/>
    <col min="8452" max="8452" width="13.85546875" style="261" bestFit="1" customWidth="1"/>
    <col min="8453" max="8453" width="6.28515625" style="261" customWidth="1"/>
    <col min="8454" max="8454" width="13.85546875" style="261" bestFit="1" customWidth="1"/>
    <col min="8455" max="8455" width="13.28515625" style="261" bestFit="1" customWidth="1"/>
    <col min="8456" max="8456" width="11.42578125" style="261"/>
    <col min="8457" max="8457" width="13.85546875" style="261" bestFit="1" customWidth="1"/>
    <col min="8458" max="8458" width="12.42578125" style="261" bestFit="1" customWidth="1"/>
    <col min="8459" max="8704" width="11.42578125" style="261"/>
    <col min="8705" max="8705" width="7.85546875" style="261" customWidth="1"/>
    <col min="8706" max="8706" width="10" style="261" customWidth="1"/>
    <col min="8707" max="8707" width="58.140625" style="261" customWidth="1"/>
    <col min="8708" max="8708" width="13.85546875" style="261" bestFit="1" customWidth="1"/>
    <col min="8709" max="8709" width="6.28515625" style="261" customWidth="1"/>
    <col min="8710" max="8710" width="13.85546875" style="261" bestFit="1" customWidth="1"/>
    <col min="8711" max="8711" width="13.28515625" style="261" bestFit="1" customWidth="1"/>
    <col min="8712" max="8712" width="11.42578125" style="261"/>
    <col min="8713" max="8713" width="13.85546875" style="261" bestFit="1" customWidth="1"/>
    <col min="8714" max="8714" width="12.42578125" style="261" bestFit="1" customWidth="1"/>
    <col min="8715" max="8960" width="11.42578125" style="261"/>
    <col min="8961" max="8961" width="7.85546875" style="261" customWidth="1"/>
    <col min="8962" max="8962" width="10" style="261" customWidth="1"/>
    <col min="8963" max="8963" width="58.140625" style="261" customWidth="1"/>
    <col min="8964" max="8964" width="13.85546875" style="261" bestFit="1" customWidth="1"/>
    <col min="8965" max="8965" width="6.28515625" style="261" customWidth="1"/>
    <col min="8966" max="8966" width="13.85546875" style="261" bestFit="1" customWidth="1"/>
    <col min="8967" max="8967" width="13.28515625" style="261" bestFit="1" customWidth="1"/>
    <col min="8968" max="8968" width="11.42578125" style="261"/>
    <col min="8969" max="8969" width="13.85546875" style="261" bestFit="1" customWidth="1"/>
    <col min="8970" max="8970" width="12.42578125" style="261" bestFit="1" customWidth="1"/>
    <col min="8971" max="9216" width="11.42578125" style="261"/>
    <col min="9217" max="9217" width="7.85546875" style="261" customWidth="1"/>
    <col min="9218" max="9218" width="10" style="261" customWidth="1"/>
    <col min="9219" max="9219" width="58.140625" style="261" customWidth="1"/>
    <col min="9220" max="9220" width="13.85546875" style="261" bestFit="1" customWidth="1"/>
    <col min="9221" max="9221" width="6.28515625" style="261" customWidth="1"/>
    <col min="9222" max="9222" width="13.85546875" style="261" bestFit="1" customWidth="1"/>
    <col min="9223" max="9223" width="13.28515625" style="261" bestFit="1" customWidth="1"/>
    <col min="9224" max="9224" width="11.42578125" style="261"/>
    <col min="9225" max="9225" width="13.85546875" style="261" bestFit="1" customWidth="1"/>
    <col min="9226" max="9226" width="12.42578125" style="261" bestFit="1" customWidth="1"/>
    <col min="9227" max="9472" width="11.42578125" style="261"/>
    <col min="9473" max="9473" width="7.85546875" style="261" customWidth="1"/>
    <col min="9474" max="9474" width="10" style="261" customWidth="1"/>
    <col min="9475" max="9475" width="58.140625" style="261" customWidth="1"/>
    <col min="9476" max="9476" width="13.85546875" style="261" bestFit="1" customWidth="1"/>
    <col min="9477" max="9477" width="6.28515625" style="261" customWidth="1"/>
    <col min="9478" max="9478" width="13.85546875" style="261" bestFit="1" customWidth="1"/>
    <col min="9479" max="9479" width="13.28515625" style="261" bestFit="1" customWidth="1"/>
    <col min="9480" max="9480" width="11.42578125" style="261"/>
    <col min="9481" max="9481" width="13.85546875" style="261" bestFit="1" customWidth="1"/>
    <col min="9482" max="9482" width="12.42578125" style="261" bestFit="1" customWidth="1"/>
    <col min="9483" max="9728" width="11.42578125" style="261"/>
    <col min="9729" max="9729" width="7.85546875" style="261" customWidth="1"/>
    <col min="9730" max="9730" width="10" style="261" customWidth="1"/>
    <col min="9731" max="9731" width="58.140625" style="261" customWidth="1"/>
    <col min="9732" max="9732" width="13.85546875" style="261" bestFit="1" customWidth="1"/>
    <col min="9733" max="9733" width="6.28515625" style="261" customWidth="1"/>
    <col min="9734" max="9734" width="13.85546875" style="261" bestFit="1" customWidth="1"/>
    <col min="9735" max="9735" width="13.28515625" style="261" bestFit="1" customWidth="1"/>
    <col min="9736" max="9736" width="11.42578125" style="261"/>
    <col min="9737" max="9737" width="13.85546875" style="261" bestFit="1" customWidth="1"/>
    <col min="9738" max="9738" width="12.42578125" style="261" bestFit="1" customWidth="1"/>
    <col min="9739" max="9984" width="11.42578125" style="261"/>
    <col min="9985" max="9985" width="7.85546875" style="261" customWidth="1"/>
    <col min="9986" max="9986" width="10" style="261" customWidth="1"/>
    <col min="9987" max="9987" width="58.140625" style="261" customWidth="1"/>
    <col min="9988" max="9988" width="13.85546875" style="261" bestFit="1" customWidth="1"/>
    <col min="9989" max="9989" width="6.28515625" style="261" customWidth="1"/>
    <col min="9990" max="9990" width="13.85546875" style="261" bestFit="1" customWidth="1"/>
    <col min="9991" max="9991" width="13.28515625" style="261" bestFit="1" customWidth="1"/>
    <col min="9992" max="9992" width="11.42578125" style="261"/>
    <col min="9993" max="9993" width="13.85546875" style="261" bestFit="1" customWidth="1"/>
    <col min="9994" max="9994" width="12.42578125" style="261" bestFit="1" customWidth="1"/>
    <col min="9995" max="10240" width="11.42578125" style="261"/>
    <col min="10241" max="10241" width="7.85546875" style="261" customWidth="1"/>
    <col min="10242" max="10242" width="10" style="261" customWidth="1"/>
    <col min="10243" max="10243" width="58.140625" style="261" customWidth="1"/>
    <col min="10244" max="10244" width="13.85546875" style="261" bestFit="1" customWidth="1"/>
    <col min="10245" max="10245" width="6.28515625" style="261" customWidth="1"/>
    <col min="10246" max="10246" width="13.85546875" style="261" bestFit="1" customWidth="1"/>
    <col min="10247" max="10247" width="13.28515625" style="261" bestFit="1" customWidth="1"/>
    <col min="10248" max="10248" width="11.42578125" style="261"/>
    <col min="10249" max="10249" width="13.85546875" style="261" bestFit="1" customWidth="1"/>
    <col min="10250" max="10250" width="12.42578125" style="261" bestFit="1" customWidth="1"/>
    <col min="10251" max="10496" width="11.42578125" style="261"/>
    <col min="10497" max="10497" width="7.85546875" style="261" customWidth="1"/>
    <col min="10498" max="10498" width="10" style="261" customWidth="1"/>
    <col min="10499" max="10499" width="58.140625" style="261" customWidth="1"/>
    <col min="10500" max="10500" width="13.85546875" style="261" bestFit="1" customWidth="1"/>
    <col min="10501" max="10501" width="6.28515625" style="261" customWidth="1"/>
    <col min="10502" max="10502" width="13.85546875" style="261" bestFit="1" customWidth="1"/>
    <col min="10503" max="10503" width="13.28515625" style="261" bestFit="1" customWidth="1"/>
    <col min="10504" max="10504" width="11.42578125" style="261"/>
    <col min="10505" max="10505" width="13.85546875" style="261" bestFit="1" customWidth="1"/>
    <col min="10506" max="10506" width="12.42578125" style="261" bestFit="1" customWidth="1"/>
    <col min="10507" max="10752" width="11.42578125" style="261"/>
    <col min="10753" max="10753" width="7.85546875" style="261" customWidth="1"/>
    <col min="10754" max="10754" width="10" style="261" customWidth="1"/>
    <col min="10755" max="10755" width="58.140625" style="261" customWidth="1"/>
    <col min="10756" max="10756" width="13.85546875" style="261" bestFit="1" customWidth="1"/>
    <col min="10757" max="10757" width="6.28515625" style="261" customWidth="1"/>
    <col min="10758" max="10758" width="13.85546875" style="261" bestFit="1" customWidth="1"/>
    <col min="10759" max="10759" width="13.28515625" style="261" bestFit="1" customWidth="1"/>
    <col min="10760" max="10760" width="11.42578125" style="261"/>
    <col min="10761" max="10761" width="13.85546875" style="261" bestFit="1" customWidth="1"/>
    <col min="10762" max="10762" width="12.42578125" style="261" bestFit="1" customWidth="1"/>
    <col min="10763" max="11008" width="11.42578125" style="261"/>
    <col min="11009" max="11009" width="7.85546875" style="261" customWidth="1"/>
    <col min="11010" max="11010" width="10" style="261" customWidth="1"/>
    <col min="11011" max="11011" width="58.140625" style="261" customWidth="1"/>
    <col min="11012" max="11012" width="13.85546875" style="261" bestFit="1" customWidth="1"/>
    <col min="11013" max="11013" width="6.28515625" style="261" customWidth="1"/>
    <col min="11014" max="11014" width="13.85546875" style="261" bestFit="1" customWidth="1"/>
    <col min="11015" max="11015" width="13.28515625" style="261" bestFit="1" customWidth="1"/>
    <col min="11016" max="11016" width="11.42578125" style="261"/>
    <col min="11017" max="11017" width="13.85546875" style="261" bestFit="1" customWidth="1"/>
    <col min="11018" max="11018" width="12.42578125" style="261" bestFit="1" customWidth="1"/>
    <col min="11019" max="11264" width="11.42578125" style="261"/>
    <col min="11265" max="11265" width="7.85546875" style="261" customWidth="1"/>
    <col min="11266" max="11266" width="10" style="261" customWidth="1"/>
    <col min="11267" max="11267" width="58.140625" style="261" customWidth="1"/>
    <col min="11268" max="11268" width="13.85546875" style="261" bestFit="1" customWidth="1"/>
    <col min="11269" max="11269" width="6.28515625" style="261" customWidth="1"/>
    <col min="11270" max="11270" width="13.85546875" style="261" bestFit="1" customWidth="1"/>
    <col min="11271" max="11271" width="13.28515625" style="261" bestFit="1" customWidth="1"/>
    <col min="11272" max="11272" width="11.42578125" style="261"/>
    <col min="11273" max="11273" width="13.85546875" style="261" bestFit="1" customWidth="1"/>
    <col min="11274" max="11274" width="12.42578125" style="261" bestFit="1" customWidth="1"/>
    <col min="11275" max="11520" width="11.42578125" style="261"/>
    <col min="11521" max="11521" width="7.85546875" style="261" customWidth="1"/>
    <col min="11522" max="11522" width="10" style="261" customWidth="1"/>
    <col min="11523" max="11523" width="58.140625" style="261" customWidth="1"/>
    <col min="11524" max="11524" width="13.85546875" style="261" bestFit="1" customWidth="1"/>
    <col min="11525" max="11525" width="6.28515625" style="261" customWidth="1"/>
    <col min="11526" max="11526" width="13.85546875" style="261" bestFit="1" customWidth="1"/>
    <col min="11527" max="11527" width="13.28515625" style="261" bestFit="1" customWidth="1"/>
    <col min="11528" max="11528" width="11.42578125" style="261"/>
    <col min="11529" max="11529" width="13.85546875" style="261" bestFit="1" customWidth="1"/>
    <col min="11530" max="11530" width="12.42578125" style="261" bestFit="1" customWidth="1"/>
    <col min="11531" max="11776" width="11.42578125" style="261"/>
    <col min="11777" max="11777" width="7.85546875" style="261" customWidth="1"/>
    <col min="11778" max="11778" width="10" style="261" customWidth="1"/>
    <col min="11779" max="11779" width="58.140625" style="261" customWidth="1"/>
    <col min="11780" max="11780" width="13.85546875" style="261" bestFit="1" customWidth="1"/>
    <col min="11781" max="11781" width="6.28515625" style="261" customWidth="1"/>
    <col min="11782" max="11782" width="13.85546875" style="261" bestFit="1" customWidth="1"/>
    <col min="11783" max="11783" width="13.28515625" style="261" bestFit="1" customWidth="1"/>
    <col min="11784" max="11784" width="11.42578125" style="261"/>
    <col min="11785" max="11785" width="13.85546875" style="261" bestFit="1" customWidth="1"/>
    <col min="11786" max="11786" width="12.42578125" style="261" bestFit="1" customWidth="1"/>
    <col min="11787" max="12032" width="11.42578125" style="261"/>
    <col min="12033" max="12033" width="7.85546875" style="261" customWidth="1"/>
    <col min="12034" max="12034" width="10" style="261" customWidth="1"/>
    <col min="12035" max="12035" width="58.140625" style="261" customWidth="1"/>
    <col min="12036" max="12036" width="13.85546875" style="261" bestFit="1" customWidth="1"/>
    <col min="12037" max="12037" width="6.28515625" style="261" customWidth="1"/>
    <col min="12038" max="12038" width="13.85546875" style="261" bestFit="1" customWidth="1"/>
    <col min="12039" max="12039" width="13.28515625" style="261" bestFit="1" customWidth="1"/>
    <col min="12040" max="12040" width="11.42578125" style="261"/>
    <col min="12041" max="12041" width="13.85546875" style="261" bestFit="1" customWidth="1"/>
    <col min="12042" max="12042" width="12.42578125" style="261" bestFit="1" customWidth="1"/>
    <col min="12043" max="12288" width="11.42578125" style="261"/>
    <col min="12289" max="12289" width="7.85546875" style="261" customWidth="1"/>
    <col min="12290" max="12290" width="10" style="261" customWidth="1"/>
    <col min="12291" max="12291" width="58.140625" style="261" customWidth="1"/>
    <col min="12292" max="12292" width="13.85546875" style="261" bestFit="1" customWidth="1"/>
    <col min="12293" max="12293" width="6.28515625" style="261" customWidth="1"/>
    <col min="12294" max="12294" width="13.85546875" style="261" bestFit="1" customWidth="1"/>
    <col min="12295" max="12295" width="13.28515625" style="261" bestFit="1" customWidth="1"/>
    <col min="12296" max="12296" width="11.42578125" style="261"/>
    <col min="12297" max="12297" width="13.85546875" style="261" bestFit="1" customWidth="1"/>
    <col min="12298" max="12298" width="12.42578125" style="261" bestFit="1" customWidth="1"/>
    <col min="12299" max="12544" width="11.42578125" style="261"/>
    <col min="12545" max="12545" width="7.85546875" style="261" customWidth="1"/>
    <col min="12546" max="12546" width="10" style="261" customWidth="1"/>
    <col min="12547" max="12547" width="58.140625" style="261" customWidth="1"/>
    <col min="12548" max="12548" width="13.85546875" style="261" bestFit="1" customWidth="1"/>
    <col min="12549" max="12549" width="6.28515625" style="261" customWidth="1"/>
    <col min="12550" max="12550" width="13.85546875" style="261" bestFit="1" customWidth="1"/>
    <col min="12551" max="12551" width="13.28515625" style="261" bestFit="1" customWidth="1"/>
    <col min="12552" max="12552" width="11.42578125" style="261"/>
    <col min="12553" max="12553" width="13.85546875" style="261" bestFit="1" customWidth="1"/>
    <col min="12554" max="12554" width="12.42578125" style="261" bestFit="1" customWidth="1"/>
    <col min="12555" max="12800" width="11.42578125" style="261"/>
    <col min="12801" max="12801" width="7.85546875" style="261" customWidth="1"/>
    <col min="12802" max="12802" width="10" style="261" customWidth="1"/>
    <col min="12803" max="12803" width="58.140625" style="261" customWidth="1"/>
    <col min="12804" max="12804" width="13.85546875" style="261" bestFit="1" customWidth="1"/>
    <col min="12805" max="12805" width="6.28515625" style="261" customWidth="1"/>
    <col min="12806" max="12806" width="13.85546875" style="261" bestFit="1" customWidth="1"/>
    <col min="12807" max="12807" width="13.28515625" style="261" bestFit="1" customWidth="1"/>
    <col min="12808" max="12808" width="11.42578125" style="261"/>
    <col min="12809" max="12809" width="13.85546875" style="261" bestFit="1" customWidth="1"/>
    <col min="12810" max="12810" width="12.42578125" style="261" bestFit="1" customWidth="1"/>
    <col min="12811" max="13056" width="11.42578125" style="261"/>
    <col min="13057" max="13057" width="7.85546875" style="261" customWidth="1"/>
    <col min="13058" max="13058" width="10" style="261" customWidth="1"/>
    <col min="13059" max="13059" width="58.140625" style="261" customWidth="1"/>
    <col min="13060" max="13060" width="13.85546875" style="261" bestFit="1" customWidth="1"/>
    <col min="13061" max="13061" width="6.28515625" style="261" customWidth="1"/>
    <col min="13062" max="13062" width="13.85546875" style="261" bestFit="1" customWidth="1"/>
    <col min="13063" max="13063" width="13.28515625" style="261" bestFit="1" customWidth="1"/>
    <col min="13064" max="13064" width="11.42578125" style="261"/>
    <col min="13065" max="13065" width="13.85546875" style="261" bestFit="1" customWidth="1"/>
    <col min="13066" max="13066" width="12.42578125" style="261" bestFit="1" customWidth="1"/>
    <col min="13067" max="13312" width="11.42578125" style="261"/>
    <col min="13313" max="13313" width="7.85546875" style="261" customWidth="1"/>
    <col min="13314" max="13314" width="10" style="261" customWidth="1"/>
    <col min="13315" max="13315" width="58.140625" style="261" customWidth="1"/>
    <col min="13316" max="13316" width="13.85546875" style="261" bestFit="1" customWidth="1"/>
    <col min="13317" max="13317" width="6.28515625" style="261" customWidth="1"/>
    <col min="13318" max="13318" width="13.85546875" style="261" bestFit="1" customWidth="1"/>
    <col min="13319" max="13319" width="13.28515625" style="261" bestFit="1" customWidth="1"/>
    <col min="13320" max="13320" width="11.42578125" style="261"/>
    <col min="13321" max="13321" width="13.85546875" style="261" bestFit="1" customWidth="1"/>
    <col min="13322" max="13322" width="12.42578125" style="261" bestFit="1" customWidth="1"/>
    <col min="13323" max="13568" width="11.42578125" style="261"/>
    <col min="13569" max="13569" width="7.85546875" style="261" customWidth="1"/>
    <col min="13570" max="13570" width="10" style="261" customWidth="1"/>
    <col min="13571" max="13571" width="58.140625" style="261" customWidth="1"/>
    <col min="13572" max="13572" width="13.85546875" style="261" bestFit="1" customWidth="1"/>
    <col min="13573" max="13573" width="6.28515625" style="261" customWidth="1"/>
    <col min="13574" max="13574" width="13.85546875" style="261" bestFit="1" customWidth="1"/>
    <col min="13575" max="13575" width="13.28515625" style="261" bestFit="1" customWidth="1"/>
    <col min="13576" max="13576" width="11.42578125" style="261"/>
    <col min="13577" max="13577" width="13.85546875" style="261" bestFit="1" customWidth="1"/>
    <col min="13578" max="13578" width="12.42578125" style="261" bestFit="1" customWidth="1"/>
    <col min="13579" max="13824" width="11.42578125" style="261"/>
    <col min="13825" max="13825" width="7.85546875" style="261" customWidth="1"/>
    <col min="13826" max="13826" width="10" style="261" customWidth="1"/>
    <col min="13827" max="13827" width="58.140625" style="261" customWidth="1"/>
    <col min="13828" max="13828" width="13.85546875" style="261" bestFit="1" customWidth="1"/>
    <col min="13829" max="13829" width="6.28515625" style="261" customWidth="1"/>
    <col min="13830" max="13830" width="13.85546875" style="261" bestFit="1" customWidth="1"/>
    <col min="13831" max="13831" width="13.28515625" style="261" bestFit="1" customWidth="1"/>
    <col min="13832" max="13832" width="11.42578125" style="261"/>
    <col min="13833" max="13833" width="13.85546875" style="261" bestFit="1" customWidth="1"/>
    <col min="13834" max="13834" width="12.42578125" style="261" bestFit="1" customWidth="1"/>
    <col min="13835" max="14080" width="11.42578125" style="261"/>
    <col min="14081" max="14081" width="7.85546875" style="261" customWidth="1"/>
    <col min="14082" max="14082" width="10" style="261" customWidth="1"/>
    <col min="14083" max="14083" width="58.140625" style="261" customWidth="1"/>
    <col min="14084" max="14084" width="13.85546875" style="261" bestFit="1" customWidth="1"/>
    <col min="14085" max="14085" width="6.28515625" style="261" customWidth="1"/>
    <col min="14086" max="14086" width="13.85546875" style="261" bestFit="1" customWidth="1"/>
    <col min="14087" max="14087" width="13.28515625" style="261" bestFit="1" customWidth="1"/>
    <col min="14088" max="14088" width="11.42578125" style="261"/>
    <col min="14089" max="14089" width="13.85546875" style="261" bestFit="1" customWidth="1"/>
    <col min="14090" max="14090" width="12.42578125" style="261" bestFit="1" customWidth="1"/>
    <col min="14091" max="14336" width="11.42578125" style="261"/>
    <col min="14337" max="14337" width="7.85546875" style="261" customWidth="1"/>
    <col min="14338" max="14338" width="10" style="261" customWidth="1"/>
    <col min="14339" max="14339" width="58.140625" style="261" customWidth="1"/>
    <col min="14340" max="14340" width="13.85546875" style="261" bestFit="1" customWidth="1"/>
    <col min="14341" max="14341" width="6.28515625" style="261" customWidth="1"/>
    <col min="14342" max="14342" width="13.85546875" style="261" bestFit="1" customWidth="1"/>
    <col min="14343" max="14343" width="13.28515625" style="261" bestFit="1" customWidth="1"/>
    <col min="14344" max="14344" width="11.42578125" style="261"/>
    <col min="14345" max="14345" width="13.85546875" style="261" bestFit="1" customWidth="1"/>
    <col min="14346" max="14346" width="12.42578125" style="261" bestFit="1" customWidth="1"/>
    <col min="14347" max="14592" width="11.42578125" style="261"/>
    <col min="14593" max="14593" width="7.85546875" style="261" customWidth="1"/>
    <col min="14594" max="14594" width="10" style="261" customWidth="1"/>
    <col min="14595" max="14595" width="58.140625" style="261" customWidth="1"/>
    <col min="14596" max="14596" width="13.85546875" style="261" bestFit="1" customWidth="1"/>
    <col min="14597" max="14597" width="6.28515625" style="261" customWidth="1"/>
    <col min="14598" max="14598" width="13.85546875" style="261" bestFit="1" customWidth="1"/>
    <col min="14599" max="14599" width="13.28515625" style="261" bestFit="1" customWidth="1"/>
    <col min="14600" max="14600" width="11.42578125" style="261"/>
    <col min="14601" max="14601" width="13.85546875" style="261" bestFit="1" customWidth="1"/>
    <col min="14602" max="14602" width="12.42578125" style="261" bestFit="1" customWidth="1"/>
    <col min="14603" max="14848" width="11.42578125" style="261"/>
    <col min="14849" max="14849" width="7.85546875" style="261" customWidth="1"/>
    <col min="14850" max="14850" width="10" style="261" customWidth="1"/>
    <col min="14851" max="14851" width="58.140625" style="261" customWidth="1"/>
    <col min="14852" max="14852" width="13.85546875" style="261" bestFit="1" customWidth="1"/>
    <col min="14853" max="14853" width="6.28515625" style="261" customWidth="1"/>
    <col min="14854" max="14854" width="13.85546875" style="261" bestFit="1" customWidth="1"/>
    <col min="14855" max="14855" width="13.28515625" style="261" bestFit="1" customWidth="1"/>
    <col min="14856" max="14856" width="11.42578125" style="261"/>
    <col min="14857" max="14857" width="13.85546875" style="261" bestFit="1" customWidth="1"/>
    <col min="14858" max="14858" width="12.42578125" style="261" bestFit="1" customWidth="1"/>
    <col min="14859" max="15104" width="11.42578125" style="261"/>
    <col min="15105" max="15105" width="7.85546875" style="261" customWidth="1"/>
    <col min="15106" max="15106" width="10" style="261" customWidth="1"/>
    <col min="15107" max="15107" width="58.140625" style="261" customWidth="1"/>
    <col min="15108" max="15108" width="13.85546875" style="261" bestFit="1" customWidth="1"/>
    <col min="15109" max="15109" width="6.28515625" style="261" customWidth="1"/>
    <col min="15110" max="15110" width="13.85546875" style="261" bestFit="1" customWidth="1"/>
    <col min="15111" max="15111" width="13.28515625" style="261" bestFit="1" customWidth="1"/>
    <col min="15112" max="15112" width="11.42578125" style="261"/>
    <col min="15113" max="15113" width="13.85546875" style="261" bestFit="1" customWidth="1"/>
    <col min="15114" max="15114" width="12.42578125" style="261" bestFit="1" customWidth="1"/>
    <col min="15115" max="15360" width="11.42578125" style="261"/>
    <col min="15361" max="15361" width="7.85546875" style="261" customWidth="1"/>
    <col min="15362" max="15362" width="10" style="261" customWidth="1"/>
    <col min="15363" max="15363" width="58.140625" style="261" customWidth="1"/>
    <col min="15364" max="15364" width="13.85546875" style="261" bestFit="1" customWidth="1"/>
    <col min="15365" max="15365" width="6.28515625" style="261" customWidth="1"/>
    <col min="15366" max="15366" width="13.85546875" style="261" bestFit="1" customWidth="1"/>
    <col min="15367" max="15367" width="13.28515625" style="261" bestFit="1" customWidth="1"/>
    <col min="15368" max="15368" width="11.42578125" style="261"/>
    <col min="15369" max="15369" width="13.85546875" style="261" bestFit="1" customWidth="1"/>
    <col min="15370" max="15370" width="12.42578125" style="261" bestFit="1" customWidth="1"/>
    <col min="15371" max="15616" width="11.42578125" style="261"/>
    <col min="15617" max="15617" width="7.85546875" style="261" customWidth="1"/>
    <col min="15618" max="15618" width="10" style="261" customWidth="1"/>
    <col min="15619" max="15619" width="58.140625" style="261" customWidth="1"/>
    <col min="15620" max="15620" width="13.85546875" style="261" bestFit="1" customWidth="1"/>
    <col min="15621" max="15621" width="6.28515625" style="261" customWidth="1"/>
    <col min="15622" max="15622" width="13.85546875" style="261" bestFit="1" customWidth="1"/>
    <col min="15623" max="15623" width="13.28515625" style="261" bestFit="1" customWidth="1"/>
    <col min="15624" max="15624" width="11.42578125" style="261"/>
    <col min="15625" max="15625" width="13.85546875" style="261" bestFit="1" customWidth="1"/>
    <col min="15626" max="15626" width="12.42578125" style="261" bestFit="1" customWidth="1"/>
    <col min="15627" max="15872" width="11.42578125" style="261"/>
    <col min="15873" max="15873" width="7.85546875" style="261" customWidth="1"/>
    <col min="15874" max="15874" width="10" style="261" customWidth="1"/>
    <col min="15875" max="15875" width="58.140625" style="261" customWidth="1"/>
    <col min="15876" max="15876" width="13.85546875" style="261" bestFit="1" customWidth="1"/>
    <col min="15877" max="15877" width="6.28515625" style="261" customWidth="1"/>
    <col min="15878" max="15878" width="13.85546875" style="261" bestFit="1" customWidth="1"/>
    <col min="15879" max="15879" width="13.28515625" style="261" bestFit="1" customWidth="1"/>
    <col min="15880" max="15880" width="11.42578125" style="261"/>
    <col min="15881" max="15881" width="13.85546875" style="261" bestFit="1" customWidth="1"/>
    <col min="15882" max="15882" width="12.42578125" style="261" bestFit="1" customWidth="1"/>
    <col min="15883" max="16128" width="11.42578125" style="261"/>
    <col min="16129" max="16129" width="7.85546875" style="261" customWidth="1"/>
    <col min="16130" max="16130" width="10" style="261" customWidth="1"/>
    <col min="16131" max="16131" width="58.140625" style="261" customWidth="1"/>
    <col min="16132" max="16132" width="13.85546875" style="261" bestFit="1" customWidth="1"/>
    <col min="16133" max="16133" width="6.28515625" style="261" customWidth="1"/>
    <col min="16134" max="16134" width="13.85546875" style="261" bestFit="1" customWidth="1"/>
    <col min="16135" max="16135" width="13.28515625" style="261" bestFit="1" customWidth="1"/>
    <col min="16136" max="16136" width="11.42578125" style="261"/>
    <col min="16137" max="16137" width="13.85546875" style="261" bestFit="1" customWidth="1"/>
    <col min="16138" max="16138" width="12.42578125" style="261" bestFit="1" customWidth="1"/>
    <col min="16139" max="16384" width="11.42578125" style="261"/>
  </cols>
  <sheetData>
    <row r="1" spans="1:10" ht="18">
      <c r="A1" s="260" t="s">
        <v>200</v>
      </c>
      <c r="B1" s="260"/>
      <c r="C1" s="260"/>
      <c r="D1" s="260"/>
      <c r="E1" s="260"/>
      <c r="F1" s="260"/>
    </row>
    <row r="2" spans="1:10" ht="18">
      <c r="A2" s="262" t="s">
        <v>201</v>
      </c>
      <c r="B2" s="263"/>
      <c r="C2" s="263"/>
      <c r="D2" s="263"/>
      <c r="E2" s="263"/>
      <c r="F2" s="264"/>
      <c r="G2" s="265"/>
      <c r="H2" s="265"/>
      <c r="I2" s="265"/>
      <c r="J2" s="265"/>
    </row>
    <row r="3" spans="1:10" ht="18">
      <c r="A3" s="262" t="s">
        <v>202</v>
      </c>
      <c r="B3" s="263"/>
      <c r="C3" s="263"/>
      <c r="D3" s="263"/>
      <c r="E3" s="263"/>
      <c r="F3" s="264"/>
      <c r="G3" s="265"/>
      <c r="H3" s="265"/>
      <c r="I3" s="265"/>
      <c r="J3" s="265"/>
    </row>
    <row r="4" spans="1:10">
      <c r="A4" s="266" t="s">
        <v>294</v>
      </c>
      <c r="B4" s="266"/>
      <c r="C4" s="266"/>
      <c r="D4" s="266"/>
      <c r="E4" s="266"/>
      <c r="F4" s="266"/>
      <c r="G4" s="267"/>
    </row>
    <row r="5" spans="1:10" ht="71.25" customHeight="1">
      <c r="A5" s="268" t="s">
        <v>295</v>
      </c>
      <c r="B5" s="269"/>
      <c r="C5" s="269"/>
      <c r="D5" s="269"/>
      <c r="E5" s="269"/>
      <c r="F5" s="270"/>
      <c r="G5" s="271"/>
      <c r="H5" s="271"/>
      <c r="I5" s="271"/>
    </row>
    <row r="6" spans="1:10">
      <c r="A6" s="272" t="s">
        <v>296</v>
      </c>
      <c r="B6" s="273" t="s">
        <v>189</v>
      </c>
      <c r="C6" s="266" t="s">
        <v>205</v>
      </c>
      <c r="D6" s="266" t="s">
        <v>190</v>
      </c>
      <c r="E6" s="266" t="s">
        <v>297</v>
      </c>
      <c r="F6" s="266" t="s">
        <v>191</v>
      </c>
    </row>
    <row r="7" spans="1:10">
      <c r="A7" s="272"/>
      <c r="B7" s="273"/>
      <c r="C7" s="266"/>
      <c r="D7" s="266"/>
      <c r="E7" s="266"/>
      <c r="F7" s="266"/>
    </row>
    <row r="8" spans="1:10" ht="94.5" customHeight="1">
      <c r="A8" s="274">
        <v>1</v>
      </c>
      <c r="B8" s="275"/>
      <c r="C8" s="276" t="s">
        <v>298</v>
      </c>
      <c r="D8" s="277"/>
      <c r="E8" s="278"/>
      <c r="F8" s="278"/>
      <c r="G8" s="279"/>
      <c r="H8" s="279"/>
      <c r="I8" s="280"/>
    </row>
    <row r="9" spans="1:10" ht="24" customHeight="1">
      <c r="A9" s="274"/>
      <c r="B9" s="275">
        <f>[4]DETAIL!I13</f>
        <v>2.8</v>
      </c>
      <c r="C9" s="276" t="s">
        <v>299</v>
      </c>
      <c r="D9" s="281">
        <f>[4]building!C6</f>
        <v>224.84</v>
      </c>
      <c r="E9" s="278" t="s">
        <v>300</v>
      </c>
      <c r="F9" s="278">
        <f>(B9*D9)</f>
        <v>629.55200000000002</v>
      </c>
      <c r="G9" s="279"/>
      <c r="H9" s="279"/>
      <c r="I9" s="280"/>
    </row>
    <row r="10" spans="1:10" ht="24" customHeight="1">
      <c r="A10" s="274">
        <v>2</v>
      </c>
      <c r="B10" s="275">
        <f>[4]DETAIL!I20</f>
        <v>9.5</v>
      </c>
      <c r="C10" s="276" t="str">
        <f>[4]DETAIL!B15</f>
        <v>Supplying and filling stonedust</v>
      </c>
      <c r="D10" s="281">
        <f>[4]Data!R154</f>
        <v>340.84</v>
      </c>
      <c r="E10" s="278" t="s">
        <v>300</v>
      </c>
      <c r="F10" s="278">
        <f t="shared" ref="F10:F32" si="0">(B10*D10)</f>
        <v>3237.9799999999996</v>
      </c>
      <c r="G10" s="279"/>
      <c r="H10" s="279"/>
      <c r="I10" s="280"/>
    </row>
    <row r="11" spans="1:10" ht="38.25" customHeight="1">
      <c r="A11" s="274">
        <v>3</v>
      </c>
      <c r="B11" s="275">
        <f>[4]DETAIL!I27</f>
        <v>9.5</v>
      </c>
      <c r="C11" s="276" t="s">
        <v>238</v>
      </c>
      <c r="D11" s="282">
        <f>[4]Data!K204</f>
        <v>4314.4399999999996</v>
      </c>
      <c r="E11" s="278" t="s">
        <v>300</v>
      </c>
      <c r="F11" s="278">
        <f t="shared" si="0"/>
        <v>40987.179999999993</v>
      </c>
      <c r="G11" s="279"/>
      <c r="H11" s="279"/>
      <c r="I11" s="280"/>
    </row>
    <row r="12" spans="1:10" ht="38.25" customHeight="1">
      <c r="A12" s="274">
        <v>4</v>
      </c>
      <c r="B12" s="275">
        <f>[4]DETAIL!I32</f>
        <v>6.2</v>
      </c>
      <c r="C12" s="276" t="str">
        <f>[4]DETAIL!B28</f>
        <v>P.C.C. 1:4:8 for flooring</v>
      </c>
      <c r="D12" s="282">
        <f>[4]Data!R240</f>
        <v>4507.54</v>
      </c>
      <c r="E12" s="278" t="s">
        <v>300</v>
      </c>
      <c r="F12" s="278">
        <f t="shared" si="0"/>
        <v>27946.748</v>
      </c>
      <c r="G12" s="279"/>
      <c r="H12" s="279"/>
      <c r="I12" s="280"/>
    </row>
    <row r="13" spans="1:10" ht="63" customHeight="1">
      <c r="A13" s="274">
        <v>5</v>
      </c>
      <c r="B13" s="275">
        <f>[4]DETAIL!I37</f>
        <v>1.6</v>
      </c>
      <c r="C13" s="276" t="s">
        <v>301</v>
      </c>
      <c r="D13" s="283">
        <f>[4]Data!AG321</f>
        <v>6291.53</v>
      </c>
      <c r="E13" s="278" t="s">
        <v>300</v>
      </c>
      <c r="F13" s="278">
        <f t="shared" si="0"/>
        <v>10066.448</v>
      </c>
      <c r="G13" s="279"/>
      <c r="H13" s="279"/>
      <c r="I13" s="280"/>
    </row>
    <row r="14" spans="1:10" ht="26.25" customHeight="1">
      <c r="A14" s="274">
        <v>6</v>
      </c>
      <c r="B14" s="275">
        <f>[4]DETAIL!I45</f>
        <v>19.100000000000001</v>
      </c>
      <c r="C14" s="284" t="s">
        <v>302</v>
      </c>
      <c r="D14" s="282">
        <f>[4]building!C341</f>
        <v>227.66</v>
      </c>
      <c r="E14" s="278" t="s">
        <v>303</v>
      </c>
      <c r="F14" s="278">
        <f t="shared" si="0"/>
        <v>4348.3060000000005</v>
      </c>
      <c r="G14" s="279"/>
      <c r="H14" s="279"/>
      <c r="I14" s="280"/>
    </row>
    <row r="15" spans="1:10" ht="43.5" customHeight="1">
      <c r="A15" s="274">
        <v>7</v>
      </c>
      <c r="B15" s="275">
        <f>[4]DETAIL!I52</f>
        <v>19.100000000000001</v>
      </c>
      <c r="C15" s="285" t="str">
        <f>[4]DETAIL!B55</f>
        <v xml:space="preserve">PAINTING TWO COATS OVER old PLASTERED SURFACE WITH  Plastic Emulsion PAINT - for Old walls </v>
      </c>
      <c r="D15" s="282">
        <f>[4]Data!K3358</f>
        <v>158.94999999999999</v>
      </c>
      <c r="E15" s="278" t="s">
        <v>303</v>
      </c>
      <c r="F15" s="278">
        <f t="shared" si="0"/>
        <v>3035.9450000000002</v>
      </c>
      <c r="G15" s="279"/>
      <c r="H15" s="279"/>
      <c r="I15" s="280"/>
    </row>
    <row r="16" spans="1:10" ht="45" customHeight="1">
      <c r="A16" s="274">
        <v>8</v>
      </c>
      <c r="B16" s="275">
        <f>[4]DETAIL!I74</f>
        <v>579</v>
      </c>
      <c r="C16" s="285" t="str">
        <f>[4]DETAIL!B47</f>
        <v xml:space="preserve">Painting Two coats of emulsion pain with primer in the new plastered wall. </v>
      </c>
      <c r="D16" s="282">
        <v>222.05</v>
      </c>
      <c r="E16" s="278" t="s">
        <v>303</v>
      </c>
      <c r="F16" s="278">
        <f t="shared" si="0"/>
        <v>128566.95000000001</v>
      </c>
      <c r="G16" s="279"/>
      <c r="H16" s="279"/>
      <c r="I16" s="280"/>
    </row>
    <row r="17" spans="1:9" hidden="1">
      <c r="A17" s="274">
        <v>77</v>
      </c>
      <c r="B17" s="275"/>
      <c r="C17" s="286" t="e">
        <f>[4]DETAIL!#REF!</f>
        <v>#REF!</v>
      </c>
      <c r="D17" s="282"/>
      <c r="E17" s="278" t="s">
        <v>15</v>
      </c>
      <c r="F17" s="278">
        <f t="shared" si="0"/>
        <v>0</v>
      </c>
      <c r="G17" s="279"/>
      <c r="H17" s="279"/>
      <c r="I17" s="280"/>
    </row>
    <row r="18" spans="1:9" ht="28.5" customHeight="1">
      <c r="A18" s="274">
        <v>9</v>
      </c>
      <c r="B18" s="275">
        <f>[4]DETAIL!I80</f>
        <v>56</v>
      </c>
      <c r="C18" s="286" t="str">
        <f>[4]DETAIL!B77</f>
        <v xml:space="preserve">Ellispartern Flooring </v>
      </c>
      <c r="D18" s="282">
        <f>[4]building!C336</f>
        <v>427.34</v>
      </c>
      <c r="E18" s="278" t="s">
        <v>289</v>
      </c>
      <c r="F18" s="278">
        <f t="shared" si="0"/>
        <v>23931.039999999997</v>
      </c>
      <c r="G18" s="279"/>
      <c r="H18" s="279"/>
      <c r="I18" s="280"/>
    </row>
    <row r="19" spans="1:9" ht="56.25" customHeight="1">
      <c r="A19" s="274">
        <v>10</v>
      </c>
      <c r="B19" s="275"/>
      <c r="C19" s="286" t="str">
        <f>[4]DETAIL!B82</f>
        <v>Wiring with 1.5 sqmm PVC insulated single core multi strand fire retardant flexible copper cable with ISI mark confirming IS: 694:1990.</v>
      </c>
      <c r="D19" s="282"/>
      <c r="E19" s="278"/>
      <c r="F19" s="278"/>
      <c r="G19" s="279"/>
      <c r="H19" s="279"/>
      <c r="I19" s="280"/>
    </row>
    <row r="20" spans="1:9" ht="37.5" customHeight="1">
      <c r="A20" s="274"/>
      <c r="B20" s="275">
        <f>[4]DETAIL!I83</f>
        <v>8</v>
      </c>
      <c r="C20" s="286" t="str">
        <f>[4]DETAIL!B83</f>
        <v>a. Light point with ceiling rose</v>
      </c>
      <c r="D20" s="282">
        <f>[4]Elec.Data!K3825</f>
        <v>830.01</v>
      </c>
      <c r="E20" s="278" t="s">
        <v>37</v>
      </c>
      <c r="F20" s="278">
        <f t="shared" si="0"/>
        <v>6640.08</v>
      </c>
      <c r="G20" s="279"/>
      <c r="H20" s="279"/>
      <c r="I20" s="280"/>
    </row>
    <row r="21" spans="1:9" ht="56.25" customHeight="1">
      <c r="A21" s="274">
        <v>11</v>
      </c>
      <c r="B21" s="275">
        <f>[4]DETAIL!I85</f>
        <v>8</v>
      </c>
      <c r="C21" s="286" t="str">
        <f>[4]DETAIL!B85</f>
        <v>Wiring with 1.5 sqmm PVC insulated single core multi strand fire retardant flexible copper cable with ISI mark confirming IS: 694:1990 for Fan point. (Open wiring)</v>
      </c>
      <c r="D21" s="282">
        <f>[4]Elec.Data!K3889</f>
        <v>917.36</v>
      </c>
      <c r="E21" s="278" t="s">
        <v>74</v>
      </c>
      <c r="F21" s="278">
        <f t="shared" si="0"/>
        <v>7338.88</v>
      </c>
      <c r="G21" s="279"/>
      <c r="H21" s="279"/>
      <c r="I21" s="280"/>
    </row>
    <row r="22" spans="1:9" ht="72.75" customHeight="1">
      <c r="A22" s="274">
        <v>12</v>
      </c>
      <c r="B22" s="275">
        <f>[4]DETAIL!I87</f>
        <v>8</v>
      </c>
      <c r="C22" s="286" t="str">
        <f>[4]DETAIL!B87</f>
        <v>Charges for assembling and fixing of ceiling fan of different sweep with necessary connections and fixing of fan regulator on the existing board etc., all complete (Excluding cost of fan)</v>
      </c>
      <c r="D22" s="282">
        <f>[4]building!C435</f>
        <v>521.46</v>
      </c>
      <c r="E22" s="278" t="s">
        <v>74</v>
      </c>
      <c r="F22" s="278">
        <f t="shared" si="0"/>
        <v>4171.68</v>
      </c>
      <c r="G22" s="279"/>
      <c r="H22" s="279"/>
      <c r="I22" s="280"/>
    </row>
    <row r="23" spans="1:9" ht="31.5" customHeight="1">
      <c r="A23" s="274">
        <v>13</v>
      </c>
      <c r="B23" s="275">
        <f>[4]DETAIL!I89</f>
        <v>8</v>
      </c>
      <c r="C23" s="286" t="s">
        <v>304</v>
      </c>
      <c r="D23" s="282">
        <f>[4]building!C921</f>
        <v>642</v>
      </c>
      <c r="E23" s="278" t="s">
        <v>37</v>
      </c>
      <c r="F23" s="278">
        <f t="shared" si="0"/>
        <v>5136</v>
      </c>
      <c r="G23" s="279"/>
      <c r="H23" s="279"/>
      <c r="I23" s="280"/>
    </row>
    <row r="24" spans="1:9" ht="174.75" customHeight="1">
      <c r="A24" s="274">
        <v>14</v>
      </c>
      <c r="B24" s="275">
        <f>[4]DETAIL!I91</f>
        <v>1</v>
      </c>
      <c r="C24" s="286" t="str">
        <f>[4]DETAIL!B91</f>
        <v>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 (Open wiring)</v>
      </c>
      <c r="D24" s="282">
        <f>[4]building!C903</f>
        <v>764.91</v>
      </c>
      <c r="E24" s="278" t="s">
        <v>74</v>
      </c>
      <c r="F24" s="278">
        <f t="shared" si="0"/>
        <v>764.91</v>
      </c>
      <c r="G24" s="279"/>
      <c r="H24" s="279"/>
      <c r="I24" s="280"/>
    </row>
    <row r="25" spans="1:9" ht="110.25">
      <c r="A25" s="274">
        <v>15</v>
      </c>
      <c r="B25" s="275">
        <f>[4]DETAIL!I93</f>
        <v>40</v>
      </c>
      <c r="C25" s="286" t="str">
        <f>[4]DETAIL!B93</f>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v>
      </c>
      <c r="D25" s="282">
        <f>[4]Elec.Data!K3963</f>
        <v>136.43</v>
      </c>
      <c r="E25" s="278" t="s">
        <v>15</v>
      </c>
      <c r="F25" s="278">
        <f t="shared" si="0"/>
        <v>5457.2000000000007</v>
      </c>
      <c r="G25" s="279"/>
      <c r="H25" s="279"/>
      <c r="I25" s="280"/>
    </row>
    <row r="26" spans="1:9" ht="110.25">
      <c r="A26" s="274">
        <v>16</v>
      </c>
      <c r="B26" s="275">
        <f>[4]DETAIL!I95</f>
        <v>50</v>
      </c>
      <c r="C26" s="286" t="str">
        <f>[4]DETAIL!B95</f>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 (Open wiring)</v>
      </c>
      <c r="D26" s="282">
        <f>[4]Elec.Data!K3976</f>
        <v>164.83</v>
      </c>
      <c r="E26" s="278" t="s">
        <v>15</v>
      </c>
      <c r="F26" s="278">
        <f t="shared" si="0"/>
        <v>8241.5</v>
      </c>
      <c r="G26" s="279"/>
      <c r="H26" s="279"/>
      <c r="I26" s="280"/>
    </row>
    <row r="27" spans="1:9" ht="189.75" customHeight="1">
      <c r="A27" s="274">
        <v>17</v>
      </c>
      <c r="B27" s="275">
        <f>[4]DETAIL!I98</f>
        <v>16</v>
      </c>
      <c r="C27" s="286" t="s">
        <v>273</v>
      </c>
      <c r="D27" s="282">
        <f>[4]Elec.Data!K3928</f>
        <v>638.45000000000005</v>
      </c>
      <c r="E27" s="278" t="s">
        <v>74</v>
      </c>
      <c r="F27" s="278">
        <f t="shared" si="0"/>
        <v>10215.200000000001</v>
      </c>
      <c r="G27" s="279"/>
      <c r="H27" s="279"/>
      <c r="I27" s="280"/>
    </row>
    <row r="28" spans="1:9" ht="87" customHeight="1">
      <c r="A28" s="274">
        <v>18</v>
      </c>
      <c r="B28" s="275">
        <f>[4]DETAIL!I101</f>
        <v>1</v>
      </c>
      <c r="C28" s="286" t="s">
        <v>275</v>
      </c>
      <c r="D28" s="282">
        <f>[4]Elec.Data!K3221</f>
        <v>3342.85</v>
      </c>
      <c r="E28" s="278" t="s">
        <v>74</v>
      </c>
      <c r="F28" s="278">
        <f t="shared" si="0"/>
        <v>3342.85</v>
      </c>
      <c r="G28" s="279"/>
      <c r="H28" s="279"/>
      <c r="I28" s="280"/>
    </row>
    <row r="29" spans="1:9" ht="29.25" customHeight="1">
      <c r="A29" s="274">
        <v>19</v>
      </c>
      <c r="B29" s="275">
        <f>[4]DETAIL!I103</f>
        <v>1</v>
      </c>
      <c r="C29" s="286" t="s">
        <v>277</v>
      </c>
      <c r="D29" s="282">
        <f>[4]Elec.Data!K3468</f>
        <v>2971.6</v>
      </c>
      <c r="E29" s="278" t="s">
        <v>74</v>
      </c>
      <c r="F29" s="278">
        <f t="shared" si="0"/>
        <v>2971.6</v>
      </c>
      <c r="G29" s="279"/>
      <c r="H29" s="279"/>
      <c r="I29" s="280"/>
    </row>
    <row r="30" spans="1:9" ht="63.75" customHeight="1">
      <c r="A30" s="274">
        <v>20</v>
      </c>
      <c r="B30" s="275">
        <f>[4]DETAIL!I126</f>
        <v>1907.4</v>
      </c>
      <c r="C30" s="286" t="s">
        <v>278</v>
      </c>
      <c r="D30" s="282">
        <v>99.88</v>
      </c>
      <c r="E30" s="278" t="s">
        <v>305</v>
      </c>
      <c r="F30" s="278">
        <f t="shared" si="0"/>
        <v>190511.11199999999</v>
      </c>
      <c r="G30" s="279"/>
      <c r="H30" s="279"/>
      <c r="I30" s="280"/>
    </row>
    <row r="31" spans="1:9" ht="45" customHeight="1">
      <c r="A31" s="274">
        <v>21</v>
      </c>
      <c r="B31" s="275">
        <f>[4]DETAIL!I136</f>
        <v>49.1</v>
      </c>
      <c r="C31" s="286" t="s">
        <v>287</v>
      </c>
      <c r="D31" s="282">
        <f>[4]Data!K1553</f>
        <v>133.44</v>
      </c>
      <c r="E31" s="278" t="s">
        <v>289</v>
      </c>
      <c r="F31" s="278">
        <f t="shared" si="0"/>
        <v>6551.9040000000005</v>
      </c>
      <c r="G31" s="279"/>
      <c r="H31" s="279"/>
      <c r="I31" s="280"/>
    </row>
    <row r="32" spans="1:9" ht="42" customHeight="1">
      <c r="A32" s="274">
        <v>22</v>
      </c>
      <c r="B32" s="275">
        <f>[4]DETAIL!I140</f>
        <v>85.7</v>
      </c>
      <c r="C32" s="286" t="s">
        <v>290</v>
      </c>
      <c r="D32" s="282">
        <f>'[4]Guard - Data '!F101</f>
        <v>967.34</v>
      </c>
      <c r="E32" s="278" t="s">
        <v>289</v>
      </c>
      <c r="F32" s="278">
        <f t="shared" si="0"/>
        <v>82901.038</v>
      </c>
      <c r="G32" s="279"/>
      <c r="H32" s="279"/>
      <c r="I32" s="280"/>
    </row>
    <row r="33" spans="1:10">
      <c r="A33" s="274"/>
      <c r="B33" s="275"/>
      <c r="C33" s="287" t="s">
        <v>306</v>
      </c>
      <c r="D33" s="282"/>
      <c r="E33" s="278" t="s">
        <v>26</v>
      </c>
      <c r="F33" s="288">
        <f>SUM(F8:F32)</f>
        <v>576994.10299999989</v>
      </c>
      <c r="G33" s="279"/>
      <c r="H33" s="279"/>
      <c r="I33" s="280"/>
    </row>
    <row r="34" spans="1:10">
      <c r="A34" s="274"/>
      <c r="B34" s="275"/>
      <c r="C34" s="250" t="s">
        <v>291</v>
      </c>
      <c r="D34" s="282"/>
      <c r="E34" s="278"/>
      <c r="F34" s="288">
        <f>F33*18%</f>
        <v>103858.93853999997</v>
      </c>
      <c r="G34" s="279"/>
      <c r="H34" s="279"/>
      <c r="I34" s="280"/>
    </row>
    <row r="35" spans="1:10">
      <c r="A35" s="274"/>
      <c r="B35" s="275"/>
      <c r="C35" s="287" t="s">
        <v>307</v>
      </c>
      <c r="D35" s="282"/>
      <c r="E35" s="278"/>
      <c r="F35" s="288">
        <f>SUM(F33:F34)</f>
        <v>680853.04153999989</v>
      </c>
      <c r="G35" s="279"/>
      <c r="H35" s="279"/>
      <c r="I35" s="280"/>
    </row>
    <row r="36" spans="1:10">
      <c r="A36" s="274"/>
      <c r="B36" s="275" t="s">
        <v>38</v>
      </c>
      <c r="C36" s="276" t="s">
        <v>217</v>
      </c>
      <c r="D36" s="276"/>
      <c r="E36" s="278" t="s">
        <v>26</v>
      </c>
      <c r="F36" s="278">
        <f>F35*1%</f>
        <v>6808.5304153999987</v>
      </c>
      <c r="G36" s="279"/>
      <c r="H36" s="279"/>
      <c r="I36" s="280"/>
    </row>
    <row r="37" spans="1:10">
      <c r="A37" s="274"/>
      <c r="B37" s="275" t="s">
        <v>38</v>
      </c>
      <c r="C37" s="276" t="s">
        <v>218</v>
      </c>
      <c r="D37" s="276"/>
      <c r="E37" s="278" t="s">
        <v>26</v>
      </c>
      <c r="F37" s="278">
        <f>F35*2.5%</f>
        <v>17021.326038499999</v>
      </c>
      <c r="G37" s="279"/>
      <c r="H37" s="279"/>
      <c r="I37" s="280"/>
    </row>
    <row r="38" spans="1:10">
      <c r="A38" s="274"/>
      <c r="B38" s="275" t="s">
        <v>38</v>
      </c>
      <c r="C38" s="276" t="s">
        <v>219</v>
      </c>
      <c r="D38" s="276"/>
      <c r="E38" s="278" t="s">
        <v>26</v>
      </c>
      <c r="F38" s="278">
        <f>F35*7.5%</f>
        <v>51063.978115499987</v>
      </c>
      <c r="G38" s="279"/>
      <c r="H38" s="279"/>
      <c r="I38" s="280"/>
    </row>
    <row r="39" spans="1:10">
      <c r="A39" s="274"/>
      <c r="B39" s="275"/>
      <c r="C39" s="287" t="s">
        <v>308</v>
      </c>
      <c r="D39" s="282"/>
      <c r="E39" s="278" t="s">
        <v>26</v>
      </c>
      <c r="F39" s="289">
        <f>SUM(F35:F38)</f>
        <v>755746.87610939983</v>
      </c>
      <c r="G39" s="290"/>
      <c r="H39" s="279"/>
      <c r="I39" s="280"/>
    </row>
    <row r="40" spans="1:10">
      <c r="A40" s="274"/>
      <c r="B40" s="275"/>
      <c r="C40" s="287"/>
      <c r="D40" s="291" t="s">
        <v>25</v>
      </c>
      <c r="E40" s="278" t="s">
        <v>26</v>
      </c>
      <c r="F40" s="289">
        <f>CEILING(F39,100)</f>
        <v>755800</v>
      </c>
      <c r="G40" s="292"/>
      <c r="H40" s="292"/>
    </row>
    <row r="41" spans="1:10">
      <c r="A41" s="293"/>
      <c r="B41" s="294"/>
      <c r="C41" s="295"/>
      <c r="D41" s="296"/>
      <c r="E41" s="296"/>
      <c r="F41" s="296"/>
    </row>
    <row r="42" spans="1:10">
      <c r="A42" s="293"/>
      <c r="B42" s="294"/>
      <c r="C42" s="295"/>
      <c r="D42" s="297"/>
      <c r="E42" s="296"/>
      <c r="F42" s="296"/>
    </row>
    <row r="43" spans="1:10">
      <c r="A43" s="293"/>
      <c r="B43" s="294"/>
      <c r="C43" s="295"/>
      <c r="D43" s="296"/>
      <c r="E43" s="296"/>
      <c r="F43" s="296"/>
    </row>
    <row r="44" spans="1:10" s="300" customFormat="1" ht="18" customHeight="1">
      <c r="A44" s="298" t="s">
        <v>309</v>
      </c>
      <c r="B44" s="298"/>
      <c r="C44" s="298"/>
      <c r="D44" s="298"/>
      <c r="E44" s="298"/>
      <c r="F44" s="298"/>
      <c r="G44" s="299"/>
      <c r="H44" s="299"/>
      <c r="I44" s="299"/>
      <c r="J44" s="299"/>
    </row>
    <row r="45" spans="1:10" s="300" customFormat="1" ht="18" customHeight="1">
      <c r="A45" s="301"/>
      <c r="B45" s="301"/>
      <c r="C45" s="301"/>
      <c r="D45" s="298" t="s">
        <v>310</v>
      </c>
      <c r="E45" s="298"/>
      <c r="F45" s="298"/>
      <c r="G45" s="299"/>
      <c r="H45" s="302"/>
      <c r="I45" s="302"/>
      <c r="J45" s="302"/>
    </row>
    <row r="46" spans="1:10">
      <c r="A46" s="303"/>
      <c r="B46" s="294"/>
      <c r="C46" s="304"/>
      <c r="D46" s="305"/>
      <c r="E46" s="305"/>
      <c r="F46" s="305"/>
    </row>
    <row r="47" spans="1:10">
      <c r="A47" s="303"/>
      <c r="B47" s="294"/>
      <c r="C47" s="304"/>
      <c r="D47" s="305"/>
      <c r="E47" s="305"/>
      <c r="F47" s="305"/>
    </row>
    <row r="48" spans="1:10">
      <c r="A48" s="303"/>
      <c r="B48" s="294"/>
      <c r="C48" s="304"/>
      <c r="D48" s="305"/>
      <c r="E48" s="305"/>
      <c r="F48" s="305"/>
    </row>
    <row r="49" spans="1:6">
      <c r="A49" s="303"/>
      <c r="B49" s="294"/>
      <c r="C49" s="304"/>
      <c r="D49" s="305"/>
      <c r="E49" s="305"/>
      <c r="F49" s="305"/>
    </row>
    <row r="50" spans="1:6">
      <c r="A50" s="303"/>
      <c r="B50" s="294"/>
      <c r="C50" s="304"/>
      <c r="D50" s="305"/>
      <c r="E50" s="305"/>
      <c r="F50" s="305"/>
    </row>
    <row r="51" spans="1:6">
      <c r="A51" s="303"/>
      <c r="B51" s="294"/>
      <c r="C51" s="304"/>
      <c r="D51" s="305"/>
      <c r="E51" s="305"/>
      <c r="F51" s="305"/>
    </row>
    <row r="52" spans="1:6">
      <c r="A52" s="303"/>
      <c r="B52" s="294"/>
      <c r="C52" s="304"/>
      <c r="D52" s="305"/>
      <c r="E52" s="305"/>
      <c r="F52" s="305"/>
    </row>
    <row r="53" spans="1:6">
      <c r="A53" s="303"/>
      <c r="B53" s="294"/>
      <c r="C53" s="304"/>
      <c r="D53" s="305"/>
      <c r="E53" s="305"/>
      <c r="F53" s="305"/>
    </row>
    <row r="54" spans="1:6">
      <c r="A54" s="303"/>
      <c r="B54" s="294"/>
      <c r="C54" s="304"/>
      <c r="D54" s="305"/>
      <c r="E54" s="305"/>
      <c r="F54" s="305"/>
    </row>
    <row r="55" spans="1:6">
      <c r="A55" s="303"/>
      <c r="B55" s="294"/>
      <c r="C55" s="304"/>
      <c r="D55" s="305"/>
      <c r="E55" s="305"/>
      <c r="F55" s="305"/>
    </row>
    <row r="56" spans="1:6">
      <c r="A56" s="303"/>
      <c r="B56" s="294"/>
      <c r="C56" s="304"/>
      <c r="D56" s="305"/>
      <c r="E56" s="305"/>
      <c r="F56" s="305"/>
    </row>
    <row r="57" spans="1:6">
      <c r="A57" s="303"/>
      <c r="B57" s="294"/>
      <c r="C57" s="304"/>
      <c r="D57" s="305"/>
      <c r="E57" s="305"/>
      <c r="F57" s="305"/>
    </row>
    <row r="58" spans="1:6">
      <c r="A58" s="303"/>
      <c r="B58" s="294"/>
      <c r="C58" s="304"/>
      <c r="D58" s="305"/>
      <c r="E58" s="305"/>
      <c r="F58" s="305"/>
    </row>
    <row r="59" spans="1:6">
      <c r="A59" s="303"/>
      <c r="B59" s="294"/>
      <c r="C59" s="304"/>
      <c r="D59" s="305"/>
      <c r="E59" s="305"/>
      <c r="F59" s="305"/>
    </row>
    <row r="60" spans="1:6">
      <c r="A60" s="303"/>
      <c r="B60" s="294"/>
      <c r="C60" s="304"/>
      <c r="D60" s="305"/>
      <c r="E60" s="305"/>
      <c r="F60" s="305"/>
    </row>
    <row r="61" spans="1:6">
      <c r="A61" s="303"/>
      <c r="B61" s="294"/>
      <c r="C61" s="304"/>
      <c r="D61" s="305"/>
      <c r="E61" s="305"/>
      <c r="F61" s="305"/>
    </row>
    <row r="62" spans="1:6">
      <c r="A62" s="303"/>
      <c r="B62" s="294"/>
      <c r="C62" s="304"/>
      <c r="D62" s="305"/>
      <c r="E62" s="305"/>
      <c r="F62" s="305"/>
    </row>
    <row r="63" spans="1:6">
      <c r="A63" s="303"/>
      <c r="B63" s="294"/>
      <c r="C63" s="304"/>
      <c r="D63" s="305"/>
      <c r="E63" s="305"/>
      <c r="F63" s="305"/>
    </row>
    <row r="64" spans="1:6">
      <c r="A64" s="303"/>
      <c r="B64" s="294"/>
      <c r="C64" s="304"/>
      <c r="D64" s="305"/>
      <c r="E64" s="305"/>
      <c r="F64" s="305"/>
    </row>
    <row r="65" spans="1:6">
      <c r="A65" s="303"/>
      <c r="B65" s="294"/>
      <c r="C65" s="304"/>
      <c r="D65" s="305"/>
      <c r="E65" s="305"/>
      <c r="F65" s="305"/>
    </row>
    <row r="66" spans="1:6">
      <c r="A66" s="303"/>
      <c r="B66" s="294"/>
      <c r="C66" s="304"/>
      <c r="D66" s="305"/>
      <c r="E66" s="305"/>
      <c r="F66" s="305"/>
    </row>
    <row r="67" spans="1:6">
      <c r="A67" s="303"/>
      <c r="B67" s="294"/>
      <c r="C67" s="304"/>
      <c r="D67" s="305"/>
      <c r="E67" s="305"/>
      <c r="F67" s="305"/>
    </row>
    <row r="68" spans="1:6">
      <c r="A68" s="303"/>
      <c r="B68" s="294"/>
      <c r="C68" s="304"/>
      <c r="D68" s="305"/>
      <c r="E68" s="305"/>
      <c r="F68" s="305"/>
    </row>
    <row r="69" spans="1:6">
      <c r="A69" s="303"/>
      <c r="B69" s="294"/>
      <c r="C69" s="304"/>
      <c r="D69" s="305"/>
      <c r="E69" s="305"/>
      <c r="F69" s="305"/>
    </row>
    <row r="70" spans="1:6">
      <c r="A70" s="303"/>
      <c r="B70" s="294"/>
      <c r="C70" s="304"/>
      <c r="D70" s="305"/>
      <c r="E70" s="305"/>
      <c r="F70" s="305"/>
    </row>
    <row r="71" spans="1:6">
      <c r="A71" s="303"/>
      <c r="B71" s="294"/>
      <c r="C71" s="304"/>
      <c r="D71" s="305"/>
      <c r="E71" s="305"/>
      <c r="F71" s="305"/>
    </row>
    <row r="72" spans="1:6">
      <c r="A72" s="303"/>
      <c r="B72" s="294"/>
      <c r="C72" s="304"/>
      <c r="D72" s="305"/>
      <c r="E72" s="305"/>
      <c r="F72" s="305"/>
    </row>
    <row r="73" spans="1:6">
      <c r="A73" s="303"/>
      <c r="B73" s="294"/>
      <c r="C73" s="304"/>
      <c r="D73" s="305"/>
      <c r="E73" s="305"/>
      <c r="F73" s="305"/>
    </row>
    <row r="74" spans="1:6">
      <c r="A74" s="303"/>
      <c r="B74" s="294"/>
      <c r="C74" s="304"/>
      <c r="D74" s="305"/>
      <c r="E74" s="305"/>
      <c r="F74" s="305"/>
    </row>
    <row r="75" spans="1:6">
      <c r="A75" s="303"/>
      <c r="B75" s="294"/>
      <c r="C75" s="304"/>
      <c r="D75" s="305"/>
      <c r="E75" s="305"/>
      <c r="F75" s="305"/>
    </row>
    <row r="76" spans="1:6">
      <c r="A76" s="303"/>
      <c r="B76" s="294"/>
      <c r="C76" s="304"/>
      <c r="D76" s="305"/>
      <c r="E76" s="305"/>
      <c r="F76" s="305"/>
    </row>
    <row r="77" spans="1:6">
      <c r="A77" s="303"/>
      <c r="B77" s="294"/>
      <c r="C77" s="304"/>
      <c r="D77" s="305"/>
      <c r="E77" s="305"/>
      <c r="F77" s="305"/>
    </row>
    <row r="78" spans="1:6">
      <c r="A78" s="303"/>
      <c r="B78" s="294"/>
      <c r="C78" s="304"/>
      <c r="D78" s="305"/>
      <c r="E78" s="305"/>
      <c r="F78" s="305"/>
    </row>
    <row r="79" spans="1:6">
      <c r="C79" s="304"/>
      <c r="D79" s="305"/>
      <c r="E79" s="305"/>
      <c r="F79" s="305"/>
    </row>
    <row r="80" spans="1:6">
      <c r="C80" s="304"/>
      <c r="D80" s="305"/>
      <c r="E80" s="305"/>
      <c r="F80" s="305"/>
    </row>
    <row r="81" spans="3:6">
      <c r="C81" s="304"/>
      <c r="D81" s="305"/>
      <c r="E81" s="305"/>
      <c r="F81" s="305"/>
    </row>
    <row r="82" spans="3:6">
      <c r="C82" s="304"/>
      <c r="D82" s="305"/>
      <c r="E82" s="305"/>
      <c r="F82" s="305"/>
    </row>
    <row r="83" spans="3:6">
      <c r="C83" s="304"/>
      <c r="D83" s="305"/>
      <c r="E83" s="305"/>
      <c r="F83" s="305"/>
    </row>
    <row r="84" spans="3:6">
      <c r="C84" s="304"/>
      <c r="D84" s="305"/>
      <c r="E84" s="305"/>
      <c r="F84" s="305"/>
    </row>
    <row r="85" spans="3:6">
      <c r="C85" s="304"/>
      <c r="D85" s="305"/>
      <c r="E85" s="305"/>
      <c r="F85" s="305"/>
    </row>
    <row r="86" spans="3:6">
      <c r="C86" s="304"/>
      <c r="D86" s="305"/>
      <c r="E86" s="305"/>
      <c r="F86" s="305"/>
    </row>
    <row r="87" spans="3:6">
      <c r="C87" s="304"/>
      <c r="D87" s="305"/>
      <c r="E87" s="305"/>
      <c r="F87" s="305"/>
    </row>
    <row r="88" spans="3:6">
      <c r="C88" s="304"/>
      <c r="D88" s="305"/>
      <c r="E88" s="305"/>
      <c r="F88" s="305"/>
    </row>
    <row r="89" spans="3:6">
      <c r="C89" s="304"/>
      <c r="D89" s="305"/>
      <c r="E89" s="305"/>
      <c r="F89" s="305"/>
    </row>
    <row r="90" spans="3:6">
      <c r="C90" s="304"/>
      <c r="D90" s="305"/>
      <c r="E90" s="305"/>
      <c r="F90" s="305"/>
    </row>
    <row r="91" spans="3:6">
      <c r="C91" s="304"/>
      <c r="D91" s="305"/>
      <c r="E91" s="305"/>
      <c r="F91" s="305"/>
    </row>
    <row r="92" spans="3:6">
      <c r="C92" s="304"/>
      <c r="D92" s="305"/>
      <c r="E92" s="305"/>
      <c r="F92" s="305"/>
    </row>
    <row r="93" spans="3:6">
      <c r="C93" s="304"/>
      <c r="D93" s="305"/>
      <c r="E93" s="305"/>
      <c r="F93" s="305"/>
    </row>
    <row r="94" spans="3:6">
      <c r="C94" s="304"/>
      <c r="D94" s="305"/>
      <c r="E94" s="305"/>
      <c r="F94" s="305"/>
    </row>
    <row r="95" spans="3:6">
      <c r="C95" s="304"/>
      <c r="D95" s="305"/>
      <c r="E95" s="305"/>
      <c r="F95" s="305"/>
    </row>
    <row r="96" spans="3:6">
      <c r="C96" s="304"/>
      <c r="D96" s="305"/>
      <c r="E96" s="305"/>
      <c r="F96" s="305"/>
    </row>
    <row r="97" spans="3:6">
      <c r="C97" s="304"/>
      <c r="D97" s="305"/>
      <c r="E97" s="305"/>
      <c r="F97" s="305"/>
    </row>
    <row r="98" spans="3:6">
      <c r="C98" s="304"/>
      <c r="D98" s="305"/>
      <c r="E98" s="305"/>
      <c r="F98" s="305"/>
    </row>
    <row r="99" spans="3:6">
      <c r="C99" s="304"/>
      <c r="D99" s="305"/>
      <c r="E99" s="305"/>
      <c r="F99" s="305"/>
    </row>
    <row r="100" spans="3:6">
      <c r="C100" s="304"/>
      <c r="D100" s="305"/>
      <c r="E100" s="305"/>
      <c r="F100" s="305"/>
    </row>
    <row r="101" spans="3:6">
      <c r="C101" s="304"/>
      <c r="D101" s="305"/>
      <c r="E101" s="305"/>
      <c r="F101" s="305"/>
    </row>
    <row r="102" spans="3:6">
      <c r="C102" s="304"/>
      <c r="D102" s="305"/>
      <c r="E102" s="305"/>
      <c r="F102" s="305"/>
    </row>
    <row r="103" spans="3:6">
      <c r="C103" s="304"/>
      <c r="D103" s="305"/>
      <c r="E103" s="305"/>
      <c r="F103" s="305"/>
    </row>
    <row r="104" spans="3:6">
      <c r="C104" s="304"/>
      <c r="D104" s="305"/>
      <c r="E104" s="305"/>
      <c r="F104" s="305"/>
    </row>
    <row r="105" spans="3:6">
      <c r="C105" s="304"/>
      <c r="D105" s="305"/>
      <c r="E105" s="305"/>
      <c r="F105" s="305"/>
    </row>
    <row r="106" spans="3:6">
      <c r="C106" s="304"/>
      <c r="D106" s="305"/>
      <c r="E106" s="305"/>
      <c r="F106" s="305"/>
    </row>
    <row r="107" spans="3:6">
      <c r="C107" s="304"/>
      <c r="D107" s="305"/>
      <c r="E107" s="305"/>
      <c r="F107" s="305"/>
    </row>
    <row r="108" spans="3:6">
      <c r="C108" s="304"/>
      <c r="D108" s="305"/>
      <c r="E108" s="305"/>
      <c r="F108" s="305"/>
    </row>
    <row r="109" spans="3:6">
      <c r="C109" s="304"/>
      <c r="D109" s="305"/>
      <c r="E109" s="305"/>
      <c r="F109" s="305"/>
    </row>
    <row r="110" spans="3:6">
      <c r="C110" s="304"/>
      <c r="D110" s="305"/>
      <c r="E110" s="305"/>
      <c r="F110" s="305"/>
    </row>
    <row r="111" spans="3:6">
      <c r="C111" s="304"/>
      <c r="D111" s="305"/>
      <c r="E111" s="305"/>
      <c r="F111" s="305"/>
    </row>
    <row r="112" spans="3:6">
      <c r="C112" s="304"/>
      <c r="D112" s="305"/>
      <c r="E112" s="305"/>
      <c r="F112" s="305"/>
    </row>
    <row r="113" spans="3:6">
      <c r="C113" s="304"/>
      <c r="D113" s="305"/>
      <c r="E113" s="305"/>
      <c r="F113" s="305"/>
    </row>
    <row r="114" spans="3:6">
      <c r="C114" s="304"/>
      <c r="D114" s="305"/>
      <c r="E114" s="305"/>
      <c r="F114" s="305"/>
    </row>
    <row r="115" spans="3:6">
      <c r="C115" s="304"/>
      <c r="D115" s="305"/>
      <c r="E115" s="305"/>
      <c r="F115" s="305"/>
    </row>
    <row r="116" spans="3:6">
      <c r="C116" s="304"/>
      <c r="D116" s="305"/>
      <c r="E116" s="305"/>
      <c r="F116" s="305"/>
    </row>
    <row r="117" spans="3:6">
      <c r="C117" s="304"/>
      <c r="D117" s="305"/>
      <c r="E117" s="305"/>
      <c r="F117" s="305"/>
    </row>
    <row r="118" spans="3:6">
      <c r="C118" s="304"/>
      <c r="D118" s="305"/>
      <c r="E118" s="305"/>
      <c r="F118" s="305"/>
    </row>
    <row r="119" spans="3:6">
      <c r="C119" s="304"/>
      <c r="D119" s="305"/>
      <c r="E119" s="305"/>
      <c r="F119" s="305"/>
    </row>
    <row r="120" spans="3:6">
      <c r="C120" s="304"/>
      <c r="D120" s="305"/>
      <c r="E120" s="305"/>
      <c r="F120" s="305"/>
    </row>
  </sheetData>
  <mergeCells count="14">
    <mergeCell ref="F6:F7"/>
    <mergeCell ref="A44:F44"/>
    <mergeCell ref="D45:F45"/>
    <mergeCell ref="H45:J45"/>
    <mergeCell ref="A1:F1"/>
    <mergeCell ref="A2:F2"/>
    <mergeCell ref="A3:F3"/>
    <mergeCell ref="A4:F4"/>
    <mergeCell ref="A5:F5"/>
    <mergeCell ref="A6:A7"/>
    <mergeCell ref="B6:B7"/>
    <mergeCell ref="C6:C7"/>
    <mergeCell ref="D6:D7"/>
    <mergeCell ref="E6:E7"/>
  </mergeCells>
  <printOptions horizontalCentered="1"/>
  <pageMargins left="0.39370078740157483" right="0.27559055118110237" top="0.27559055118110237" bottom="0.39370078740157483" header="0.31496062992125984" footer="0.19685039370078741"/>
  <pageSetup paperSize="9" scale="90" orientation="portrait" r:id="rId1"/>
  <headerFooter alignWithMargins="0">
    <oddFooter>Page &amp;P of &amp;N</oddFooter>
  </headerFooter>
</worksheet>
</file>

<file path=xl/worksheets/sheet12.xml><?xml version="1.0" encoding="utf-8"?>
<worksheet xmlns="http://schemas.openxmlformats.org/spreadsheetml/2006/main" xmlns:r="http://schemas.openxmlformats.org/officeDocument/2006/relationships">
  <sheetPr>
    <tabColor rgb="FFFF0000"/>
  </sheetPr>
  <dimension ref="A1:F369"/>
  <sheetViews>
    <sheetView view="pageBreakPreview" topLeftCell="A319" zoomScaleSheetLayoutView="100" workbookViewId="0">
      <selection activeCell="J329" sqref="J329"/>
    </sheetView>
  </sheetViews>
  <sheetFormatPr defaultRowHeight="15.75"/>
  <cols>
    <col min="1" max="1" width="7.5703125" style="324" customWidth="1"/>
    <col min="2" max="2" width="6.7109375" style="323" bestFit="1" customWidth="1"/>
    <col min="3" max="3" width="48.5703125" style="325" customWidth="1"/>
    <col min="4" max="4" width="12.140625" style="324" bestFit="1" customWidth="1"/>
    <col min="5" max="5" width="9.140625" style="326"/>
    <col min="6" max="6" width="12.140625" style="300" bestFit="1" customWidth="1"/>
    <col min="7" max="16384" width="9.140625" style="300"/>
  </cols>
  <sheetData>
    <row r="1" spans="1:6" ht="31.5">
      <c r="A1" s="309"/>
      <c r="B1" s="310"/>
      <c r="C1" s="311" t="s">
        <v>41</v>
      </c>
      <c r="D1" s="309"/>
      <c r="E1" s="312"/>
      <c r="F1" s="313"/>
    </row>
    <row r="2" spans="1:6">
      <c r="A2" s="309"/>
      <c r="B2" s="310"/>
      <c r="C2" s="314" t="s">
        <v>311</v>
      </c>
      <c r="D2" s="309"/>
      <c r="E2" s="312"/>
      <c r="F2" s="313"/>
    </row>
    <row r="3" spans="1:6">
      <c r="A3" s="309" t="s">
        <v>43</v>
      </c>
      <c r="B3" s="310" t="s">
        <v>44</v>
      </c>
      <c r="C3" s="311" t="s">
        <v>312</v>
      </c>
      <c r="D3" s="309"/>
      <c r="E3" s="312" t="s">
        <v>313</v>
      </c>
      <c r="F3" s="313"/>
    </row>
    <row r="4" spans="1:6">
      <c r="A4" s="309"/>
      <c r="B4" s="310"/>
      <c r="C4" s="311"/>
      <c r="D4" s="309"/>
      <c r="E4" s="312"/>
      <c r="F4" s="313"/>
    </row>
    <row r="5" spans="1:6">
      <c r="A5" s="315"/>
      <c r="B5" s="316" t="s">
        <v>46</v>
      </c>
      <c r="C5" s="317" t="s">
        <v>47</v>
      </c>
      <c r="D5" s="315"/>
      <c r="E5" s="318"/>
      <c r="F5" s="313"/>
    </row>
    <row r="6" spans="1:6">
      <c r="A6" s="315"/>
      <c r="B6" s="316"/>
      <c r="C6" s="317" t="s">
        <v>40</v>
      </c>
      <c r="D6" s="315"/>
      <c r="E6" s="318"/>
      <c r="F6" s="313"/>
    </row>
    <row r="7" spans="1:6">
      <c r="A7" s="315">
        <v>0.96</v>
      </c>
      <c r="B7" s="316" t="s">
        <v>48</v>
      </c>
      <c r="C7" s="317" t="s">
        <v>49</v>
      </c>
      <c r="D7" s="315">
        <v>5960</v>
      </c>
      <c r="E7" s="318" t="s">
        <v>48</v>
      </c>
      <c r="F7" s="313">
        <v>5721.6</v>
      </c>
    </row>
    <row r="8" spans="1:6">
      <c r="A8" s="315">
        <v>1</v>
      </c>
      <c r="B8" s="316" t="s">
        <v>50</v>
      </c>
      <c r="C8" s="317" t="s">
        <v>51</v>
      </c>
      <c r="D8" s="315">
        <v>801.1</v>
      </c>
      <c r="E8" s="318" t="s">
        <v>50</v>
      </c>
      <c r="F8" s="313">
        <v>801.1</v>
      </c>
    </row>
    <row r="9" spans="1:6">
      <c r="A9" s="315">
        <v>1</v>
      </c>
      <c r="B9" s="316" t="s">
        <v>50</v>
      </c>
      <c r="C9" s="317" t="s">
        <v>52</v>
      </c>
      <c r="D9" s="315">
        <v>110</v>
      </c>
      <c r="E9" s="318" t="s">
        <v>50</v>
      </c>
      <c r="F9" s="313">
        <v>110</v>
      </c>
    </row>
    <row r="10" spans="1:6">
      <c r="A10" s="315"/>
      <c r="B10" s="316" t="s">
        <v>38</v>
      </c>
      <c r="C10" s="317" t="s">
        <v>39</v>
      </c>
      <c r="D10" s="315" t="s">
        <v>44</v>
      </c>
      <c r="E10" s="318" t="s">
        <v>38</v>
      </c>
      <c r="F10" s="313">
        <v>0</v>
      </c>
    </row>
    <row r="11" spans="1:6">
      <c r="A11" s="315"/>
      <c r="B11" s="316"/>
      <c r="C11" s="317"/>
      <c r="D11" s="315"/>
      <c r="E11" s="318"/>
      <c r="F11" s="313" t="s">
        <v>40</v>
      </c>
    </row>
    <row r="12" spans="1:6">
      <c r="A12" s="315"/>
      <c r="B12" s="316"/>
      <c r="C12" s="317" t="s">
        <v>53</v>
      </c>
      <c r="D12" s="315"/>
      <c r="E12" s="318"/>
      <c r="F12" s="313">
        <v>6632.7</v>
      </c>
    </row>
    <row r="13" spans="1:6">
      <c r="A13" s="315"/>
      <c r="B13" s="316"/>
      <c r="C13" s="317"/>
      <c r="D13" s="315"/>
      <c r="E13" s="318"/>
      <c r="F13" s="313" t="s">
        <v>40</v>
      </c>
    </row>
    <row r="14" spans="1:6">
      <c r="A14" s="315"/>
      <c r="B14" s="316" t="s">
        <v>46</v>
      </c>
      <c r="C14" s="317" t="s">
        <v>54</v>
      </c>
      <c r="D14" s="315"/>
      <c r="E14" s="318"/>
      <c r="F14" s="313"/>
    </row>
    <row r="15" spans="1:6">
      <c r="A15" s="315"/>
      <c r="B15" s="316"/>
      <c r="C15" s="317" t="s">
        <v>40</v>
      </c>
      <c r="D15" s="315"/>
      <c r="E15" s="318"/>
      <c r="F15" s="313"/>
    </row>
    <row r="16" spans="1:6">
      <c r="A16" s="315">
        <v>0.72</v>
      </c>
      <c r="B16" s="316" t="s">
        <v>48</v>
      </c>
      <c r="C16" s="317" t="s">
        <v>49</v>
      </c>
      <c r="D16" s="315">
        <v>5960</v>
      </c>
      <c r="E16" s="318" t="s">
        <v>48</v>
      </c>
      <c r="F16" s="313">
        <v>4291.2</v>
      </c>
    </row>
    <row r="17" spans="1:6">
      <c r="A17" s="315">
        <v>1</v>
      </c>
      <c r="B17" s="316" t="s">
        <v>50</v>
      </c>
      <c r="C17" s="317" t="s">
        <v>51</v>
      </c>
      <c r="D17" s="315">
        <v>801.1</v>
      </c>
      <c r="E17" s="318" t="s">
        <v>50</v>
      </c>
      <c r="F17" s="313">
        <v>801.1</v>
      </c>
    </row>
    <row r="18" spans="1:6">
      <c r="A18" s="315">
        <v>1</v>
      </c>
      <c r="B18" s="316" t="s">
        <v>50</v>
      </c>
      <c r="C18" s="317" t="s">
        <v>52</v>
      </c>
      <c r="D18" s="315">
        <v>110</v>
      </c>
      <c r="E18" s="318" t="s">
        <v>50</v>
      </c>
      <c r="F18" s="313">
        <v>110</v>
      </c>
    </row>
    <row r="19" spans="1:6">
      <c r="A19" s="315"/>
      <c r="B19" s="316" t="s">
        <v>38</v>
      </c>
      <c r="C19" s="317" t="s">
        <v>39</v>
      </c>
      <c r="D19" s="315" t="s">
        <v>44</v>
      </c>
      <c r="E19" s="318" t="s">
        <v>38</v>
      </c>
      <c r="F19" s="313">
        <v>0</v>
      </c>
    </row>
    <row r="20" spans="1:6">
      <c r="A20" s="315"/>
      <c r="B20" s="316"/>
      <c r="C20" s="317"/>
      <c r="D20" s="315"/>
      <c r="E20" s="318"/>
      <c r="F20" s="313" t="s">
        <v>40</v>
      </c>
    </row>
    <row r="21" spans="1:6">
      <c r="A21" s="315"/>
      <c r="B21" s="316"/>
      <c r="C21" s="317" t="s">
        <v>53</v>
      </c>
      <c r="D21" s="315"/>
      <c r="E21" s="318"/>
      <c r="F21" s="313">
        <v>5202.3</v>
      </c>
    </row>
    <row r="22" spans="1:6">
      <c r="A22" s="315"/>
      <c r="B22" s="316"/>
      <c r="C22" s="317"/>
      <c r="D22" s="315"/>
      <c r="E22" s="318"/>
      <c r="F22" s="313" t="s">
        <v>40</v>
      </c>
    </row>
    <row r="23" spans="1:6">
      <c r="A23" s="315"/>
      <c r="B23" s="316" t="s">
        <v>46</v>
      </c>
      <c r="C23" s="317" t="s">
        <v>55</v>
      </c>
      <c r="D23" s="315"/>
      <c r="E23" s="318"/>
      <c r="F23" s="313"/>
    </row>
    <row r="24" spans="1:6">
      <c r="A24" s="315"/>
      <c r="B24" s="316"/>
      <c r="C24" s="317" t="s">
        <v>40</v>
      </c>
      <c r="D24" s="315"/>
      <c r="E24" s="318"/>
      <c r="F24" s="313"/>
    </row>
    <row r="25" spans="1:6">
      <c r="A25" s="315">
        <v>0.48</v>
      </c>
      <c r="B25" s="316" t="s">
        <v>48</v>
      </c>
      <c r="C25" s="317" t="s">
        <v>49</v>
      </c>
      <c r="D25" s="315">
        <v>5960</v>
      </c>
      <c r="E25" s="318" t="s">
        <v>48</v>
      </c>
      <c r="F25" s="313">
        <v>2860.8</v>
      </c>
    </row>
    <row r="26" spans="1:6">
      <c r="A26" s="315">
        <v>1</v>
      </c>
      <c r="B26" s="316" t="s">
        <v>50</v>
      </c>
      <c r="C26" s="317" t="s">
        <v>51</v>
      </c>
      <c r="D26" s="315">
        <v>801.1</v>
      </c>
      <c r="E26" s="318" t="s">
        <v>50</v>
      </c>
      <c r="F26" s="313">
        <v>801.1</v>
      </c>
    </row>
    <row r="27" spans="1:6">
      <c r="A27" s="315">
        <v>1</v>
      </c>
      <c r="B27" s="316" t="s">
        <v>50</v>
      </c>
      <c r="C27" s="317" t="s">
        <v>52</v>
      </c>
      <c r="D27" s="315">
        <v>110</v>
      </c>
      <c r="E27" s="318" t="s">
        <v>50</v>
      </c>
      <c r="F27" s="313">
        <v>110</v>
      </c>
    </row>
    <row r="28" spans="1:6">
      <c r="A28" s="315"/>
      <c r="B28" s="316" t="s">
        <v>38</v>
      </c>
      <c r="C28" s="317" t="s">
        <v>39</v>
      </c>
      <c r="D28" s="315" t="s">
        <v>44</v>
      </c>
      <c r="E28" s="318" t="s">
        <v>38</v>
      </c>
      <c r="F28" s="313">
        <v>0</v>
      </c>
    </row>
    <row r="29" spans="1:6">
      <c r="A29" s="315"/>
      <c r="B29" s="316"/>
      <c r="C29" s="317"/>
      <c r="D29" s="315"/>
      <c r="E29" s="318"/>
      <c r="F29" s="313" t="s">
        <v>40</v>
      </c>
    </row>
    <row r="30" spans="1:6">
      <c r="A30" s="315"/>
      <c r="B30" s="316"/>
      <c r="C30" s="317" t="s">
        <v>53</v>
      </c>
      <c r="D30" s="315"/>
      <c r="E30" s="318"/>
      <c r="F30" s="313">
        <v>3771.9</v>
      </c>
    </row>
    <row r="31" spans="1:6">
      <c r="A31" s="315"/>
      <c r="B31" s="316"/>
      <c r="C31" s="317"/>
      <c r="D31" s="315"/>
      <c r="E31" s="318"/>
      <c r="F31" s="313" t="s">
        <v>40</v>
      </c>
    </row>
    <row r="32" spans="1:6">
      <c r="A32" s="315"/>
      <c r="B32" s="316" t="s">
        <v>46</v>
      </c>
      <c r="C32" s="317" t="s">
        <v>56</v>
      </c>
      <c r="D32" s="315"/>
      <c r="E32" s="318"/>
      <c r="F32" s="313"/>
    </row>
    <row r="33" spans="1:6">
      <c r="A33" s="315">
        <v>0.36</v>
      </c>
      <c r="B33" s="316" t="s">
        <v>48</v>
      </c>
      <c r="C33" s="317" t="s">
        <v>49</v>
      </c>
      <c r="D33" s="315">
        <v>5960</v>
      </c>
      <c r="E33" s="318" t="s">
        <v>48</v>
      </c>
      <c r="F33" s="313">
        <v>2145.6</v>
      </c>
    </row>
    <row r="34" spans="1:6">
      <c r="A34" s="315">
        <v>1</v>
      </c>
      <c r="B34" s="316" t="s">
        <v>50</v>
      </c>
      <c r="C34" s="317" t="s">
        <v>51</v>
      </c>
      <c r="D34" s="315">
        <v>801.1</v>
      </c>
      <c r="E34" s="318" t="s">
        <v>50</v>
      </c>
      <c r="F34" s="313">
        <v>801.1</v>
      </c>
    </row>
    <row r="35" spans="1:6">
      <c r="A35" s="315">
        <v>1</v>
      </c>
      <c r="B35" s="316" t="s">
        <v>50</v>
      </c>
      <c r="C35" s="317" t="s">
        <v>52</v>
      </c>
      <c r="D35" s="315">
        <v>110</v>
      </c>
      <c r="E35" s="318" t="s">
        <v>50</v>
      </c>
      <c r="F35" s="313">
        <v>110</v>
      </c>
    </row>
    <row r="36" spans="1:6">
      <c r="A36" s="315"/>
      <c r="B36" s="316" t="s">
        <v>38</v>
      </c>
      <c r="C36" s="317" t="s">
        <v>39</v>
      </c>
      <c r="D36" s="315" t="s">
        <v>44</v>
      </c>
      <c r="E36" s="318" t="s">
        <v>38</v>
      </c>
      <c r="F36" s="313">
        <v>0</v>
      </c>
    </row>
    <row r="37" spans="1:6">
      <c r="A37" s="315"/>
      <c r="B37" s="316"/>
      <c r="C37" s="317"/>
      <c r="D37" s="315"/>
      <c r="E37" s="318"/>
      <c r="F37" s="313" t="s">
        <v>40</v>
      </c>
    </row>
    <row r="38" spans="1:6">
      <c r="A38" s="315"/>
      <c r="B38" s="316"/>
      <c r="C38" s="317" t="s">
        <v>53</v>
      </c>
      <c r="D38" s="315"/>
      <c r="E38" s="318"/>
      <c r="F38" s="313">
        <v>3056.7</v>
      </c>
    </row>
    <row r="39" spans="1:6">
      <c r="A39" s="315"/>
      <c r="B39" s="316"/>
      <c r="C39" s="317"/>
      <c r="D39" s="315"/>
      <c r="E39" s="318"/>
      <c r="F39" s="313" t="s">
        <v>40</v>
      </c>
    </row>
    <row r="40" spans="1:6">
      <c r="A40" s="315"/>
      <c r="B40" s="316" t="s">
        <v>46</v>
      </c>
      <c r="C40" s="317" t="s">
        <v>57</v>
      </c>
      <c r="D40" s="315"/>
      <c r="E40" s="318"/>
      <c r="F40" s="313"/>
    </row>
    <row r="41" spans="1:6">
      <c r="A41" s="315"/>
      <c r="B41" s="316"/>
      <c r="C41" s="317" t="s">
        <v>40</v>
      </c>
      <c r="D41" s="315"/>
      <c r="E41" s="318"/>
      <c r="F41" s="313"/>
    </row>
    <row r="42" spans="1:6">
      <c r="A42" s="315">
        <v>0.28799999999999998</v>
      </c>
      <c r="B42" s="316" t="s">
        <v>48</v>
      </c>
      <c r="C42" s="317" t="s">
        <v>49</v>
      </c>
      <c r="D42" s="315">
        <v>5960</v>
      </c>
      <c r="E42" s="318" t="s">
        <v>48</v>
      </c>
      <c r="F42" s="313">
        <v>1716.48</v>
      </c>
    </row>
    <row r="43" spans="1:6">
      <c r="A43" s="315">
        <v>1</v>
      </c>
      <c r="B43" s="316" t="s">
        <v>50</v>
      </c>
      <c r="C43" s="317" t="s">
        <v>51</v>
      </c>
      <c r="D43" s="315">
        <v>801.1</v>
      </c>
      <c r="E43" s="318" t="s">
        <v>50</v>
      </c>
      <c r="F43" s="313">
        <v>801.1</v>
      </c>
    </row>
    <row r="44" spans="1:6">
      <c r="A44" s="315">
        <v>1</v>
      </c>
      <c r="B44" s="316" t="s">
        <v>50</v>
      </c>
      <c r="C44" s="317" t="s">
        <v>52</v>
      </c>
      <c r="D44" s="315">
        <v>110</v>
      </c>
      <c r="E44" s="318" t="s">
        <v>50</v>
      </c>
      <c r="F44" s="313">
        <v>110</v>
      </c>
    </row>
    <row r="45" spans="1:6">
      <c r="A45" s="315"/>
      <c r="B45" s="316" t="s">
        <v>38</v>
      </c>
      <c r="C45" s="317" t="s">
        <v>39</v>
      </c>
      <c r="D45" s="315" t="s">
        <v>44</v>
      </c>
      <c r="E45" s="318" t="s">
        <v>38</v>
      </c>
      <c r="F45" s="313">
        <v>0</v>
      </c>
    </row>
    <row r="46" spans="1:6">
      <c r="A46" s="315"/>
      <c r="B46" s="316"/>
      <c r="C46" s="317"/>
      <c r="D46" s="315"/>
      <c r="E46" s="318"/>
      <c r="F46" s="313" t="s">
        <v>40</v>
      </c>
    </row>
    <row r="47" spans="1:6">
      <c r="A47" s="315"/>
      <c r="B47" s="316"/>
      <c r="C47" s="317" t="s">
        <v>53</v>
      </c>
      <c r="D47" s="315"/>
      <c r="E47" s="318"/>
      <c r="F47" s="313">
        <v>2627.58</v>
      </c>
    </row>
    <row r="48" spans="1:6">
      <c r="A48" s="315"/>
      <c r="B48" s="316"/>
      <c r="C48" s="317"/>
      <c r="D48" s="315"/>
      <c r="E48" s="318"/>
      <c r="F48" s="313" t="s">
        <v>40</v>
      </c>
    </row>
    <row r="49" spans="1:6">
      <c r="A49" s="315"/>
      <c r="B49" s="316" t="s">
        <v>46</v>
      </c>
      <c r="C49" s="317" t="s">
        <v>58</v>
      </c>
      <c r="D49" s="315"/>
      <c r="E49" s="318"/>
      <c r="F49" s="313"/>
    </row>
    <row r="50" spans="1:6">
      <c r="A50" s="315"/>
      <c r="B50" s="316"/>
      <c r="C50" s="317" t="s">
        <v>40</v>
      </c>
      <c r="D50" s="315"/>
      <c r="E50" s="318"/>
      <c r="F50" s="313"/>
    </row>
    <row r="51" spans="1:6">
      <c r="A51" s="315">
        <v>0.24</v>
      </c>
      <c r="B51" s="316" t="s">
        <v>48</v>
      </c>
      <c r="C51" s="317" t="s">
        <v>49</v>
      </c>
      <c r="D51" s="315">
        <v>5960</v>
      </c>
      <c r="E51" s="318" t="s">
        <v>48</v>
      </c>
      <c r="F51" s="313">
        <v>1430.4</v>
      </c>
    </row>
    <row r="52" spans="1:6">
      <c r="A52" s="315">
        <v>1</v>
      </c>
      <c r="B52" s="316" t="s">
        <v>50</v>
      </c>
      <c r="C52" s="317" t="s">
        <v>51</v>
      </c>
      <c r="D52" s="315">
        <v>801.1</v>
      </c>
      <c r="E52" s="318" t="s">
        <v>50</v>
      </c>
      <c r="F52" s="313">
        <v>801.1</v>
      </c>
    </row>
    <row r="53" spans="1:6">
      <c r="A53" s="315">
        <v>1</v>
      </c>
      <c r="B53" s="316" t="s">
        <v>50</v>
      </c>
      <c r="C53" s="317" t="s">
        <v>52</v>
      </c>
      <c r="D53" s="315">
        <v>110</v>
      </c>
      <c r="E53" s="318" t="s">
        <v>50</v>
      </c>
      <c r="F53" s="313">
        <v>110</v>
      </c>
    </row>
    <row r="54" spans="1:6">
      <c r="A54" s="315"/>
      <c r="B54" s="316" t="s">
        <v>38</v>
      </c>
      <c r="C54" s="317" t="s">
        <v>39</v>
      </c>
      <c r="D54" s="315" t="s">
        <v>44</v>
      </c>
      <c r="E54" s="318" t="s">
        <v>38</v>
      </c>
      <c r="F54" s="313">
        <v>0</v>
      </c>
    </row>
    <row r="55" spans="1:6">
      <c r="A55" s="315"/>
      <c r="B55" s="316"/>
      <c r="C55" s="317"/>
      <c r="D55" s="315"/>
      <c r="E55" s="318"/>
      <c r="F55" s="313" t="s">
        <v>40</v>
      </c>
    </row>
    <row r="56" spans="1:6">
      <c r="A56" s="315"/>
      <c r="B56" s="316"/>
      <c r="C56" s="317" t="s">
        <v>53</v>
      </c>
      <c r="D56" s="315"/>
      <c r="E56" s="318"/>
      <c r="F56" s="313">
        <v>2341.5</v>
      </c>
    </row>
    <row r="57" spans="1:6">
      <c r="A57" s="315" t="s">
        <v>44</v>
      </c>
      <c r="B57" s="316"/>
      <c r="C57" s="317"/>
      <c r="D57" s="315"/>
      <c r="E57" s="318"/>
      <c r="F57" s="313"/>
    </row>
    <row r="58" spans="1:6">
      <c r="A58" s="315"/>
      <c r="B58" s="316"/>
      <c r="C58" s="317"/>
      <c r="D58" s="315"/>
      <c r="E58" s="318"/>
      <c r="F58" s="313" t="s">
        <v>40</v>
      </c>
    </row>
    <row r="59" spans="1:6">
      <c r="A59" s="315"/>
      <c r="B59" s="316" t="s">
        <v>46</v>
      </c>
      <c r="C59" s="317" t="s">
        <v>59</v>
      </c>
      <c r="D59" s="315"/>
      <c r="E59" s="318"/>
      <c r="F59" s="313"/>
    </row>
    <row r="60" spans="1:6">
      <c r="A60" s="315"/>
      <c r="B60" s="316"/>
      <c r="C60" s="317" t="s">
        <v>40</v>
      </c>
      <c r="D60" s="315"/>
      <c r="E60" s="318"/>
      <c r="F60" s="313"/>
    </row>
    <row r="61" spans="1:6">
      <c r="A61" s="315">
        <v>0.20599999999999999</v>
      </c>
      <c r="B61" s="316" t="s">
        <v>48</v>
      </c>
      <c r="C61" s="317" t="s">
        <v>49</v>
      </c>
      <c r="D61" s="315">
        <v>5960</v>
      </c>
      <c r="E61" s="318" t="s">
        <v>48</v>
      </c>
      <c r="F61" s="313">
        <v>1227.76</v>
      </c>
    </row>
    <row r="62" spans="1:6">
      <c r="A62" s="315">
        <v>1</v>
      </c>
      <c r="B62" s="316" t="s">
        <v>50</v>
      </c>
      <c r="C62" s="317" t="s">
        <v>51</v>
      </c>
      <c r="D62" s="315">
        <v>801.1</v>
      </c>
      <c r="E62" s="318" t="s">
        <v>50</v>
      </c>
      <c r="F62" s="313">
        <v>801.1</v>
      </c>
    </row>
    <row r="63" spans="1:6">
      <c r="A63" s="315">
        <v>1</v>
      </c>
      <c r="B63" s="316" t="s">
        <v>50</v>
      </c>
      <c r="C63" s="317" t="s">
        <v>52</v>
      </c>
      <c r="D63" s="315">
        <v>110</v>
      </c>
      <c r="E63" s="318" t="s">
        <v>50</v>
      </c>
      <c r="F63" s="313">
        <v>110</v>
      </c>
    </row>
    <row r="64" spans="1:6">
      <c r="A64" s="315"/>
      <c r="B64" s="316" t="s">
        <v>38</v>
      </c>
      <c r="C64" s="317" t="s">
        <v>39</v>
      </c>
      <c r="D64" s="315" t="s">
        <v>44</v>
      </c>
      <c r="E64" s="318" t="s">
        <v>38</v>
      </c>
      <c r="F64" s="313">
        <v>0</v>
      </c>
    </row>
    <row r="65" spans="1:6">
      <c r="A65" s="315"/>
      <c r="B65" s="316"/>
      <c r="C65" s="317"/>
      <c r="D65" s="315"/>
      <c r="E65" s="318"/>
      <c r="F65" s="313" t="s">
        <v>40</v>
      </c>
    </row>
    <row r="66" spans="1:6">
      <c r="A66" s="315"/>
      <c r="B66" s="316"/>
      <c r="C66" s="317" t="s">
        <v>53</v>
      </c>
      <c r="D66" s="315"/>
      <c r="E66" s="318"/>
      <c r="F66" s="313">
        <v>2138.86</v>
      </c>
    </row>
    <row r="67" spans="1:6">
      <c r="A67" s="315"/>
      <c r="B67" s="316"/>
      <c r="C67" s="317"/>
      <c r="D67" s="315"/>
      <c r="E67" s="318"/>
      <c r="F67" s="313" t="s">
        <v>40</v>
      </c>
    </row>
    <row r="68" spans="1:6">
      <c r="A68" s="315"/>
      <c r="B68" s="316" t="s">
        <v>46</v>
      </c>
      <c r="C68" s="317" t="s">
        <v>60</v>
      </c>
      <c r="D68" s="315"/>
      <c r="E68" s="318"/>
      <c r="F68" s="313"/>
    </row>
    <row r="69" spans="1:6">
      <c r="A69" s="315"/>
      <c r="B69" s="316"/>
      <c r="C69" s="317" t="s">
        <v>40</v>
      </c>
      <c r="D69" s="315"/>
      <c r="E69" s="318"/>
      <c r="F69" s="313"/>
    </row>
    <row r="70" spans="1:6">
      <c r="A70" s="315">
        <v>0.18</v>
      </c>
      <c r="B70" s="316" t="s">
        <v>48</v>
      </c>
      <c r="C70" s="317" t="s">
        <v>49</v>
      </c>
      <c r="D70" s="315">
        <v>5960</v>
      </c>
      <c r="E70" s="318" t="s">
        <v>48</v>
      </c>
      <c r="F70" s="313">
        <v>1072.8</v>
      </c>
    </row>
    <row r="71" spans="1:6">
      <c r="A71" s="315">
        <v>1</v>
      </c>
      <c r="B71" s="316" t="s">
        <v>50</v>
      </c>
      <c r="C71" s="317" t="s">
        <v>51</v>
      </c>
      <c r="D71" s="315">
        <v>801.1</v>
      </c>
      <c r="E71" s="318" t="s">
        <v>50</v>
      </c>
      <c r="F71" s="313">
        <v>801.1</v>
      </c>
    </row>
    <row r="72" spans="1:6">
      <c r="A72" s="315">
        <v>1</v>
      </c>
      <c r="B72" s="316" t="s">
        <v>50</v>
      </c>
      <c r="C72" s="317" t="s">
        <v>52</v>
      </c>
      <c r="D72" s="315">
        <v>110</v>
      </c>
      <c r="E72" s="318" t="s">
        <v>50</v>
      </c>
      <c r="F72" s="313">
        <v>110</v>
      </c>
    </row>
    <row r="73" spans="1:6">
      <c r="A73" s="315"/>
      <c r="B73" s="316" t="s">
        <v>38</v>
      </c>
      <c r="C73" s="317" t="s">
        <v>39</v>
      </c>
      <c r="D73" s="315" t="s">
        <v>44</v>
      </c>
      <c r="E73" s="318" t="s">
        <v>38</v>
      </c>
      <c r="F73" s="313">
        <v>0</v>
      </c>
    </row>
    <row r="74" spans="1:6">
      <c r="A74" s="315"/>
      <c r="B74" s="316"/>
      <c r="C74" s="317"/>
      <c r="D74" s="315"/>
      <c r="E74" s="318"/>
      <c r="F74" s="313" t="s">
        <v>40</v>
      </c>
    </row>
    <row r="75" spans="1:6">
      <c r="A75" s="315"/>
      <c r="B75" s="316"/>
      <c r="C75" s="317" t="s">
        <v>53</v>
      </c>
      <c r="D75" s="315"/>
      <c r="E75" s="318"/>
      <c r="F75" s="313">
        <v>1983.9</v>
      </c>
    </row>
    <row r="76" spans="1:6">
      <c r="A76" s="315"/>
      <c r="B76" s="316"/>
      <c r="C76" s="317"/>
      <c r="D76" s="315"/>
      <c r="E76" s="318"/>
      <c r="F76" s="313" t="s">
        <v>40</v>
      </c>
    </row>
    <row r="77" spans="1:6">
      <c r="A77" s="315">
        <v>1.1000000000000001</v>
      </c>
      <c r="B77" s="316" t="s">
        <v>44</v>
      </c>
      <c r="C77" s="317" t="s">
        <v>314</v>
      </c>
      <c r="D77" s="315"/>
      <c r="E77" s="318"/>
      <c r="F77" s="313"/>
    </row>
    <row r="78" spans="1:6">
      <c r="A78" s="315" t="s">
        <v>44</v>
      </c>
      <c r="B78" s="316"/>
      <c r="C78" s="317" t="s">
        <v>315</v>
      </c>
      <c r="D78" s="315"/>
      <c r="E78" s="318"/>
      <c r="F78" s="313"/>
    </row>
    <row r="79" spans="1:6">
      <c r="A79" s="315">
        <v>10</v>
      </c>
      <c r="B79" s="316" t="s">
        <v>50</v>
      </c>
      <c r="C79" s="317" t="s">
        <v>316</v>
      </c>
      <c r="D79" s="315">
        <v>106.26</v>
      </c>
      <c r="E79" s="318" t="s">
        <v>50</v>
      </c>
      <c r="F79" s="313">
        <v>1062.5999999999999</v>
      </c>
    </row>
    <row r="80" spans="1:6">
      <c r="A80" s="315">
        <v>10</v>
      </c>
      <c r="B80" s="316" t="s">
        <v>50</v>
      </c>
      <c r="C80" s="317" t="s">
        <v>317</v>
      </c>
      <c r="D80" s="315">
        <v>106.26</v>
      </c>
      <c r="E80" s="318" t="s">
        <v>50</v>
      </c>
      <c r="F80" s="313">
        <v>1062.5999999999999</v>
      </c>
    </row>
    <row r="81" spans="1:6">
      <c r="A81" s="315">
        <v>10</v>
      </c>
      <c r="B81" s="316" t="s">
        <v>50</v>
      </c>
      <c r="C81" s="317" t="s">
        <v>318</v>
      </c>
      <c r="D81" s="315">
        <v>12.32</v>
      </c>
      <c r="E81" s="318" t="s">
        <v>50</v>
      </c>
      <c r="F81" s="313">
        <v>123.2</v>
      </c>
    </row>
    <row r="82" spans="1:6">
      <c r="A82" s="315"/>
      <c r="B82" s="316" t="s">
        <v>38</v>
      </c>
      <c r="C82" s="317" t="s">
        <v>39</v>
      </c>
      <c r="D82" s="315"/>
      <c r="E82" s="318" t="s">
        <v>38</v>
      </c>
      <c r="F82" s="313">
        <v>0</v>
      </c>
    </row>
    <row r="83" spans="1:6">
      <c r="A83" s="315"/>
      <c r="B83" s="316"/>
      <c r="C83" s="317"/>
      <c r="D83" s="315"/>
      <c r="E83" s="318"/>
      <c r="F83" s="313" t="s">
        <v>40</v>
      </c>
    </row>
    <row r="84" spans="1:6">
      <c r="A84" s="315"/>
      <c r="B84" s="316"/>
      <c r="C84" s="317" t="s">
        <v>319</v>
      </c>
      <c r="D84" s="315"/>
      <c r="E84" s="318"/>
      <c r="F84" s="313">
        <v>2248.4</v>
      </c>
    </row>
    <row r="85" spans="1:6">
      <c r="A85" s="315"/>
      <c r="B85" s="316"/>
      <c r="C85" s="317"/>
      <c r="D85" s="315"/>
      <c r="E85" s="318"/>
      <c r="F85" s="313" t="s">
        <v>40</v>
      </c>
    </row>
    <row r="86" spans="1:6">
      <c r="A86" s="315"/>
      <c r="B86" s="316"/>
      <c r="C86" s="317" t="s">
        <v>320</v>
      </c>
      <c r="D86" s="315" t="s">
        <v>321</v>
      </c>
      <c r="E86" s="318"/>
      <c r="F86" s="319">
        <v>224.84</v>
      </c>
    </row>
    <row r="87" spans="1:6">
      <c r="A87" s="315"/>
      <c r="B87" s="316"/>
      <c r="C87" s="317"/>
      <c r="D87" s="315" t="s">
        <v>322</v>
      </c>
      <c r="E87" s="318"/>
      <c r="F87" s="313">
        <v>234.14</v>
      </c>
    </row>
    <row r="88" spans="1:6" ht="31.5">
      <c r="A88" s="315" t="s">
        <v>323</v>
      </c>
      <c r="B88" s="316"/>
      <c r="C88" s="317" t="s">
        <v>324</v>
      </c>
      <c r="D88" s="315" t="s">
        <v>321</v>
      </c>
      <c r="E88" s="318"/>
      <c r="F88" s="313">
        <v>212.52</v>
      </c>
    </row>
    <row r="89" spans="1:6">
      <c r="A89" s="315"/>
      <c r="B89" s="316"/>
      <c r="C89" s="317"/>
      <c r="D89" s="315" t="s">
        <v>322</v>
      </c>
      <c r="E89" s="318"/>
      <c r="F89" s="313">
        <v>221.82</v>
      </c>
    </row>
    <row r="90" spans="1:6">
      <c r="A90" s="315"/>
      <c r="B90" s="316"/>
      <c r="C90" s="317"/>
      <c r="D90" s="315"/>
      <c r="E90" s="318"/>
      <c r="F90" s="313"/>
    </row>
    <row r="91" spans="1:6">
      <c r="A91" s="320"/>
      <c r="B91" s="320"/>
      <c r="C91" s="320" t="s">
        <v>325</v>
      </c>
      <c r="D91" s="320"/>
      <c r="E91" s="320"/>
      <c r="F91" s="320"/>
    </row>
    <row r="92" spans="1:6">
      <c r="A92" s="320">
        <v>11</v>
      </c>
      <c r="B92" s="320" t="s">
        <v>289</v>
      </c>
      <c r="C92" s="320" t="s">
        <v>326</v>
      </c>
      <c r="D92" s="320">
        <v>430</v>
      </c>
      <c r="E92" s="320" t="s">
        <v>289</v>
      </c>
      <c r="F92" s="320">
        <f>D92*A92</f>
        <v>4730</v>
      </c>
    </row>
    <row r="93" spans="1:6">
      <c r="A93" s="320">
        <v>2.2000000000000002</v>
      </c>
      <c r="B93" s="320" t="s">
        <v>74</v>
      </c>
      <c r="C93" s="320" t="s">
        <v>327</v>
      </c>
      <c r="D93" s="320">
        <f>[4]Data!AE17</f>
        <v>836</v>
      </c>
      <c r="E93" s="320" t="s">
        <v>18</v>
      </c>
      <c r="F93" s="320">
        <f t="shared" ref="F93:F95" si="0">D93*A93</f>
        <v>1839.2</v>
      </c>
    </row>
    <row r="94" spans="1:6">
      <c r="A94" s="320">
        <v>1.1000000000000001</v>
      </c>
      <c r="B94" s="320" t="s">
        <v>74</v>
      </c>
      <c r="C94" s="320" t="s">
        <v>328</v>
      </c>
      <c r="D94" s="320">
        <f>[4]Data!AE19</f>
        <v>926.2</v>
      </c>
      <c r="E94" s="320" t="s">
        <v>18</v>
      </c>
      <c r="F94" s="320">
        <f t="shared" si="0"/>
        <v>1018.8200000000002</v>
      </c>
    </row>
    <row r="95" spans="1:6">
      <c r="A95" s="320">
        <v>3.2</v>
      </c>
      <c r="B95" s="320" t="s">
        <v>74</v>
      </c>
      <c r="C95" s="320" t="s">
        <v>329</v>
      </c>
      <c r="D95" s="320">
        <f>[4]Data!AE11</f>
        <v>618.20000000000005</v>
      </c>
      <c r="E95" s="320" t="s">
        <v>18</v>
      </c>
      <c r="F95" s="320">
        <f t="shared" si="0"/>
        <v>1978.2400000000002</v>
      </c>
    </row>
    <row r="96" spans="1:6">
      <c r="A96" s="320"/>
      <c r="B96" s="320"/>
      <c r="C96" s="320" t="s">
        <v>330</v>
      </c>
      <c r="D96" s="320"/>
      <c r="E96" s="320" t="s">
        <v>30</v>
      </c>
      <c r="F96" s="320">
        <v>107.11</v>
      </c>
    </row>
    <row r="97" spans="1:6">
      <c r="A97" s="320"/>
      <c r="B97" s="320"/>
      <c r="C97" s="320"/>
      <c r="D97" s="320"/>
      <c r="E97" s="320"/>
      <c r="F97" s="320"/>
    </row>
    <row r="98" spans="1:6">
      <c r="A98" s="320"/>
      <c r="B98" s="320"/>
      <c r="C98" s="320"/>
      <c r="D98" s="320"/>
      <c r="E98" s="320"/>
      <c r="F98" s="320"/>
    </row>
    <row r="99" spans="1:6">
      <c r="A99" s="320"/>
      <c r="B99" s="320"/>
      <c r="C99" s="320" t="s">
        <v>331</v>
      </c>
      <c r="D99" s="320"/>
      <c r="E99" s="320"/>
      <c r="F99" s="320">
        <f>SUM(F92:F96)</f>
        <v>9673.3700000000008</v>
      </c>
    </row>
    <row r="100" spans="1:6">
      <c r="A100" s="320"/>
      <c r="B100" s="320"/>
      <c r="C100" s="320"/>
      <c r="D100" s="320"/>
      <c r="E100" s="320"/>
      <c r="F100" s="320"/>
    </row>
    <row r="101" spans="1:6">
      <c r="A101" s="320"/>
      <c r="B101" s="320"/>
      <c r="C101" s="320" t="s">
        <v>332</v>
      </c>
      <c r="D101" s="320"/>
      <c r="E101" s="320"/>
      <c r="F101" s="321">
        <f>F99/10</f>
        <v>967.3370000000001</v>
      </c>
    </row>
    <row r="102" spans="1:6">
      <c r="A102" s="320"/>
      <c r="B102" s="320"/>
      <c r="C102" s="320"/>
      <c r="D102" s="320"/>
      <c r="E102" s="320"/>
      <c r="F102" s="320"/>
    </row>
    <row r="103" spans="1:6">
      <c r="A103" s="315" t="s">
        <v>333</v>
      </c>
      <c r="B103" s="316" t="s">
        <v>46</v>
      </c>
      <c r="C103" s="317" t="s">
        <v>334</v>
      </c>
      <c r="D103" s="315"/>
      <c r="E103" s="318"/>
      <c r="F103" s="313"/>
    </row>
    <row r="104" spans="1:6">
      <c r="A104" s="315"/>
      <c r="B104" s="316"/>
      <c r="C104" s="317" t="s">
        <v>335</v>
      </c>
      <c r="D104" s="315"/>
      <c r="E104" s="318"/>
      <c r="F104" s="313"/>
    </row>
    <row r="105" spans="1:6">
      <c r="A105" s="315"/>
      <c r="B105" s="316"/>
      <c r="C105" s="317" t="s">
        <v>40</v>
      </c>
      <c r="D105" s="315"/>
      <c r="E105" s="318"/>
      <c r="F105" s="313"/>
    </row>
    <row r="106" spans="1:6">
      <c r="A106" s="315">
        <v>1</v>
      </c>
      <c r="B106" s="316" t="s">
        <v>50</v>
      </c>
      <c r="C106" s="317" t="s">
        <v>336</v>
      </c>
      <c r="D106" s="315">
        <v>303.88</v>
      </c>
      <c r="E106" s="318" t="s">
        <v>50</v>
      </c>
      <c r="F106" s="313">
        <v>303.88</v>
      </c>
    </row>
    <row r="107" spans="1:6">
      <c r="A107" s="315">
        <v>1</v>
      </c>
      <c r="B107" s="316" t="s">
        <v>50</v>
      </c>
      <c r="C107" s="317" t="s">
        <v>337</v>
      </c>
      <c r="D107" s="315">
        <v>36.96</v>
      </c>
      <c r="E107" s="318" t="s">
        <v>50</v>
      </c>
      <c r="F107" s="313">
        <v>36.96</v>
      </c>
    </row>
    <row r="108" spans="1:6">
      <c r="A108" s="315"/>
      <c r="B108" s="316" t="s">
        <v>38</v>
      </c>
      <c r="C108" s="317" t="s">
        <v>39</v>
      </c>
      <c r="D108" s="315" t="s">
        <v>44</v>
      </c>
      <c r="E108" s="318" t="s">
        <v>38</v>
      </c>
      <c r="F108" s="313">
        <v>0</v>
      </c>
    </row>
    <row r="109" spans="1:6">
      <c r="A109" s="315"/>
      <c r="B109" s="316"/>
      <c r="C109" s="317"/>
      <c r="D109" s="315"/>
      <c r="E109" s="318"/>
      <c r="F109" s="313" t="s">
        <v>40</v>
      </c>
    </row>
    <row r="110" spans="1:6">
      <c r="A110" s="315"/>
      <c r="B110" s="316"/>
      <c r="C110" s="317" t="s">
        <v>53</v>
      </c>
      <c r="D110" s="315"/>
      <c r="E110" s="318"/>
      <c r="F110" s="313">
        <v>340.84</v>
      </c>
    </row>
    <row r="111" spans="1:6">
      <c r="A111" s="315"/>
      <c r="B111" s="316"/>
      <c r="C111" s="317"/>
      <c r="D111" s="315"/>
      <c r="E111" s="318"/>
      <c r="F111" s="313"/>
    </row>
    <row r="112" spans="1:6">
      <c r="A112" s="315" t="s">
        <v>338</v>
      </c>
      <c r="B112" s="316" t="s">
        <v>46</v>
      </c>
      <c r="C112" s="317" t="s">
        <v>339</v>
      </c>
      <c r="D112" s="315"/>
      <c r="E112" s="318"/>
      <c r="F112" s="313"/>
    </row>
    <row r="113" spans="1:6">
      <c r="A113" s="315"/>
      <c r="B113" s="316"/>
      <c r="C113" s="317" t="s">
        <v>340</v>
      </c>
      <c r="D113" s="315"/>
      <c r="E113" s="318"/>
      <c r="F113" s="313"/>
    </row>
    <row r="114" spans="1:6">
      <c r="A114" s="315"/>
      <c r="B114" s="316"/>
      <c r="C114" s="317" t="s">
        <v>40</v>
      </c>
      <c r="D114" s="315"/>
      <c r="E114" s="318"/>
      <c r="F114" s="313"/>
    </row>
    <row r="115" spans="1:6">
      <c r="A115" s="315">
        <v>9</v>
      </c>
      <c r="B115" s="316" t="s">
        <v>50</v>
      </c>
      <c r="C115" s="317" t="s">
        <v>341</v>
      </c>
      <c r="D115" s="315">
        <v>1292.9000000000001</v>
      </c>
      <c r="E115" s="318" t="s">
        <v>50</v>
      </c>
      <c r="F115" s="313">
        <v>11636.1</v>
      </c>
    </row>
    <row r="116" spans="1:6">
      <c r="A116" s="315">
        <v>4.5</v>
      </c>
      <c r="B116" s="316" t="s">
        <v>50</v>
      </c>
      <c r="C116" s="317" t="s">
        <v>57</v>
      </c>
      <c r="D116" s="315">
        <v>2627.58</v>
      </c>
      <c r="E116" s="318" t="s">
        <v>50</v>
      </c>
      <c r="F116" s="313">
        <v>11824.11</v>
      </c>
    </row>
    <row r="117" spans="1:6">
      <c r="A117" s="315">
        <v>1.8</v>
      </c>
      <c r="B117" s="316" t="s">
        <v>141</v>
      </c>
      <c r="C117" s="317" t="s">
        <v>342</v>
      </c>
      <c r="D117" s="315">
        <v>884.4</v>
      </c>
      <c r="E117" s="318" t="s">
        <v>141</v>
      </c>
      <c r="F117" s="313">
        <v>1591.92</v>
      </c>
    </row>
    <row r="118" spans="1:6">
      <c r="A118" s="315">
        <v>17.7</v>
      </c>
      <c r="B118" s="316" t="s">
        <v>141</v>
      </c>
      <c r="C118" s="317" t="s">
        <v>343</v>
      </c>
      <c r="D118" s="315">
        <v>618.20000000000005</v>
      </c>
      <c r="E118" s="318" t="s">
        <v>141</v>
      </c>
      <c r="F118" s="313">
        <v>10942.14</v>
      </c>
    </row>
    <row r="119" spans="1:6">
      <c r="A119" s="315">
        <v>14.1</v>
      </c>
      <c r="B119" s="316" t="s">
        <v>141</v>
      </c>
      <c r="C119" s="317" t="s">
        <v>344</v>
      </c>
      <c r="D119" s="315">
        <v>507.1</v>
      </c>
      <c r="E119" s="318" t="s">
        <v>141</v>
      </c>
      <c r="F119" s="313">
        <v>7150.11</v>
      </c>
    </row>
    <row r="120" spans="1:6">
      <c r="A120" s="315"/>
      <c r="B120" s="316" t="s">
        <v>38</v>
      </c>
      <c r="C120" s="317" t="s">
        <v>39</v>
      </c>
      <c r="D120" s="315"/>
      <c r="E120" s="318" t="s">
        <v>38</v>
      </c>
      <c r="F120" s="313">
        <v>0</v>
      </c>
    </row>
    <row r="121" spans="1:6">
      <c r="A121" s="315"/>
      <c r="B121" s="316"/>
      <c r="C121" s="317"/>
      <c r="D121" s="315"/>
      <c r="E121" s="318"/>
      <c r="F121" s="313" t="s">
        <v>40</v>
      </c>
    </row>
    <row r="122" spans="1:6">
      <c r="A122" s="315"/>
      <c r="B122" s="316"/>
      <c r="C122" s="317"/>
      <c r="D122" s="315"/>
      <c r="E122" s="318"/>
      <c r="F122" s="313">
        <v>43144.38</v>
      </c>
    </row>
    <row r="123" spans="1:6">
      <c r="A123" s="315"/>
      <c r="B123" s="316"/>
      <c r="C123" s="317" t="s">
        <v>319</v>
      </c>
      <c r="D123" s="315"/>
      <c r="E123" s="318"/>
      <c r="F123" s="313" t="s">
        <v>40</v>
      </c>
    </row>
    <row r="124" spans="1:6">
      <c r="A124" s="315"/>
      <c r="B124" s="316"/>
      <c r="C124" s="317"/>
      <c r="D124" s="315"/>
      <c r="E124" s="318"/>
      <c r="F124" s="313">
        <v>4314.4399999999996</v>
      </c>
    </row>
    <row r="125" spans="1:6">
      <c r="A125" s="315"/>
      <c r="B125" s="316"/>
      <c r="C125" s="317"/>
      <c r="D125" s="315"/>
      <c r="E125" s="318"/>
      <c r="F125" s="313"/>
    </row>
    <row r="126" spans="1:6">
      <c r="A126" s="315" t="s">
        <v>345</v>
      </c>
      <c r="B126" s="316" t="s">
        <v>46</v>
      </c>
      <c r="C126" s="317" t="s">
        <v>346</v>
      </c>
      <c r="D126" s="315"/>
      <c r="E126" s="318"/>
      <c r="F126" s="313"/>
    </row>
    <row r="127" spans="1:6">
      <c r="A127" s="315"/>
      <c r="B127" s="316"/>
      <c r="C127" s="317" t="s">
        <v>347</v>
      </c>
      <c r="D127" s="315"/>
      <c r="E127" s="318"/>
      <c r="F127" s="313"/>
    </row>
    <row r="128" spans="1:6">
      <c r="A128" s="315"/>
      <c r="B128" s="316"/>
      <c r="C128" s="317" t="s">
        <v>40</v>
      </c>
      <c r="D128" s="315"/>
      <c r="E128" s="318"/>
      <c r="F128" s="313"/>
    </row>
    <row r="129" spans="1:6">
      <c r="A129" s="315">
        <v>9</v>
      </c>
      <c r="B129" s="316" t="s">
        <v>50</v>
      </c>
      <c r="C129" s="317" t="s">
        <v>348</v>
      </c>
      <c r="D129" s="315">
        <v>1292.9000000000001</v>
      </c>
      <c r="E129" s="318" t="s">
        <v>50</v>
      </c>
      <c r="F129" s="313">
        <v>11636.1</v>
      </c>
    </row>
    <row r="130" spans="1:6">
      <c r="A130" s="315">
        <v>4.5</v>
      </c>
      <c r="B130" s="316" t="s">
        <v>50</v>
      </c>
      <c r="C130" s="317" t="s">
        <v>56</v>
      </c>
      <c r="D130" s="315">
        <v>3056.7</v>
      </c>
      <c r="E130" s="318" t="s">
        <v>50</v>
      </c>
      <c r="F130" s="313">
        <v>13755.15</v>
      </c>
    </row>
    <row r="131" spans="1:6">
      <c r="A131" s="315">
        <v>1.8</v>
      </c>
      <c r="B131" s="316" t="s">
        <v>141</v>
      </c>
      <c r="C131" s="317" t="s">
        <v>342</v>
      </c>
      <c r="D131" s="315">
        <v>884.4</v>
      </c>
      <c r="E131" s="318" t="s">
        <v>141</v>
      </c>
      <c r="F131" s="313">
        <v>1591.92</v>
      </c>
    </row>
    <row r="132" spans="1:6">
      <c r="A132" s="315">
        <v>17.7</v>
      </c>
      <c r="B132" s="322" t="s">
        <v>141</v>
      </c>
      <c r="C132" s="313" t="s">
        <v>343</v>
      </c>
      <c r="D132" s="315">
        <v>618.20000000000005</v>
      </c>
      <c r="E132" s="318" t="s">
        <v>141</v>
      </c>
      <c r="F132" s="313">
        <v>10942.14</v>
      </c>
    </row>
    <row r="133" spans="1:6">
      <c r="A133" s="315">
        <v>14.1</v>
      </c>
      <c r="B133" s="322" t="s">
        <v>141</v>
      </c>
      <c r="C133" s="313" t="s">
        <v>344</v>
      </c>
      <c r="D133" s="315">
        <v>507.1</v>
      </c>
      <c r="E133" s="318" t="s">
        <v>141</v>
      </c>
      <c r="F133" s="313">
        <v>7150.11</v>
      </c>
    </row>
    <row r="134" spans="1:6">
      <c r="A134" s="315"/>
      <c r="B134" s="322" t="s">
        <v>38</v>
      </c>
      <c r="C134" s="313" t="s">
        <v>39</v>
      </c>
      <c r="D134" s="315"/>
      <c r="E134" s="318" t="s">
        <v>38</v>
      </c>
      <c r="F134" s="313">
        <v>0</v>
      </c>
    </row>
    <row r="135" spans="1:6">
      <c r="A135" s="315"/>
      <c r="B135" s="322"/>
      <c r="C135" s="313"/>
      <c r="D135" s="315"/>
      <c r="E135" s="318"/>
      <c r="F135" s="313" t="s">
        <v>40</v>
      </c>
    </row>
    <row r="136" spans="1:6">
      <c r="A136" s="315"/>
      <c r="B136" s="322"/>
      <c r="C136" s="313"/>
      <c r="D136" s="315"/>
      <c r="E136" s="318"/>
      <c r="F136" s="313">
        <v>45075.42</v>
      </c>
    </row>
    <row r="137" spans="1:6">
      <c r="A137" s="315"/>
      <c r="B137" s="322"/>
      <c r="C137" s="313" t="s">
        <v>319</v>
      </c>
      <c r="D137" s="315"/>
      <c r="E137" s="318"/>
      <c r="F137" s="313" t="s">
        <v>40</v>
      </c>
    </row>
    <row r="138" spans="1:6">
      <c r="A138" s="315"/>
      <c r="B138" s="322"/>
      <c r="C138" s="313"/>
      <c r="D138" s="315"/>
      <c r="E138" s="318"/>
      <c r="F138" s="313">
        <v>4507.54</v>
      </c>
    </row>
    <row r="139" spans="1:6">
      <c r="A139" s="315"/>
      <c r="B139" s="322"/>
      <c r="C139" s="313" t="s">
        <v>349</v>
      </c>
      <c r="D139" s="315"/>
      <c r="E139" s="318"/>
      <c r="F139" s="313"/>
    </row>
    <row r="140" spans="1:6">
      <c r="A140" s="315"/>
      <c r="B140" s="322"/>
      <c r="C140" s="313"/>
      <c r="D140" s="315"/>
      <c r="E140" s="318"/>
      <c r="F140" s="313"/>
    </row>
    <row r="141" spans="1:6">
      <c r="A141" s="315"/>
      <c r="B141" s="322"/>
      <c r="C141" s="313"/>
      <c r="D141" s="315"/>
      <c r="E141" s="318"/>
      <c r="F141" s="313"/>
    </row>
    <row r="142" spans="1:6">
      <c r="A142" s="315"/>
      <c r="B142" s="322"/>
      <c r="C142" s="313"/>
      <c r="D142" s="315"/>
      <c r="E142" s="318"/>
      <c r="F142" s="313"/>
    </row>
    <row r="143" spans="1:6">
      <c r="A143" s="315"/>
      <c r="B143" s="316"/>
      <c r="C143" s="317"/>
      <c r="D143" s="315"/>
      <c r="E143" s="318"/>
      <c r="F143" s="313"/>
    </row>
    <row r="144" spans="1:6">
      <c r="A144" s="315">
        <v>6</v>
      </c>
      <c r="B144" s="316" t="s">
        <v>46</v>
      </c>
      <c r="C144" s="313" t="s">
        <v>350</v>
      </c>
      <c r="D144" s="315"/>
      <c r="E144" s="318"/>
      <c r="F144" s="317"/>
    </row>
    <row r="145" spans="1:6">
      <c r="A145" s="315"/>
      <c r="B145" s="316"/>
      <c r="C145" s="313" t="s">
        <v>351</v>
      </c>
      <c r="D145" s="315"/>
      <c r="E145" s="318"/>
      <c r="F145" s="317"/>
    </row>
    <row r="146" spans="1:6">
      <c r="A146" s="315"/>
      <c r="B146" s="316"/>
      <c r="C146" s="313" t="s">
        <v>40</v>
      </c>
      <c r="D146" s="315"/>
      <c r="E146" s="318"/>
      <c r="F146" s="317"/>
    </row>
    <row r="147" spans="1:6">
      <c r="A147" s="315">
        <v>4240</v>
      </c>
      <c r="B147" s="316" t="s">
        <v>352</v>
      </c>
      <c r="C147" s="313" t="s">
        <v>351</v>
      </c>
      <c r="D147" s="315">
        <v>7035.6</v>
      </c>
      <c r="E147" s="318" t="s">
        <v>353</v>
      </c>
      <c r="F147" s="317">
        <v>29830.94</v>
      </c>
    </row>
    <row r="148" spans="1:6">
      <c r="A148" s="315">
        <v>2</v>
      </c>
      <c r="B148" s="316" t="s">
        <v>50</v>
      </c>
      <c r="C148" s="313" t="s">
        <v>57</v>
      </c>
      <c r="D148" s="315">
        <v>2627.58</v>
      </c>
      <c r="E148" s="318" t="s">
        <v>50</v>
      </c>
      <c r="F148" s="317">
        <v>5255.16</v>
      </c>
    </row>
    <row r="149" spans="1:6">
      <c r="A149" s="315">
        <v>3.5</v>
      </c>
      <c r="B149" s="316" t="s">
        <v>141</v>
      </c>
      <c r="C149" s="317" t="s">
        <v>354</v>
      </c>
      <c r="D149" s="315">
        <v>947.1</v>
      </c>
      <c r="E149" s="318" t="s">
        <v>141</v>
      </c>
      <c r="F149" s="313">
        <v>3314.85</v>
      </c>
    </row>
    <row r="150" spans="1:6">
      <c r="A150" s="315">
        <v>10.6</v>
      </c>
      <c r="B150" s="316" t="s">
        <v>141</v>
      </c>
      <c r="C150" s="317" t="s">
        <v>342</v>
      </c>
      <c r="D150" s="315">
        <v>884.4</v>
      </c>
      <c r="E150" s="318" t="s">
        <v>141</v>
      </c>
      <c r="F150" s="313">
        <v>9374.64</v>
      </c>
    </row>
    <row r="151" spans="1:6">
      <c r="A151" s="315">
        <v>7.1</v>
      </c>
      <c r="B151" s="316" t="s">
        <v>141</v>
      </c>
      <c r="C151" s="317" t="s">
        <v>343</v>
      </c>
      <c r="D151" s="315">
        <v>618.20000000000005</v>
      </c>
      <c r="E151" s="318" t="s">
        <v>141</v>
      </c>
      <c r="F151" s="313">
        <v>4389.22</v>
      </c>
    </row>
    <row r="152" spans="1:6">
      <c r="A152" s="315">
        <v>21.2</v>
      </c>
      <c r="B152" s="316" t="s">
        <v>141</v>
      </c>
      <c r="C152" s="317" t="s">
        <v>344</v>
      </c>
      <c r="D152" s="315">
        <v>507.1</v>
      </c>
      <c r="E152" s="318" t="s">
        <v>141</v>
      </c>
      <c r="F152" s="313">
        <v>10750.52</v>
      </c>
    </row>
    <row r="153" spans="1:6">
      <c r="A153" s="315"/>
      <c r="B153" s="316" t="s">
        <v>38</v>
      </c>
      <c r="C153" s="317" t="s">
        <v>39</v>
      </c>
      <c r="D153" s="315"/>
      <c r="E153" s="318" t="s">
        <v>38</v>
      </c>
      <c r="F153" s="313">
        <v>0</v>
      </c>
    </row>
    <row r="154" spans="1:6">
      <c r="A154" s="315"/>
      <c r="B154" s="316"/>
      <c r="C154" s="317"/>
      <c r="D154" s="315"/>
      <c r="E154" s="318"/>
      <c r="F154" s="313" t="s">
        <v>40</v>
      </c>
    </row>
    <row r="155" spans="1:6">
      <c r="A155" s="315"/>
      <c r="B155" s="316"/>
      <c r="C155" s="317" t="s">
        <v>319</v>
      </c>
      <c r="D155" s="315"/>
      <c r="E155" s="318"/>
      <c r="F155" s="313">
        <v>62915.33</v>
      </c>
    </row>
    <row r="156" spans="1:6">
      <c r="A156" s="315"/>
      <c r="B156" s="316"/>
      <c r="C156" s="317"/>
      <c r="D156" s="315"/>
      <c r="E156" s="318"/>
      <c r="F156" s="313" t="s">
        <v>40</v>
      </c>
    </row>
    <row r="157" spans="1:6">
      <c r="A157" s="315"/>
      <c r="B157" s="316"/>
      <c r="C157" s="317" t="s">
        <v>349</v>
      </c>
      <c r="D157" s="315"/>
      <c r="E157" s="318"/>
      <c r="F157" s="313">
        <v>6291.53</v>
      </c>
    </row>
    <row r="158" spans="1:6">
      <c r="A158" s="315"/>
      <c r="B158" s="316"/>
      <c r="C158" s="317"/>
      <c r="D158" s="315"/>
      <c r="E158" s="318"/>
      <c r="F158" s="313"/>
    </row>
    <row r="159" spans="1:6">
      <c r="A159" s="315" t="s">
        <v>355</v>
      </c>
      <c r="B159" s="316" t="s">
        <v>46</v>
      </c>
      <c r="C159" s="317" t="s">
        <v>356</v>
      </c>
      <c r="D159" s="315"/>
      <c r="E159" s="318"/>
      <c r="F159" s="313"/>
    </row>
    <row r="160" spans="1:6">
      <c r="A160" s="315"/>
      <c r="B160" s="316"/>
      <c r="C160" s="317" t="s">
        <v>40</v>
      </c>
      <c r="D160" s="315"/>
      <c r="E160" s="318"/>
      <c r="F160" s="313"/>
    </row>
    <row r="161" spans="1:6">
      <c r="A161" s="315">
        <v>0.14000000000000001</v>
      </c>
      <c r="B161" s="316" t="s">
        <v>50</v>
      </c>
      <c r="C161" s="317" t="s">
        <v>57</v>
      </c>
      <c r="D161" s="315">
        <v>2627.58</v>
      </c>
      <c r="E161" s="318" t="s">
        <v>50</v>
      </c>
      <c r="F161" s="313">
        <v>367.86</v>
      </c>
    </row>
    <row r="162" spans="1:6">
      <c r="A162" s="315">
        <v>1.1000000000000001</v>
      </c>
      <c r="B162" s="316" t="s">
        <v>141</v>
      </c>
      <c r="C162" s="317" t="s">
        <v>354</v>
      </c>
      <c r="D162" s="315">
        <v>947.1</v>
      </c>
      <c r="E162" s="318" t="s">
        <v>141</v>
      </c>
      <c r="F162" s="313">
        <v>1041.81</v>
      </c>
    </row>
    <row r="163" spans="1:6">
      <c r="A163" s="315">
        <v>0.5</v>
      </c>
      <c r="B163" s="316" t="s">
        <v>141</v>
      </c>
      <c r="C163" s="317" t="s">
        <v>343</v>
      </c>
      <c r="D163" s="315">
        <v>618.20000000000005</v>
      </c>
      <c r="E163" s="318" t="s">
        <v>141</v>
      </c>
      <c r="F163" s="313">
        <v>309.10000000000002</v>
      </c>
    </row>
    <row r="164" spans="1:6">
      <c r="A164" s="315">
        <v>1.1000000000000001</v>
      </c>
      <c r="B164" s="316" t="s">
        <v>141</v>
      </c>
      <c r="C164" s="317" t="s">
        <v>344</v>
      </c>
      <c r="D164" s="315">
        <v>507.1</v>
      </c>
      <c r="E164" s="318" t="s">
        <v>141</v>
      </c>
      <c r="F164" s="313">
        <v>557.80999999999995</v>
      </c>
    </row>
    <row r="165" spans="1:6">
      <c r="A165" s="315"/>
      <c r="B165" s="316" t="s">
        <v>38</v>
      </c>
      <c r="C165" s="317" t="s">
        <v>39</v>
      </c>
      <c r="D165" s="315" t="s">
        <v>44</v>
      </c>
      <c r="E165" s="318" t="s">
        <v>38</v>
      </c>
      <c r="F165" s="313">
        <v>0</v>
      </c>
    </row>
    <row r="166" spans="1:6">
      <c r="A166" s="315"/>
      <c r="B166" s="316"/>
      <c r="C166" s="317"/>
      <c r="D166" s="315"/>
      <c r="E166" s="318"/>
      <c r="F166" s="313" t="s">
        <v>40</v>
      </c>
    </row>
    <row r="167" spans="1:6">
      <c r="A167" s="315"/>
      <c r="B167" s="316"/>
      <c r="C167" s="317" t="s">
        <v>357</v>
      </c>
      <c r="D167" s="315"/>
      <c r="E167" s="318"/>
      <c r="F167" s="313">
        <v>2276.58</v>
      </c>
    </row>
    <row r="168" spans="1:6">
      <c r="A168" s="315"/>
      <c r="B168" s="316"/>
      <c r="C168" s="317"/>
      <c r="D168" s="315"/>
      <c r="E168" s="318"/>
      <c r="F168" s="313" t="s">
        <v>40</v>
      </c>
    </row>
    <row r="169" spans="1:6">
      <c r="A169" s="315"/>
      <c r="B169" s="316"/>
      <c r="C169" s="317" t="s">
        <v>358</v>
      </c>
      <c r="D169" s="315"/>
      <c r="E169" s="318"/>
      <c r="F169" s="313">
        <v>227.66</v>
      </c>
    </row>
    <row r="170" spans="1:6">
      <c r="A170" s="315"/>
      <c r="B170" s="316"/>
      <c r="C170" s="317"/>
      <c r="D170" s="315"/>
      <c r="E170" s="318"/>
      <c r="F170" s="313"/>
    </row>
    <row r="171" spans="1:6" ht="31.5">
      <c r="A171" s="315" t="s">
        <v>359</v>
      </c>
      <c r="B171" s="316" t="s">
        <v>46</v>
      </c>
      <c r="C171" s="317" t="s">
        <v>360</v>
      </c>
      <c r="D171" s="315"/>
      <c r="E171" s="318"/>
      <c r="F171" s="313"/>
    </row>
    <row r="172" spans="1:6">
      <c r="A172" s="315"/>
      <c r="B172" s="316"/>
      <c r="C172" s="317" t="s">
        <v>361</v>
      </c>
      <c r="D172" s="315"/>
      <c r="E172" s="318"/>
      <c r="F172" s="313"/>
    </row>
    <row r="173" spans="1:6">
      <c r="A173" s="315"/>
      <c r="B173" s="316"/>
      <c r="C173" s="317" t="s">
        <v>362</v>
      </c>
      <c r="D173" s="315"/>
      <c r="E173" s="318"/>
      <c r="F173" s="313"/>
    </row>
    <row r="174" spans="1:6">
      <c r="A174" s="315"/>
      <c r="B174" s="316"/>
      <c r="C174" s="317" t="s">
        <v>40</v>
      </c>
      <c r="D174" s="315"/>
      <c r="E174" s="318"/>
      <c r="F174" s="313"/>
    </row>
    <row r="175" spans="1:6" ht="31.5">
      <c r="A175" s="315">
        <v>1.4</v>
      </c>
      <c r="B175" s="316" t="s">
        <v>363</v>
      </c>
      <c r="C175" s="317" t="s">
        <v>364</v>
      </c>
      <c r="D175" s="315">
        <v>292.7</v>
      </c>
      <c r="E175" s="318" t="s">
        <v>363</v>
      </c>
      <c r="F175" s="313">
        <v>409.78</v>
      </c>
    </row>
    <row r="176" spans="1:6">
      <c r="A176" s="315">
        <v>0.98</v>
      </c>
      <c r="B176" s="316" t="s">
        <v>363</v>
      </c>
      <c r="C176" s="317" t="s">
        <v>365</v>
      </c>
      <c r="D176" s="315">
        <v>146.1</v>
      </c>
      <c r="E176" s="318" t="s">
        <v>363</v>
      </c>
      <c r="F176" s="313">
        <v>143.18</v>
      </c>
    </row>
    <row r="177" spans="1:6">
      <c r="A177" s="315">
        <v>2.2000000000000002</v>
      </c>
      <c r="B177" s="316" t="s">
        <v>206</v>
      </c>
      <c r="C177" s="317" t="s">
        <v>366</v>
      </c>
      <c r="D177" s="315">
        <v>756.8</v>
      </c>
      <c r="E177" s="318" t="s">
        <v>206</v>
      </c>
      <c r="F177" s="313">
        <v>1664.96</v>
      </c>
    </row>
    <row r="178" spans="1:6">
      <c r="A178" s="315"/>
      <c r="B178" s="316" t="s">
        <v>38</v>
      </c>
      <c r="C178" s="317" t="s">
        <v>367</v>
      </c>
      <c r="D178" s="315" t="s">
        <v>44</v>
      </c>
      <c r="E178" s="318" t="s">
        <v>38</v>
      </c>
      <c r="F178" s="313">
        <v>2.5499999999999998</v>
      </c>
    </row>
    <row r="179" spans="1:6">
      <c r="A179" s="315"/>
      <c r="B179" s="316"/>
      <c r="C179" s="317"/>
      <c r="D179" s="315"/>
      <c r="E179" s="318"/>
      <c r="F179" s="313"/>
    </row>
    <row r="180" spans="1:6">
      <c r="A180" s="315"/>
      <c r="B180" s="316"/>
      <c r="C180" s="317" t="s">
        <v>357</v>
      </c>
      <c r="D180" s="315"/>
      <c r="E180" s="318"/>
      <c r="F180" s="313">
        <v>2220.4699999999998</v>
      </c>
    </row>
    <row r="181" spans="1:6">
      <c r="A181" s="315"/>
      <c r="B181" s="316"/>
      <c r="C181" s="317"/>
      <c r="D181" s="315"/>
      <c r="E181" s="318"/>
      <c r="F181" s="313" t="s">
        <v>40</v>
      </c>
    </row>
    <row r="182" spans="1:6">
      <c r="A182" s="315"/>
      <c r="B182" s="316"/>
      <c r="C182" s="317" t="s">
        <v>358</v>
      </c>
      <c r="D182" s="315"/>
      <c r="E182" s="318"/>
      <c r="F182" s="313">
        <v>222.05</v>
      </c>
    </row>
    <row r="183" spans="1:6">
      <c r="A183" s="315"/>
      <c r="B183" s="316"/>
      <c r="C183" s="317"/>
      <c r="D183" s="315"/>
      <c r="E183" s="318"/>
      <c r="F183" s="313"/>
    </row>
    <row r="184" spans="1:6">
      <c r="A184" s="315"/>
      <c r="B184" s="316"/>
      <c r="C184" s="317" t="s">
        <v>368</v>
      </c>
      <c r="D184" s="315"/>
      <c r="E184" s="318"/>
      <c r="F184" s="313"/>
    </row>
    <row r="185" spans="1:6">
      <c r="A185" s="315"/>
      <c r="B185" s="316"/>
      <c r="C185" s="317"/>
      <c r="D185" s="315"/>
      <c r="E185" s="318"/>
      <c r="F185" s="313"/>
    </row>
    <row r="186" spans="1:6">
      <c r="A186" s="315">
        <v>1.4</v>
      </c>
      <c r="B186" s="316" t="s">
        <v>363</v>
      </c>
      <c r="C186" s="317" t="s">
        <v>362</v>
      </c>
      <c r="D186" s="315">
        <v>292.7</v>
      </c>
      <c r="E186" s="318" t="s">
        <v>363</v>
      </c>
      <c r="F186" s="313">
        <v>409.78</v>
      </c>
    </row>
    <row r="187" spans="1:6">
      <c r="A187" s="315">
        <v>1.5</v>
      </c>
      <c r="B187" s="316" t="s">
        <v>206</v>
      </c>
      <c r="C187" s="317" t="s">
        <v>369</v>
      </c>
      <c r="D187" s="315">
        <v>756.8</v>
      </c>
      <c r="E187" s="318" t="s">
        <v>206</v>
      </c>
      <c r="F187" s="313">
        <v>1135.2</v>
      </c>
    </row>
    <row r="188" spans="1:6">
      <c r="A188" s="315">
        <v>10</v>
      </c>
      <c r="B188" s="316" t="s">
        <v>247</v>
      </c>
      <c r="C188" s="317" t="s">
        <v>370</v>
      </c>
      <c r="D188" s="315">
        <v>4.0199999999999996</v>
      </c>
      <c r="E188" s="318" t="s">
        <v>247</v>
      </c>
      <c r="F188" s="313">
        <v>40.200000000000003</v>
      </c>
    </row>
    <row r="189" spans="1:6">
      <c r="A189" s="315"/>
      <c r="B189" s="322"/>
      <c r="C189" s="313" t="s">
        <v>371</v>
      </c>
      <c r="D189" s="315" t="s">
        <v>372</v>
      </c>
      <c r="E189" s="318"/>
      <c r="F189" s="313">
        <v>4.33</v>
      </c>
    </row>
    <row r="190" spans="1:6">
      <c r="A190" s="315"/>
      <c r="B190" s="322"/>
      <c r="C190" s="313" t="s">
        <v>357</v>
      </c>
      <c r="D190" s="315"/>
      <c r="E190" s="318"/>
      <c r="F190" s="313">
        <v>1589.51</v>
      </c>
    </row>
    <row r="191" spans="1:6">
      <c r="A191" s="315"/>
      <c r="B191" s="322"/>
      <c r="C191" s="313" t="s">
        <v>358</v>
      </c>
      <c r="D191" s="315"/>
      <c r="E191" s="318"/>
      <c r="F191" s="319">
        <v>158.94999999999999</v>
      </c>
    </row>
    <row r="192" spans="1:6">
      <c r="A192" s="315"/>
      <c r="B192" s="322"/>
      <c r="C192" s="313"/>
      <c r="D192" s="315"/>
      <c r="E192" s="318"/>
      <c r="F192" s="313"/>
    </row>
    <row r="193" spans="1:6">
      <c r="A193" s="315" t="s">
        <v>373</v>
      </c>
      <c r="B193" s="322" t="s">
        <v>46</v>
      </c>
      <c r="C193" s="313" t="s">
        <v>374</v>
      </c>
      <c r="D193" s="315"/>
      <c r="E193" s="318"/>
      <c r="F193" s="313"/>
    </row>
    <row r="194" spans="1:6">
      <c r="A194" s="315"/>
      <c r="B194" s="322"/>
      <c r="C194" s="313" t="s">
        <v>375</v>
      </c>
      <c r="D194" s="315"/>
      <c r="E194" s="318"/>
      <c r="F194" s="313"/>
    </row>
    <row r="195" spans="1:6">
      <c r="A195" s="315"/>
      <c r="B195" s="322"/>
      <c r="C195" s="313" t="s">
        <v>376</v>
      </c>
      <c r="D195" s="315"/>
      <c r="E195" s="318"/>
      <c r="F195" s="313"/>
    </row>
    <row r="196" spans="1:6">
      <c r="A196" s="315"/>
      <c r="B196" s="322"/>
      <c r="C196" s="313" t="s">
        <v>377</v>
      </c>
      <c r="D196" s="315"/>
      <c r="E196" s="318"/>
      <c r="F196" s="313"/>
    </row>
    <row r="197" spans="1:6">
      <c r="A197" s="315"/>
      <c r="B197" s="322"/>
      <c r="C197" s="313" t="s">
        <v>40</v>
      </c>
      <c r="D197" s="315"/>
      <c r="E197" s="318"/>
      <c r="F197" s="313"/>
    </row>
    <row r="198" spans="1:6">
      <c r="A198" s="315">
        <v>0.24</v>
      </c>
      <c r="B198" s="322" t="s">
        <v>50</v>
      </c>
      <c r="C198" s="313" t="s">
        <v>378</v>
      </c>
      <c r="D198" s="315">
        <v>1008.23</v>
      </c>
      <c r="E198" s="318" t="s">
        <v>50</v>
      </c>
      <c r="F198" s="313">
        <v>241.98</v>
      </c>
    </row>
    <row r="199" spans="1:6">
      <c r="A199" s="315">
        <v>0.11700000000000001</v>
      </c>
      <c r="B199" s="322" t="s">
        <v>48</v>
      </c>
      <c r="C199" s="313" t="s">
        <v>49</v>
      </c>
      <c r="D199" s="315">
        <v>5960</v>
      </c>
      <c r="E199" s="318" t="s">
        <v>48</v>
      </c>
      <c r="F199" s="313">
        <v>697.32</v>
      </c>
    </row>
    <row r="200" spans="1:6">
      <c r="A200" s="315">
        <v>0.5</v>
      </c>
      <c r="B200" s="316" t="s">
        <v>206</v>
      </c>
      <c r="C200" s="317" t="s">
        <v>354</v>
      </c>
      <c r="D200" s="315">
        <v>947.1</v>
      </c>
      <c r="E200" s="318" t="s">
        <v>206</v>
      </c>
      <c r="F200" s="313">
        <v>473.55</v>
      </c>
    </row>
    <row r="201" spans="1:6">
      <c r="A201" s="315">
        <v>1.1000000000000001</v>
      </c>
      <c r="B201" s="316" t="s">
        <v>206</v>
      </c>
      <c r="C201" s="317" t="s">
        <v>379</v>
      </c>
      <c r="D201" s="315">
        <v>618.20000000000005</v>
      </c>
      <c r="E201" s="318" t="s">
        <v>206</v>
      </c>
      <c r="F201" s="313">
        <v>680.02</v>
      </c>
    </row>
    <row r="202" spans="1:6">
      <c r="A202" s="315">
        <v>4.3</v>
      </c>
      <c r="B202" s="316" t="s">
        <v>206</v>
      </c>
      <c r="C202" s="317" t="s">
        <v>344</v>
      </c>
      <c r="D202" s="315">
        <v>507.1</v>
      </c>
      <c r="E202" s="318" t="s">
        <v>206</v>
      </c>
      <c r="F202" s="313">
        <v>2180.5300000000002</v>
      </c>
    </row>
    <row r="203" spans="1:6">
      <c r="A203" s="315"/>
      <c r="B203" s="316" t="s">
        <v>38</v>
      </c>
      <c r="C203" s="317" t="s">
        <v>39</v>
      </c>
      <c r="D203" s="315"/>
      <c r="E203" s="318" t="s">
        <v>38</v>
      </c>
      <c r="F203" s="313">
        <v>0</v>
      </c>
    </row>
    <row r="204" spans="1:6">
      <c r="A204" s="315"/>
      <c r="B204" s="316"/>
      <c r="C204" s="317"/>
      <c r="D204" s="315"/>
      <c r="E204" s="318"/>
      <c r="F204" s="313" t="s">
        <v>40</v>
      </c>
    </row>
    <row r="205" spans="1:6">
      <c r="A205" s="315"/>
      <c r="B205" s="316"/>
      <c r="C205" s="317" t="s">
        <v>357</v>
      </c>
      <c r="D205" s="315"/>
      <c r="E205" s="318"/>
      <c r="F205" s="313">
        <v>4273.3999999999996</v>
      </c>
    </row>
    <row r="206" spans="1:6">
      <c r="A206" s="315"/>
      <c r="B206" s="316"/>
      <c r="C206" s="317"/>
      <c r="D206" s="315"/>
      <c r="E206" s="318"/>
      <c r="F206" s="313" t="s">
        <v>40</v>
      </c>
    </row>
    <row r="207" spans="1:6">
      <c r="A207" s="315"/>
      <c r="B207" s="316"/>
      <c r="C207" s="317" t="s">
        <v>358</v>
      </c>
      <c r="D207" s="315"/>
      <c r="E207" s="318"/>
      <c r="F207" s="319">
        <v>427.34</v>
      </c>
    </row>
    <row r="208" spans="1:6">
      <c r="A208" s="315"/>
      <c r="B208" s="316"/>
      <c r="C208" s="317"/>
      <c r="D208" s="315"/>
      <c r="E208" s="318"/>
      <c r="F208" s="313"/>
    </row>
    <row r="209" spans="1:6">
      <c r="A209" s="315"/>
      <c r="B209" s="316"/>
      <c r="C209" s="317" t="s">
        <v>380</v>
      </c>
      <c r="D209" s="315"/>
      <c r="E209" s="318"/>
      <c r="F209" s="313"/>
    </row>
    <row r="210" spans="1:6">
      <c r="A210" s="315"/>
      <c r="B210" s="316"/>
      <c r="C210" s="317"/>
      <c r="D210" s="315"/>
      <c r="E210" s="318"/>
      <c r="F210" s="313"/>
    </row>
    <row r="211" spans="1:6" ht="31.5">
      <c r="A211" s="315"/>
      <c r="B211" s="316"/>
      <c r="C211" s="317" t="s">
        <v>381</v>
      </c>
      <c r="D211" s="315"/>
      <c r="E211" s="318"/>
      <c r="F211" s="313"/>
    </row>
    <row r="212" spans="1:6">
      <c r="A212" s="315"/>
      <c r="B212" s="316"/>
      <c r="C212" s="317"/>
      <c r="D212" s="315"/>
      <c r="E212" s="318"/>
      <c r="F212" s="313"/>
    </row>
    <row r="213" spans="1:6" ht="204.75">
      <c r="A213" s="315"/>
      <c r="B213" s="316"/>
      <c r="C213" s="317" t="s">
        <v>382</v>
      </c>
      <c r="D213" s="315"/>
      <c r="E213" s="318"/>
      <c r="F213" s="313"/>
    </row>
    <row r="214" spans="1:6" ht="31.5">
      <c r="A214" s="315">
        <v>90</v>
      </c>
      <c r="B214" s="316" t="s">
        <v>15</v>
      </c>
      <c r="C214" s="317" t="s">
        <v>383</v>
      </c>
      <c r="D214" s="315">
        <v>15.5</v>
      </c>
      <c r="E214" s="318" t="s">
        <v>98</v>
      </c>
      <c r="F214" s="313">
        <v>1395</v>
      </c>
    </row>
    <row r="215" spans="1:6" ht="31.5">
      <c r="A215" s="315">
        <v>45</v>
      </c>
      <c r="B215" s="316" t="s">
        <v>15</v>
      </c>
      <c r="C215" s="317" t="s">
        <v>99</v>
      </c>
      <c r="D215" s="315">
        <v>19.100000000000001</v>
      </c>
      <c r="E215" s="318" t="s">
        <v>384</v>
      </c>
      <c r="F215" s="313">
        <v>859.5</v>
      </c>
    </row>
    <row r="216" spans="1:6">
      <c r="A216" s="315">
        <v>20</v>
      </c>
      <c r="B216" s="316" t="s">
        <v>74</v>
      </c>
      <c r="C216" s="317" t="s">
        <v>385</v>
      </c>
      <c r="D216" s="315">
        <v>3</v>
      </c>
      <c r="E216" s="318" t="s">
        <v>74</v>
      </c>
      <c r="F216" s="313">
        <v>60</v>
      </c>
    </row>
    <row r="217" spans="1:6">
      <c r="A217" s="315">
        <v>150</v>
      </c>
      <c r="B217" s="316" t="s">
        <v>74</v>
      </c>
      <c r="C217" s="317" t="s">
        <v>386</v>
      </c>
      <c r="D217" s="315">
        <v>287</v>
      </c>
      <c r="E217" s="318" t="s">
        <v>387</v>
      </c>
      <c r="F217" s="313">
        <v>43.05</v>
      </c>
    </row>
    <row r="218" spans="1:6">
      <c r="A218" s="315">
        <v>10</v>
      </c>
      <c r="B218" s="316" t="s">
        <v>74</v>
      </c>
      <c r="C218" s="317" t="s">
        <v>388</v>
      </c>
      <c r="D218" s="315">
        <v>1.28</v>
      </c>
      <c r="E218" s="318" t="s">
        <v>74</v>
      </c>
      <c r="F218" s="313">
        <v>12.8</v>
      </c>
    </row>
    <row r="219" spans="1:6">
      <c r="A219" s="315">
        <v>10</v>
      </c>
      <c r="B219" s="316" t="s">
        <v>74</v>
      </c>
      <c r="C219" s="317" t="s">
        <v>389</v>
      </c>
      <c r="D219" s="315">
        <v>41.2</v>
      </c>
      <c r="E219" s="318" t="s">
        <v>390</v>
      </c>
      <c r="F219" s="313">
        <v>34.33</v>
      </c>
    </row>
    <row r="220" spans="1:6">
      <c r="A220" s="315">
        <v>1.4999999999999999E-2</v>
      </c>
      <c r="B220" s="316" t="s">
        <v>247</v>
      </c>
      <c r="C220" s="317" t="s">
        <v>391</v>
      </c>
      <c r="D220" s="315">
        <v>630</v>
      </c>
      <c r="E220" s="318" t="s">
        <v>247</v>
      </c>
      <c r="F220" s="313">
        <v>9.4499999999999993</v>
      </c>
    </row>
    <row r="221" spans="1:6">
      <c r="A221" s="315">
        <v>10</v>
      </c>
      <c r="B221" s="316" t="s">
        <v>74</v>
      </c>
      <c r="C221" s="317" t="s">
        <v>392</v>
      </c>
      <c r="D221" s="315">
        <v>16.05</v>
      </c>
      <c r="E221" s="318" t="s">
        <v>74</v>
      </c>
      <c r="F221" s="313">
        <v>160.5</v>
      </c>
    </row>
    <row r="222" spans="1:6">
      <c r="A222" s="315">
        <v>10</v>
      </c>
      <c r="B222" s="316" t="s">
        <v>74</v>
      </c>
      <c r="C222" s="317" t="s">
        <v>393</v>
      </c>
      <c r="D222" s="315">
        <v>13.6</v>
      </c>
      <c r="E222" s="318" t="s">
        <v>74</v>
      </c>
      <c r="F222" s="313">
        <v>136</v>
      </c>
    </row>
    <row r="223" spans="1:6">
      <c r="A223" s="315">
        <v>1</v>
      </c>
      <c r="B223" s="316" t="s">
        <v>394</v>
      </c>
      <c r="C223" s="317" t="s">
        <v>395</v>
      </c>
      <c r="D223" s="315">
        <v>68.8</v>
      </c>
      <c r="E223" s="318" t="s">
        <v>394</v>
      </c>
      <c r="F223" s="313">
        <v>68.8</v>
      </c>
    </row>
    <row r="224" spans="1:6">
      <c r="A224" s="315">
        <v>72</v>
      </c>
      <c r="B224" s="316" t="s">
        <v>74</v>
      </c>
      <c r="C224" s="317" t="s">
        <v>396</v>
      </c>
      <c r="D224" s="315">
        <v>47.7</v>
      </c>
      <c r="E224" s="318" t="s">
        <v>394</v>
      </c>
      <c r="F224" s="313">
        <v>23.85</v>
      </c>
    </row>
    <row r="225" spans="1:6">
      <c r="A225" s="315">
        <v>0.16666666666666666</v>
      </c>
      <c r="B225" s="316" t="s">
        <v>100</v>
      </c>
      <c r="C225" s="317" t="s">
        <v>101</v>
      </c>
      <c r="D225" s="315">
        <v>298</v>
      </c>
      <c r="E225" s="318" t="s">
        <v>100</v>
      </c>
      <c r="F225" s="313">
        <v>49.67</v>
      </c>
    </row>
    <row r="226" spans="1:6">
      <c r="A226" s="315">
        <v>10</v>
      </c>
      <c r="B226" s="316" t="s">
        <v>74</v>
      </c>
      <c r="C226" s="317" t="s">
        <v>397</v>
      </c>
      <c r="D226" s="315">
        <v>13.8</v>
      </c>
      <c r="E226" s="318" t="s">
        <v>74</v>
      </c>
      <c r="F226" s="313">
        <v>138</v>
      </c>
    </row>
    <row r="227" spans="1:6" ht="31.5">
      <c r="A227" s="315">
        <v>1</v>
      </c>
      <c r="B227" s="316" t="s">
        <v>74</v>
      </c>
      <c r="C227" s="317" t="s">
        <v>398</v>
      </c>
      <c r="D227" s="315">
        <v>16.5</v>
      </c>
      <c r="E227" s="318" t="s">
        <v>74</v>
      </c>
      <c r="F227" s="313">
        <v>16.5</v>
      </c>
    </row>
    <row r="228" spans="1:6">
      <c r="A228" s="315">
        <v>0.1</v>
      </c>
      <c r="B228" s="322" t="s">
        <v>247</v>
      </c>
      <c r="C228" s="313" t="s">
        <v>399</v>
      </c>
      <c r="D228" s="315">
        <v>630</v>
      </c>
      <c r="E228" s="318" t="s">
        <v>247</v>
      </c>
      <c r="F228" s="313">
        <v>63</v>
      </c>
    </row>
    <row r="229" spans="1:6">
      <c r="A229" s="315">
        <v>45</v>
      </c>
      <c r="B229" s="322" t="s">
        <v>15</v>
      </c>
      <c r="C229" s="313" t="s">
        <v>400</v>
      </c>
      <c r="D229" s="315">
        <v>15.5</v>
      </c>
      <c r="E229" s="318" t="s">
        <v>401</v>
      </c>
      <c r="F229" s="313">
        <v>697.5</v>
      </c>
    </row>
    <row r="230" spans="1:6">
      <c r="A230" s="315">
        <v>0.5</v>
      </c>
      <c r="B230" s="322" t="s">
        <v>402</v>
      </c>
      <c r="C230" s="313" t="s">
        <v>403</v>
      </c>
      <c r="D230" s="315">
        <v>225.4</v>
      </c>
      <c r="E230" s="318" t="s">
        <v>402</v>
      </c>
      <c r="F230" s="313">
        <v>112.7</v>
      </c>
    </row>
    <row r="231" spans="1:6" ht="31.5">
      <c r="A231" s="315">
        <v>10</v>
      </c>
      <c r="B231" s="322" t="s">
        <v>404</v>
      </c>
      <c r="C231" s="313" t="s">
        <v>67</v>
      </c>
      <c r="D231" s="315"/>
      <c r="E231" s="318" t="s">
        <v>30</v>
      </c>
      <c r="F231" s="313">
        <v>4392.67</v>
      </c>
    </row>
    <row r="232" spans="1:6">
      <c r="A232" s="315" t="s">
        <v>30</v>
      </c>
      <c r="B232" s="322"/>
      <c r="C232" s="313" t="s">
        <v>405</v>
      </c>
      <c r="D232" s="315"/>
      <c r="E232" s="318" t="s">
        <v>30</v>
      </c>
      <c r="F232" s="313">
        <v>26.75</v>
      </c>
    </row>
    <row r="233" spans="1:6">
      <c r="A233" s="315"/>
      <c r="B233" s="322"/>
      <c r="C233" s="313" t="s">
        <v>406</v>
      </c>
      <c r="D233" s="315"/>
      <c r="E233" s="318"/>
      <c r="F233" s="313">
        <v>8300.07</v>
      </c>
    </row>
    <row r="234" spans="1:6">
      <c r="A234" s="315"/>
      <c r="B234" s="322"/>
      <c r="C234" s="313" t="s">
        <v>407</v>
      </c>
      <c r="D234" s="315"/>
      <c r="E234" s="318"/>
      <c r="F234" s="313">
        <v>830.01</v>
      </c>
    </row>
    <row r="235" spans="1:6">
      <c r="A235" s="315"/>
      <c r="B235" s="322"/>
      <c r="C235" s="313"/>
      <c r="D235" s="315"/>
      <c r="E235" s="318"/>
      <c r="F235" s="313"/>
    </row>
    <row r="236" spans="1:6">
      <c r="A236" s="315"/>
      <c r="B236" s="322"/>
      <c r="C236" s="313" t="s">
        <v>408</v>
      </c>
      <c r="D236" s="315"/>
      <c r="E236" s="318"/>
      <c r="F236" s="313"/>
    </row>
    <row r="237" spans="1:6">
      <c r="A237" s="315"/>
      <c r="B237" s="322"/>
      <c r="C237" s="313"/>
      <c r="D237" s="315"/>
      <c r="E237" s="318"/>
      <c r="F237" s="313"/>
    </row>
    <row r="238" spans="1:6">
      <c r="A238" s="315"/>
      <c r="B238" s="322"/>
      <c r="C238" s="313"/>
      <c r="D238" s="315"/>
      <c r="E238" s="318"/>
      <c r="F238" s="313"/>
    </row>
    <row r="239" spans="1:6">
      <c r="A239" s="315"/>
      <c r="B239" s="316"/>
      <c r="C239" s="317"/>
      <c r="D239" s="315"/>
      <c r="E239" s="318"/>
      <c r="F239" s="313"/>
    </row>
    <row r="240" spans="1:6">
      <c r="A240" s="315"/>
      <c r="B240" s="316"/>
      <c r="C240" s="317"/>
      <c r="D240" s="315"/>
      <c r="E240" s="318"/>
      <c r="F240" s="313"/>
    </row>
    <row r="241" spans="1:6" ht="189">
      <c r="A241" s="315"/>
      <c r="B241" s="316"/>
      <c r="C241" s="317" t="s">
        <v>409</v>
      </c>
      <c r="D241" s="315"/>
      <c r="E241" s="318"/>
      <c r="F241" s="313"/>
    </row>
    <row r="242" spans="1:6">
      <c r="A242" s="315"/>
      <c r="B242" s="316"/>
      <c r="C242" s="317"/>
      <c r="D242" s="315"/>
      <c r="E242" s="318"/>
      <c r="F242" s="313"/>
    </row>
    <row r="243" spans="1:6">
      <c r="A243" s="315"/>
      <c r="B243" s="316"/>
      <c r="C243" s="317"/>
      <c r="D243" s="315"/>
      <c r="E243" s="318"/>
      <c r="F243" s="313"/>
    </row>
    <row r="244" spans="1:6">
      <c r="A244" s="315"/>
      <c r="B244" s="316"/>
      <c r="C244" s="317"/>
      <c r="D244" s="315"/>
      <c r="E244" s="318"/>
      <c r="F244" s="313"/>
    </row>
    <row r="245" spans="1:6">
      <c r="A245" s="315"/>
      <c r="B245" s="316"/>
      <c r="C245" s="317" t="s">
        <v>410</v>
      </c>
      <c r="D245" s="315"/>
      <c r="E245" s="318"/>
      <c r="F245" s="313">
        <v>8273.32</v>
      </c>
    </row>
    <row r="246" spans="1:6">
      <c r="A246" s="315"/>
      <c r="B246" s="316"/>
      <c r="C246" s="317" t="s">
        <v>411</v>
      </c>
      <c r="D246" s="315"/>
      <c r="E246" s="318"/>
      <c r="F246" s="313">
        <v>138</v>
      </c>
    </row>
    <row r="247" spans="1:6">
      <c r="A247" s="315"/>
      <c r="B247" s="316"/>
      <c r="C247" s="317" t="s">
        <v>412</v>
      </c>
      <c r="D247" s="315"/>
      <c r="E247" s="318"/>
      <c r="F247" s="313">
        <v>63</v>
      </c>
    </row>
    <row r="248" spans="1:6" ht="47.25">
      <c r="A248" s="315"/>
      <c r="B248" s="316"/>
      <c r="C248" s="317" t="s">
        <v>413</v>
      </c>
      <c r="D248" s="315"/>
      <c r="E248" s="318"/>
      <c r="F248" s="313">
        <v>699</v>
      </c>
    </row>
    <row r="249" spans="1:6">
      <c r="A249" s="315"/>
      <c r="B249" s="316"/>
      <c r="C249" s="317" t="s">
        <v>414</v>
      </c>
      <c r="D249" s="315"/>
      <c r="E249" s="318"/>
      <c r="F249" s="313">
        <v>378</v>
      </c>
    </row>
    <row r="250" spans="1:6">
      <c r="A250" s="315"/>
      <c r="B250" s="316"/>
      <c r="C250" s="317" t="s">
        <v>415</v>
      </c>
      <c r="D250" s="315"/>
      <c r="E250" s="318"/>
      <c r="F250" s="313">
        <v>24.25</v>
      </c>
    </row>
    <row r="251" spans="1:6">
      <c r="A251" s="315"/>
      <c r="B251" s="316"/>
      <c r="C251" s="317" t="s">
        <v>416</v>
      </c>
      <c r="D251" s="315"/>
      <c r="E251" s="318"/>
      <c r="F251" s="313">
        <v>9173.57</v>
      </c>
    </row>
    <row r="252" spans="1:6">
      <c r="A252" s="315"/>
      <c r="B252" s="316"/>
      <c r="C252" s="317" t="s">
        <v>417</v>
      </c>
      <c r="D252" s="315"/>
      <c r="E252" s="318"/>
      <c r="F252" s="319">
        <v>917.36</v>
      </c>
    </row>
    <row r="253" spans="1:6">
      <c r="A253" s="315"/>
      <c r="B253" s="316"/>
      <c r="C253" s="317"/>
      <c r="D253" s="315"/>
      <c r="E253" s="318"/>
      <c r="F253" s="313"/>
    </row>
    <row r="254" spans="1:6">
      <c r="A254" s="315"/>
      <c r="B254" s="316"/>
      <c r="C254" s="317" t="s">
        <v>418</v>
      </c>
      <c r="D254" s="315"/>
      <c r="E254" s="318"/>
      <c r="F254" s="313"/>
    </row>
    <row r="255" spans="1:6" ht="78.75">
      <c r="A255" s="315"/>
      <c r="B255" s="316"/>
      <c r="C255" s="317" t="s">
        <v>419</v>
      </c>
      <c r="D255" s="315"/>
      <c r="E255" s="318"/>
      <c r="F255" s="313"/>
    </row>
    <row r="256" spans="1:6">
      <c r="A256" s="315"/>
      <c r="B256" s="316"/>
      <c r="C256" s="317"/>
      <c r="D256" s="315"/>
      <c r="E256" s="318"/>
      <c r="F256" s="313"/>
    </row>
    <row r="257" spans="1:6">
      <c r="A257" s="315">
        <v>1</v>
      </c>
      <c r="B257" s="316" t="s">
        <v>15</v>
      </c>
      <c r="C257" s="317" t="s">
        <v>420</v>
      </c>
      <c r="D257" s="315">
        <v>980</v>
      </c>
      <c r="E257" s="318" t="s">
        <v>421</v>
      </c>
      <c r="F257" s="313">
        <v>9.8000000000000007</v>
      </c>
    </row>
    <row r="258" spans="1:6">
      <c r="A258" s="315"/>
      <c r="B258" s="316"/>
      <c r="C258" s="317" t="s">
        <v>110</v>
      </c>
      <c r="D258" s="315"/>
      <c r="E258" s="318"/>
      <c r="F258" s="313">
        <v>506.4</v>
      </c>
    </row>
    <row r="259" spans="1:6">
      <c r="A259" s="315"/>
      <c r="B259" s="316"/>
      <c r="C259" s="317" t="s">
        <v>422</v>
      </c>
      <c r="D259" s="315"/>
      <c r="E259" s="318"/>
      <c r="F259" s="313">
        <v>5.26</v>
      </c>
    </row>
    <row r="260" spans="1:6">
      <c r="A260" s="315"/>
      <c r="B260" s="316"/>
      <c r="C260" s="317" t="s">
        <v>423</v>
      </c>
      <c r="D260" s="315" t="s">
        <v>424</v>
      </c>
      <c r="E260" s="318"/>
      <c r="F260" s="319">
        <v>521.46</v>
      </c>
    </row>
    <row r="261" spans="1:6">
      <c r="A261" s="315">
        <v>1</v>
      </c>
      <c r="B261" s="316" t="s">
        <v>74</v>
      </c>
      <c r="C261" s="317" t="s">
        <v>114</v>
      </c>
      <c r="D261" s="315">
        <v>712</v>
      </c>
      <c r="E261" s="318" t="s">
        <v>74</v>
      </c>
      <c r="F261" s="313">
        <v>712</v>
      </c>
    </row>
    <row r="262" spans="1:6">
      <c r="A262" s="315">
        <v>1</v>
      </c>
      <c r="B262" s="316" t="s">
        <v>74</v>
      </c>
      <c r="C262" s="317" t="s">
        <v>425</v>
      </c>
      <c r="D262" s="315">
        <v>708</v>
      </c>
      <c r="E262" s="318" t="s">
        <v>74</v>
      </c>
      <c r="F262" s="313">
        <v>708</v>
      </c>
    </row>
    <row r="263" spans="1:6">
      <c r="A263" s="315">
        <v>2</v>
      </c>
      <c r="B263" s="316" t="s">
        <v>74</v>
      </c>
      <c r="C263" s="317" t="s">
        <v>426</v>
      </c>
      <c r="D263" s="315">
        <v>556</v>
      </c>
      <c r="E263" s="318" t="s">
        <v>74</v>
      </c>
      <c r="F263" s="313">
        <v>1112</v>
      </c>
    </row>
    <row r="264" spans="1:6">
      <c r="A264" s="315"/>
      <c r="B264" s="316"/>
      <c r="C264" s="317" t="s">
        <v>427</v>
      </c>
      <c r="D264" s="315"/>
      <c r="E264" s="318"/>
      <c r="F264" s="313">
        <v>2532</v>
      </c>
    </row>
    <row r="265" spans="1:6">
      <c r="A265" s="315"/>
      <c r="B265" s="316"/>
      <c r="C265" s="317" t="s">
        <v>424</v>
      </c>
      <c r="D265" s="315"/>
      <c r="E265" s="318"/>
      <c r="F265" s="313">
        <v>506.4</v>
      </c>
    </row>
    <row r="266" spans="1:6">
      <c r="A266" s="315"/>
      <c r="B266" s="316"/>
      <c r="C266" s="317"/>
      <c r="D266" s="315"/>
      <c r="E266" s="318"/>
      <c r="F266" s="313"/>
    </row>
    <row r="267" spans="1:6">
      <c r="A267" s="315"/>
      <c r="B267" s="316"/>
      <c r="C267" s="317" t="s">
        <v>428</v>
      </c>
      <c r="D267" s="315"/>
      <c r="E267" s="318"/>
      <c r="F267" s="313"/>
    </row>
    <row r="268" spans="1:6" ht="31.5">
      <c r="A268" s="315"/>
      <c r="B268" s="316"/>
      <c r="C268" s="317" t="s">
        <v>429</v>
      </c>
      <c r="D268" s="315"/>
      <c r="E268" s="318"/>
      <c r="F268" s="313"/>
    </row>
    <row r="269" spans="1:6">
      <c r="A269" s="315"/>
      <c r="B269" s="316"/>
      <c r="C269" s="317"/>
      <c r="D269" s="315"/>
      <c r="E269" s="318"/>
      <c r="F269" s="313"/>
    </row>
    <row r="270" spans="1:6" ht="204.75">
      <c r="A270" s="315"/>
      <c r="B270" s="316"/>
      <c r="C270" s="317" t="s">
        <v>430</v>
      </c>
      <c r="D270" s="315"/>
      <c r="E270" s="318"/>
      <c r="F270" s="313"/>
    </row>
    <row r="271" spans="1:6">
      <c r="A271" s="315"/>
      <c r="B271" s="316"/>
      <c r="C271" s="317"/>
      <c r="D271" s="315"/>
      <c r="E271" s="318"/>
      <c r="F271" s="313"/>
    </row>
    <row r="272" spans="1:6" ht="31.5">
      <c r="A272" s="315">
        <v>5</v>
      </c>
      <c r="B272" s="316" t="s">
        <v>15</v>
      </c>
      <c r="C272" s="317" t="s">
        <v>383</v>
      </c>
      <c r="D272" s="315">
        <v>15.5</v>
      </c>
      <c r="E272" s="318" t="s">
        <v>384</v>
      </c>
      <c r="F272" s="313">
        <v>77.5</v>
      </c>
    </row>
    <row r="273" spans="1:6" ht="31.5">
      <c r="A273" s="315">
        <v>2.5</v>
      </c>
      <c r="B273" s="316" t="s">
        <v>15</v>
      </c>
      <c r="C273" s="317" t="s">
        <v>99</v>
      </c>
      <c r="D273" s="315">
        <v>19.100000000000001</v>
      </c>
      <c r="E273" s="318" t="s">
        <v>15</v>
      </c>
      <c r="F273" s="313">
        <v>47.75</v>
      </c>
    </row>
    <row r="274" spans="1:6" ht="47.25">
      <c r="A274" s="315">
        <v>1</v>
      </c>
      <c r="B274" s="316" t="s">
        <v>74</v>
      </c>
      <c r="C274" s="317" t="s">
        <v>431</v>
      </c>
      <c r="D274" s="315">
        <v>39.950000000000003</v>
      </c>
      <c r="E274" s="318" t="s">
        <v>74</v>
      </c>
      <c r="F274" s="313">
        <v>39.950000000000003</v>
      </c>
    </row>
    <row r="275" spans="1:6">
      <c r="A275" s="315"/>
      <c r="B275" s="316"/>
      <c r="C275" s="317" t="s">
        <v>67</v>
      </c>
      <c r="D275" s="315"/>
      <c r="E275" s="318"/>
      <c r="F275" s="313">
        <v>578.94000000000005</v>
      </c>
    </row>
    <row r="276" spans="1:6">
      <c r="A276" s="315"/>
      <c r="B276" s="316"/>
      <c r="C276" s="317" t="s">
        <v>73</v>
      </c>
      <c r="D276" s="315"/>
      <c r="E276" s="318"/>
      <c r="F276" s="313">
        <v>20.77</v>
      </c>
    </row>
    <row r="277" spans="1:6">
      <c r="A277" s="315"/>
      <c r="B277" s="316"/>
      <c r="C277" s="317" t="s">
        <v>432</v>
      </c>
      <c r="D277" s="315"/>
      <c r="E277" s="318"/>
      <c r="F277" s="313">
        <v>764.91</v>
      </c>
    </row>
    <row r="278" spans="1:6">
      <c r="A278" s="315"/>
      <c r="B278" s="316"/>
      <c r="C278" s="317"/>
      <c r="D278" s="315"/>
      <c r="E278" s="318"/>
      <c r="F278" s="313"/>
    </row>
    <row r="279" spans="1:6" ht="31.5">
      <c r="A279" s="315"/>
      <c r="B279" s="316"/>
      <c r="C279" s="317" t="s">
        <v>433</v>
      </c>
      <c r="D279" s="315"/>
      <c r="E279" s="318"/>
      <c r="F279" s="313"/>
    </row>
    <row r="280" spans="1:6">
      <c r="A280" s="315"/>
      <c r="B280" s="316"/>
      <c r="C280" s="317"/>
      <c r="D280" s="315"/>
      <c r="E280" s="318"/>
      <c r="F280" s="313"/>
    </row>
    <row r="281" spans="1:6" ht="141.75">
      <c r="A281" s="315"/>
      <c r="B281" s="316"/>
      <c r="C281" s="317" t="s">
        <v>434</v>
      </c>
      <c r="D281" s="315"/>
      <c r="E281" s="318"/>
      <c r="F281" s="313"/>
    </row>
    <row r="282" spans="1:6">
      <c r="A282" s="315"/>
      <c r="B282" s="316"/>
      <c r="C282" s="317"/>
      <c r="D282" s="315"/>
      <c r="E282" s="318"/>
      <c r="F282" s="313"/>
    </row>
    <row r="283" spans="1:6">
      <c r="A283" s="315"/>
      <c r="B283" s="316"/>
      <c r="C283" s="317" t="s">
        <v>435</v>
      </c>
      <c r="D283" s="315"/>
      <c r="E283" s="318"/>
      <c r="F283" s="313">
        <v>10730.71</v>
      </c>
    </row>
    <row r="284" spans="1:6" ht="31.5">
      <c r="A284" s="315">
        <v>180</v>
      </c>
      <c r="B284" s="316" t="s">
        <v>15</v>
      </c>
      <c r="C284" s="317" t="s">
        <v>436</v>
      </c>
      <c r="D284" s="315">
        <v>24.1</v>
      </c>
      <c r="E284" s="318" t="s">
        <v>15</v>
      </c>
      <c r="F284" s="313">
        <v>4338</v>
      </c>
    </row>
    <row r="285" spans="1:6" ht="31.5">
      <c r="A285" s="315">
        <v>180</v>
      </c>
      <c r="B285" s="316" t="s">
        <v>15</v>
      </c>
      <c r="C285" s="317" t="s">
        <v>437</v>
      </c>
      <c r="D285" s="315">
        <v>15.5</v>
      </c>
      <c r="E285" s="318" t="s">
        <v>98</v>
      </c>
      <c r="F285" s="313">
        <v>2790</v>
      </c>
    </row>
    <row r="286" spans="1:6">
      <c r="A286" s="315"/>
      <c r="B286" s="316"/>
      <c r="C286" s="317" t="s">
        <v>73</v>
      </c>
      <c r="D286" s="315"/>
      <c r="E286" s="318"/>
      <c r="F286" s="313"/>
    </row>
    <row r="287" spans="1:6">
      <c r="A287" s="315"/>
      <c r="B287" s="316"/>
      <c r="C287" s="317" t="s">
        <v>438</v>
      </c>
      <c r="D287" s="315"/>
      <c r="E287" s="318"/>
      <c r="F287" s="313">
        <v>12278.71</v>
      </c>
    </row>
    <row r="288" spans="1:6">
      <c r="A288" s="315"/>
      <c r="B288" s="316"/>
      <c r="C288" s="317" t="s">
        <v>104</v>
      </c>
      <c r="D288" s="315"/>
      <c r="E288" s="318"/>
      <c r="F288" s="313">
        <v>136.43</v>
      </c>
    </row>
    <row r="289" spans="1:6">
      <c r="A289" s="315"/>
      <c r="B289" s="316"/>
      <c r="C289" s="317"/>
      <c r="D289" s="315"/>
      <c r="E289" s="318"/>
      <c r="F289" s="313"/>
    </row>
    <row r="290" spans="1:6">
      <c r="A290" s="315"/>
      <c r="B290" s="316"/>
      <c r="C290" s="317"/>
      <c r="D290" s="315"/>
      <c r="E290" s="318"/>
      <c r="F290" s="313"/>
    </row>
    <row r="291" spans="1:6">
      <c r="A291" s="315"/>
      <c r="B291" s="316"/>
      <c r="C291" s="317"/>
      <c r="D291" s="315"/>
      <c r="E291" s="318"/>
      <c r="F291" s="313"/>
    </row>
    <row r="292" spans="1:6" ht="31.5">
      <c r="A292" s="315"/>
      <c r="B292" s="316"/>
      <c r="C292" s="317" t="s">
        <v>439</v>
      </c>
      <c r="D292" s="315"/>
      <c r="E292" s="318"/>
      <c r="F292" s="313"/>
    </row>
    <row r="293" spans="1:6">
      <c r="A293" s="315"/>
      <c r="B293" s="316"/>
      <c r="C293" s="317"/>
      <c r="D293" s="315"/>
      <c r="E293" s="318"/>
      <c r="F293" s="313"/>
    </row>
    <row r="294" spans="1:6" ht="141.75">
      <c r="A294" s="315"/>
      <c r="B294" s="316"/>
      <c r="C294" s="317" t="s">
        <v>434</v>
      </c>
      <c r="D294" s="315"/>
      <c r="E294" s="318"/>
      <c r="F294" s="313"/>
    </row>
    <row r="295" spans="1:6">
      <c r="A295" s="315"/>
      <c r="B295" s="316"/>
      <c r="C295" s="317"/>
      <c r="D295" s="315"/>
      <c r="E295" s="318"/>
      <c r="F295" s="313"/>
    </row>
    <row r="296" spans="1:6">
      <c r="A296" s="315"/>
      <c r="B296" s="316"/>
      <c r="C296" s="317" t="s">
        <v>435</v>
      </c>
      <c r="D296" s="315"/>
      <c r="E296" s="318"/>
      <c r="F296" s="313">
        <v>10730.71</v>
      </c>
    </row>
    <row r="297" spans="1:6" ht="31.5">
      <c r="A297" s="315">
        <v>180</v>
      </c>
      <c r="B297" s="316" t="s">
        <v>15</v>
      </c>
      <c r="C297" s="317" t="s">
        <v>440</v>
      </c>
      <c r="D297" s="315">
        <v>38.299999999999997</v>
      </c>
      <c r="E297" s="318" t="s">
        <v>15</v>
      </c>
      <c r="F297" s="313">
        <v>6894</v>
      </c>
    </row>
    <row r="298" spans="1:6" ht="31.5">
      <c r="A298" s="315">
        <v>180</v>
      </c>
      <c r="B298" s="316" t="s">
        <v>15</v>
      </c>
      <c r="C298" s="317" t="s">
        <v>437</v>
      </c>
      <c r="D298" s="315">
        <v>15.5</v>
      </c>
      <c r="E298" s="318" t="s">
        <v>98</v>
      </c>
      <c r="F298" s="313">
        <v>2790</v>
      </c>
    </row>
    <row r="299" spans="1:6">
      <c r="A299" s="315"/>
      <c r="B299" s="316"/>
      <c r="C299" s="317" t="s">
        <v>73</v>
      </c>
      <c r="D299" s="315"/>
      <c r="E299" s="318"/>
      <c r="F299" s="313"/>
    </row>
    <row r="300" spans="1:6">
      <c r="A300" s="315"/>
      <c r="C300" s="316" t="s">
        <v>438</v>
      </c>
      <c r="D300" s="315"/>
      <c r="E300" s="318"/>
      <c r="F300" s="313">
        <v>14834.71</v>
      </c>
    </row>
    <row r="301" spans="1:6">
      <c r="A301" s="315"/>
      <c r="B301" s="316"/>
      <c r="C301" s="317" t="s">
        <v>104</v>
      </c>
      <c r="D301" s="315"/>
      <c r="E301" s="318"/>
      <c r="F301" s="313">
        <v>164.83</v>
      </c>
    </row>
    <row r="302" spans="1:6">
      <c r="A302" s="315"/>
      <c r="B302" s="316"/>
      <c r="C302" s="317"/>
      <c r="D302" s="315"/>
      <c r="E302" s="318"/>
      <c r="F302" s="313"/>
    </row>
    <row r="303" spans="1:6" ht="31.5">
      <c r="A303" s="315"/>
      <c r="B303" s="316"/>
      <c r="C303" s="317" t="s">
        <v>441</v>
      </c>
      <c r="D303" s="315"/>
      <c r="E303" s="318"/>
      <c r="F303" s="313"/>
    </row>
    <row r="304" spans="1:6">
      <c r="A304" s="315"/>
      <c r="B304" s="316"/>
      <c r="C304" s="317"/>
      <c r="D304" s="315"/>
      <c r="E304" s="318"/>
      <c r="F304" s="313"/>
    </row>
    <row r="305" spans="1:6" ht="204.75">
      <c r="A305" s="315"/>
      <c r="B305" s="316"/>
      <c r="C305" s="317" t="s">
        <v>442</v>
      </c>
      <c r="D305" s="315"/>
      <c r="E305" s="318"/>
      <c r="F305" s="313"/>
    </row>
    <row r="306" spans="1:6" ht="31.5">
      <c r="A306" s="315">
        <v>90</v>
      </c>
      <c r="B306" s="316" t="s">
        <v>15</v>
      </c>
      <c r="C306" s="317" t="s">
        <v>383</v>
      </c>
      <c r="D306" s="315">
        <v>15.5</v>
      </c>
      <c r="E306" s="318" t="s">
        <v>15</v>
      </c>
      <c r="F306" s="313">
        <v>1395</v>
      </c>
    </row>
    <row r="307" spans="1:6" ht="31.5">
      <c r="A307" s="315">
        <v>45</v>
      </c>
      <c r="B307" s="316" t="s">
        <v>15</v>
      </c>
      <c r="C307" s="317" t="s">
        <v>99</v>
      </c>
      <c r="D307" s="315">
        <v>19.100000000000001</v>
      </c>
      <c r="E307" s="318" t="s">
        <v>15</v>
      </c>
      <c r="F307" s="313">
        <v>859.5</v>
      </c>
    </row>
    <row r="308" spans="1:6">
      <c r="A308" s="315">
        <v>20</v>
      </c>
      <c r="B308" s="316" t="s">
        <v>74</v>
      </c>
      <c r="C308" s="317" t="s">
        <v>385</v>
      </c>
      <c r="D308" s="315">
        <v>3</v>
      </c>
      <c r="E308" s="318" t="s">
        <v>390</v>
      </c>
      <c r="F308" s="313">
        <v>60</v>
      </c>
    </row>
    <row r="309" spans="1:6">
      <c r="A309" s="315">
        <v>10</v>
      </c>
      <c r="B309" s="316" t="s">
        <v>74</v>
      </c>
      <c r="C309" s="317" t="s">
        <v>388</v>
      </c>
      <c r="D309" s="315">
        <v>1.28</v>
      </c>
      <c r="E309" s="318" t="s">
        <v>390</v>
      </c>
      <c r="F309" s="313">
        <v>12.8</v>
      </c>
    </row>
    <row r="310" spans="1:6">
      <c r="A310" s="315">
        <v>1</v>
      </c>
      <c r="B310" s="316" t="s">
        <v>74</v>
      </c>
      <c r="C310" s="317" t="s">
        <v>443</v>
      </c>
      <c r="D310" s="315">
        <v>63.1</v>
      </c>
      <c r="E310" s="318" t="s">
        <v>74</v>
      </c>
      <c r="F310" s="313">
        <v>63.1</v>
      </c>
    </row>
    <row r="311" spans="1:6">
      <c r="A311" s="315">
        <v>1.4999999999999999E-2</v>
      </c>
      <c r="B311" s="316" t="s">
        <v>247</v>
      </c>
      <c r="C311" s="317" t="s">
        <v>444</v>
      </c>
      <c r="D311" s="315">
        <v>630</v>
      </c>
      <c r="E311" s="318" t="s">
        <v>247</v>
      </c>
      <c r="F311" s="313">
        <v>9.4499999999999993</v>
      </c>
    </row>
    <row r="312" spans="1:6" ht="31.5">
      <c r="A312" s="315">
        <v>15</v>
      </c>
      <c r="B312" s="316" t="s">
        <v>74</v>
      </c>
      <c r="C312" s="317" t="s">
        <v>445</v>
      </c>
      <c r="D312" s="315">
        <v>39.950000000000003</v>
      </c>
      <c r="E312" s="318" t="s">
        <v>74</v>
      </c>
      <c r="F312" s="313">
        <v>599.25</v>
      </c>
    </row>
    <row r="313" spans="1:6">
      <c r="A313" s="315">
        <v>15</v>
      </c>
      <c r="B313" s="316" t="s">
        <v>74</v>
      </c>
      <c r="C313" s="317" t="s">
        <v>443</v>
      </c>
      <c r="D313" s="315">
        <v>63.1</v>
      </c>
      <c r="E313" s="318" t="s">
        <v>74</v>
      </c>
      <c r="F313" s="313">
        <v>946.5</v>
      </c>
    </row>
    <row r="314" spans="1:6">
      <c r="A314" s="315">
        <v>0.22500000000000001</v>
      </c>
      <c r="B314" s="316" t="s">
        <v>247</v>
      </c>
      <c r="C314" s="317" t="s">
        <v>444</v>
      </c>
      <c r="D314" s="315">
        <v>630</v>
      </c>
      <c r="E314" s="318" t="s">
        <v>446</v>
      </c>
      <c r="F314" s="313">
        <v>141.75</v>
      </c>
    </row>
    <row r="315" spans="1:6">
      <c r="A315" s="315">
        <v>1.25</v>
      </c>
      <c r="B315" s="316" t="s">
        <v>100</v>
      </c>
      <c r="C315" s="317" t="s">
        <v>101</v>
      </c>
      <c r="D315" s="315">
        <v>298</v>
      </c>
      <c r="E315" s="318" t="s">
        <v>100</v>
      </c>
      <c r="F315" s="313">
        <v>372.5</v>
      </c>
    </row>
    <row r="316" spans="1:6" ht="47.25">
      <c r="A316" s="315">
        <v>45</v>
      </c>
      <c r="B316" s="316" t="s">
        <v>247</v>
      </c>
      <c r="C316" s="317" t="s">
        <v>400</v>
      </c>
      <c r="D316" s="315">
        <v>15.5</v>
      </c>
      <c r="E316" s="318" t="s">
        <v>15</v>
      </c>
      <c r="F316" s="313">
        <v>697.5</v>
      </c>
    </row>
    <row r="317" spans="1:6">
      <c r="A317" s="315"/>
      <c r="B317" s="316"/>
      <c r="C317" s="317" t="s">
        <v>67</v>
      </c>
      <c r="D317" s="315"/>
      <c r="E317" s="318"/>
      <c r="F317" s="313">
        <v>4392.67</v>
      </c>
    </row>
    <row r="318" spans="1:6">
      <c r="A318" s="315"/>
      <c r="B318" s="316"/>
      <c r="C318" s="317" t="s">
        <v>73</v>
      </c>
      <c r="D318" s="315"/>
      <c r="E318" s="318"/>
      <c r="F318" s="313">
        <v>26.7</v>
      </c>
    </row>
    <row r="319" spans="1:6">
      <c r="A319" s="315"/>
      <c r="B319" s="316"/>
      <c r="C319" s="317" t="s">
        <v>447</v>
      </c>
      <c r="D319" s="315"/>
      <c r="E319" s="318"/>
      <c r="F319" s="313">
        <v>9576.7199999999993</v>
      </c>
    </row>
    <row r="320" spans="1:6">
      <c r="A320" s="315"/>
      <c r="B320" s="316"/>
      <c r="C320" s="317" t="s">
        <v>432</v>
      </c>
      <c r="D320" s="315"/>
      <c r="E320" s="318"/>
      <c r="F320" s="319">
        <v>638.45000000000005</v>
      </c>
    </row>
    <row r="321" spans="1:6">
      <c r="A321" s="315"/>
      <c r="B321" s="316"/>
      <c r="C321" s="317" t="s">
        <v>67</v>
      </c>
      <c r="D321" s="315"/>
      <c r="E321" s="318"/>
      <c r="F321" s="313"/>
    </row>
    <row r="322" spans="1:6">
      <c r="A322" s="315">
        <v>1</v>
      </c>
      <c r="B322" s="316" t="s">
        <v>74</v>
      </c>
      <c r="C322" s="317" t="s">
        <v>448</v>
      </c>
      <c r="D322" s="315">
        <v>817</v>
      </c>
      <c r="E322" s="318" t="s">
        <v>74</v>
      </c>
      <c r="F322" s="313">
        <v>817</v>
      </c>
    </row>
    <row r="323" spans="1:6">
      <c r="A323" s="315">
        <v>2</v>
      </c>
      <c r="B323" s="316" t="s">
        <v>74</v>
      </c>
      <c r="C323" s="317" t="s">
        <v>449</v>
      </c>
      <c r="D323" s="315">
        <v>712</v>
      </c>
      <c r="E323" s="318" t="s">
        <v>74</v>
      </c>
      <c r="F323" s="313">
        <v>1424</v>
      </c>
    </row>
    <row r="324" spans="1:6">
      <c r="A324" s="315">
        <v>3</v>
      </c>
      <c r="B324" s="316" t="s">
        <v>74</v>
      </c>
      <c r="C324" s="317" t="s">
        <v>450</v>
      </c>
      <c r="D324" s="315">
        <v>708</v>
      </c>
      <c r="E324" s="318" t="s">
        <v>74</v>
      </c>
      <c r="F324" s="313">
        <v>2124</v>
      </c>
    </row>
    <row r="325" spans="1:6">
      <c r="A325" s="315">
        <v>4</v>
      </c>
      <c r="B325" s="316" t="s">
        <v>74</v>
      </c>
      <c r="C325" s="317" t="s">
        <v>451</v>
      </c>
      <c r="D325" s="315">
        <v>556</v>
      </c>
      <c r="E325" s="318" t="s">
        <v>74</v>
      </c>
      <c r="F325" s="313">
        <v>2224</v>
      </c>
    </row>
    <row r="326" spans="1:6">
      <c r="A326" s="315"/>
      <c r="B326" s="316"/>
      <c r="C326" s="317"/>
      <c r="D326" s="315"/>
      <c r="E326" s="318"/>
      <c r="F326" s="313">
        <v>6589</v>
      </c>
    </row>
    <row r="327" spans="1:6">
      <c r="A327" s="315"/>
      <c r="B327" s="316"/>
      <c r="C327" s="317"/>
      <c r="D327" s="315"/>
      <c r="E327" s="318"/>
      <c r="F327" s="313"/>
    </row>
    <row r="328" spans="1:6" ht="63">
      <c r="A328" s="315"/>
      <c r="B328" s="316"/>
      <c r="C328" s="317" t="s">
        <v>452</v>
      </c>
      <c r="D328" s="315"/>
      <c r="E328" s="318"/>
      <c r="F328" s="313"/>
    </row>
    <row r="329" spans="1:6" ht="110.25">
      <c r="A329" s="315"/>
      <c r="B329" s="316"/>
      <c r="C329" s="317" t="s">
        <v>275</v>
      </c>
      <c r="D329" s="315"/>
      <c r="E329" s="318"/>
      <c r="F329" s="313"/>
    </row>
    <row r="330" spans="1:6">
      <c r="A330" s="315"/>
      <c r="B330" s="316"/>
      <c r="C330" s="317"/>
      <c r="D330" s="315"/>
      <c r="E330" s="318"/>
      <c r="F330" s="313"/>
    </row>
    <row r="331" spans="1:6" ht="47.25">
      <c r="A331" s="315">
        <v>1</v>
      </c>
      <c r="B331" s="316" t="s">
        <v>74</v>
      </c>
      <c r="C331" s="317" t="s">
        <v>453</v>
      </c>
      <c r="D331" s="315">
        <v>2289</v>
      </c>
      <c r="E331" s="318" t="s">
        <v>74</v>
      </c>
      <c r="F331" s="313">
        <v>2289</v>
      </c>
    </row>
    <row r="332" spans="1:6">
      <c r="A332" s="315">
        <v>1</v>
      </c>
      <c r="B332" s="316" t="s">
        <v>74</v>
      </c>
      <c r="C332" s="317" t="s">
        <v>454</v>
      </c>
      <c r="D332" s="315">
        <v>417.56</v>
      </c>
      <c r="E332" s="318" t="s">
        <v>74</v>
      </c>
      <c r="F332" s="313">
        <v>417.56</v>
      </c>
    </row>
    <row r="333" spans="1:6" ht="31.5">
      <c r="A333" s="315"/>
      <c r="B333" s="316"/>
      <c r="C333" s="317" t="s">
        <v>455</v>
      </c>
      <c r="D333" s="315"/>
      <c r="E333" s="318"/>
      <c r="F333" s="313">
        <v>28.29</v>
      </c>
    </row>
    <row r="334" spans="1:6">
      <c r="A334" s="315"/>
      <c r="B334" s="316"/>
      <c r="C334" s="317" t="s">
        <v>67</v>
      </c>
      <c r="D334" s="315"/>
      <c r="E334" s="318"/>
      <c r="F334" s="313">
        <v>608</v>
      </c>
    </row>
    <row r="335" spans="1:6">
      <c r="A335" s="315"/>
      <c r="B335" s="316"/>
      <c r="C335" s="317" t="s">
        <v>424</v>
      </c>
      <c r="D335" s="315"/>
      <c r="E335" s="318"/>
      <c r="F335" s="313">
        <v>3342.85</v>
      </c>
    </row>
    <row r="336" spans="1:6">
      <c r="A336" s="315"/>
      <c r="B336" s="316"/>
      <c r="C336" s="317"/>
      <c r="D336" s="315"/>
      <c r="E336" s="318"/>
      <c r="F336" s="313"/>
    </row>
    <row r="337" spans="1:6">
      <c r="A337" s="315"/>
      <c r="B337" s="316"/>
      <c r="C337" s="317" t="s">
        <v>277</v>
      </c>
      <c r="D337" s="315"/>
      <c r="E337" s="318"/>
      <c r="F337" s="313"/>
    </row>
    <row r="338" spans="1:6">
      <c r="A338" s="315"/>
      <c r="B338" s="316"/>
      <c r="C338" s="317"/>
      <c r="D338" s="315"/>
      <c r="E338" s="318"/>
      <c r="F338" s="313"/>
    </row>
    <row r="339" spans="1:6">
      <c r="A339" s="315">
        <v>1</v>
      </c>
      <c r="B339" s="316" t="s">
        <v>74</v>
      </c>
      <c r="C339" s="317" t="s">
        <v>456</v>
      </c>
      <c r="D339" s="315">
        <v>1858</v>
      </c>
      <c r="E339" s="318" t="s">
        <v>74</v>
      </c>
      <c r="F339" s="313">
        <v>1858</v>
      </c>
    </row>
    <row r="340" spans="1:6" ht="31.5">
      <c r="A340" s="315">
        <v>3</v>
      </c>
      <c r="B340" s="316" t="s">
        <v>74</v>
      </c>
      <c r="C340" s="317" t="s">
        <v>457</v>
      </c>
      <c r="D340" s="315">
        <v>127</v>
      </c>
      <c r="E340" s="318" t="s">
        <v>74</v>
      </c>
      <c r="F340" s="313">
        <v>381</v>
      </c>
    </row>
    <row r="341" spans="1:6">
      <c r="A341" s="315"/>
      <c r="B341" s="316"/>
      <c r="C341" s="317" t="s">
        <v>458</v>
      </c>
      <c r="D341" s="315"/>
      <c r="E341" s="318"/>
      <c r="F341" s="313">
        <v>727.6</v>
      </c>
    </row>
    <row r="342" spans="1:6">
      <c r="A342" s="315"/>
      <c r="B342" s="316"/>
      <c r="C342" s="317" t="s">
        <v>73</v>
      </c>
      <c r="D342" s="315"/>
      <c r="E342" s="318"/>
      <c r="F342" s="313">
        <v>5</v>
      </c>
    </row>
    <row r="343" spans="1:6">
      <c r="A343" s="315"/>
      <c r="B343" s="316"/>
      <c r="C343" s="317" t="s">
        <v>459</v>
      </c>
      <c r="D343" s="315"/>
      <c r="E343" s="318"/>
      <c r="F343" s="313">
        <v>2971.6</v>
      </c>
    </row>
    <row r="344" spans="1:6">
      <c r="A344" s="315"/>
      <c r="B344" s="316"/>
      <c r="C344" s="317"/>
      <c r="D344" s="315"/>
      <c r="E344" s="318"/>
      <c r="F344" s="313"/>
    </row>
    <row r="345" spans="1:6">
      <c r="A345" s="315">
        <v>41</v>
      </c>
      <c r="B345" s="316" t="s">
        <v>46</v>
      </c>
      <c r="C345" s="317" t="s">
        <v>460</v>
      </c>
      <c r="D345" s="315"/>
      <c r="E345" s="318"/>
      <c r="F345" s="313"/>
    </row>
    <row r="346" spans="1:6">
      <c r="A346" s="315"/>
      <c r="B346" s="316"/>
      <c r="C346" s="317" t="s">
        <v>461</v>
      </c>
      <c r="D346" s="315"/>
      <c r="E346" s="318"/>
      <c r="F346" s="313"/>
    </row>
    <row r="347" spans="1:6">
      <c r="A347" s="315"/>
      <c r="B347" s="316"/>
      <c r="C347" s="317" t="s">
        <v>462</v>
      </c>
      <c r="D347" s="315"/>
      <c r="E347" s="318"/>
      <c r="F347" s="313"/>
    </row>
    <row r="348" spans="1:6">
      <c r="A348" s="315"/>
      <c r="B348" s="316"/>
      <c r="C348" s="317" t="s">
        <v>40</v>
      </c>
      <c r="D348" s="315"/>
      <c r="E348" s="318"/>
      <c r="F348" s="313"/>
    </row>
    <row r="349" spans="1:6">
      <c r="A349" s="315">
        <v>2.2200000000000002</v>
      </c>
      <c r="B349" s="316" t="s">
        <v>363</v>
      </c>
      <c r="C349" s="317" t="s">
        <v>463</v>
      </c>
      <c r="D349" s="315">
        <v>225.4</v>
      </c>
      <c r="E349" s="318" t="s">
        <v>363</v>
      </c>
      <c r="F349" s="313">
        <v>500.39</v>
      </c>
    </row>
    <row r="350" spans="1:6">
      <c r="A350" s="315">
        <v>1.1000000000000001</v>
      </c>
      <c r="B350" s="316" t="s">
        <v>206</v>
      </c>
      <c r="C350" s="317" t="s">
        <v>366</v>
      </c>
      <c r="D350" s="315">
        <v>756.8</v>
      </c>
      <c r="E350" s="318" t="s">
        <v>206</v>
      </c>
      <c r="F350" s="313">
        <v>832.48</v>
      </c>
    </row>
    <row r="351" spans="1:6">
      <c r="A351" s="315"/>
      <c r="B351" s="316" t="s">
        <v>38</v>
      </c>
      <c r="C351" s="317" t="s">
        <v>367</v>
      </c>
      <c r="D351" s="315" t="s">
        <v>44</v>
      </c>
      <c r="E351" s="318" t="s">
        <v>38</v>
      </c>
      <c r="F351" s="313">
        <v>1.5</v>
      </c>
    </row>
    <row r="352" spans="1:6">
      <c r="A352" s="315"/>
      <c r="B352" s="316"/>
      <c r="C352" s="317"/>
      <c r="D352" s="315"/>
      <c r="E352" s="318"/>
      <c r="F352" s="313" t="s">
        <v>40</v>
      </c>
    </row>
    <row r="353" spans="1:6">
      <c r="A353" s="315"/>
      <c r="B353" s="316"/>
      <c r="C353" s="313" t="s">
        <v>357</v>
      </c>
      <c r="D353" s="315"/>
      <c r="E353" s="318"/>
      <c r="F353" s="313">
        <v>1334.37</v>
      </c>
    </row>
    <row r="354" spans="1:6">
      <c r="A354" s="315"/>
      <c r="B354" s="316"/>
      <c r="C354" s="313"/>
      <c r="D354" s="315"/>
      <c r="E354" s="318"/>
      <c r="F354" s="313" t="s">
        <v>40</v>
      </c>
    </row>
    <row r="355" spans="1:6">
      <c r="A355" s="315"/>
      <c r="B355" s="316"/>
      <c r="C355" s="313" t="s">
        <v>358</v>
      </c>
      <c r="D355" s="315"/>
      <c r="E355" s="318"/>
      <c r="F355" s="313">
        <v>133.44</v>
      </c>
    </row>
    <row r="356" spans="1:6">
      <c r="A356" s="315"/>
      <c r="B356" s="316"/>
      <c r="C356" s="317"/>
      <c r="D356" s="315"/>
      <c r="E356" s="318"/>
      <c r="F356" s="313"/>
    </row>
    <row r="357" spans="1:6">
      <c r="A357" s="315"/>
      <c r="B357" s="316"/>
      <c r="C357" s="313"/>
      <c r="D357" s="315"/>
      <c r="E357" s="318"/>
      <c r="F357" s="313"/>
    </row>
    <row r="358" spans="1:6">
      <c r="A358" s="315"/>
      <c r="B358" s="316"/>
      <c r="C358" s="313"/>
      <c r="D358" s="315"/>
      <c r="E358" s="318"/>
      <c r="F358" s="313"/>
    </row>
    <row r="359" spans="1:6">
      <c r="A359" s="315"/>
      <c r="B359" s="316"/>
      <c r="C359" s="313"/>
      <c r="D359" s="315"/>
      <c r="E359" s="318"/>
      <c r="F359" s="313"/>
    </row>
    <row r="360" spans="1:6">
      <c r="A360" s="315"/>
      <c r="B360" s="316"/>
      <c r="C360" s="313"/>
      <c r="D360" s="315"/>
      <c r="E360" s="318"/>
      <c r="F360" s="313"/>
    </row>
    <row r="361" spans="1:6">
      <c r="A361" s="315"/>
      <c r="B361" s="316"/>
      <c r="C361" s="313"/>
      <c r="D361" s="315"/>
      <c r="E361" s="318"/>
      <c r="F361" s="313"/>
    </row>
    <row r="362" spans="1:6">
      <c r="A362" s="315"/>
      <c r="B362" s="316"/>
      <c r="C362" s="313"/>
      <c r="D362" s="315"/>
      <c r="E362" s="318"/>
      <c r="F362" s="313"/>
    </row>
    <row r="363" spans="1:6">
      <c r="A363" s="315"/>
      <c r="B363" s="316"/>
      <c r="C363" s="313"/>
      <c r="D363" s="315"/>
      <c r="E363" s="318"/>
      <c r="F363" s="313"/>
    </row>
    <row r="364" spans="1:6">
      <c r="A364" s="315"/>
      <c r="B364" s="316"/>
      <c r="C364" s="317"/>
      <c r="D364" s="315"/>
      <c r="E364" s="318"/>
      <c r="F364" s="313"/>
    </row>
    <row r="365" spans="1:6">
      <c r="A365" s="315"/>
      <c r="B365" s="316"/>
      <c r="C365" s="317"/>
      <c r="D365" s="315"/>
      <c r="E365" s="318"/>
      <c r="F365" s="313"/>
    </row>
    <row r="366" spans="1:6">
      <c r="A366" s="315"/>
      <c r="B366" s="316"/>
      <c r="C366" s="317"/>
      <c r="D366" s="315"/>
      <c r="E366" s="318"/>
      <c r="F366" s="313"/>
    </row>
    <row r="367" spans="1:6">
      <c r="A367" s="315"/>
      <c r="B367" s="316"/>
      <c r="C367" s="317"/>
      <c r="D367" s="315"/>
      <c r="E367" s="318"/>
      <c r="F367" s="313"/>
    </row>
    <row r="368" spans="1:6">
      <c r="A368" s="315"/>
      <c r="B368" s="316"/>
      <c r="C368" s="317"/>
      <c r="D368" s="315"/>
      <c r="E368" s="318"/>
      <c r="F368" s="313"/>
    </row>
    <row r="369" spans="1:6">
      <c r="A369" s="315"/>
      <c r="B369" s="316"/>
      <c r="C369" s="317"/>
      <c r="D369" s="315"/>
      <c r="E369" s="318"/>
      <c r="F369" s="313"/>
    </row>
  </sheetData>
  <pageMargins left="0.85" right="0.38" top="0.35" bottom="0.34" header="0.3" footer="0.3"/>
  <pageSetup scale="95" orientation="portrait" r:id="rId1"/>
</worksheet>
</file>

<file path=xl/worksheets/sheet13.xml><?xml version="1.0" encoding="utf-8"?>
<worksheet xmlns="http://schemas.openxmlformats.org/spreadsheetml/2006/main" xmlns:r="http://schemas.openxmlformats.org/officeDocument/2006/relationships">
  <sheetPr>
    <tabColor rgb="FFFF0000"/>
  </sheetPr>
  <dimension ref="A1:IV465"/>
  <sheetViews>
    <sheetView showZeros="0" view="pageBreakPreview" topLeftCell="A450" zoomScaleSheetLayoutView="100" workbookViewId="0">
      <selection activeCell="I456" sqref="I456"/>
    </sheetView>
  </sheetViews>
  <sheetFormatPr defaultColWidth="11.42578125" defaultRowHeight="15.75"/>
  <cols>
    <col min="1" max="1" width="8.28515625" style="383" customWidth="1"/>
    <col min="2" max="2" width="42" style="348" bestFit="1" customWidth="1"/>
    <col min="3" max="5" width="4.28515625" style="384" customWidth="1"/>
    <col min="6" max="6" width="7.7109375" style="350" customWidth="1"/>
    <col min="7" max="7" width="9.42578125" style="350" customWidth="1"/>
    <col min="8" max="8" width="8.140625" style="350" customWidth="1"/>
    <col min="9" max="9" width="9.42578125" style="350" bestFit="1" customWidth="1"/>
    <col min="10" max="10" width="6" style="340" bestFit="1" customWidth="1"/>
    <col min="11" max="11" width="20.140625" style="328" customWidth="1"/>
    <col min="12" max="12" width="19.140625" style="328" customWidth="1"/>
    <col min="13" max="13" width="12.42578125" style="328" customWidth="1"/>
    <col min="14" max="14" width="5.42578125" style="328" customWidth="1"/>
    <col min="15" max="15" width="7.42578125" style="328" customWidth="1"/>
    <col min="16" max="16" width="9.5703125" style="328" customWidth="1"/>
    <col min="17" max="256" width="11.42578125" style="328"/>
    <col min="257" max="257" width="8.28515625" style="328" customWidth="1"/>
    <col min="258" max="258" width="42" style="328" bestFit="1" customWidth="1"/>
    <col min="259" max="260" width="2.85546875" style="328" bestFit="1" customWidth="1"/>
    <col min="261" max="261" width="5.28515625" style="328" customWidth="1"/>
    <col min="262" max="262" width="10" style="328" customWidth="1"/>
    <col min="263" max="263" width="4.85546875" style="328" bestFit="1" customWidth="1"/>
    <col min="264" max="264" width="8.140625" style="328" customWidth="1"/>
    <col min="265" max="265" width="9.42578125" style="328" bestFit="1" customWidth="1"/>
    <col min="266" max="266" width="6" style="328" bestFit="1" customWidth="1"/>
    <col min="267" max="267" width="20.140625" style="328" customWidth="1"/>
    <col min="268" max="268" width="9.28515625" style="328" bestFit="1" customWidth="1"/>
    <col min="269" max="269" width="12.42578125" style="328" customWidth="1"/>
    <col min="270" max="270" width="5.42578125" style="328" customWidth="1"/>
    <col min="271" max="271" width="7.42578125" style="328" customWidth="1"/>
    <col min="272" max="272" width="9.5703125" style="328" customWidth="1"/>
    <col min="273" max="512" width="11.42578125" style="328"/>
    <col min="513" max="513" width="8.28515625" style="328" customWidth="1"/>
    <col min="514" max="514" width="42" style="328" bestFit="1" customWidth="1"/>
    <col min="515" max="516" width="2.85546875" style="328" bestFit="1" customWidth="1"/>
    <col min="517" max="517" width="5.28515625" style="328" customWidth="1"/>
    <col min="518" max="518" width="10" style="328" customWidth="1"/>
    <col min="519" max="519" width="4.85546875" style="328" bestFit="1" customWidth="1"/>
    <col min="520" max="520" width="8.140625" style="328" customWidth="1"/>
    <col min="521" max="521" width="9.42578125" style="328" bestFit="1" customWidth="1"/>
    <col min="522" max="522" width="6" style="328" bestFit="1" customWidth="1"/>
    <col min="523" max="523" width="20.140625" style="328" customWidth="1"/>
    <col min="524" max="524" width="9.28515625" style="328" bestFit="1" customWidth="1"/>
    <col min="525" max="525" width="12.42578125" style="328" customWidth="1"/>
    <col min="526" max="526" width="5.42578125" style="328" customWidth="1"/>
    <col min="527" max="527" width="7.42578125" style="328" customWidth="1"/>
    <col min="528" max="528" width="9.5703125" style="328" customWidth="1"/>
    <col min="529" max="768" width="11.42578125" style="328"/>
    <col min="769" max="769" width="8.28515625" style="328" customWidth="1"/>
    <col min="770" max="770" width="42" style="328" bestFit="1" customWidth="1"/>
    <col min="771" max="772" width="2.85546875" style="328" bestFit="1" customWidth="1"/>
    <col min="773" max="773" width="5.28515625" style="328" customWidth="1"/>
    <col min="774" max="774" width="10" style="328" customWidth="1"/>
    <col min="775" max="775" width="4.85546875" style="328" bestFit="1" customWidth="1"/>
    <col min="776" max="776" width="8.140625" style="328" customWidth="1"/>
    <col min="777" max="777" width="9.42578125" style="328" bestFit="1" customWidth="1"/>
    <col min="778" max="778" width="6" style="328" bestFit="1" customWidth="1"/>
    <col min="779" max="779" width="20.140625" style="328" customWidth="1"/>
    <col min="780" max="780" width="9.28515625" style="328" bestFit="1" customWidth="1"/>
    <col min="781" max="781" width="12.42578125" style="328" customWidth="1"/>
    <col min="782" max="782" width="5.42578125" style="328" customWidth="1"/>
    <col min="783" max="783" width="7.42578125" style="328" customWidth="1"/>
    <col min="784" max="784" width="9.5703125" style="328" customWidth="1"/>
    <col min="785" max="1024" width="11.42578125" style="328"/>
    <col min="1025" max="1025" width="8.28515625" style="328" customWidth="1"/>
    <col min="1026" max="1026" width="42" style="328" bestFit="1" customWidth="1"/>
    <col min="1027" max="1028" width="2.85546875" style="328" bestFit="1" customWidth="1"/>
    <col min="1029" max="1029" width="5.28515625" style="328" customWidth="1"/>
    <col min="1030" max="1030" width="10" style="328" customWidth="1"/>
    <col min="1031" max="1031" width="4.85546875" style="328" bestFit="1" customWidth="1"/>
    <col min="1032" max="1032" width="8.140625" style="328" customWidth="1"/>
    <col min="1033" max="1033" width="9.42578125" style="328" bestFit="1" customWidth="1"/>
    <col min="1034" max="1034" width="6" style="328" bestFit="1" customWidth="1"/>
    <col min="1035" max="1035" width="20.140625" style="328" customWidth="1"/>
    <col min="1036" max="1036" width="9.28515625" style="328" bestFit="1" customWidth="1"/>
    <col min="1037" max="1037" width="12.42578125" style="328" customWidth="1"/>
    <col min="1038" max="1038" width="5.42578125" style="328" customWidth="1"/>
    <col min="1039" max="1039" width="7.42578125" style="328" customWidth="1"/>
    <col min="1040" max="1040" width="9.5703125" style="328" customWidth="1"/>
    <col min="1041" max="1280" width="11.42578125" style="328"/>
    <col min="1281" max="1281" width="8.28515625" style="328" customWidth="1"/>
    <col min="1282" max="1282" width="42" style="328" bestFit="1" customWidth="1"/>
    <col min="1283" max="1284" width="2.85546875" style="328" bestFit="1" customWidth="1"/>
    <col min="1285" max="1285" width="5.28515625" style="328" customWidth="1"/>
    <col min="1286" max="1286" width="10" style="328" customWidth="1"/>
    <col min="1287" max="1287" width="4.85546875" style="328" bestFit="1" customWidth="1"/>
    <col min="1288" max="1288" width="8.140625" style="328" customWidth="1"/>
    <col min="1289" max="1289" width="9.42578125" style="328" bestFit="1" customWidth="1"/>
    <col min="1290" max="1290" width="6" style="328" bestFit="1" customWidth="1"/>
    <col min="1291" max="1291" width="20.140625" style="328" customWidth="1"/>
    <col min="1292" max="1292" width="9.28515625" style="328" bestFit="1" customWidth="1"/>
    <col min="1293" max="1293" width="12.42578125" style="328" customWidth="1"/>
    <col min="1294" max="1294" width="5.42578125" style="328" customWidth="1"/>
    <col min="1295" max="1295" width="7.42578125" style="328" customWidth="1"/>
    <col min="1296" max="1296" width="9.5703125" style="328" customWidth="1"/>
    <col min="1297" max="1536" width="11.42578125" style="328"/>
    <col min="1537" max="1537" width="8.28515625" style="328" customWidth="1"/>
    <col min="1538" max="1538" width="42" style="328" bestFit="1" customWidth="1"/>
    <col min="1539" max="1540" width="2.85546875" style="328" bestFit="1" customWidth="1"/>
    <col min="1541" max="1541" width="5.28515625" style="328" customWidth="1"/>
    <col min="1542" max="1542" width="10" style="328" customWidth="1"/>
    <col min="1543" max="1543" width="4.85546875" style="328" bestFit="1" customWidth="1"/>
    <col min="1544" max="1544" width="8.140625" style="328" customWidth="1"/>
    <col min="1545" max="1545" width="9.42578125" style="328" bestFit="1" customWidth="1"/>
    <col min="1546" max="1546" width="6" style="328" bestFit="1" customWidth="1"/>
    <col min="1547" max="1547" width="20.140625" style="328" customWidth="1"/>
    <col min="1548" max="1548" width="9.28515625" style="328" bestFit="1" customWidth="1"/>
    <col min="1549" max="1549" width="12.42578125" style="328" customWidth="1"/>
    <col min="1550" max="1550" width="5.42578125" style="328" customWidth="1"/>
    <col min="1551" max="1551" width="7.42578125" style="328" customWidth="1"/>
    <col min="1552" max="1552" width="9.5703125" style="328" customWidth="1"/>
    <col min="1553" max="1792" width="11.42578125" style="328"/>
    <col min="1793" max="1793" width="8.28515625" style="328" customWidth="1"/>
    <col min="1794" max="1794" width="42" style="328" bestFit="1" customWidth="1"/>
    <col min="1795" max="1796" width="2.85546875" style="328" bestFit="1" customWidth="1"/>
    <col min="1797" max="1797" width="5.28515625" style="328" customWidth="1"/>
    <col min="1798" max="1798" width="10" style="328" customWidth="1"/>
    <col min="1799" max="1799" width="4.85546875" style="328" bestFit="1" customWidth="1"/>
    <col min="1800" max="1800" width="8.140625" style="328" customWidth="1"/>
    <col min="1801" max="1801" width="9.42578125" style="328" bestFit="1" customWidth="1"/>
    <col min="1802" max="1802" width="6" style="328" bestFit="1" customWidth="1"/>
    <col min="1803" max="1803" width="20.140625" style="328" customWidth="1"/>
    <col min="1804" max="1804" width="9.28515625" style="328" bestFit="1" customWidth="1"/>
    <col min="1805" max="1805" width="12.42578125" style="328" customWidth="1"/>
    <col min="1806" max="1806" width="5.42578125" style="328" customWidth="1"/>
    <col min="1807" max="1807" width="7.42578125" style="328" customWidth="1"/>
    <col min="1808" max="1808" width="9.5703125" style="328" customWidth="1"/>
    <col min="1809" max="2048" width="11.42578125" style="328"/>
    <col min="2049" max="2049" width="8.28515625" style="328" customWidth="1"/>
    <col min="2050" max="2050" width="42" style="328" bestFit="1" customWidth="1"/>
    <col min="2051" max="2052" width="2.85546875" style="328" bestFit="1" customWidth="1"/>
    <col min="2053" max="2053" width="5.28515625" style="328" customWidth="1"/>
    <col min="2054" max="2054" width="10" style="328" customWidth="1"/>
    <col min="2055" max="2055" width="4.85546875" style="328" bestFit="1" customWidth="1"/>
    <col min="2056" max="2056" width="8.140625" style="328" customWidth="1"/>
    <col min="2057" max="2057" width="9.42578125" style="328" bestFit="1" customWidth="1"/>
    <col min="2058" max="2058" width="6" style="328" bestFit="1" customWidth="1"/>
    <col min="2059" max="2059" width="20.140625" style="328" customWidth="1"/>
    <col min="2060" max="2060" width="9.28515625" style="328" bestFit="1" customWidth="1"/>
    <col min="2061" max="2061" width="12.42578125" style="328" customWidth="1"/>
    <col min="2062" max="2062" width="5.42578125" style="328" customWidth="1"/>
    <col min="2063" max="2063" width="7.42578125" style="328" customWidth="1"/>
    <col min="2064" max="2064" width="9.5703125" style="328" customWidth="1"/>
    <col min="2065" max="2304" width="11.42578125" style="328"/>
    <col min="2305" max="2305" width="8.28515625" style="328" customWidth="1"/>
    <col min="2306" max="2306" width="42" style="328" bestFit="1" customWidth="1"/>
    <col min="2307" max="2308" width="2.85546875" style="328" bestFit="1" customWidth="1"/>
    <col min="2309" max="2309" width="5.28515625" style="328" customWidth="1"/>
    <col min="2310" max="2310" width="10" style="328" customWidth="1"/>
    <col min="2311" max="2311" width="4.85546875" style="328" bestFit="1" customWidth="1"/>
    <col min="2312" max="2312" width="8.140625" style="328" customWidth="1"/>
    <col min="2313" max="2313" width="9.42578125" style="328" bestFit="1" customWidth="1"/>
    <col min="2314" max="2314" width="6" style="328" bestFit="1" customWidth="1"/>
    <col min="2315" max="2315" width="20.140625" style="328" customWidth="1"/>
    <col min="2316" max="2316" width="9.28515625" style="328" bestFit="1" customWidth="1"/>
    <col min="2317" max="2317" width="12.42578125" style="328" customWidth="1"/>
    <col min="2318" max="2318" width="5.42578125" style="328" customWidth="1"/>
    <col min="2319" max="2319" width="7.42578125" style="328" customWidth="1"/>
    <col min="2320" max="2320" width="9.5703125" style="328" customWidth="1"/>
    <col min="2321" max="2560" width="11.42578125" style="328"/>
    <col min="2561" max="2561" width="8.28515625" style="328" customWidth="1"/>
    <col min="2562" max="2562" width="42" style="328" bestFit="1" customWidth="1"/>
    <col min="2563" max="2564" width="2.85546875" style="328" bestFit="1" customWidth="1"/>
    <col min="2565" max="2565" width="5.28515625" style="328" customWidth="1"/>
    <col min="2566" max="2566" width="10" style="328" customWidth="1"/>
    <col min="2567" max="2567" width="4.85546875" style="328" bestFit="1" customWidth="1"/>
    <col min="2568" max="2568" width="8.140625" style="328" customWidth="1"/>
    <col min="2569" max="2569" width="9.42578125" style="328" bestFit="1" customWidth="1"/>
    <col min="2570" max="2570" width="6" style="328" bestFit="1" customWidth="1"/>
    <col min="2571" max="2571" width="20.140625" style="328" customWidth="1"/>
    <col min="2572" max="2572" width="9.28515625" style="328" bestFit="1" customWidth="1"/>
    <col min="2573" max="2573" width="12.42578125" style="328" customWidth="1"/>
    <col min="2574" max="2574" width="5.42578125" style="328" customWidth="1"/>
    <col min="2575" max="2575" width="7.42578125" style="328" customWidth="1"/>
    <col min="2576" max="2576" width="9.5703125" style="328" customWidth="1"/>
    <col min="2577" max="2816" width="11.42578125" style="328"/>
    <col min="2817" max="2817" width="8.28515625" style="328" customWidth="1"/>
    <col min="2818" max="2818" width="42" style="328" bestFit="1" customWidth="1"/>
    <col min="2819" max="2820" width="2.85546875" style="328" bestFit="1" customWidth="1"/>
    <col min="2821" max="2821" width="5.28515625" style="328" customWidth="1"/>
    <col min="2822" max="2822" width="10" style="328" customWidth="1"/>
    <col min="2823" max="2823" width="4.85546875" style="328" bestFit="1" customWidth="1"/>
    <col min="2824" max="2824" width="8.140625" style="328" customWidth="1"/>
    <col min="2825" max="2825" width="9.42578125" style="328" bestFit="1" customWidth="1"/>
    <col min="2826" max="2826" width="6" style="328" bestFit="1" customWidth="1"/>
    <col min="2827" max="2827" width="20.140625" style="328" customWidth="1"/>
    <col min="2828" max="2828" width="9.28515625" style="328" bestFit="1" customWidth="1"/>
    <col min="2829" max="2829" width="12.42578125" style="328" customWidth="1"/>
    <col min="2830" max="2830" width="5.42578125" style="328" customWidth="1"/>
    <col min="2831" max="2831" width="7.42578125" style="328" customWidth="1"/>
    <col min="2832" max="2832" width="9.5703125" style="328" customWidth="1"/>
    <col min="2833" max="3072" width="11.42578125" style="328"/>
    <col min="3073" max="3073" width="8.28515625" style="328" customWidth="1"/>
    <col min="3074" max="3074" width="42" style="328" bestFit="1" customWidth="1"/>
    <col min="3075" max="3076" width="2.85546875" style="328" bestFit="1" customWidth="1"/>
    <col min="3077" max="3077" width="5.28515625" style="328" customWidth="1"/>
    <col min="3078" max="3078" width="10" style="328" customWidth="1"/>
    <col min="3079" max="3079" width="4.85546875" style="328" bestFit="1" customWidth="1"/>
    <col min="3080" max="3080" width="8.140625" style="328" customWidth="1"/>
    <col min="3081" max="3081" width="9.42578125" style="328" bestFit="1" customWidth="1"/>
    <col min="3082" max="3082" width="6" style="328" bestFit="1" customWidth="1"/>
    <col min="3083" max="3083" width="20.140625" style="328" customWidth="1"/>
    <col min="3084" max="3084" width="9.28515625" style="328" bestFit="1" customWidth="1"/>
    <col min="3085" max="3085" width="12.42578125" style="328" customWidth="1"/>
    <col min="3086" max="3086" width="5.42578125" style="328" customWidth="1"/>
    <col min="3087" max="3087" width="7.42578125" style="328" customWidth="1"/>
    <col min="3088" max="3088" width="9.5703125" style="328" customWidth="1"/>
    <col min="3089" max="3328" width="11.42578125" style="328"/>
    <col min="3329" max="3329" width="8.28515625" style="328" customWidth="1"/>
    <col min="3330" max="3330" width="42" style="328" bestFit="1" customWidth="1"/>
    <col min="3331" max="3332" width="2.85546875" style="328" bestFit="1" customWidth="1"/>
    <col min="3333" max="3333" width="5.28515625" style="328" customWidth="1"/>
    <col min="3334" max="3334" width="10" style="328" customWidth="1"/>
    <col min="3335" max="3335" width="4.85546875" style="328" bestFit="1" customWidth="1"/>
    <col min="3336" max="3336" width="8.140625" style="328" customWidth="1"/>
    <col min="3337" max="3337" width="9.42578125" style="328" bestFit="1" customWidth="1"/>
    <col min="3338" max="3338" width="6" style="328" bestFit="1" customWidth="1"/>
    <col min="3339" max="3339" width="20.140625" style="328" customWidth="1"/>
    <col min="3340" max="3340" width="9.28515625" style="328" bestFit="1" customWidth="1"/>
    <col min="3341" max="3341" width="12.42578125" style="328" customWidth="1"/>
    <col min="3342" max="3342" width="5.42578125" style="328" customWidth="1"/>
    <col min="3343" max="3343" width="7.42578125" style="328" customWidth="1"/>
    <col min="3344" max="3344" width="9.5703125" style="328" customWidth="1"/>
    <col min="3345" max="3584" width="11.42578125" style="328"/>
    <col min="3585" max="3585" width="8.28515625" style="328" customWidth="1"/>
    <col min="3586" max="3586" width="42" style="328" bestFit="1" customWidth="1"/>
    <col min="3587" max="3588" width="2.85546875" style="328" bestFit="1" customWidth="1"/>
    <col min="3589" max="3589" width="5.28515625" style="328" customWidth="1"/>
    <col min="3590" max="3590" width="10" style="328" customWidth="1"/>
    <col min="3591" max="3591" width="4.85546875" style="328" bestFit="1" customWidth="1"/>
    <col min="3592" max="3592" width="8.140625" style="328" customWidth="1"/>
    <col min="3593" max="3593" width="9.42578125" style="328" bestFit="1" customWidth="1"/>
    <col min="3594" max="3594" width="6" style="328" bestFit="1" customWidth="1"/>
    <col min="3595" max="3595" width="20.140625" style="328" customWidth="1"/>
    <col min="3596" max="3596" width="9.28515625" style="328" bestFit="1" customWidth="1"/>
    <col min="3597" max="3597" width="12.42578125" style="328" customWidth="1"/>
    <col min="3598" max="3598" width="5.42578125" style="328" customWidth="1"/>
    <col min="3599" max="3599" width="7.42578125" style="328" customWidth="1"/>
    <col min="3600" max="3600" width="9.5703125" style="328" customWidth="1"/>
    <col min="3601" max="3840" width="11.42578125" style="328"/>
    <col min="3841" max="3841" width="8.28515625" style="328" customWidth="1"/>
    <col min="3842" max="3842" width="42" style="328" bestFit="1" customWidth="1"/>
    <col min="3843" max="3844" width="2.85546875" style="328" bestFit="1" customWidth="1"/>
    <col min="3845" max="3845" width="5.28515625" style="328" customWidth="1"/>
    <col min="3846" max="3846" width="10" style="328" customWidth="1"/>
    <col min="3847" max="3847" width="4.85546875" style="328" bestFit="1" customWidth="1"/>
    <col min="3848" max="3848" width="8.140625" style="328" customWidth="1"/>
    <col min="3849" max="3849" width="9.42578125" style="328" bestFit="1" customWidth="1"/>
    <col min="3850" max="3850" width="6" style="328" bestFit="1" customWidth="1"/>
    <col min="3851" max="3851" width="20.140625" style="328" customWidth="1"/>
    <col min="3852" max="3852" width="9.28515625" style="328" bestFit="1" customWidth="1"/>
    <col min="3853" max="3853" width="12.42578125" style="328" customWidth="1"/>
    <col min="3854" max="3854" width="5.42578125" style="328" customWidth="1"/>
    <col min="3855" max="3855" width="7.42578125" style="328" customWidth="1"/>
    <col min="3856" max="3856" width="9.5703125" style="328" customWidth="1"/>
    <col min="3857" max="4096" width="11.42578125" style="328"/>
    <col min="4097" max="4097" width="8.28515625" style="328" customWidth="1"/>
    <col min="4098" max="4098" width="42" style="328" bestFit="1" customWidth="1"/>
    <col min="4099" max="4100" width="2.85546875" style="328" bestFit="1" customWidth="1"/>
    <col min="4101" max="4101" width="5.28515625" style="328" customWidth="1"/>
    <col min="4102" max="4102" width="10" style="328" customWidth="1"/>
    <col min="4103" max="4103" width="4.85546875" style="328" bestFit="1" customWidth="1"/>
    <col min="4104" max="4104" width="8.140625" style="328" customWidth="1"/>
    <col min="4105" max="4105" width="9.42578125" style="328" bestFit="1" customWidth="1"/>
    <col min="4106" max="4106" width="6" style="328" bestFit="1" customWidth="1"/>
    <col min="4107" max="4107" width="20.140625" style="328" customWidth="1"/>
    <col min="4108" max="4108" width="9.28515625" style="328" bestFit="1" customWidth="1"/>
    <col min="4109" max="4109" width="12.42578125" style="328" customWidth="1"/>
    <col min="4110" max="4110" width="5.42578125" style="328" customWidth="1"/>
    <col min="4111" max="4111" width="7.42578125" style="328" customWidth="1"/>
    <col min="4112" max="4112" width="9.5703125" style="328" customWidth="1"/>
    <col min="4113" max="4352" width="11.42578125" style="328"/>
    <col min="4353" max="4353" width="8.28515625" style="328" customWidth="1"/>
    <col min="4354" max="4354" width="42" style="328" bestFit="1" customWidth="1"/>
    <col min="4355" max="4356" width="2.85546875" style="328" bestFit="1" customWidth="1"/>
    <col min="4357" max="4357" width="5.28515625" style="328" customWidth="1"/>
    <col min="4358" max="4358" width="10" style="328" customWidth="1"/>
    <col min="4359" max="4359" width="4.85546875" style="328" bestFit="1" customWidth="1"/>
    <col min="4360" max="4360" width="8.140625" style="328" customWidth="1"/>
    <col min="4361" max="4361" width="9.42578125" style="328" bestFit="1" customWidth="1"/>
    <col min="4362" max="4362" width="6" style="328" bestFit="1" customWidth="1"/>
    <col min="4363" max="4363" width="20.140625" style="328" customWidth="1"/>
    <col min="4364" max="4364" width="9.28515625" style="328" bestFit="1" customWidth="1"/>
    <col min="4365" max="4365" width="12.42578125" style="328" customWidth="1"/>
    <col min="4366" max="4366" width="5.42578125" style="328" customWidth="1"/>
    <col min="4367" max="4367" width="7.42578125" style="328" customWidth="1"/>
    <col min="4368" max="4368" width="9.5703125" style="328" customWidth="1"/>
    <col min="4369" max="4608" width="11.42578125" style="328"/>
    <col min="4609" max="4609" width="8.28515625" style="328" customWidth="1"/>
    <col min="4610" max="4610" width="42" style="328" bestFit="1" customWidth="1"/>
    <col min="4611" max="4612" width="2.85546875" style="328" bestFit="1" customWidth="1"/>
    <col min="4613" max="4613" width="5.28515625" style="328" customWidth="1"/>
    <col min="4614" max="4614" width="10" style="328" customWidth="1"/>
    <col min="4615" max="4615" width="4.85546875" style="328" bestFit="1" customWidth="1"/>
    <col min="4616" max="4616" width="8.140625" style="328" customWidth="1"/>
    <col min="4617" max="4617" width="9.42578125" style="328" bestFit="1" customWidth="1"/>
    <col min="4618" max="4618" width="6" style="328" bestFit="1" customWidth="1"/>
    <col min="4619" max="4619" width="20.140625" style="328" customWidth="1"/>
    <col min="4620" max="4620" width="9.28515625" style="328" bestFit="1" customWidth="1"/>
    <col min="4621" max="4621" width="12.42578125" style="328" customWidth="1"/>
    <col min="4622" max="4622" width="5.42578125" style="328" customWidth="1"/>
    <col min="4623" max="4623" width="7.42578125" style="328" customWidth="1"/>
    <col min="4624" max="4624" width="9.5703125" style="328" customWidth="1"/>
    <col min="4625" max="4864" width="11.42578125" style="328"/>
    <col min="4865" max="4865" width="8.28515625" style="328" customWidth="1"/>
    <col min="4866" max="4866" width="42" style="328" bestFit="1" customWidth="1"/>
    <col min="4867" max="4868" width="2.85546875" style="328" bestFit="1" customWidth="1"/>
    <col min="4869" max="4869" width="5.28515625" style="328" customWidth="1"/>
    <col min="4870" max="4870" width="10" style="328" customWidth="1"/>
    <col min="4871" max="4871" width="4.85546875" style="328" bestFit="1" customWidth="1"/>
    <col min="4872" max="4872" width="8.140625" style="328" customWidth="1"/>
    <col min="4873" max="4873" width="9.42578125" style="328" bestFit="1" customWidth="1"/>
    <col min="4874" max="4874" width="6" style="328" bestFit="1" customWidth="1"/>
    <col min="4875" max="4875" width="20.140625" style="328" customWidth="1"/>
    <col min="4876" max="4876" width="9.28515625" style="328" bestFit="1" customWidth="1"/>
    <col min="4877" max="4877" width="12.42578125" style="328" customWidth="1"/>
    <col min="4878" max="4878" width="5.42578125" style="328" customWidth="1"/>
    <col min="4879" max="4879" width="7.42578125" style="328" customWidth="1"/>
    <col min="4880" max="4880" width="9.5703125" style="328" customWidth="1"/>
    <col min="4881" max="5120" width="11.42578125" style="328"/>
    <col min="5121" max="5121" width="8.28515625" style="328" customWidth="1"/>
    <col min="5122" max="5122" width="42" style="328" bestFit="1" customWidth="1"/>
    <col min="5123" max="5124" width="2.85546875" style="328" bestFit="1" customWidth="1"/>
    <col min="5125" max="5125" width="5.28515625" style="328" customWidth="1"/>
    <col min="5126" max="5126" width="10" style="328" customWidth="1"/>
    <col min="5127" max="5127" width="4.85546875" style="328" bestFit="1" customWidth="1"/>
    <col min="5128" max="5128" width="8.140625" style="328" customWidth="1"/>
    <col min="5129" max="5129" width="9.42578125" style="328" bestFit="1" customWidth="1"/>
    <col min="5130" max="5130" width="6" style="328" bestFit="1" customWidth="1"/>
    <col min="5131" max="5131" width="20.140625" style="328" customWidth="1"/>
    <col min="5132" max="5132" width="9.28515625" style="328" bestFit="1" customWidth="1"/>
    <col min="5133" max="5133" width="12.42578125" style="328" customWidth="1"/>
    <col min="5134" max="5134" width="5.42578125" style="328" customWidth="1"/>
    <col min="5135" max="5135" width="7.42578125" style="328" customWidth="1"/>
    <col min="5136" max="5136" width="9.5703125" style="328" customWidth="1"/>
    <col min="5137" max="5376" width="11.42578125" style="328"/>
    <col min="5377" max="5377" width="8.28515625" style="328" customWidth="1"/>
    <col min="5378" max="5378" width="42" style="328" bestFit="1" customWidth="1"/>
    <col min="5379" max="5380" width="2.85546875" style="328" bestFit="1" customWidth="1"/>
    <col min="5381" max="5381" width="5.28515625" style="328" customWidth="1"/>
    <col min="5382" max="5382" width="10" style="328" customWidth="1"/>
    <col min="5383" max="5383" width="4.85546875" style="328" bestFit="1" customWidth="1"/>
    <col min="5384" max="5384" width="8.140625" style="328" customWidth="1"/>
    <col min="5385" max="5385" width="9.42578125" style="328" bestFit="1" customWidth="1"/>
    <col min="5386" max="5386" width="6" style="328" bestFit="1" customWidth="1"/>
    <col min="5387" max="5387" width="20.140625" style="328" customWidth="1"/>
    <col min="5388" max="5388" width="9.28515625" style="328" bestFit="1" customWidth="1"/>
    <col min="5389" max="5389" width="12.42578125" style="328" customWidth="1"/>
    <col min="5390" max="5390" width="5.42578125" style="328" customWidth="1"/>
    <col min="5391" max="5391" width="7.42578125" style="328" customWidth="1"/>
    <col min="5392" max="5392" width="9.5703125" style="328" customWidth="1"/>
    <col min="5393" max="5632" width="11.42578125" style="328"/>
    <col min="5633" max="5633" width="8.28515625" style="328" customWidth="1"/>
    <col min="5634" max="5634" width="42" style="328" bestFit="1" customWidth="1"/>
    <col min="5635" max="5636" width="2.85546875" style="328" bestFit="1" customWidth="1"/>
    <col min="5637" max="5637" width="5.28515625" style="328" customWidth="1"/>
    <col min="5638" max="5638" width="10" style="328" customWidth="1"/>
    <col min="5639" max="5639" width="4.85546875" style="328" bestFit="1" customWidth="1"/>
    <col min="5640" max="5640" width="8.140625" style="328" customWidth="1"/>
    <col min="5641" max="5641" width="9.42578125" style="328" bestFit="1" customWidth="1"/>
    <col min="5642" max="5642" width="6" style="328" bestFit="1" customWidth="1"/>
    <col min="5643" max="5643" width="20.140625" style="328" customWidth="1"/>
    <col min="5644" max="5644" width="9.28515625" style="328" bestFit="1" customWidth="1"/>
    <col min="5645" max="5645" width="12.42578125" style="328" customWidth="1"/>
    <col min="5646" max="5646" width="5.42578125" style="328" customWidth="1"/>
    <col min="5647" max="5647" width="7.42578125" style="328" customWidth="1"/>
    <col min="5648" max="5648" width="9.5703125" style="328" customWidth="1"/>
    <col min="5649" max="5888" width="11.42578125" style="328"/>
    <col min="5889" max="5889" width="8.28515625" style="328" customWidth="1"/>
    <col min="5890" max="5890" width="42" style="328" bestFit="1" customWidth="1"/>
    <col min="5891" max="5892" width="2.85546875" style="328" bestFit="1" customWidth="1"/>
    <col min="5893" max="5893" width="5.28515625" style="328" customWidth="1"/>
    <col min="5894" max="5894" width="10" style="328" customWidth="1"/>
    <col min="5895" max="5895" width="4.85546875" style="328" bestFit="1" customWidth="1"/>
    <col min="5896" max="5896" width="8.140625" style="328" customWidth="1"/>
    <col min="5897" max="5897" width="9.42578125" style="328" bestFit="1" customWidth="1"/>
    <col min="5898" max="5898" width="6" style="328" bestFit="1" customWidth="1"/>
    <col min="5899" max="5899" width="20.140625" style="328" customWidth="1"/>
    <col min="5900" max="5900" width="9.28515625" style="328" bestFit="1" customWidth="1"/>
    <col min="5901" max="5901" width="12.42578125" style="328" customWidth="1"/>
    <col min="5902" max="5902" width="5.42578125" style="328" customWidth="1"/>
    <col min="5903" max="5903" width="7.42578125" style="328" customWidth="1"/>
    <col min="5904" max="5904" width="9.5703125" style="328" customWidth="1"/>
    <col min="5905" max="6144" width="11.42578125" style="328"/>
    <col min="6145" max="6145" width="8.28515625" style="328" customWidth="1"/>
    <col min="6146" max="6146" width="42" style="328" bestFit="1" customWidth="1"/>
    <col min="6147" max="6148" width="2.85546875" style="328" bestFit="1" customWidth="1"/>
    <col min="6149" max="6149" width="5.28515625" style="328" customWidth="1"/>
    <col min="6150" max="6150" width="10" style="328" customWidth="1"/>
    <col min="6151" max="6151" width="4.85546875" style="328" bestFit="1" customWidth="1"/>
    <col min="6152" max="6152" width="8.140625" style="328" customWidth="1"/>
    <col min="6153" max="6153" width="9.42578125" style="328" bestFit="1" customWidth="1"/>
    <col min="6154" max="6154" width="6" style="328" bestFit="1" customWidth="1"/>
    <col min="6155" max="6155" width="20.140625" style="328" customWidth="1"/>
    <col min="6156" max="6156" width="9.28515625" style="328" bestFit="1" customWidth="1"/>
    <col min="6157" max="6157" width="12.42578125" style="328" customWidth="1"/>
    <col min="6158" max="6158" width="5.42578125" style="328" customWidth="1"/>
    <col min="6159" max="6159" width="7.42578125" style="328" customWidth="1"/>
    <col min="6160" max="6160" width="9.5703125" style="328" customWidth="1"/>
    <col min="6161" max="6400" width="11.42578125" style="328"/>
    <col min="6401" max="6401" width="8.28515625" style="328" customWidth="1"/>
    <col min="6402" max="6402" width="42" style="328" bestFit="1" customWidth="1"/>
    <col min="6403" max="6404" width="2.85546875" style="328" bestFit="1" customWidth="1"/>
    <col min="6405" max="6405" width="5.28515625" style="328" customWidth="1"/>
    <col min="6406" max="6406" width="10" style="328" customWidth="1"/>
    <col min="6407" max="6407" width="4.85546875" style="328" bestFit="1" customWidth="1"/>
    <col min="6408" max="6408" width="8.140625" style="328" customWidth="1"/>
    <col min="6409" max="6409" width="9.42578125" style="328" bestFit="1" customWidth="1"/>
    <col min="6410" max="6410" width="6" style="328" bestFit="1" customWidth="1"/>
    <col min="6411" max="6411" width="20.140625" style="328" customWidth="1"/>
    <col min="6412" max="6412" width="9.28515625" style="328" bestFit="1" customWidth="1"/>
    <col min="6413" max="6413" width="12.42578125" style="328" customWidth="1"/>
    <col min="6414" max="6414" width="5.42578125" style="328" customWidth="1"/>
    <col min="6415" max="6415" width="7.42578125" style="328" customWidth="1"/>
    <col min="6416" max="6416" width="9.5703125" style="328" customWidth="1"/>
    <col min="6417" max="6656" width="11.42578125" style="328"/>
    <col min="6657" max="6657" width="8.28515625" style="328" customWidth="1"/>
    <col min="6658" max="6658" width="42" style="328" bestFit="1" customWidth="1"/>
    <col min="6659" max="6660" width="2.85546875" style="328" bestFit="1" customWidth="1"/>
    <col min="6661" max="6661" width="5.28515625" style="328" customWidth="1"/>
    <col min="6662" max="6662" width="10" style="328" customWidth="1"/>
    <col min="6663" max="6663" width="4.85546875" style="328" bestFit="1" customWidth="1"/>
    <col min="6664" max="6664" width="8.140625" style="328" customWidth="1"/>
    <col min="6665" max="6665" width="9.42578125" style="328" bestFit="1" customWidth="1"/>
    <col min="6666" max="6666" width="6" style="328" bestFit="1" customWidth="1"/>
    <col min="6667" max="6667" width="20.140625" style="328" customWidth="1"/>
    <col min="6668" max="6668" width="9.28515625" style="328" bestFit="1" customWidth="1"/>
    <col min="6669" max="6669" width="12.42578125" style="328" customWidth="1"/>
    <col min="6670" max="6670" width="5.42578125" style="328" customWidth="1"/>
    <col min="6671" max="6671" width="7.42578125" style="328" customWidth="1"/>
    <col min="6672" max="6672" width="9.5703125" style="328" customWidth="1"/>
    <col min="6673" max="6912" width="11.42578125" style="328"/>
    <col min="6913" max="6913" width="8.28515625" style="328" customWidth="1"/>
    <col min="6914" max="6914" width="42" style="328" bestFit="1" customWidth="1"/>
    <col min="6915" max="6916" width="2.85546875" style="328" bestFit="1" customWidth="1"/>
    <col min="6917" max="6917" width="5.28515625" style="328" customWidth="1"/>
    <col min="6918" max="6918" width="10" style="328" customWidth="1"/>
    <col min="6919" max="6919" width="4.85546875" style="328" bestFit="1" customWidth="1"/>
    <col min="6920" max="6920" width="8.140625" style="328" customWidth="1"/>
    <col min="6921" max="6921" width="9.42578125" style="328" bestFit="1" customWidth="1"/>
    <col min="6922" max="6922" width="6" style="328" bestFit="1" customWidth="1"/>
    <col min="6923" max="6923" width="20.140625" style="328" customWidth="1"/>
    <col min="6924" max="6924" width="9.28515625" style="328" bestFit="1" customWidth="1"/>
    <col min="6925" max="6925" width="12.42578125" style="328" customWidth="1"/>
    <col min="6926" max="6926" width="5.42578125" style="328" customWidth="1"/>
    <col min="6927" max="6927" width="7.42578125" style="328" customWidth="1"/>
    <col min="6928" max="6928" width="9.5703125" style="328" customWidth="1"/>
    <col min="6929" max="7168" width="11.42578125" style="328"/>
    <col min="7169" max="7169" width="8.28515625" style="328" customWidth="1"/>
    <col min="7170" max="7170" width="42" style="328" bestFit="1" customWidth="1"/>
    <col min="7171" max="7172" width="2.85546875" style="328" bestFit="1" customWidth="1"/>
    <col min="7173" max="7173" width="5.28515625" style="328" customWidth="1"/>
    <col min="7174" max="7174" width="10" style="328" customWidth="1"/>
    <col min="7175" max="7175" width="4.85546875" style="328" bestFit="1" customWidth="1"/>
    <col min="7176" max="7176" width="8.140625" style="328" customWidth="1"/>
    <col min="7177" max="7177" width="9.42578125" style="328" bestFit="1" customWidth="1"/>
    <col min="7178" max="7178" width="6" style="328" bestFit="1" customWidth="1"/>
    <col min="7179" max="7179" width="20.140625" style="328" customWidth="1"/>
    <col min="7180" max="7180" width="9.28515625" style="328" bestFit="1" customWidth="1"/>
    <col min="7181" max="7181" width="12.42578125" style="328" customWidth="1"/>
    <col min="7182" max="7182" width="5.42578125" style="328" customWidth="1"/>
    <col min="7183" max="7183" width="7.42578125" style="328" customWidth="1"/>
    <col min="7184" max="7184" width="9.5703125" style="328" customWidth="1"/>
    <col min="7185" max="7424" width="11.42578125" style="328"/>
    <col min="7425" max="7425" width="8.28515625" style="328" customWidth="1"/>
    <col min="7426" max="7426" width="42" style="328" bestFit="1" customWidth="1"/>
    <col min="7427" max="7428" width="2.85546875" style="328" bestFit="1" customWidth="1"/>
    <col min="7429" max="7429" width="5.28515625" style="328" customWidth="1"/>
    <col min="7430" max="7430" width="10" style="328" customWidth="1"/>
    <col min="7431" max="7431" width="4.85546875" style="328" bestFit="1" customWidth="1"/>
    <col min="7432" max="7432" width="8.140625" style="328" customWidth="1"/>
    <col min="7433" max="7433" width="9.42578125" style="328" bestFit="1" customWidth="1"/>
    <col min="7434" max="7434" width="6" style="328" bestFit="1" customWidth="1"/>
    <col min="7435" max="7435" width="20.140625" style="328" customWidth="1"/>
    <col min="7436" max="7436" width="9.28515625" style="328" bestFit="1" customWidth="1"/>
    <col min="7437" max="7437" width="12.42578125" style="328" customWidth="1"/>
    <col min="7438" max="7438" width="5.42578125" style="328" customWidth="1"/>
    <col min="7439" max="7439" width="7.42578125" style="328" customWidth="1"/>
    <col min="7440" max="7440" width="9.5703125" style="328" customWidth="1"/>
    <col min="7441" max="7680" width="11.42578125" style="328"/>
    <col min="7681" max="7681" width="8.28515625" style="328" customWidth="1"/>
    <col min="7682" max="7682" width="42" style="328" bestFit="1" customWidth="1"/>
    <col min="7683" max="7684" width="2.85546875" style="328" bestFit="1" customWidth="1"/>
    <col min="7685" max="7685" width="5.28515625" style="328" customWidth="1"/>
    <col min="7686" max="7686" width="10" style="328" customWidth="1"/>
    <col min="7687" max="7687" width="4.85546875" style="328" bestFit="1" customWidth="1"/>
    <col min="7688" max="7688" width="8.140625" style="328" customWidth="1"/>
    <col min="7689" max="7689" width="9.42578125" style="328" bestFit="1" customWidth="1"/>
    <col min="7690" max="7690" width="6" style="328" bestFit="1" customWidth="1"/>
    <col min="7691" max="7691" width="20.140625" style="328" customWidth="1"/>
    <col min="7692" max="7692" width="9.28515625" style="328" bestFit="1" customWidth="1"/>
    <col min="7693" max="7693" width="12.42578125" style="328" customWidth="1"/>
    <col min="7694" max="7694" width="5.42578125" style="328" customWidth="1"/>
    <col min="7695" max="7695" width="7.42578125" style="328" customWidth="1"/>
    <col min="7696" max="7696" width="9.5703125" style="328" customWidth="1"/>
    <col min="7697" max="7936" width="11.42578125" style="328"/>
    <col min="7937" max="7937" width="8.28515625" style="328" customWidth="1"/>
    <col min="7938" max="7938" width="42" style="328" bestFit="1" customWidth="1"/>
    <col min="7939" max="7940" width="2.85546875" style="328" bestFit="1" customWidth="1"/>
    <col min="7941" max="7941" width="5.28515625" style="328" customWidth="1"/>
    <col min="7942" max="7942" width="10" style="328" customWidth="1"/>
    <col min="7943" max="7943" width="4.85546875" style="328" bestFit="1" customWidth="1"/>
    <col min="7944" max="7944" width="8.140625" style="328" customWidth="1"/>
    <col min="7945" max="7945" width="9.42578125" style="328" bestFit="1" customWidth="1"/>
    <col min="7946" max="7946" width="6" style="328" bestFit="1" customWidth="1"/>
    <col min="7947" max="7947" width="20.140625" style="328" customWidth="1"/>
    <col min="7948" max="7948" width="9.28515625" style="328" bestFit="1" customWidth="1"/>
    <col min="7949" max="7949" width="12.42578125" style="328" customWidth="1"/>
    <col min="7950" max="7950" width="5.42578125" style="328" customWidth="1"/>
    <col min="7951" max="7951" width="7.42578125" style="328" customWidth="1"/>
    <col min="7952" max="7952" width="9.5703125" style="328" customWidth="1"/>
    <col min="7953" max="8192" width="11.42578125" style="328"/>
    <col min="8193" max="8193" width="8.28515625" style="328" customWidth="1"/>
    <col min="8194" max="8194" width="42" style="328" bestFit="1" customWidth="1"/>
    <col min="8195" max="8196" width="2.85546875" style="328" bestFit="1" customWidth="1"/>
    <col min="8197" max="8197" width="5.28515625" style="328" customWidth="1"/>
    <col min="8198" max="8198" width="10" style="328" customWidth="1"/>
    <col min="8199" max="8199" width="4.85546875" style="328" bestFit="1" customWidth="1"/>
    <col min="8200" max="8200" width="8.140625" style="328" customWidth="1"/>
    <col min="8201" max="8201" width="9.42578125" style="328" bestFit="1" customWidth="1"/>
    <col min="8202" max="8202" width="6" style="328" bestFit="1" customWidth="1"/>
    <col min="8203" max="8203" width="20.140625" style="328" customWidth="1"/>
    <col min="8204" max="8204" width="9.28515625" style="328" bestFit="1" customWidth="1"/>
    <col min="8205" max="8205" width="12.42578125" style="328" customWidth="1"/>
    <col min="8206" max="8206" width="5.42578125" style="328" customWidth="1"/>
    <col min="8207" max="8207" width="7.42578125" style="328" customWidth="1"/>
    <col min="8208" max="8208" width="9.5703125" style="328" customWidth="1"/>
    <col min="8209" max="8448" width="11.42578125" style="328"/>
    <col min="8449" max="8449" width="8.28515625" style="328" customWidth="1"/>
    <col min="8450" max="8450" width="42" style="328" bestFit="1" customWidth="1"/>
    <col min="8451" max="8452" width="2.85546875" style="328" bestFit="1" customWidth="1"/>
    <col min="8453" max="8453" width="5.28515625" style="328" customWidth="1"/>
    <col min="8454" max="8454" width="10" style="328" customWidth="1"/>
    <col min="8455" max="8455" width="4.85546875" style="328" bestFit="1" customWidth="1"/>
    <col min="8456" max="8456" width="8.140625" style="328" customWidth="1"/>
    <col min="8457" max="8457" width="9.42578125" style="328" bestFit="1" customWidth="1"/>
    <col min="8458" max="8458" width="6" style="328" bestFit="1" customWidth="1"/>
    <col min="8459" max="8459" width="20.140625" style="328" customWidth="1"/>
    <col min="8460" max="8460" width="9.28515625" style="328" bestFit="1" customWidth="1"/>
    <col min="8461" max="8461" width="12.42578125" style="328" customWidth="1"/>
    <col min="8462" max="8462" width="5.42578125" style="328" customWidth="1"/>
    <col min="8463" max="8463" width="7.42578125" style="328" customWidth="1"/>
    <col min="8464" max="8464" width="9.5703125" style="328" customWidth="1"/>
    <col min="8465" max="8704" width="11.42578125" style="328"/>
    <col min="8705" max="8705" width="8.28515625" style="328" customWidth="1"/>
    <col min="8706" max="8706" width="42" style="328" bestFit="1" customWidth="1"/>
    <col min="8707" max="8708" width="2.85546875" style="328" bestFit="1" customWidth="1"/>
    <col min="8709" max="8709" width="5.28515625" style="328" customWidth="1"/>
    <col min="8710" max="8710" width="10" style="328" customWidth="1"/>
    <col min="8711" max="8711" width="4.85546875" style="328" bestFit="1" customWidth="1"/>
    <col min="8712" max="8712" width="8.140625" style="328" customWidth="1"/>
    <col min="8713" max="8713" width="9.42578125" style="328" bestFit="1" customWidth="1"/>
    <col min="8714" max="8714" width="6" style="328" bestFit="1" customWidth="1"/>
    <col min="8715" max="8715" width="20.140625" style="328" customWidth="1"/>
    <col min="8716" max="8716" width="9.28515625" style="328" bestFit="1" customWidth="1"/>
    <col min="8717" max="8717" width="12.42578125" style="328" customWidth="1"/>
    <col min="8718" max="8718" width="5.42578125" style="328" customWidth="1"/>
    <col min="8719" max="8719" width="7.42578125" style="328" customWidth="1"/>
    <col min="8720" max="8720" width="9.5703125" style="328" customWidth="1"/>
    <col min="8721" max="8960" width="11.42578125" style="328"/>
    <col min="8961" max="8961" width="8.28515625" style="328" customWidth="1"/>
    <col min="8962" max="8962" width="42" style="328" bestFit="1" customWidth="1"/>
    <col min="8963" max="8964" width="2.85546875" style="328" bestFit="1" customWidth="1"/>
    <col min="8965" max="8965" width="5.28515625" style="328" customWidth="1"/>
    <col min="8966" max="8966" width="10" style="328" customWidth="1"/>
    <col min="8967" max="8967" width="4.85546875" style="328" bestFit="1" customWidth="1"/>
    <col min="8968" max="8968" width="8.140625" style="328" customWidth="1"/>
    <col min="8969" max="8969" width="9.42578125" style="328" bestFit="1" customWidth="1"/>
    <col min="8970" max="8970" width="6" style="328" bestFit="1" customWidth="1"/>
    <col min="8971" max="8971" width="20.140625" style="328" customWidth="1"/>
    <col min="8972" max="8972" width="9.28515625" style="328" bestFit="1" customWidth="1"/>
    <col min="8973" max="8973" width="12.42578125" style="328" customWidth="1"/>
    <col min="8974" max="8974" width="5.42578125" style="328" customWidth="1"/>
    <col min="8975" max="8975" width="7.42578125" style="328" customWidth="1"/>
    <col min="8976" max="8976" width="9.5703125" style="328" customWidth="1"/>
    <col min="8977" max="9216" width="11.42578125" style="328"/>
    <col min="9217" max="9217" width="8.28515625" style="328" customWidth="1"/>
    <col min="9218" max="9218" width="42" style="328" bestFit="1" customWidth="1"/>
    <col min="9219" max="9220" width="2.85546875" style="328" bestFit="1" customWidth="1"/>
    <col min="9221" max="9221" width="5.28515625" style="328" customWidth="1"/>
    <col min="9222" max="9222" width="10" style="328" customWidth="1"/>
    <col min="9223" max="9223" width="4.85546875" style="328" bestFit="1" customWidth="1"/>
    <col min="9224" max="9224" width="8.140625" style="328" customWidth="1"/>
    <col min="9225" max="9225" width="9.42578125" style="328" bestFit="1" customWidth="1"/>
    <col min="9226" max="9226" width="6" style="328" bestFit="1" customWidth="1"/>
    <col min="9227" max="9227" width="20.140625" style="328" customWidth="1"/>
    <col min="9228" max="9228" width="9.28515625" style="328" bestFit="1" customWidth="1"/>
    <col min="9229" max="9229" width="12.42578125" style="328" customWidth="1"/>
    <col min="9230" max="9230" width="5.42578125" style="328" customWidth="1"/>
    <col min="9231" max="9231" width="7.42578125" style="328" customWidth="1"/>
    <col min="9232" max="9232" width="9.5703125" style="328" customWidth="1"/>
    <col min="9233" max="9472" width="11.42578125" style="328"/>
    <col min="9473" max="9473" width="8.28515625" style="328" customWidth="1"/>
    <col min="9474" max="9474" width="42" style="328" bestFit="1" customWidth="1"/>
    <col min="9475" max="9476" width="2.85546875" style="328" bestFit="1" customWidth="1"/>
    <col min="9477" max="9477" width="5.28515625" style="328" customWidth="1"/>
    <col min="9478" max="9478" width="10" style="328" customWidth="1"/>
    <col min="9479" max="9479" width="4.85546875" style="328" bestFit="1" customWidth="1"/>
    <col min="9480" max="9480" width="8.140625" style="328" customWidth="1"/>
    <col min="9481" max="9481" width="9.42578125" style="328" bestFit="1" customWidth="1"/>
    <col min="9482" max="9482" width="6" style="328" bestFit="1" customWidth="1"/>
    <col min="9483" max="9483" width="20.140625" style="328" customWidth="1"/>
    <col min="9484" max="9484" width="9.28515625" style="328" bestFit="1" customWidth="1"/>
    <col min="9485" max="9485" width="12.42578125" style="328" customWidth="1"/>
    <col min="9486" max="9486" width="5.42578125" style="328" customWidth="1"/>
    <col min="9487" max="9487" width="7.42578125" style="328" customWidth="1"/>
    <col min="9488" max="9488" width="9.5703125" style="328" customWidth="1"/>
    <col min="9489" max="9728" width="11.42578125" style="328"/>
    <col min="9729" max="9729" width="8.28515625" style="328" customWidth="1"/>
    <col min="9730" max="9730" width="42" style="328" bestFit="1" customWidth="1"/>
    <col min="9731" max="9732" width="2.85546875" style="328" bestFit="1" customWidth="1"/>
    <col min="9733" max="9733" width="5.28515625" style="328" customWidth="1"/>
    <col min="9734" max="9734" width="10" style="328" customWidth="1"/>
    <col min="9735" max="9735" width="4.85546875" style="328" bestFit="1" customWidth="1"/>
    <col min="9736" max="9736" width="8.140625" style="328" customWidth="1"/>
    <col min="9737" max="9737" width="9.42578125" style="328" bestFit="1" customWidth="1"/>
    <col min="9738" max="9738" width="6" style="328" bestFit="1" customWidth="1"/>
    <col min="9739" max="9739" width="20.140625" style="328" customWidth="1"/>
    <col min="9740" max="9740" width="9.28515625" style="328" bestFit="1" customWidth="1"/>
    <col min="9741" max="9741" width="12.42578125" style="328" customWidth="1"/>
    <col min="9742" max="9742" width="5.42578125" style="328" customWidth="1"/>
    <col min="9743" max="9743" width="7.42578125" style="328" customWidth="1"/>
    <col min="9744" max="9744" width="9.5703125" style="328" customWidth="1"/>
    <col min="9745" max="9984" width="11.42578125" style="328"/>
    <col min="9985" max="9985" width="8.28515625" style="328" customWidth="1"/>
    <col min="9986" max="9986" width="42" style="328" bestFit="1" customWidth="1"/>
    <col min="9987" max="9988" width="2.85546875" style="328" bestFit="1" customWidth="1"/>
    <col min="9989" max="9989" width="5.28515625" style="328" customWidth="1"/>
    <col min="9990" max="9990" width="10" style="328" customWidth="1"/>
    <col min="9991" max="9991" width="4.85546875" style="328" bestFit="1" customWidth="1"/>
    <col min="9992" max="9992" width="8.140625" style="328" customWidth="1"/>
    <col min="9993" max="9993" width="9.42578125" style="328" bestFit="1" customWidth="1"/>
    <col min="9994" max="9994" width="6" style="328" bestFit="1" customWidth="1"/>
    <col min="9995" max="9995" width="20.140625" style="328" customWidth="1"/>
    <col min="9996" max="9996" width="9.28515625" style="328" bestFit="1" customWidth="1"/>
    <col min="9997" max="9997" width="12.42578125" style="328" customWidth="1"/>
    <col min="9998" max="9998" width="5.42578125" style="328" customWidth="1"/>
    <col min="9999" max="9999" width="7.42578125" style="328" customWidth="1"/>
    <col min="10000" max="10000" width="9.5703125" style="328" customWidth="1"/>
    <col min="10001" max="10240" width="11.42578125" style="328"/>
    <col min="10241" max="10241" width="8.28515625" style="328" customWidth="1"/>
    <col min="10242" max="10242" width="42" style="328" bestFit="1" customWidth="1"/>
    <col min="10243" max="10244" width="2.85546875" style="328" bestFit="1" customWidth="1"/>
    <col min="10245" max="10245" width="5.28515625" style="328" customWidth="1"/>
    <col min="10246" max="10246" width="10" style="328" customWidth="1"/>
    <col min="10247" max="10247" width="4.85546875" style="328" bestFit="1" customWidth="1"/>
    <col min="10248" max="10248" width="8.140625" style="328" customWidth="1"/>
    <col min="10249" max="10249" width="9.42578125" style="328" bestFit="1" customWidth="1"/>
    <col min="10250" max="10250" width="6" style="328" bestFit="1" customWidth="1"/>
    <col min="10251" max="10251" width="20.140625" style="328" customWidth="1"/>
    <col min="10252" max="10252" width="9.28515625" style="328" bestFit="1" customWidth="1"/>
    <col min="10253" max="10253" width="12.42578125" style="328" customWidth="1"/>
    <col min="10254" max="10254" width="5.42578125" style="328" customWidth="1"/>
    <col min="10255" max="10255" width="7.42578125" style="328" customWidth="1"/>
    <col min="10256" max="10256" width="9.5703125" style="328" customWidth="1"/>
    <col min="10257" max="10496" width="11.42578125" style="328"/>
    <col min="10497" max="10497" width="8.28515625" style="328" customWidth="1"/>
    <col min="10498" max="10498" width="42" style="328" bestFit="1" customWidth="1"/>
    <col min="10499" max="10500" width="2.85546875" style="328" bestFit="1" customWidth="1"/>
    <col min="10501" max="10501" width="5.28515625" style="328" customWidth="1"/>
    <col min="10502" max="10502" width="10" style="328" customWidth="1"/>
    <col min="10503" max="10503" width="4.85546875" style="328" bestFit="1" customWidth="1"/>
    <col min="10504" max="10504" width="8.140625" style="328" customWidth="1"/>
    <col min="10505" max="10505" width="9.42578125" style="328" bestFit="1" customWidth="1"/>
    <col min="10506" max="10506" width="6" style="328" bestFit="1" customWidth="1"/>
    <col min="10507" max="10507" width="20.140625" style="328" customWidth="1"/>
    <col min="10508" max="10508" width="9.28515625" style="328" bestFit="1" customWidth="1"/>
    <col min="10509" max="10509" width="12.42578125" style="328" customWidth="1"/>
    <col min="10510" max="10510" width="5.42578125" style="328" customWidth="1"/>
    <col min="10511" max="10511" width="7.42578125" style="328" customWidth="1"/>
    <col min="10512" max="10512" width="9.5703125" style="328" customWidth="1"/>
    <col min="10513" max="10752" width="11.42578125" style="328"/>
    <col min="10753" max="10753" width="8.28515625" style="328" customWidth="1"/>
    <col min="10754" max="10754" width="42" style="328" bestFit="1" customWidth="1"/>
    <col min="10755" max="10756" width="2.85546875" style="328" bestFit="1" customWidth="1"/>
    <col min="10757" max="10757" width="5.28515625" style="328" customWidth="1"/>
    <col min="10758" max="10758" width="10" style="328" customWidth="1"/>
    <col min="10759" max="10759" width="4.85546875" style="328" bestFit="1" customWidth="1"/>
    <col min="10760" max="10760" width="8.140625" style="328" customWidth="1"/>
    <col min="10761" max="10761" width="9.42578125" style="328" bestFit="1" customWidth="1"/>
    <col min="10762" max="10762" width="6" style="328" bestFit="1" customWidth="1"/>
    <col min="10763" max="10763" width="20.140625" style="328" customWidth="1"/>
    <col min="10764" max="10764" width="9.28515625" style="328" bestFit="1" customWidth="1"/>
    <col min="10765" max="10765" width="12.42578125" style="328" customWidth="1"/>
    <col min="10766" max="10766" width="5.42578125" style="328" customWidth="1"/>
    <col min="10767" max="10767" width="7.42578125" style="328" customWidth="1"/>
    <col min="10768" max="10768" width="9.5703125" style="328" customWidth="1"/>
    <col min="10769" max="11008" width="11.42578125" style="328"/>
    <col min="11009" max="11009" width="8.28515625" style="328" customWidth="1"/>
    <col min="11010" max="11010" width="42" style="328" bestFit="1" customWidth="1"/>
    <col min="11011" max="11012" width="2.85546875" style="328" bestFit="1" customWidth="1"/>
    <col min="11013" max="11013" width="5.28515625" style="328" customWidth="1"/>
    <col min="11014" max="11014" width="10" style="328" customWidth="1"/>
    <col min="11015" max="11015" width="4.85546875" style="328" bestFit="1" customWidth="1"/>
    <col min="11016" max="11016" width="8.140625" style="328" customWidth="1"/>
    <col min="11017" max="11017" width="9.42578125" style="328" bestFit="1" customWidth="1"/>
    <col min="11018" max="11018" width="6" style="328" bestFit="1" customWidth="1"/>
    <col min="11019" max="11019" width="20.140625" style="328" customWidth="1"/>
    <col min="11020" max="11020" width="9.28515625" style="328" bestFit="1" customWidth="1"/>
    <col min="11021" max="11021" width="12.42578125" style="328" customWidth="1"/>
    <col min="11022" max="11022" width="5.42578125" style="328" customWidth="1"/>
    <col min="11023" max="11023" width="7.42578125" style="328" customWidth="1"/>
    <col min="11024" max="11024" width="9.5703125" style="328" customWidth="1"/>
    <col min="11025" max="11264" width="11.42578125" style="328"/>
    <col min="11265" max="11265" width="8.28515625" style="328" customWidth="1"/>
    <col min="11266" max="11266" width="42" style="328" bestFit="1" customWidth="1"/>
    <col min="11267" max="11268" width="2.85546875" style="328" bestFit="1" customWidth="1"/>
    <col min="11269" max="11269" width="5.28515625" style="328" customWidth="1"/>
    <col min="11270" max="11270" width="10" style="328" customWidth="1"/>
    <col min="11271" max="11271" width="4.85546875" style="328" bestFit="1" customWidth="1"/>
    <col min="11272" max="11272" width="8.140625" style="328" customWidth="1"/>
    <col min="11273" max="11273" width="9.42578125" style="328" bestFit="1" customWidth="1"/>
    <col min="11274" max="11274" width="6" style="328" bestFit="1" customWidth="1"/>
    <col min="11275" max="11275" width="20.140625" style="328" customWidth="1"/>
    <col min="11276" max="11276" width="9.28515625" style="328" bestFit="1" customWidth="1"/>
    <col min="11277" max="11277" width="12.42578125" style="328" customWidth="1"/>
    <col min="11278" max="11278" width="5.42578125" style="328" customWidth="1"/>
    <col min="11279" max="11279" width="7.42578125" style="328" customWidth="1"/>
    <col min="11280" max="11280" width="9.5703125" style="328" customWidth="1"/>
    <col min="11281" max="11520" width="11.42578125" style="328"/>
    <col min="11521" max="11521" width="8.28515625" style="328" customWidth="1"/>
    <col min="11522" max="11522" width="42" style="328" bestFit="1" customWidth="1"/>
    <col min="11523" max="11524" width="2.85546875" style="328" bestFit="1" customWidth="1"/>
    <col min="11525" max="11525" width="5.28515625" style="328" customWidth="1"/>
    <col min="11526" max="11526" width="10" style="328" customWidth="1"/>
    <col min="11527" max="11527" width="4.85546875" style="328" bestFit="1" customWidth="1"/>
    <col min="11528" max="11528" width="8.140625" style="328" customWidth="1"/>
    <col min="11529" max="11529" width="9.42578125" style="328" bestFit="1" customWidth="1"/>
    <col min="11530" max="11530" width="6" style="328" bestFit="1" customWidth="1"/>
    <col min="11531" max="11531" width="20.140625" style="328" customWidth="1"/>
    <col min="11532" max="11532" width="9.28515625" style="328" bestFit="1" customWidth="1"/>
    <col min="11533" max="11533" width="12.42578125" style="328" customWidth="1"/>
    <col min="11534" max="11534" width="5.42578125" style="328" customWidth="1"/>
    <col min="11535" max="11535" width="7.42578125" style="328" customWidth="1"/>
    <col min="11536" max="11536" width="9.5703125" style="328" customWidth="1"/>
    <col min="11537" max="11776" width="11.42578125" style="328"/>
    <col min="11777" max="11777" width="8.28515625" style="328" customWidth="1"/>
    <col min="11778" max="11778" width="42" style="328" bestFit="1" customWidth="1"/>
    <col min="11779" max="11780" width="2.85546875" style="328" bestFit="1" customWidth="1"/>
    <col min="11781" max="11781" width="5.28515625" style="328" customWidth="1"/>
    <col min="11782" max="11782" width="10" style="328" customWidth="1"/>
    <col min="11783" max="11783" width="4.85546875" style="328" bestFit="1" customWidth="1"/>
    <col min="11784" max="11784" width="8.140625" style="328" customWidth="1"/>
    <col min="11785" max="11785" width="9.42578125" style="328" bestFit="1" customWidth="1"/>
    <col min="11786" max="11786" width="6" style="328" bestFit="1" customWidth="1"/>
    <col min="11787" max="11787" width="20.140625" style="328" customWidth="1"/>
    <col min="11788" max="11788" width="9.28515625" style="328" bestFit="1" customWidth="1"/>
    <col min="11789" max="11789" width="12.42578125" style="328" customWidth="1"/>
    <col min="11790" max="11790" width="5.42578125" style="328" customWidth="1"/>
    <col min="11791" max="11791" width="7.42578125" style="328" customWidth="1"/>
    <col min="11792" max="11792" width="9.5703125" style="328" customWidth="1"/>
    <col min="11793" max="12032" width="11.42578125" style="328"/>
    <col min="12033" max="12033" width="8.28515625" style="328" customWidth="1"/>
    <col min="12034" max="12034" width="42" style="328" bestFit="1" customWidth="1"/>
    <col min="12035" max="12036" width="2.85546875" style="328" bestFit="1" customWidth="1"/>
    <col min="12037" max="12037" width="5.28515625" style="328" customWidth="1"/>
    <col min="12038" max="12038" width="10" style="328" customWidth="1"/>
    <col min="12039" max="12039" width="4.85546875" style="328" bestFit="1" customWidth="1"/>
    <col min="12040" max="12040" width="8.140625" style="328" customWidth="1"/>
    <col min="12041" max="12041" width="9.42578125" style="328" bestFit="1" customWidth="1"/>
    <col min="12042" max="12042" width="6" style="328" bestFit="1" customWidth="1"/>
    <col min="12043" max="12043" width="20.140625" style="328" customWidth="1"/>
    <col min="12044" max="12044" width="9.28515625" style="328" bestFit="1" customWidth="1"/>
    <col min="12045" max="12045" width="12.42578125" style="328" customWidth="1"/>
    <col min="12046" max="12046" width="5.42578125" style="328" customWidth="1"/>
    <col min="12047" max="12047" width="7.42578125" style="328" customWidth="1"/>
    <col min="12048" max="12048" width="9.5703125" style="328" customWidth="1"/>
    <col min="12049" max="12288" width="11.42578125" style="328"/>
    <col min="12289" max="12289" width="8.28515625" style="328" customWidth="1"/>
    <col min="12290" max="12290" width="42" style="328" bestFit="1" customWidth="1"/>
    <col min="12291" max="12292" width="2.85546875" style="328" bestFit="1" customWidth="1"/>
    <col min="12293" max="12293" width="5.28515625" style="328" customWidth="1"/>
    <col min="12294" max="12294" width="10" style="328" customWidth="1"/>
    <col min="12295" max="12295" width="4.85546875" style="328" bestFit="1" customWidth="1"/>
    <col min="12296" max="12296" width="8.140625" style="328" customWidth="1"/>
    <col min="12297" max="12297" width="9.42578125" style="328" bestFit="1" customWidth="1"/>
    <col min="12298" max="12298" width="6" style="328" bestFit="1" customWidth="1"/>
    <col min="12299" max="12299" width="20.140625" style="328" customWidth="1"/>
    <col min="12300" max="12300" width="9.28515625" style="328" bestFit="1" customWidth="1"/>
    <col min="12301" max="12301" width="12.42578125" style="328" customWidth="1"/>
    <col min="12302" max="12302" width="5.42578125" style="328" customWidth="1"/>
    <col min="12303" max="12303" width="7.42578125" style="328" customWidth="1"/>
    <col min="12304" max="12304" width="9.5703125" style="328" customWidth="1"/>
    <col min="12305" max="12544" width="11.42578125" style="328"/>
    <col min="12545" max="12545" width="8.28515625" style="328" customWidth="1"/>
    <col min="12546" max="12546" width="42" style="328" bestFit="1" customWidth="1"/>
    <col min="12547" max="12548" width="2.85546875" style="328" bestFit="1" customWidth="1"/>
    <col min="12549" max="12549" width="5.28515625" style="328" customWidth="1"/>
    <col min="12550" max="12550" width="10" style="328" customWidth="1"/>
    <col min="12551" max="12551" width="4.85546875" style="328" bestFit="1" customWidth="1"/>
    <col min="12552" max="12552" width="8.140625" style="328" customWidth="1"/>
    <col min="12553" max="12553" width="9.42578125" style="328" bestFit="1" customWidth="1"/>
    <col min="12554" max="12554" width="6" style="328" bestFit="1" customWidth="1"/>
    <col min="12555" max="12555" width="20.140625" style="328" customWidth="1"/>
    <col min="12556" max="12556" width="9.28515625" style="328" bestFit="1" customWidth="1"/>
    <col min="12557" max="12557" width="12.42578125" style="328" customWidth="1"/>
    <col min="12558" max="12558" width="5.42578125" style="328" customWidth="1"/>
    <col min="12559" max="12559" width="7.42578125" style="328" customWidth="1"/>
    <col min="12560" max="12560" width="9.5703125" style="328" customWidth="1"/>
    <col min="12561" max="12800" width="11.42578125" style="328"/>
    <col min="12801" max="12801" width="8.28515625" style="328" customWidth="1"/>
    <col min="12802" max="12802" width="42" style="328" bestFit="1" customWidth="1"/>
    <col min="12803" max="12804" width="2.85546875" style="328" bestFit="1" customWidth="1"/>
    <col min="12805" max="12805" width="5.28515625" style="328" customWidth="1"/>
    <col min="12806" max="12806" width="10" style="328" customWidth="1"/>
    <col min="12807" max="12807" width="4.85546875" style="328" bestFit="1" customWidth="1"/>
    <col min="12808" max="12808" width="8.140625" style="328" customWidth="1"/>
    <col min="12809" max="12809" width="9.42578125" style="328" bestFit="1" customWidth="1"/>
    <col min="12810" max="12810" width="6" style="328" bestFit="1" customWidth="1"/>
    <col min="12811" max="12811" width="20.140625" style="328" customWidth="1"/>
    <col min="12812" max="12812" width="9.28515625" style="328" bestFit="1" customWidth="1"/>
    <col min="12813" max="12813" width="12.42578125" style="328" customWidth="1"/>
    <col min="12814" max="12814" width="5.42578125" style="328" customWidth="1"/>
    <col min="12815" max="12815" width="7.42578125" style="328" customWidth="1"/>
    <col min="12816" max="12816" width="9.5703125" style="328" customWidth="1"/>
    <col min="12817" max="13056" width="11.42578125" style="328"/>
    <col min="13057" max="13057" width="8.28515625" style="328" customWidth="1"/>
    <col min="13058" max="13058" width="42" style="328" bestFit="1" customWidth="1"/>
    <col min="13059" max="13060" width="2.85546875" style="328" bestFit="1" customWidth="1"/>
    <col min="13061" max="13061" width="5.28515625" style="328" customWidth="1"/>
    <col min="13062" max="13062" width="10" style="328" customWidth="1"/>
    <col min="13063" max="13063" width="4.85546875" style="328" bestFit="1" customWidth="1"/>
    <col min="13064" max="13064" width="8.140625" style="328" customWidth="1"/>
    <col min="13065" max="13065" width="9.42578125" style="328" bestFit="1" customWidth="1"/>
    <col min="13066" max="13066" width="6" style="328" bestFit="1" customWidth="1"/>
    <col min="13067" max="13067" width="20.140625" style="328" customWidth="1"/>
    <col min="13068" max="13068" width="9.28515625" style="328" bestFit="1" customWidth="1"/>
    <col min="13069" max="13069" width="12.42578125" style="328" customWidth="1"/>
    <col min="13070" max="13070" width="5.42578125" style="328" customWidth="1"/>
    <col min="13071" max="13071" width="7.42578125" style="328" customWidth="1"/>
    <col min="13072" max="13072" width="9.5703125" style="328" customWidth="1"/>
    <col min="13073" max="13312" width="11.42578125" style="328"/>
    <col min="13313" max="13313" width="8.28515625" style="328" customWidth="1"/>
    <col min="13314" max="13314" width="42" style="328" bestFit="1" customWidth="1"/>
    <col min="13315" max="13316" width="2.85546875" style="328" bestFit="1" customWidth="1"/>
    <col min="13317" max="13317" width="5.28515625" style="328" customWidth="1"/>
    <col min="13318" max="13318" width="10" style="328" customWidth="1"/>
    <col min="13319" max="13319" width="4.85546875" style="328" bestFit="1" customWidth="1"/>
    <col min="13320" max="13320" width="8.140625" style="328" customWidth="1"/>
    <col min="13321" max="13321" width="9.42578125" style="328" bestFit="1" customWidth="1"/>
    <col min="13322" max="13322" width="6" style="328" bestFit="1" customWidth="1"/>
    <col min="13323" max="13323" width="20.140625" style="328" customWidth="1"/>
    <col min="13324" max="13324" width="9.28515625" style="328" bestFit="1" customWidth="1"/>
    <col min="13325" max="13325" width="12.42578125" style="328" customWidth="1"/>
    <col min="13326" max="13326" width="5.42578125" style="328" customWidth="1"/>
    <col min="13327" max="13327" width="7.42578125" style="328" customWidth="1"/>
    <col min="13328" max="13328" width="9.5703125" style="328" customWidth="1"/>
    <col min="13329" max="13568" width="11.42578125" style="328"/>
    <col min="13569" max="13569" width="8.28515625" style="328" customWidth="1"/>
    <col min="13570" max="13570" width="42" style="328" bestFit="1" customWidth="1"/>
    <col min="13571" max="13572" width="2.85546875" style="328" bestFit="1" customWidth="1"/>
    <col min="13573" max="13573" width="5.28515625" style="328" customWidth="1"/>
    <col min="13574" max="13574" width="10" style="328" customWidth="1"/>
    <col min="13575" max="13575" width="4.85546875" style="328" bestFit="1" customWidth="1"/>
    <col min="13576" max="13576" width="8.140625" style="328" customWidth="1"/>
    <col min="13577" max="13577" width="9.42578125" style="328" bestFit="1" customWidth="1"/>
    <col min="13578" max="13578" width="6" style="328" bestFit="1" customWidth="1"/>
    <col min="13579" max="13579" width="20.140625" style="328" customWidth="1"/>
    <col min="13580" max="13580" width="9.28515625" style="328" bestFit="1" customWidth="1"/>
    <col min="13581" max="13581" width="12.42578125" style="328" customWidth="1"/>
    <col min="13582" max="13582" width="5.42578125" style="328" customWidth="1"/>
    <col min="13583" max="13583" width="7.42578125" style="328" customWidth="1"/>
    <col min="13584" max="13584" width="9.5703125" style="328" customWidth="1"/>
    <col min="13585" max="13824" width="11.42578125" style="328"/>
    <col min="13825" max="13825" width="8.28515625" style="328" customWidth="1"/>
    <col min="13826" max="13826" width="42" style="328" bestFit="1" customWidth="1"/>
    <col min="13827" max="13828" width="2.85546875" style="328" bestFit="1" customWidth="1"/>
    <col min="13829" max="13829" width="5.28515625" style="328" customWidth="1"/>
    <col min="13830" max="13830" width="10" style="328" customWidth="1"/>
    <col min="13831" max="13831" width="4.85546875" style="328" bestFit="1" customWidth="1"/>
    <col min="13832" max="13832" width="8.140625" style="328" customWidth="1"/>
    <col min="13833" max="13833" width="9.42578125" style="328" bestFit="1" customWidth="1"/>
    <col min="13834" max="13834" width="6" style="328" bestFit="1" customWidth="1"/>
    <col min="13835" max="13835" width="20.140625" style="328" customWidth="1"/>
    <col min="13836" max="13836" width="9.28515625" style="328" bestFit="1" customWidth="1"/>
    <col min="13837" max="13837" width="12.42578125" style="328" customWidth="1"/>
    <col min="13838" max="13838" width="5.42578125" style="328" customWidth="1"/>
    <col min="13839" max="13839" width="7.42578125" style="328" customWidth="1"/>
    <col min="13840" max="13840" width="9.5703125" style="328" customWidth="1"/>
    <col min="13841" max="14080" width="11.42578125" style="328"/>
    <col min="14081" max="14081" width="8.28515625" style="328" customWidth="1"/>
    <col min="14082" max="14082" width="42" style="328" bestFit="1" customWidth="1"/>
    <col min="14083" max="14084" width="2.85546875" style="328" bestFit="1" customWidth="1"/>
    <col min="14085" max="14085" width="5.28515625" style="328" customWidth="1"/>
    <col min="14086" max="14086" width="10" style="328" customWidth="1"/>
    <col min="14087" max="14087" width="4.85546875" style="328" bestFit="1" customWidth="1"/>
    <col min="14088" max="14088" width="8.140625" style="328" customWidth="1"/>
    <col min="14089" max="14089" width="9.42578125" style="328" bestFit="1" customWidth="1"/>
    <col min="14090" max="14090" width="6" style="328" bestFit="1" customWidth="1"/>
    <col min="14091" max="14091" width="20.140625" style="328" customWidth="1"/>
    <col min="14092" max="14092" width="9.28515625" style="328" bestFit="1" customWidth="1"/>
    <col min="14093" max="14093" width="12.42578125" style="328" customWidth="1"/>
    <col min="14094" max="14094" width="5.42578125" style="328" customWidth="1"/>
    <col min="14095" max="14095" width="7.42578125" style="328" customWidth="1"/>
    <col min="14096" max="14096" width="9.5703125" style="328" customWidth="1"/>
    <col min="14097" max="14336" width="11.42578125" style="328"/>
    <col min="14337" max="14337" width="8.28515625" style="328" customWidth="1"/>
    <col min="14338" max="14338" width="42" style="328" bestFit="1" customWidth="1"/>
    <col min="14339" max="14340" width="2.85546875" style="328" bestFit="1" customWidth="1"/>
    <col min="14341" max="14341" width="5.28515625" style="328" customWidth="1"/>
    <col min="14342" max="14342" width="10" style="328" customWidth="1"/>
    <col min="14343" max="14343" width="4.85546875" style="328" bestFit="1" customWidth="1"/>
    <col min="14344" max="14344" width="8.140625" style="328" customWidth="1"/>
    <col min="14345" max="14345" width="9.42578125" style="328" bestFit="1" customWidth="1"/>
    <col min="14346" max="14346" width="6" style="328" bestFit="1" customWidth="1"/>
    <col min="14347" max="14347" width="20.140625" style="328" customWidth="1"/>
    <col min="14348" max="14348" width="9.28515625" style="328" bestFit="1" customWidth="1"/>
    <col min="14349" max="14349" width="12.42578125" style="328" customWidth="1"/>
    <col min="14350" max="14350" width="5.42578125" style="328" customWidth="1"/>
    <col min="14351" max="14351" width="7.42578125" style="328" customWidth="1"/>
    <col min="14352" max="14352" width="9.5703125" style="328" customWidth="1"/>
    <col min="14353" max="14592" width="11.42578125" style="328"/>
    <col min="14593" max="14593" width="8.28515625" style="328" customWidth="1"/>
    <col min="14594" max="14594" width="42" style="328" bestFit="1" customWidth="1"/>
    <col min="14595" max="14596" width="2.85546875" style="328" bestFit="1" customWidth="1"/>
    <col min="14597" max="14597" width="5.28515625" style="328" customWidth="1"/>
    <col min="14598" max="14598" width="10" style="328" customWidth="1"/>
    <col min="14599" max="14599" width="4.85546875" style="328" bestFit="1" customWidth="1"/>
    <col min="14600" max="14600" width="8.140625" style="328" customWidth="1"/>
    <col min="14601" max="14601" width="9.42578125" style="328" bestFit="1" customWidth="1"/>
    <col min="14602" max="14602" width="6" style="328" bestFit="1" customWidth="1"/>
    <col min="14603" max="14603" width="20.140625" style="328" customWidth="1"/>
    <col min="14604" max="14604" width="9.28515625" style="328" bestFit="1" customWidth="1"/>
    <col min="14605" max="14605" width="12.42578125" style="328" customWidth="1"/>
    <col min="14606" max="14606" width="5.42578125" style="328" customWidth="1"/>
    <col min="14607" max="14607" width="7.42578125" style="328" customWidth="1"/>
    <col min="14608" max="14608" width="9.5703125" style="328" customWidth="1"/>
    <col min="14609" max="14848" width="11.42578125" style="328"/>
    <col min="14849" max="14849" width="8.28515625" style="328" customWidth="1"/>
    <col min="14850" max="14850" width="42" style="328" bestFit="1" customWidth="1"/>
    <col min="14851" max="14852" width="2.85546875" style="328" bestFit="1" customWidth="1"/>
    <col min="14853" max="14853" width="5.28515625" style="328" customWidth="1"/>
    <col min="14854" max="14854" width="10" style="328" customWidth="1"/>
    <col min="14855" max="14855" width="4.85546875" style="328" bestFit="1" customWidth="1"/>
    <col min="14856" max="14856" width="8.140625" style="328" customWidth="1"/>
    <col min="14857" max="14857" width="9.42578125" style="328" bestFit="1" customWidth="1"/>
    <col min="14858" max="14858" width="6" style="328" bestFit="1" customWidth="1"/>
    <col min="14859" max="14859" width="20.140625" style="328" customWidth="1"/>
    <col min="14860" max="14860" width="9.28515625" style="328" bestFit="1" customWidth="1"/>
    <col min="14861" max="14861" width="12.42578125" style="328" customWidth="1"/>
    <col min="14862" max="14862" width="5.42578125" style="328" customWidth="1"/>
    <col min="14863" max="14863" width="7.42578125" style="328" customWidth="1"/>
    <col min="14864" max="14864" width="9.5703125" style="328" customWidth="1"/>
    <col min="14865" max="15104" width="11.42578125" style="328"/>
    <col min="15105" max="15105" width="8.28515625" style="328" customWidth="1"/>
    <col min="15106" max="15106" width="42" style="328" bestFit="1" customWidth="1"/>
    <col min="15107" max="15108" width="2.85546875" style="328" bestFit="1" customWidth="1"/>
    <col min="15109" max="15109" width="5.28515625" style="328" customWidth="1"/>
    <col min="15110" max="15110" width="10" style="328" customWidth="1"/>
    <col min="15111" max="15111" width="4.85546875" style="328" bestFit="1" customWidth="1"/>
    <col min="15112" max="15112" width="8.140625" style="328" customWidth="1"/>
    <col min="15113" max="15113" width="9.42578125" style="328" bestFit="1" customWidth="1"/>
    <col min="15114" max="15114" width="6" style="328" bestFit="1" customWidth="1"/>
    <col min="15115" max="15115" width="20.140625" style="328" customWidth="1"/>
    <col min="15116" max="15116" width="9.28515625" style="328" bestFit="1" customWidth="1"/>
    <col min="15117" max="15117" width="12.42578125" style="328" customWidth="1"/>
    <col min="15118" max="15118" width="5.42578125" style="328" customWidth="1"/>
    <col min="15119" max="15119" width="7.42578125" style="328" customWidth="1"/>
    <col min="15120" max="15120" width="9.5703125" style="328" customWidth="1"/>
    <col min="15121" max="15360" width="11.42578125" style="328"/>
    <col min="15361" max="15361" width="8.28515625" style="328" customWidth="1"/>
    <col min="15362" max="15362" width="42" style="328" bestFit="1" customWidth="1"/>
    <col min="15363" max="15364" width="2.85546875" style="328" bestFit="1" customWidth="1"/>
    <col min="15365" max="15365" width="5.28515625" style="328" customWidth="1"/>
    <col min="15366" max="15366" width="10" style="328" customWidth="1"/>
    <col min="15367" max="15367" width="4.85546875" style="328" bestFit="1" customWidth="1"/>
    <col min="15368" max="15368" width="8.140625" style="328" customWidth="1"/>
    <col min="15369" max="15369" width="9.42578125" style="328" bestFit="1" customWidth="1"/>
    <col min="15370" max="15370" width="6" style="328" bestFit="1" customWidth="1"/>
    <col min="15371" max="15371" width="20.140625" style="328" customWidth="1"/>
    <col min="15372" max="15372" width="9.28515625" style="328" bestFit="1" customWidth="1"/>
    <col min="15373" max="15373" width="12.42578125" style="328" customWidth="1"/>
    <col min="15374" max="15374" width="5.42578125" style="328" customWidth="1"/>
    <col min="15375" max="15375" width="7.42578125" style="328" customWidth="1"/>
    <col min="15376" max="15376" width="9.5703125" style="328" customWidth="1"/>
    <col min="15377" max="15616" width="11.42578125" style="328"/>
    <col min="15617" max="15617" width="8.28515625" style="328" customWidth="1"/>
    <col min="15618" max="15618" width="42" style="328" bestFit="1" customWidth="1"/>
    <col min="15619" max="15620" width="2.85546875" style="328" bestFit="1" customWidth="1"/>
    <col min="15621" max="15621" width="5.28515625" style="328" customWidth="1"/>
    <col min="15622" max="15622" width="10" style="328" customWidth="1"/>
    <col min="15623" max="15623" width="4.85546875" style="328" bestFit="1" customWidth="1"/>
    <col min="15624" max="15624" width="8.140625" style="328" customWidth="1"/>
    <col min="15625" max="15625" width="9.42578125" style="328" bestFit="1" customWidth="1"/>
    <col min="15626" max="15626" width="6" style="328" bestFit="1" customWidth="1"/>
    <col min="15627" max="15627" width="20.140625" style="328" customWidth="1"/>
    <col min="15628" max="15628" width="9.28515625" style="328" bestFit="1" customWidth="1"/>
    <col min="15629" max="15629" width="12.42578125" style="328" customWidth="1"/>
    <col min="15630" max="15630" width="5.42578125" style="328" customWidth="1"/>
    <col min="15631" max="15631" width="7.42578125" style="328" customWidth="1"/>
    <col min="15632" max="15632" width="9.5703125" style="328" customWidth="1"/>
    <col min="15633" max="15872" width="11.42578125" style="328"/>
    <col min="15873" max="15873" width="8.28515625" style="328" customWidth="1"/>
    <col min="15874" max="15874" width="42" style="328" bestFit="1" customWidth="1"/>
    <col min="15875" max="15876" width="2.85546875" style="328" bestFit="1" customWidth="1"/>
    <col min="15877" max="15877" width="5.28515625" style="328" customWidth="1"/>
    <col min="15878" max="15878" width="10" style="328" customWidth="1"/>
    <col min="15879" max="15879" width="4.85546875" style="328" bestFit="1" customWidth="1"/>
    <col min="15880" max="15880" width="8.140625" style="328" customWidth="1"/>
    <col min="15881" max="15881" width="9.42578125" style="328" bestFit="1" customWidth="1"/>
    <col min="15882" max="15882" width="6" style="328" bestFit="1" customWidth="1"/>
    <col min="15883" max="15883" width="20.140625" style="328" customWidth="1"/>
    <col min="15884" max="15884" width="9.28515625" style="328" bestFit="1" customWidth="1"/>
    <col min="15885" max="15885" width="12.42578125" style="328" customWidth="1"/>
    <col min="15886" max="15886" width="5.42578125" style="328" customWidth="1"/>
    <col min="15887" max="15887" width="7.42578125" style="328" customWidth="1"/>
    <col min="15888" max="15888" width="9.5703125" style="328" customWidth="1"/>
    <col min="15889" max="16128" width="11.42578125" style="328"/>
    <col min="16129" max="16129" width="8.28515625" style="328" customWidth="1"/>
    <col min="16130" max="16130" width="42" style="328" bestFit="1" customWidth="1"/>
    <col min="16131" max="16132" width="2.85546875" style="328" bestFit="1" customWidth="1"/>
    <col min="16133" max="16133" width="5.28515625" style="328" customWidth="1"/>
    <col min="16134" max="16134" width="10" style="328" customWidth="1"/>
    <col min="16135" max="16135" width="4.85546875" style="328" bestFit="1" customWidth="1"/>
    <col min="16136" max="16136" width="8.140625" style="328" customWidth="1"/>
    <col min="16137" max="16137" width="9.42578125" style="328" bestFit="1" customWidth="1"/>
    <col min="16138" max="16138" width="6" style="328" bestFit="1" customWidth="1"/>
    <col min="16139" max="16139" width="20.140625" style="328" customWidth="1"/>
    <col min="16140" max="16140" width="9.28515625" style="328" bestFit="1" customWidth="1"/>
    <col min="16141" max="16141" width="12.42578125" style="328" customWidth="1"/>
    <col min="16142" max="16142" width="5.42578125" style="328" customWidth="1"/>
    <col min="16143" max="16143" width="7.42578125" style="328" customWidth="1"/>
    <col min="16144" max="16144" width="9.5703125" style="328" customWidth="1"/>
    <col min="16145" max="16384" width="11.42578125" style="328"/>
  </cols>
  <sheetData>
    <row r="1" spans="1:13">
      <c r="A1" s="327" t="s">
        <v>200</v>
      </c>
      <c r="B1" s="327"/>
      <c r="C1" s="327"/>
      <c r="D1" s="327"/>
      <c r="E1" s="327"/>
      <c r="F1" s="327"/>
      <c r="G1" s="327"/>
      <c r="H1" s="327"/>
      <c r="I1" s="327"/>
      <c r="J1" s="327"/>
    </row>
    <row r="2" spans="1:13">
      <c r="A2" s="327" t="s">
        <v>201</v>
      </c>
      <c r="B2" s="327"/>
      <c r="C2" s="327"/>
      <c r="D2" s="327"/>
      <c r="E2" s="327"/>
      <c r="F2" s="327"/>
      <c r="G2" s="327"/>
      <c r="H2" s="327"/>
      <c r="I2" s="327"/>
      <c r="J2" s="327"/>
    </row>
    <row r="3" spans="1:13">
      <c r="A3" s="327" t="s">
        <v>202</v>
      </c>
      <c r="B3" s="327"/>
      <c r="C3" s="327"/>
      <c r="D3" s="327"/>
      <c r="E3" s="327"/>
      <c r="F3" s="327"/>
      <c r="G3" s="327"/>
      <c r="H3" s="327"/>
      <c r="I3" s="327"/>
      <c r="J3" s="327"/>
    </row>
    <row r="4" spans="1:13">
      <c r="A4" s="327" t="s">
        <v>203</v>
      </c>
      <c r="B4" s="327"/>
      <c r="C4" s="327"/>
      <c r="D4" s="327"/>
      <c r="E4" s="327"/>
      <c r="F4" s="327"/>
      <c r="G4" s="327"/>
      <c r="H4" s="327"/>
      <c r="I4" s="327"/>
      <c r="J4" s="327"/>
    </row>
    <row r="5" spans="1:13" ht="39.75" customHeight="1">
      <c r="A5" s="329" t="s">
        <v>464</v>
      </c>
      <c r="B5" s="329"/>
      <c r="C5" s="329"/>
      <c r="D5" s="329"/>
      <c r="E5" s="329"/>
      <c r="F5" s="329"/>
      <c r="G5" s="329"/>
      <c r="H5" s="329"/>
      <c r="I5" s="329"/>
      <c r="J5" s="329"/>
      <c r="K5" s="328" t="s">
        <v>230</v>
      </c>
      <c r="L5" s="328">
        <v>5.2</v>
      </c>
      <c r="M5" s="328">
        <v>3.05</v>
      </c>
    </row>
    <row r="6" spans="1:13" s="335" customFormat="1">
      <c r="A6" s="330" t="s">
        <v>204</v>
      </c>
      <c r="B6" s="331" t="s">
        <v>205</v>
      </c>
      <c r="C6" s="332" t="s">
        <v>206</v>
      </c>
      <c r="D6" s="332"/>
      <c r="E6" s="332"/>
      <c r="F6" s="333" t="s">
        <v>207</v>
      </c>
      <c r="G6" s="333"/>
      <c r="H6" s="333"/>
      <c r="I6" s="334" t="s">
        <v>208</v>
      </c>
      <c r="J6" s="334"/>
      <c r="K6" s="328" t="s">
        <v>230</v>
      </c>
      <c r="L6" s="335">
        <v>1.2</v>
      </c>
      <c r="M6" s="335">
        <v>4</v>
      </c>
    </row>
    <row r="7" spans="1:13">
      <c r="A7" s="330"/>
      <c r="B7" s="331"/>
      <c r="C7" s="332"/>
      <c r="D7" s="332"/>
      <c r="E7" s="332"/>
      <c r="F7" s="336" t="s">
        <v>5</v>
      </c>
      <c r="G7" s="336" t="s">
        <v>6</v>
      </c>
      <c r="H7" s="336" t="s">
        <v>7</v>
      </c>
      <c r="I7" s="334"/>
      <c r="J7" s="334"/>
    </row>
    <row r="8" spans="1:13" ht="42" customHeight="1">
      <c r="A8" s="337">
        <v>1</v>
      </c>
      <c r="B8" s="338" t="s">
        <v>465</v>
      </c>
      <c r="C8" s="339"/>
      <c r="D8" s="339"/>
      <c r="E8" s="339"/>
      <c r="F8" s="336"/>
      <c r="G8" s="336"/>
      <c r="H8" s="336"/>
      <c r="I8" s="336"/>
    </row>
    <row r="9" spans="1:13" ht="19.5" customHeight="1">
      <c r="A9" s="337"/>
      <c r="B9" s="341" t="s">
        <v>466</v>
      </c>
      <c r="C9" s="339"/>
      <c r="D9" s="339"/>
      <c r="E9" s="339"/>
      <c r="F9" s="336"/>
      <c r="G9" s="336"/>
      <c r="H9" s="336"/>
      <c r="I9" s="336"/>
      <c r="J9" s="342"/>
    </row>
    <row r="10" spans="1:13" ht="18.75" customHeight="1">
      <c r="A10" s="337"/>
      <c r="B10" s="338" t="s">
        <v>467</v>
      </c>
      <c r="C10" s="339">
        <v>1</v>
      </c>
      <c r="D10" s="339"/>
      <c r="E10" s="339">
        <v>1</v>
      </c>
      <c r="F10" s="336">
        <v>5.2</v>
      </c>
      <c r="G10" s="336">
        <v>3.35</v>
      </c>
      <c r="H10" s="336"/>
      <c r="I10" s="336">
        <f t="shared" ref="I10:I12" si="0">PRODUCT(C10:H10)</f>
        <v>17.420000000000002</v>
      </c>
      <c r="J10" s="342"/>
    </row>
    <row r="11" spans="1:13" ht="17.25" customHeight="1">
      <c r="A11" s="337"/>
      <c r="B11" s="338" t="s">
        <v>468</v>
      </c>
      <c r="C11" s="339">
        <v>1</v>
      </c>
      <c r="D11" s="339"/>
      <c r="E11" s="339">
        <v>1</v>
      </c>
      <c r="F11" s="336">
        <v>5.2</v>
      </c>
      <c r="G11" s="336">
        <v>4.4800000000000004</v>
      </c>
      <c r="H11" s="336"/>
      <c r="I11" s="336">
        <f t="shared" si="0"/>
        <v>23.296000000000003</v>
      </c>
      <c r="J11" s="342"/>
    </row>
    <row r="12" spans="1:13" ht="18" customHeight="1">
      <c r="A12" s="337"/>
      <c r="B12" s="338" t="s">
        <v>469</v>
      </c>
      <c r="C12" s="339">
        <v>1</v>
      </c>
      <c r="D12" s="339"/>
      <c r="E12" s="339">
        <v>1</v>
      </c>
      <c r="F12" s="336">
        <v>5.2</v>
      </c>
      <c r="G12" s="336">
        <v>3.35</v>
      </c>
      <c r="H12" s="336"/>
      <c r="I12" s="336">
        <f t="shared" si="0"/>
        <v>17.420000000000002</v>
      </c>
      <c r="J12" s="342"/>
    </row>
    <row r="13" spans="1:13" ht="19.5" customHeight="1">
      <c r="A13" s="337"/>
      <c r="B13" s="341" t="s">
        <v>470</v>
      </c>
      <c r="C13" s="339"/>
      <c r="D13" s="339"/>
      <c r="E13" s="339"/>
      <c r="F13" s="336"/>
      <c r="G13" s="336"/>
      <c r="H13" s="336"/>
      <c r="I13" s="336"/>
    </row>
    <row r="14" spans="1:13" ht="20.25" customHeight="1">
      <c r="A14" s="337"/>
      <c r="B14" s="338" t="s">
        <v>471</v>
      </c>
      <c r="C14" s="339">
        <v>1</v>
      </c>
      <c r="D14" s="339"/>
      <c r="E14" s="339">
        <v>1</v>
      </c>
      <c r="F14" s="336">
        <v>3.37</v>
      </c>
      <c r="G14" s="336">
        <v>2</v>
      </c>
      <c r="H14" s="336"/>
      <c r="I14" s="336">
        <f>PRODUCT(C14:H14)</f>
        <v>6.74</v>
      </c>
    </row>
    <row r="15" spans="1:13">
      <c r="A15" s="337"/>
      <c r="B15" s="338" t="s">
        <v>472</v>
      </c>
      <c r="C15" s="339">
        <v>1</v>
      </c>
      <c r="D15" s="339"/>
      <c r="E15" s="339">
        <v>1</v>
      </c>
      <c r="F15" s="336">
        <v>3.37</v>
      </c>
      <c r="G15" s="336">
        <v>9.41</v>
      </c>
      <c r="H15" s="336"/>
      <c r="I15" s="336">
        <f t="shared" ref="I15:I28" si="1">PRODUCT(C15:H15)</f>
        <v>31.7117</v>
      </c>
    </row>
    <row r="16" spans="1:13">
      <c r="A16" s="337"/>
      <c r="B16" s="338" t="s">
        <v>473</v>
      </c>
      <c r="C16" s="339">
        <v>1</v>
      </c>
      <c r="D16" s="339"/>
      <c r="E16" s="339">
        <v>1</v>
      </c>
      <c r="F16" s="336">
        <v>5.2</v>
      </c>
      <c r="G16" s="336">
        <v>8.06</v>
      </c>
      <c r="H16" s="336"/>
      <c r="I16" s="336">
        <f t="shared" si="1"/>
        <v>41.912000000000006</v>
      </c>
    </row>
    <row r="17" spans="1:15">
      <c r="A17" s="337"/>
      <c r="B17" s="338" t="s">
        <v>474</v>
      </c>
      <c r="C17" s="339">
        <v>1</v>
      </c>
      <c r="D17" s="339"/>
      <c r="E17" s="339">
        <v>1</v>
      </c>
      <c r="F17" s="336">
        <v>5.2</v>
      </c>
      <c r="G17" s="336">
        <v>3.34</v>
      </c>
      <c r="H17" s="336"/>
      <c r="I17" s="336">
        <f t="shared" si="1"/>
        <v>17.367999999999999</v>
      </c>
      <c r="J17" s="342"/>
      <c r="L17" s="328">
        <f>L22/3</f>
        <v>0</v>
      </c>
    </row>
    <row r="18" spans="1:15">
      <c r="A18" s="337"/>
      <c r="B18" s="338" t="s">
        <v>475</v>
      </c>
      <c r="C18" s="339">
        <v>1</v>
      </c>
      <c r="D18" s="339"/>
      <c r="E18" s="339">
        <v>2</v>
      </c>
      <c r="F18" s="336">
        <v>14.89</v>
      </c>
      <c r="G18" s="336">
        <v>5.2</v>
      </c>
      <c r="H18" s="336"/>
      <c r="I18" s="336">
        <f t="shared" si="1"/>
        <v>154.85600000000002</v>
      </c>
      <c r="J18" s="342"/>
      <c r="M18" s="328" t="e">
        <f>#REF!/3</f>
        <v>#REF!</v>
      </c>
    </row>
    <row r="19" spans="1:15">
      <c r="A19" s="337"/>
      <c r="B19" s="338" t="s">
        <v>476</v>
      </c>
      <c r="C19" s="339">
        <v>1</v>
      </c>
      <c r="D19" s="339"/>
      <c r="E19" s="339">
        <v>1</v>
      </c>
      <c r="F19" s="336">
        <v>2.1</v>
      </c>
      <c r="G19" s="336">
        <v>6.46</v>
      </c>
      <c r="H19" s="336"/>
      <c r="I19" s="336">
        <f t="shared" si="1"/>
        <v>13.566000000000001</v>
      </c>
      <c r="J19" s="342"/>
    </row>
    <row r="20" spans="1:15">
      <c r="A20" s="337"/>
      <c r="B20" s="338" t="s">
        <v>477</v>
      </c>
      <c r="C20" s="339">
        <v>1</v>
      </c>
      <c r="D20" s="339"/>
      <c r="E20" s="339">
        <v>1</v>
      </c>
      <c r="F20" s="336">
        <v>4.7300000000000004</v>
      </c>
      <c r="G20" s="336">
        <v>11.64</v>
      </c>
      <c r="H20" s="336"/>
      <c r="I20" s="336">
        <f t="shared" si="1"/>
        <v>55.057200000000009</v>
      </c>
    </row>
    <row r="21" spans="1:15" ht="20.25" customHeight="1">
      <c r="A21" s="337"/>
      <c r="B21" s="341" t="s">
        <v>478</v>
      </c>
      <c r="C21" s="339"/>
      <c r="D21" s="339"/>
      <c r="E21" s="339"/>
      <c r="F21" s="336"/>
      <c r="G21" s="336"/>
      <c r="H21" s="336"/>
      <c r="I21" s="336">
        <f t="shared" si="1"/>
        <v>0</v>
      </c>
      <c r="J21" s="342"/>
    </row>
    <row r="22" spans="1:15">
      <c r="A22" s="337"/>
      <c r="B22" s="343" t="s">
        <v>472</v>
      </c>
      <c r="C22" s="339">
        <v>1</v>
      </c>
      <c r="D22" s="339"/>
      <c r="E22" s="339">
        <v>1</v>
      </c>
      <c r="F22" s="336">
        <v>3.37</v>
      </c>
      <c r="G22" s="336">
        <v>11.64</v>
      </c>
      <c r="H22" s="336"/>
      <c r="I22" s="336">
        <f t="shared" si="1"/>
        <v>39.226800000000004</v>
      </c>
      <c r="J22" s="342"/>
      <c r="M22" s="344"/>
    </row>
    <row r="23" spans="1:15">
      <c r="A23" s="337"/>
      <c r="B23" s="338" t="s">
        <v>479</v>
      </c>
      <c r="C23" s="339">
        <v>1</v>
      </c>
      <c r="D23" s="339"/>
      <c r="E23" s="339">
        <v>1</v>
      </c>
      <c r="F23" s="336">
        <v>5.2</v>
      </c>
      <c r="G23" s="336">
        <v>7.16</v>
      </c>
      <c r="H23" s="336"/>
      <c r="I23" s="336">
        <f t="shared" si="1"/>
        <v>37.231999999999999</v>
      </c>
      <c r="J23" s="342"/>
      <c r="O23" s="328">
        <f>57.5+5.6+2.6+3.75+67</f>
        <v>136.44999999999999</v>
      </c>
    </row>
    <row r="24" spans="1:15">
      <c r="A24" s="337"/>
      <c r="B24" s="338" t="s">
        <v>480</v>
      </c>
      <c r="C24" s="339">
        <v>1</v>
      </c>
      <c r="D24" s="339"/>
      <c r="E24" s="339">
        <v>1</v>
      </c>
      <c r="F24" s="336">
        <v>5.2</v>
      </c>
      <c r="G24" s="336">
        <v>3.05</v>
      </c>
      <c r="H24" s="336"/>
      <c r="I24" s="336">
        <f t="shared" si="1"/>
        <v>15.86</v>
      </c>
    </row>
    <row r="25" spans="1:15">
      <c r="A25" s="337"/>
      <c r="B25" s="338" t="s">
        <v>481</v>
      </c>
      <c r="C25" s="339">
        <v>1</v>
      </c>
      <c r="D25" s="339"/>
      <c r="E25" s="339">
        <v>1</v>
      </c>
      <c r="F25" s="336">
        <v>1.2</v>
      </c>
      <c r="G25" s="336">
        <v>5.2</v>
      </c>
      <c r="H25" s="336"/>
      <c r="I25" s="336">
        <f t="shared" si="1"/>
        <v>6.24</v>
      </c>
    </row>
    <row r="26" spans="1:15">
      <c r="A26" s="337"/>
      <c r="B26" s="338" t="s">
        <v>475</v>
      </c>
      <c r="C26" s="339">
        <v>1</v>
      </c>
      <c r="D26" s="339"/>
      <c r="E26" s="339">
        <v>2</v>
      </c>
      <c r="F26" s="336">
        <v>14.89</v>
      </c>
      <c r="G26" s="336">
        <v>5.2</v>
      </c>
      <c r="H26" s="336"/>
      <c r="I26" s="336">
        <f t="shared" si="1"/>
        <v>154.85600000000002</v>
      </c>
      <c r="J26" s="342"/>
    </row>
    <row r="27" spans="1:15">
      <c r="A27" s="337"/>
      <c r="B27" s="338" t="s">
        <v>476</v>
      </c>
      <c r="C27" s="339">
        <v>1</v>
      </c>
      <c r="D27" s="339"/>
      <c r="E27" s="339">
        <v>1</v>
      </c>
      <c r="F27" s="336">
        <v>2.1</v>
      </c>
      <c r="G27" s="336">
        <v>6.46</v>
      </c>
      <c r="H27" s="336"/>
      <c r="I27" s="336">
        <f t="shared" si="1"/>
        <v>13.566000000000001</v>
      </c>
      <c r="J27" s="342"/>
    </row>
    <row r="28" spans="1:15">
      <c r="A28" s="337"/>
      <c r="B28" s="338" t="s">
        <v>477</v>
      </c>
      <c r="C28" s="339">
        <v>1</v>
      </c>
      <c r="D28" s="339"/>
      <c r="E28" s="339">
        <v>1</v>
      </c>
      <c r="F28" s="336">
        <v>4.7300000000000004</v>
      </c>
      <c r="G28" s="336">
        <v>11.64</v>
      </c>
      <c r="H28" s="336"/>
      <c r="I28" s="336">
        <f t="shared" si="1"/>
        <v>55.057200000000009</v>
      </c>
    </row>
    <row r="29" spans="1:15" ht="20.25" customHeight="1">
      <c r="A29" s="337"/>
      <c r="B29" s="341" t="s">
        <v>482</v>
      </c>
      <c r="C29" s="339"/>
      <c r="D29" s="339"/>
      <c r="E29" s="339"/>
      <c r="F29" s="336"/>
      <c r="G29" s="336"/>
      <c r="H29" s="336"/>
      <c r="I29" s="336"/>
      <c r="M29" s="328" t="e">
        <f>#REF!+1.2</f>
        <v>#REF!</v>
      </c>
    </row>
    <row r="30" spans="1:15">
      <c r="A30" s="337"/>
      <c r="B30" s="343" t="s">
        <v>472</v>
      </c>
      <c r="C30" s="339">
        <v>1</v>
      </c>
      <c r="D30" s="339"/>
      <c r="E30" s="339">
        <v>1</v>
      </c>
      <c r="F30" s="336">
        <v>3.37</v>
      </c>
      <c r="G30" s="336">
        <v>11.64</v>
      </c>
      <c r="H30" s="336"/>
      <c r="I30" s="336">
        <f t="shared" ref="I30:I42" si="2">PRODUCT(C30:H30)</f>
        <v>39.226800000000004</v>
      </c>
      <c r="J30" s="342"/>
    </row>
    <row r="31" spans="1:15">
      <c r="A31" s="337"/>
      <c r="B31" s="338" t="s">
        <v>483</v>
      </c>
      <c r="C31" s="339">
        <v>1</v>
      </c>
      <c r="D31" s="339"/>
      <c r="E31" s="339">
        <v>1</v>
      </c>
      <c r="F31" s="336">
        <v>5.2</v>
      </c>
      <c r="G31" s="336">
        <v>7.16</v>
      </c>
      <c r="H31" s="336"/>
      <c r="I31" s="336">
        <f t="shared" si="2"/>
        <v>37.231999999999999</v>
      </c>
      <c r="J31" s="342"/>
    </row>
    <row r="32" spans="1:15">
      <c r="A32" s="337"/>
      <c r="B32" s="338" t="s">
        <v>484</v>
      </c>
      <c r="C32" s="339">
        <v>1</v>
      </c>
      <c r="D32" s="339"/>
      <c r="E32" s="339">
        <v>1</v>
      </c>
      <c r="F32" s="336">
        <v>5.2</v>
      </c>
      <c r="G32" s="336">
        <v>3.05</v>
      </c>
      <c r="H32" s="336"/>
      <c r="I32" s="336">
        <f t="shared" si="2"/>
        <v>15.86</v>
      </c>
    </row>
    <row r="33" spans="1:18">
      <c r="A33" s="337"/>
      <c r="B33" s="338" t="s">
        <v>481</v>
      </c>
      <c r="C33" s="339">
        <v>1</v>
      </c>
      <c r="D33" s="339"/>
      <c r="E33" s="339">
        <v>1</v>
      </c>
      <c r="F33" s="336">
        <v>1.2</v>
      </c>
      <c r="G33" s="336">
        <v>5.2</v>
      </c>
      <c r="H33" s="336"/>
      <c r="I33" s="336">
        <f t="shared" si="2"/>
        <v>6.24</v>
      </c>
    </row>
    <row r="34" spans="1:18">
      <c r="A34" s="337"/>
      <c r="B34" s="338" t="s">
        <v>475</v>
      </c>
      <c r="C34" s="339">
        <v>1</v>
      </c>
      <c r="D34" s="339"/>
      <c r="E34" s="339">
        <v>2</v>
      </c>
      <c r="F34" s="336">
        <v>14.89</v>
      </c>
      <c r="G34" s="336">
        <v>5.2</v>
      </c>
      <c r="H34" s="336"/>
      <c r="I34" s="336">
        <f t="shared" si="2"/>
        <v>154.85600000000002</v>
      </c>
      <c r="J34" s="342"/>
    </row>
    <row r="35" spans="1:18">
      <c r="A35" s="337"/>
      <c r="B35" s="338" t="s">
        <v>476</v>
      </c>
      <c r="C35" s="339">
        <v>1</v>
      </c>
      <c r="D35" s="339"/>
      <c r="E35" s="339">
        <v>1</v>
      </c>
      <c r="F35" s="336">
        <v>2.1</v>
      </c>
      <c r="G35" s="336">
        <v>6.46</v>
      </c>
      <c r="H35" s="336"/>
      <c r="I35" s="336">
        <f t="shared" si="2"/>
        <v>13.566000000000001</v>
      </c>
      <c r="J35" s="342"/>
    </row>
    <row r="36" spans="1:18">
      <c r="A36" s="337"/>
      <c r="B36" s="338" t="s">
        <v>477</v>
      </c>
      <c r="C36" s="339">
        <v>1</v>
      </c>
      <c r="D36" s="339"/>
      <c r="E36" s="339">
        <v>1</v>
      </c>
      <c r="F36" s="336">
        <v>4.7300000000000004</v>
      </c>
      <c r="G36" s="336">
        <v>11.64</v>
      </c>
      <c r="H36" s="336"/>
      <c r="I36" s="336">
        <f t="shared" si="2"/>
        <v>55.057200000000009</v>
      </c>
    </row>
    <row r="37" spans="1:18">
      <c r="A37" s="337"/>
      <c r="B37" s="338" t="s">
        <v>485</v>
      </c>
      <c r="C37" s="339">
        <v>1</v>
      </c>
      <c r="D37" s="339"/>
      <c r="E37" s="339">
        <v>1</v>
      </c>
      <c r="F37" s="336">
        <v>3.37</v>
      </c>
      <c r="G37" s="336">
        <v>11.64</v>
      </c>
      <c r="H37" s="336"/>
      <c r="I37" s="336">
        <f t="shared" si="2"/>
        <v>39.226800000000004</v>
      </c>
    </row>
    <row r="38" spans="1:18">
      <c r="A38" s="337"/>
      <c r="B38" s="338" t="s">
        <v>486</v>
      </c>
      <c r="C38" s="339">
        <v>3</v>
      </c>
      <c r="D38" s="339"/>
      <c r="E38" s="339">
        <v>16</v>
      </c>
      <c r="F38" s="336">
        <v>1.36</v>
      </c>
      <c r="G38" s="336">
        <v>0.6</v>
      </c>
      <c r="H38" s="336"/>
      <c r="I38" s="336">
        <f t="shared" si="2"/>
        <v>39.167999999999999</v>
      </c>
    </row>
    <row r="39" spans="1:18">
      <c r="A39" s="337"/>
      <c r="B39" s="338" t="s">
        <v>487</v>
      </c>
      <c r="C39" s="339">
        <v>3</v>
      </c>
      <c r="D39" s="339"/>
      <c r="E39" s="339">
        <v>14</v>
      </c>
      <c r="F39" s="336">
        <v>2.2599999999999998</v>
      </c>
      <c r="G39" s="336">
        <v>0.6</v>
      </c>
      <c r="H39" s="336"/>
      <c r="I39" s="336">
        <f t="shared" si="2"/>
        <v>56.951999999999991</v>
      </c>
    </row>
    <row r="40" spans="1:18">
      <c r="A40" s="337"/>
      <c r="B40" s="338" t="s">
        <v>488</v>
      </c>
      <c r="C40" s="339">
        <v>3</v>
      </c>
      <c r="D40" s="339"/>
      <c r="E40" s="339">
        <v>2</v>
      </c>
      <c r="F40" s="336">
        <v>1.56</v>
      </c>
      <c r="G40" s="336">
        <v>0.6</v>
      </c>
      <c r="H40" s="336"/>
      <c r="I40" s="336">
        <f t="shared" si="2"/>
        <v>5.6159999999999997</v>
      </c>
    </row>
    <row r="41" spans="1:18">
      <c r="A41" s="337"/>
      <c r="B41" s="338" t="s">
        <v>489</v>
      </c>
      <c r="C41" s="339">
        <v>1</v>
      </c>
      <c r="D41" s="339"/>
      <c r="E41" s="339">
        <v>2</v>
      </c>
      <c r="F41" s="336">
        <v>1.66</v>
      </c>
      <c r="G41" s="336">
        <v>0.6</v>
      </c>
      <c r="H41" s="336"/>
      <c r="I41" s="336">
        <f t="shared" si="2"/>
        <v>1.9919999999999998</v>
      </c>
    </row>
    <row r="42" spans="1:18">
      <c r="A42" s="337"/>
      <c r="B42" s="338" t="s">
        <v>490</v>
      </c>
      <c r="C42" s="339">
        <v>1</v>
      </c>
      <c r="D42" s="339"/>
      <c r="E42" s="339">
        <v>2</v>
      </c>
      <c r="F42" s="336">
        <v>2.2599999999999998</v>
      </c>
      <c r="G42" s="336">
        <v>0.6</v>
      </c>
      <c r="H42" s="336"/>
      <c r="I42" s="336">
        <f t="shared" si="2"/>
        <v>2.7119999999999997</v>
      </c>
    </row>
    <row r="43" spans="1:18">
      <c r="A43" s="337"/>
      <c r="B43" s="338"/>
      <c r="C43" s="339"/>
      <c r="D43" s="339"/>
      <c r="E43" s="339"/>
      <c r="F43" s="336"/>
      <c r="G43" s="336"/>
      <c r="H43" s="336"/>
      <c r="I43" s="336">
        <f>SUM(I10:I42)</f>
        <v>1169.0896999999998</v>
      </c>
    </row>
    <row r="44" spans="1:18">
      <c r="A44" s="337"/>
      <c r="B44" s="338"/>
      <c r="C44" s="339"/>
      <c r="D44" s="339"/>
      <c r="E44" s="339"/>
      <c r="F44" s="336"/>
      <c r="G44" s="336"/>
      <c r="H44" s="345" t="s">
        <v>491</v>
      </c>
      <c r="I44" s="345">
        <v>1170</v>
      </c>
      <c r="J44" s="346" t="s">
        <v>289</v>
      </c>
    </row>
    <row r="45" spans="1:18">
      <c r="A45" s="337"/>
      <c r="B45" s="338"/>
      <c r="C45" s="339"/>
      <c r="D45" s="339"/>
      <c r="E45" s="339"/>
      <c r="F45" s="336"/>
      <c r="G45" s="336"/>
      <c r="H45" s="336"/>
      <c r="I45" s="336"/>
      <c r="J45" s="347"/>
      <c r="K45" s="348"/>
      <c r="L45" s="335"/>
      <c r="M45" s="335"/>
      <c r="N45" s="335"/>
      <c r="O45" s="349"/>
      <c r="P45" s="349"/>
      <c r="Q45" s="349"/>
      <c r="R45" s="350"/>
    </row>
    <row r="46" spans="1:18">
      <c r="A46" s="337">
        <v>2</v>
      </c>
      <c r="B46" s="338" t="s">
        <v>492</v>
      </c>
      <c r="C46" s="339"/>
      <c r="D46" s="339"/>
      <c r="E46" s="339"/>
      <c r="F46" s="336"/>
      <c r="G46" s="336"/>
      <c r="H46" s="336"/>
      <c r="I46" s="336"/>
      <c r="J46" s="347"/>
      <c r="K46" s="348"/>
      <c r="L46" s="335">
        <v>4.4749999999999996</v>
      </c>
      <c r="M46" s="335"/>
      <c r="N46" s="335"/>
      <c r="O46" s="351"/>
      <c r="P46" s="351"/>
      <c r="Q46" s="351"/>
      <c r="R46" s="350"/>
    </row>
    <row r="47" spans="1:18">
      <c r="A47" s="337"/>
      <c r="B47" s="338" t="s">
        <v>493</v>
      </c>
      <c r="C47" s="339"/>
      <c r="D47" s="339"/>
      <c r="E47" s="339"/>
      <c r="F47" s="336"/>
      <c r="G47" s="336"/>
      <c r="H47" s="336"/>
      <c r="I47" s="336"/>
      <c r="J47" s="342"/>
      <c r="K47" s="348"/>
      <c r="L47" s="335"/>
      <c r="M47" s="335"/>
      <c r="N47" s="335"/>
      <c r="O47" s="351"/>
      <c r="P47" s="351"/>
      <c r="Q47" s="351"/>
      <c r="R47" s="350"/>
    </row>
    <row r="48" spans="1:18">
      <c r="A48" s="337"/>
      <c r="B48" s="341" t="s">
        <v>466</v>
      </c>
      <c r="C48" s="339"/>
      <c r="D48" s="339"/>
      <c r="E48" s="339"/>
      <c r="F48" s="336"/>
      <c r="G48" s="336"/>
      <c r="H48" s="336"/>
      <c r="I48" s="336"/>
      <c r="J48" s="342"/>
      <c r="K48" s="348"/>
      <c r="L48" s="335"/>
      <c r="M48" s="335"/>
      <c r="N48" s="335"/>
      <c r="O48" s="351"/>
      <c r="P48" s="351"/>
      <c r="Q48" s="351"/>
      <c r="R48" s="350"/>
    </row>
    <row r="49" spans="1:18">
      <c r="A49" s="337"/>
      <c r="B49" s="338" t="s">
        <v>467</v>
      </c>
      <c r="C49" s="339">
        <v>1</v>
      </c>
      <c r="D49" s="339"/>
      <c r="E49" s="339">
        <v>1</v>
      </c>
      <c r="F49" s="336">
        <v>17.100000000000001</v>
      </c>
      <c r="G49" s="336"/>
      <c r="H49" s="336">
        <v>3.5</v>
      </c>
      <c r="I49" s="336">
        <f t="shared" ref="I49:I69" si="3">PRODUCT(C49:H49)</f>
        <v>59.850000000000009</v>
      </c>
      <c r="J49" s="342"/>
      <c r="K49" s="348"/>
      <c r="L49" s="335"/>
      <c r="M49" s="335"/>
      <c r="N49" s="335"/>
      <c r="O49" s="351"/>
      <c r="P49" s="351"/>
      <c r="Q49" s="351"/>
      <c r="R49" s="350"/>
    </row>
    <row r="50" spans="1:18">
      <c r="A50" s="337"/>
      <c r="B50" s="338" t="s">
        <v>468</v>
      </c>
      <c r="C50" s="339">
        <v>1</v>
      </c>
      <c r="D50" s="339"/>
      <c r="E50" s="339">
        <v>1</v>
      </c>
      <c r="F50" s="336">
        <v>19.350000000000001</v>
      </c>
      <c r="G50" s="336"/>
      <c r="H50" s="336">
        <v>3.5</v>
      </c>
      <c r="I50" s="336">
        <f t="shared" si="3"/>
        <v>67.725000000000009</v>
      </c>
      <c r="J50" s="342"/>
      <c r="K50" s="348"/>
      <c r="L50" s="335"/>
      <c r="M50" s="335"/>
      <c r="N50" s="335"/>
      <c r="O50" s="351"/>
      <c r="P50" s="351"/>
      <c r="Q50" s="351"/>
      <c r="R50" s="350"/>
    </row>
    <row r="51" spans="1:18">
      <c r="A51" s="337"/>
      <c r="B51" s="338" t="s">
        <v>469</v>
      </c>
      <c r="C51" s="339">
        <v>1</v>
      </c>
      <c r="D51" s="339"/>
      <c r="E51" s="339">
        <v>1</v>
      </c>
      <c r="F51" s="336">
        <v>17.100000000000001</v>
      </c>
      <c r="G51" s="336"/>
      <c r="H51" s="336">
        <v>3.5</v>
      </c>
      <c r="I51" s="336">
        <f t="shared" si="3"/>
        <v>59.850000000000009</v>
      </c>
      <c r="J51" s="342"/>
      <c r="K51" s="348"/>
      <c r="L51" s="335"/>
      <c r="M51" s="335"/>
      <c r="N51" s="335"/>
      <c r="O51" s="351"/>
      <c r="P51" s="351"/>
      <c r="Q51" s="351"/>
      <c r="R51" s="350"/>
    </row>
    <row r="52" spans="1:18">
      <c r="A52" s="337"/>
      <c r="B52" s="338" t="s">
        <v>494</v>
      </c>
      <c r="C52" s="339"/>
      <c r="D52" s="339"/>
      <c r="E52" s="339"/>
      <c r="F52" s="336"/>
      <c r="G52" s="336"/>
      <c r="H52" s="336"/>
      <c r="I52" s="336">
        <f t="shared" si="3"/>
        <v>0</v>
      </c>
      <c r="J52" s="342"/>
      <c r="K52" s="348"/>
      <c r="L52" s="335"/>
      <c r="M52" s="335"/>
      <c r="N52" s="335"/>
      <c r="O52" s="351"/>
      <c r="P52" s="351"/>
      <c r="Q52" s="351"/>
      <c r="R52" s="350"/>
    </row>
    <row r="53" spans="1:18">
      <c r="A53" s="337"/>
      <c r="B53" s="338" t="s">
        <v>495</v>
      </c>
      <c r="C53" s="339">
        <v>1</v>
      </c>
      <c r="D53" s="339"/>
      <c r="E53" s="339">
        <v>2</v>
      </c>
      <c r="F53" s="336">
        <v>5.6</v>
      </c>
      <c r="G53" s="336">
        <v>0.68</v>
      </c>
      <c r="H53" s="336"/>
      <c r="I53" s="336">
        <f t="shared" si="3"/>
        <v>7.6159999999999997</v>
      </c>
      <c r="J53" s="342"/>
      <c r="K53" s="348"/>
      <c r="L53" s="335"/>
      <c r="M53" s="335"/>
      <c r="N53" s="335"/>
      <c r="O53" s="351"/>
      <c r="P53" s="351"/>
      <c r="Q53" s="351"/>
      <c r="R53" s="350"/>
    </row>
    <row r="54" spans="1:18">
      <c r="A54" s="337"/>
      <c r="B54" s="338" t="s">
        <v>496</v>
      </c>
      <c r="C54" s="339">
        <v>1</v>
      </c>
      <c r="D54" s="339"/>
      <c r="E54" s="339">
        <v>2</v>
      </c>
      <c r="F54" s="336">
        <v>5.45</v>
      </c>
      <c r="G54" s="336">
        <v>0.23</v>
      </c>
      <c r="H54" s="336"/>
      <c r="I54" s="336">
        <f t="shared" si="3"/>
        <v>2.5070000000000001</v>
      </c>
      <c r="J54" s="342"/>
      <c r="K54" s="348"/>
      <c r="L54" s="335"/>
      <c r="M54" s="335"/>
      <c r="N54" s="335"/>
      <c r="O54" s="351"/>
      <c r="P54" s="351"/>
      <c r="Q54" s="351"/>
      <c r="R54" s="350"/>
    </row>
    <row r="55" spans="1:18">
      <c r="A55" s="337"/>
      <c r="B55" s="338" t="s">
        <v>497</v>
      </c>
      <c r="C55" s="339">
        <v>1</v>
      </c>
      <c r="D55" s="339"/>
      <c r="E55" s="339">
        <v>1</v>
      </c>
      <c r="F55" s="336">
        <v>7.3</v>
      </c>
      <c r="G55" s="336">
        <v>0.23</v>
      </c>
      <c r="H55" s="336"/>
      <c r="I55" s="336">
        <f t="shared" si="3"/>
        <v>1.679</v>
      </c>
      <c r="J55" s="342"/>
      <c r="K55" s="348"/>
      <c r="L55" s="335"/>
      <c r="M55" s="335"/>
      <c r="N55" s="335"/>
      <c r="O55" s="351"/>
      <c r="P55" s="351"/>
      <c r="Q55" s="351"/>
      <c r="R55" s="350"/>
    </row>
    <row r="56" spans="1:18">
      <c r="A56" s="337"/>
      <c r="B56" s="338" t="s">
        <v>498</v>
      </c>
      <c r="C56" s="339"/>
      <c r="D56" s="339"/>
      <c r="E56" s="339"/>
      <c r="F56" s="336"/>
      <c r="G56" s="336"/>
      <c r="H56" s="336"/>
      <c r="I56" s="336">
        <f t="shared" si="3"/>
        <v>0</v>
      </c>
      <c r="J56" s="342"/>
      <c r="K56" s="348"/>
      <c r="L56" s="335"/>
      <c r="M56" s="335"/>
      <c r="N56" s="335"/>
      <c r="O56" s="351"/>
      <c r="P56" s="351"/>
      <c r="Q56" s="351"/>
      <c r="R56" s="350"/>
    </row>
    <row r="57" spans="1:18">
      <c r="A57" s="337"/>
      <c r="B57" s="338" t="s">
        <v>499</v>
      </c>
      <c r="C57" s="339">
        <v>1</v>
      </c>
      <c r="D57" s="339"/>
      <c r="E57" s="339">
        <v>2</v>
      </c>
      <c r="F57" s="336">
        <v>1.45</v>
      </c>
      <c r="G57" s="336"/>
      <c r="H57" s="336">
        <v>1.35</v>
      </c>
      <c r="I57" s="336">
        <f t="shared" si="3"/>
        <v>3.915</v>
      </c>
      <c r="J57" s="342"/>
      <c r="K57" s="348"/>
      <c r="L57" s="335"/>
      <c r="M57" s="335"/>
      <c r="N57" s="335"/>
      <c r="O57" s="351"/>
      <c r="P57" s="351"/>
      <c r="Q57" s="351"/>
      <c r="R57" s="350"/>
    </row>
    <row r="58" spans="1:18">
      <c r="A58" s="337"/>
      <c r="B58" s="338" t="s">
        <v>496</v>
      </c>
      <c r="C58" s="339">
        <v>1</v>
      </c>
      <c r="D58" s="339"/>
      <c r="E58" s="339">
        <v>2</v>
      </c>
      <c r="F58" s="336">
        <v>1.25</v>
      </c>
      <c r="G58" s="336"/>
      <c r="H58" s="336">
        <v>2.1</v>
      </c>
      <c r="I58" s="336">
        <f t="shared" si="3"/>
        <v>5.25</v>
      </c>
      <c r="J58" s="342"/>
      <c r="K58" s="348"/>
      <c r="L58" s="335"/>
      <c r="M58" s="335"/>
      <c r="N58" s="335"/>
      <c r="O58" s="351"/>
      <c r="P58" s="351"/>
      <c r="Q58" s="351"/>
      <c r="R58" s="350"/>
    </row>
    <row r="59" spans="1:18">
      <c r="A59" s="337"/>
      <c r="B59" s="338" t="s">
        <v>497</v>
      </c>
      <c r="C59" s="339">
        <v>1</v>
      </c>
      <c r="D59" s="339"/>
      <c r="E59" s="339">
        <v>1</v>
      </c>
      <c r="F59" s="336">
        <v>3.1</v>
      </c>
      <c r="G59" s="336"/>
      <c r="H59" s="336">
        <v>2.1</v>
      </c>
      <c r="I59" s="336">
        <f t="shared" si="3"/>
        <v>6.5100000000000007</v>
      </c>
      <c r="J59" s="342"/>
      <c r="K59" s="348"/>
      <c r="L59" s="335"/>
      <c r="M59" s="335"/>
      <c r="N59" s="335"/>
      <c r="O59" s="351"/>
      <c r="P59" s="351"/>
      <c r="Q59" s="351"/>
      <c r="R59" s="350"/>
    </row>
    <row r="60" spans="1:18">
      <c r="A60" s="337"/>
      <c r="B60" s="341" t="s">
        <v>470</v>
      </c>
      <c r="C60" s="339"/>
      <c r="D60" s="339"/>
      <c r="E60" s="339"/>
      <c r="F60" s="336"/>
      <c r="G60" s="336"/>
      <c r="H60" s="336"/>
      <c r="I60" s="336">
        <f t="shared" si="3"/>
        <v>0</v>
      </c>
      <c r="J60" s="342"/>
      <c r="K60" s="348"/>
      <c r="L60" s="335"/>
      <c r="M60" s="335"/>
      <c r="N60" s="335"/>
      <c r="O60" s="351"/>
      <c r="P60" s="351"/>
      <c r="Q60" s="351"/>
      <c r="R60" s="350"/>
    </row>
    <row r="61" spans="1:18">
      <c r="A61" s="337"/>
      <c r="B61" s="338" t="s">
        <v>471</v>
      </c>
      <c r="C61" s="339">
        <v>1</v>
      </c>
      <c r="D61" s="339"/>
      <c r="E61" s="339">
        <v>1</v>
      </c>
      <c r="F61" s="336">
        <v>7.37</v>
      </c>
      <c r="G61" s="336"/>
      <c r="H61" s="336">
        <v>3.5</v>
      </c>
      <c r="I61" s="336">
        <f t="shared" si="3"/>
        <v>25.795000000000002</v>
      </c>
      <c r="J61" s="342"/>
      <c r="K61" s="352"/>
      <c r="L61" s="352"/>
      <c r="O61" s="344"/>
    </row>
    <row r="62" spans="1:18">
      <c r="A62" s="337"/>
      <c r="B62" s="338" t="s">
        <v>500</v>
      </c>
      <c r="C62" s="339">
        <v>1</v>
      </c>
      <c r="D62" s="339"/>
      <c r="E62" s="339">
        <v>1</v>
      </c>
      <c r="F62" s="336">
        <v>25.98</v>
      </c>
      <c r="G62" s="336"/>
      <c r="H62" s="336">
        <v>3.6</v>
      </c>
      <c r="I62" s="336">
        <f t="shared" si="3"/>
        <v>93.528000000000006</v>
      </c>
    </row>
    <row r="63" spans="1:18">
      <c r="A63" s="337"/>
      <c r="B63" s="338" t="s">
        <v>501</v>
      </c>
      <c r="C63" s="339">
        <v>1</v>
      </c>
      <c r="D63" s="339"/>
      <c r="E63" s="339">
        <v>2</v>
      </c>
      <c r="F63" s="336">
        <v>26.51</v>
      </c>
      <c r="G63" s="336"/>
      <c r="H63" s="336">
        <v>3.5</v>
      </c>
      <c r="I63" s="336">
        <f t="shared" si="3"/>
        <v>185.57000000000002</v>
      </c>
    </row>
    <row r="64" spans="1:18" ht="16.5" customHeight="1">
      <c r="A64" s="337"/>
      <c r="B64" s="338" t="s">
        <v>474</v>
      </c>
      <c r="C64" s="339">
        <v>1</v>
      </c>
      <c r="D64" s="339"/>
      <c r="E64" s="339">
        <v>1</v>
      </c>
      <c r="F64" s="336">
        <v>17.100000000000001</v>
      </c>
      <c r="G64" s="336"/>
      <c r="H64" s="336">
        <v>3.5</v>
      </c>
      <c r="I64" s="336">
        <f t="shared" si="3"/>
        <v>59.850000000000009</v>
      </c>
    </row>
    <row r="65" spans="1:256">
      <c r="A65" s="337"/>
      <c r="B65" s="338" t="s">
        <v>475</v>
      </c>
      <c r="C65" s="339">
        <v>1</v>
      </c>
      <c r="D65" s="339"/>
      <c r="E65" s="339">
        <v>2</v>
      </c>
      <c r="F65" s="336">
        <v>41.17</v>
      </c>
      <c r="G65" s="336"/>
      <c r="H65" s="336">
        <v>3.5</v>
      </c>
      <c r="I65" s="336">
        <f t="shared" si="3"/>
        <v>288.19</v>
      </c>
    </row>
    <row r="66" spans="1:256">
      <c r="A66" s="337"/>
      <c r="B66" s="338" t="s">
        <v>502</v>
      </c>
      <c r="C66" s="339">
        <v>1</v>
      </c>
      <c r="D66" s="339"/>
      <c r="E66" s="339">
        <v>1</v>
      </c>
      <c r="F66" s="336">
        <v>17.12</v>
      </c>
      <c r="G66" s="336"/>
      <c r="H66" s="336">
        <v>3.5</v>
      </c>
      <c r="I66" s="336">
        <f t="shared" si="3"/>
        <v>59.92</v>
      </c>
    </row>
    <row r="67" spans="1:256">
      <c r="A67" s="337"/>
      <c r="B67" s="338" t="s">
        <v>503</v>
      </c>
      <c r="C67" s="339">
        <v>1</v>
      </c>
      <c r="D67" s="339"/>
      <c r="E67" s="339">
        <v>7</v>
      </c>
      <c r="F67" s="336">
        <v>6</v>
      </c>
      <c r="G67" s="336"/>
      <c r="H67" s="336">
        <v>3.5</v>
      </c>
      <c r="I67" s="336">
        <f t="shared" si="3"/>
        <v>147</v>
      </c>
    </row>
    <row r="68" spans="1:256">
      <c r="A68" s="337"/>
      <c r="B68" s="338" t="s">
        <v>481</v>
      </c>
      <c r="C68" s="339">
        <v>1</v>
      </c>
      <c r="D68" s="339"/>
      <c r="E68" s="339">
        <v>9</v>
      </c>
      <c r="F68" s="336">
        <v>5.4</v>
      </c>
      <c r="G68" s="336"/>
      <c r="H68" s="336">
        <v>3.5</v>
      </c>
      <c r="I68" s="336">
        <f t="shared" si="3"/>
        <v>170.1</v>
      </c>
    </row>
    <row r="69" spans="1:256">
      <c r="A69" s="337"/>
      <c r="B69" s="338" t="s">
        <v>504</v>
      </c>
      <c r="C69" s="339">
        <v>1</v>
      </c>
      <c r="D69" s="339"/>
      <c r="E69" s="339">
        <v>2</v>
      </c>
      <c r="F69" s="336">
        <v>5.49</v>
      </c>
      <c r="G69" s="336"/>
      <c r="H69" s="336">
        <v>3.5</v>
      </c>
      <c r="I69" s="336">
        <f t="shared" si="3"/>
        <v>38.43</v>
      </c>
    </row>
    <row r="70" spans="1:256">
      <c r="A70" s="353"/>
      <c r="B70" s="354" t="s">
        <v>505</v>
      </c>
      <c r="C70" s="355"/>
      <c r="D70" s="355"/>
      <c r="E70" s="355"/>
      <c r="F70" s="356"/>
      <c r="G70" s="356"/>
      <c r="H70" s="356"/>
      <c r="I70" s="357"/>
      <c r="J70" s="358"/>
      <c r="K70" s="359"/>
      <c r="L70" s="359"/>
      <c r="M70" s="359"/>
      <c r="N70" s="359"/>
      <c r="O70" s="359"/>
      <c r="P70" s="359"/>
      <c r="Q70" s="359"/>
      <c r="R70" s="359"/>
      <c r="S70" s="359"/>
      <c r="T70" s="359"/>
      <c r="U70" s="359"/>
      <c r="V70" s="359"/>
      <c r="W70" s="359"/>
      <c r="X70" s="359"/>
      <c r="Y70" s="359"/>
      <c r="Z70" s="359"/>
      <c r="AA70" s="360"/>
      <c r="AB70" s="361"/>
      <c r="AC70" s="361"/>
      <c r="AD70" s="361"/>
      <c r="AE70" s="361"/>
      <c r="AF70" s="361"/>
      <c r="AG70" s="361"/>
      <c r="AH70" s="361"/>
      <c r="AI70" s="361"/>
      <c r="AJ70" s="361"/>
      <c r="AK70" s="361"/>
      <c r="AL70" s="361"/>
      <c r="AM70" s="361"/>
      <c r="AN70" s="361"/>
      <c r="AO70" s="361"/>
      <c r="AP70" s="361"/>
      <c r="AQ70" s="361"/>
      <c r="AR70" s="361"/>
      <c r="AS70" s="361"/>
      <c r="AT70" s="361"/>
      <c r="AU70" s="361"/>
      <c r="AV70" s="361"/>
      <c r="AW70" s="361"/>
      <c r="AX70" s="361"/>
      <c r="AY70" s="361"/>
      <c r="AZ70" s="361"/>
      <c r="BA70" s="361"/>
      <c r="BB70" s="361"/>
      <c r="BC70" s="361"/>
      <c r="BD70" s="361"/>
      <c r="BE70" s="361"/>
      <c r="BF70" s="361"/>
      <c r="BG70" s="361"/>
      <c r="BH70" s="361"/>
      <c r="BI70" s="361"/>
      <c r="BJ70" s="361"/>
      <c r="BK70" s="361"/>
      <c r="BL70" s="361"/>
      <c r="BM70" s="361"/>
      <c r="BN70" s="361"/>
      <c r="BO70" s="361"/>
      <c r="BP70" s="361"/>
      <c r="BQ70" s="361"/>
      <c r="BR70" s="361"/>
      <c r="BS70" s="361"/>
      <c r="BT70" s="361"/>
      <c r="BU70" s="361"/>
      <c r="BV70" s="361"/>
      <c r="BW70" s="361"/>
      <c r="BX70" s="361"/>
      <c r="BY70" s="361"/>
      <c r="BZ70" s="361"/>
      <c r="CA70" s="361"/>
      <c r="CB70" s="361"/>
      <c r="CC70" s="361"/>
      <c r="CD70" s="361"/>
      <c r="CE70" s="361"/>
      <c r="CF70" s="361"/>
      <c r="CG70" s="361"/>
      <c r="CH70" s="361"/>
      <c r="CI70" s="361"/>
      <c r="CJ70" s="361"/>
      <c r="CK70" s="361"/>
      <c r="CL70" s="361"/>
      <c r="CM70" s="361"/>
      <c r="CN70" s="361"/>
      <c r="CO70" s="361"/>
      <c r="CP70" s="361"/>
      <c r="CQ70" s="361"/>
      <c r="CR70" s="361"/>
      <c r="CS70" s="361"/>
      <c r="CT70" s="361"/>
      <c r="CU70" s="361"/>
      <c r="CV70" s="361"/>
      <c r="CW70" s="361"/>
      <c r="CX70" s="361"/>
      <c r="CY70" s="361"/>
      <c r="CZ70" s="361"/>
      <c r="DA70" s="361"/>
      <c r="DB70" s="361"/>
      <c r="DC70" s="361"/>
      <c r="DD70" s="361"/>
      <c r="DE70" s="361"/>
      <c r="DF70" s="361"/>
      <c r="DG70" s="361"/>
      <c r="DH70" s="361"/>
      <c r="DI70" s="361"/>
      <c r="DJ70" s="361"/>
      <c r="DK70" s="361"/>
      <c r="DL70" s="361"/>
      <c r="DM70" s="361"/>
      <c r="DN70" s="361"/>
      <c r="DO70" s="361"/>
      <c r="DP70" s="361"/>
      <c r="DQ70" s="361"/>
      <c r="DR70" s="361"/>
      <c r="DS70" s="361"/>
      <c r="DT70" s="361"/>
      <c r="DU70" s="361"/>
      <c r="DV70" s="361"/>
      <c r="DW70" s="361"/>
      <c r="DX70" s="361"/>
      <c r="DY70" s="361"/>
      <c r="DZ70" s="361"/>
      <c r="EA70" s="361"/>
      <c r="EB70" s="361"/>
      <c r="EC70" s="361"/>
      <c r="ED70" s="361"/>
      <c r="EE70" s="361"/>
      <c r="EF70" s="361"/>
      <c r="EG70" s="361"/>
      <c r="EH70" s="361"/>
      <c r="EI70" s="361"/>
      <c r="EJ70" s="361"/>
      <c r="EK70" s="361"/>
      <c r="EL70" s="361"/>
      <c r="EM70" s="361"/>
      <c r="EN70" s="361"/>
      <c r="EO70" s="361"/>
      <c r="EP70" s="361"/>
      <c r="EQ70" s="361"/>
      <c r="ER70" s="361"/>
      <c r="ES70" s="361"/>
      <c r="ET70" s="361"/>
      <c r="EU70" s="361"/>
      <c r="EV70" s="361"/>
      <c r="EW70" s="361"/>
      <c r="EX70" s="361"/>
      <c r="EY70" s="361"/>
      <c r="EZ70" s="361"/>
      <c r="FA70" s="361"/>
      <c r="FB70" s="361"/>
      <c r="FC70" s="361"/>
      <c r="FD70" s="361"/>
      <c r="FE70" s="361"/>
      <c r="FF70" s="361"/>
      <c r="FG70" s="361"/>
      <c r="FH70" s="361"/>
      <c r="FI70" s="361"/>
      <c r="FJ70" s="361"/>
      <c r="FK70" s="361"/>
      <c r="FL70" s="361"/>
      <c r="FM70" s="361"/>
      <c r="FN70" s="361"/>
      <c r="FO70" s="361"/>
      <c r="FP70" s="361"/>
      <c r="FQ70" s="361"/>
      <c r="FR70" s="361"/>
      <c r="FS70" s="361"/>
      <c r="FT70" s="361"/>
      <c r="FU70" s="361"/>
      <c r="FV70" s="361"/>
      <c r="FW70" s="361"/>
      <c r="FX70" s="361"/>
      <c r="FY70" s="361"/>
      <c r="FZ70" s="361"/>
      <c r="GA70" s="361"/>
      <c r="GB70" s="361"/>
      <c r="GC70" s="361"/>
      <c r="GD70" s="361"/>
      <c r="GE70" s="361"/>
      <c r="GF70" s="361"/>
      <c r="GG70" s="361"/>
      <c r="GH70" s="361"/>
      <c r="GI70" s="361"/>
      <c r="GJ70" s="361"/>
      <c r="GK70" s="361"/>
      <c r="GL70" s="361"/>
      <c r="GM70" s="361"/>
      <c r="GN70" s="361"/>
      <c r="GO70" s="361"/>
      <c r="GP70" s="361"/>
      <c r="GQ70" s="361"/>
      <c r="GR70" s="361"/>
      <c r="GS70" s="361"/>
      <c r="GT70" s="361"/>
      <c r="GU70" s="361"/>
      <c r="GV70" s="361"/>
      <c r="GW70" s="361"/>
      <c r="GX70" s="361"/>
      <c r="GY70" s="361"/>
      <c r="GZ70" s="361"/>
      <c r="HA70" s="361"/>
      <c r="HB70" s="361"/>
      <c r="HC70" s="361"/>
      <c r="HD70" s="361"/>
      <c r="HE70" s="361"/>
      <c r="HF70" s="361"/>
      <c r="HG70" s="361"/>
      <c r="HH70" s="361"/>
      <c r="HI70" s="361"/>
      <c r="HJ70" s="361"/>
      <c r="HK70" s="361"/>
      <c r="HL70" s="361"/>
      <c r="HM70" s="361"/>
      <c r="HN70" s="361"/>
      <c r="HO70" s="361"/>
      <c r="HP70" s="361"/>
      <c r="HQ70" s="361"/>
      <c r="HR70" s="361"/>
      <c r="HS70" s="361"/>
      <c r="HT70" s="361"/>
      <c r="HU70" s="361"/>
      <c r="HV70" s="361"/>
      <c r="HW70" s="361"/>
      <c r="HX70" s="361"/>
      <c r="HY70" s="361"/>
      <c r="HZ70" s="361"/>
      <c r="IA70" s="361"/>
      <c r="IB70" s="361"/>
      <c r="IC70" s="361"/>
      <c r="ID70" s="361"/>
      <c r="IE70" s="361"/>
      <c r="IF70" s="361"/>
      <c r="IG70" s="361"/>
      <c r="IH70" s="361"/>
      <c r="II70" s="361"/>
      <c r="IJ70" s="361"/>
      <c r="IK70" s="361"/>
      <c r="IL70" s="361"/>
      <c r="IM70" s="361"/>
      <c r="IN70" s="361"/>
      <c r="IO70" s="361"/>
      <c r="IP70" s="361"/>
      <c r="IQ70" s="361"/>
      <c r="IR70" s="361"/>
      <c r="IS70" s="361"/>
      <c r="IT70" s="361"/>
      <c r="IU70" s="361"/>
      <c r="IV70" s="361"/>
    </row>
    <row r="71" spans="1:256">
      <c r="A71" s="353"/>
      <c r="B71" s="354" t="s">
        <v>506</v>
      </c>
      <c r="C71" s="355">
        <v>1</v>
      </c>
      <c r="D71" s="355"/>
      <c r="E71" s="355">
        <v>1</v>
      </c>
      <c r="F71" s="356">
        <v>6</v>
      </c>
      <c r="G71" s="356">
        <v>0.23</v>
      </c>
      <c r="H71" s="356"/>
      <c r="I71" s="336">
        <f t="shared" ref="I71:I88" si="4">PRODUCT(C71:H71)</f>
        <v>1.3800000000000001</v>
      </c>
      <c r="J71" s="358"/>
      <c r="K71" s="359"/>
      <c r="L71" s="359"/>
      <c r="M71" s="359"/>
      <c r="N71" s="359"/>
      <c r="O71" s="359"/>
      <c r="P71" s="359"/>
      <c r="Q71" s="359"/>
      <c r="R71" s="359"/>
      <c r="S71" s="359"/>
      <c r="T71" s="359"/>
      <c r="U71" s="359"/>
      <c r="V71" s="359"/>
      <c r="W71" s="359"/>
      <c r="X71" s="359"/>
      <c r="Y71" s="359"/>
      <c r="Z71" s="359"/>
      <c r="AA71" s="362"/>
      <c r="AB71" s="362"/>
      <c r="AC71" s="362"/>
      <c r="AD71" s="362"/>
      <c r="AE71" s="362"/>
      <c r="AF71" s="362"/>
      <c r="AG71" s="362"/>
      <c r="AH71" s="362"/>
      <c r="AI71" s="362"/>
      <c r="AJ71" s="362"/>
      <c r="AK71" s="362"/>
      <c r="AL71" s="362"/>
      <c r="AM71" s="362"/>
      <c r="AN71" s="362"/>
      <c r="AO71" s="362"/>
      <c r="AP71" s="362"/>
      <c r="AQ71" s="362"/>
      <c r="AR71" s="362"/>
      <c r="AS71" s="362"/>
      <c r="AT71" s="362"/>
      <c r="AU71" s="362"/>
      <c r="AV71" s="362"/>
      <c r="AW71" s="362"/>
      <c r="AX71" s="362"/>
      <c r="AY71" s="362"/>
      <c r="AZ71" s="362"/>
      <c r="BA71" s="362"/>
      <c r="BB71" s="362"/>
      <c r="BC71" s="362"/>
      <c r="BD71" s="362"/>
      <c r="BE71" s="362"/>
      <c r="BF71" s="362"/>
      <c r="BG71" s="362"/>
      <c r="BH71" s="362"/>
      <c r="BI71" s="362"/>
      <c r="BJ71" s="362"/>
      <c r="BK71" s="362"/>
      <c r="BL71" s="362"/>
      <c r="BM71" s="362"/>
      <c r="BN71" s="362"/>
      <c r="BO71" s="362"/>
      <c r="BP71" s="362"/>
      <c r="BQ71" s="362"/>
      <c r="BR71" s="362"/>
      <c r="BS71" s="362"/>
      <c r="BT71" s="362"/>
      <c r="BU71" s="362"/>
      <c r="BV71" s="362"/>
      <c r="BW71" s="362"/>
      <c r="BX71" s="362"/>
      <c r="BY71" s="362"/>
      <c r="BZ71" s="362"/>
      <c r="CA71" s="362"/>
      <c r="CB71" s="362"/>
      <c r="CC71" s="362"/>
      <c r="CD71" s="362"/>
      <c r="CE71" s="362"/>
      <c r="CF71" s="362"/>
      <c r="CG71" s="362"/>
      <c r="CH71" s="362"/>
      <c r="CI71" s="362"/>
      <c r="CJ71" s="362"/>
      <c r="CK71" s="362"/>
      <c r="CL71" s="362"/>
      <c r="CM71" s="362"/>
      <c r="CN71" s="362"/>
      <c r="CO71" s="362"/>
      <c r="CP71" s="362"/>
      <c r="CQ71" s="362"/>
      <c r="CR71" s="362"/>
      <c r="CS71" s="362"/>
      <c r="CT71" s="362"/>
      <c r="CU71" s="362"/>
      <c r="CV71" s="362"/>
      <c r="CW71" s="362"/>
      <c r="CX71" s="362"/>
      <c r="CY71" s="362"/>
      <c r="CZ71" s="362"/>
      <c r="DA71" s="362"/>
      <c r="DB71" s="362"/>
      <c r="DC71" s="362"/>
      <c r="DD71" s="362"/>
      <c r="DE71" s="362"/>
      <c r="DF71" s="362"/>
      <c r="DG71" s="362"/>
      <c r="DH71" s="362"/>
      <c r="DI71" s="362"/>
      <c r="DJ71" s="362"/>
      <c r="DK71" s="362"/>
      <c r="DL71" s="362"/>
      <c r="DM71" s="362"/>
      <c r="DN71" s="362"/>
      <c r="DO71" s="362"/>
      <c r="DP71" s="362"/>
      <c r="DQ71" s="362"/>
      <c r="DR71" s="362"/>
      <c r="DS71" s="362"/>
      <c r="DT71" s="362"/>
      <c r="DU71" s="362"/>
      <c r="DV71" s="362"/>
      <c r="DW71" s="362"/>
      <c r="DX71" s="362"/>
      <c r="DY71" s="362"/>
      <c r="DZ71" s="362"/>
      <c r="EA71" s="362"/>
      <c r="EB71" s="362"/>
      <c r="EC71" s="362"/>
      <c r="ED71" s="362"/>
      <c r="EE71" s="362"/>
      <c r="EF71" s="362"/>
      <c r="EG71" s="362"/>
      <c r="EH71" s="362"/>
      <c r="EI71" s="362"/>
      <c r="EJ71" s="362"/>
      <c r="EK71" s="362"/>
      <c r="EL71" s="362"/>
      <c r="EM71" s="362"/>
      <c r="EN71" s="362"/>
      <c r="EO71" s="362"/>
      <c r="EP71" s="362"/>
      <c r="EQ71" s="362"/>
      <c r="ER71" s="362"/>
      <c r="ES71" s="362"/>
      <c r="ET71" s="362"/>
      <c r="EU71" s="362"/>
      <c r="EV71" s="362"/>
      <c r="EW71" s="362"/>
      <c r="EX71" s="362"/>
      <c r="EY71" s="362"/>
      <c r="EZ71" s="362"/>
      <c r="FA71" s="362"/>
      <c r="FB71" s="362"/>
      <c r="FC71" s="362"/>
      <c r="FD71" s="362"/>
      <c r="FE71" s="362"/>
      <c r="FF71" s="362"/>
      <c r="FG71" s="362"/>
      <c r="FH71" s="362"/>
      <c r="FI71" s="362"/>
      <c r="FJ71" s="362"/>
      <c r="FK71" s="362"/>
      <c r="FL71" s="362"/>
      <c r="FM71" s="362"/>
      <c r="FN71" s="362"/>
      <c r="FO71" s="362"/>
      <c r="FP71" s="362"/>
      <c r="FQ71" s="362"/>
      <c r="FR71" s="362"/>
      <c r="FS71" s="362"/>
      <c r="FT71" s="362"/>
      <c r="FU71" s="362"/>
      <c r="FV71" s="362"/>
      <c r="FW71" s="362"/>
      <c r="FX71" s="362"/>
      <c r="FY71" s="362"/>
      <c r="FZ71" s="362"/>
      <c r="GA71" s="362"/>
      <c r="GB71" s="362"/>
      <c r="GC71" s="362"/>
      <c r="GD71" s="362"/>
      <c r="GE71" s="362"/>
      <c r="GF71" s="362"/>
      <c r="GG71" s="362"/>
      <c r="GH71" s="362"/>
      <c r="GI71" s="362"/>
      <c r="GJ71" s="362"/>
      <c r="GK71" s="362"/>
      <c r="GL71" s="362"/>
      <c r="GM71" s="362"/>
      <c r="GN71" s="362"/>
      <c r="GO71" s="362"/>
      <c r="GP71" s="362"/>
      <c r="GQ71" s="362"/>
      <c r="GR71" s="362"/>
      <c r="GS71" s="362"/>
      <c r="GT71" s="362"/>
      <c r="GU71" s="362"/>
      <c r="GV71" s="362"/>
      <c r="GW71" s="362"/>
      <c r="GX71" s="362"/>
      <c r="GY71" s="362"/>
      <c r="GZ71" s="362"/>
      <c r="HA71" s="362"/>
      <c r="HB71" s="362"/>
      <c r="HC71" s="362"/>
      <c r="HD71" s="362"/>
      <c r="HE71" s="362"/>
      <c r="HF71" s="362"/>
      <c r="HG71" s="362"/>
      <c r="HH71" s="362"/>
      <c r="HI71" s="362"/>
      <c r="HJ71" s="362"/>
      <c r="HK71" s="362"/>
      <c r="HL71" s="362"/>
      <c r="HM71" s="362"/>
      <c r="HN71" s="362"/>
      <c r="HO71" s="362"/>
      <c r="HP71" s="362"/>
      <c r="HQ71" s="362"/>
      <c r="HR71" s="362"/>
      <c r="HS71" s="362"/>
      <c r="HT71" s="362"/>
      <c r="HU71" s="362"/>
      <c r="HV71" s="362"/>
      <c r="HW71" s="362"/>
      <c r="HX71" s="362"/>
      <c r="HY71" s="362"/>
      <c r="HZ71" s="362"/>
      <c r="IA71" s="362"/>
      <c r="IB71" s="362"/>
      <c r="IC71" s="362"/>
      <c r="ID71" s="362"/>
      <c r="IE71" s="362"/>
      <c r="IF71" s="362"/>
      <c r="IG71" s="362"/>
      <c r="IH71" s="362"/>
      <c r="II71" s="362"/>
      <c r="IJ71" s="362"/>
      <c r="IK71" s="362"/>
      <c r="IL71" s="362"/>
      <c r="IM71" s="362"/>
      <c r="IN71" s="362"/>
      <c r="IO71" s="362"/>
      <c r="IP71" s="362"/>
      <c r="IQ71" s="362"/>
      <c r="IR71" s="362"/>
      <c r="IS71" s="362"/>
      <c r="IT71" s="362"/>
      <c r="IU71" s="362"/>
      <c r="IV71" s="362"/>
    </row>
    <row r="72" spans="1:256">
      <c r="A72" s="353"/>
      <c r="B72" s="354" t="s">
        <v>7</v>
      </c>
      <c r="C72" s="355">
        <v>1</v>
      </c>
      <c r="D72" s="355"/>
      <c r="E72" s="355">
        <v>6</v>
      </c>
      <c r="F72" s="356">
        <v>5.4</v>
      </c>
      <c r="G72" s="356">
        <v>0.23</v>
      </c>
      <c r="H72" s="356"/>
      <c r="I72" s="336">
        <f t="shared" si="4"/>
        <v>7.4520000000000017</v>
      </c>
      <c r="J72" s="358"/>
      <c r="K72" s="359"/>
      <c r="L72" s="359"/>
      <c r="M72" s="359"/>
      <c r="N72" s="359"/>
      <c r="O72" s="359"/>
      <c r="P72" s="359"/>
      <c r="Q72" s="359"/>
      <c r="R72" s="359"/>
      <c r="S72" s="359"/>
      <c r="T72" s="359"/>
      <c r="U72" s="359"/>
      <c r="V72" s="359"/>
      <c r="W72" s="359"/>
      <c r="X72" s="359"/>
      <c r="Y72" s="359"/>
      <c r="Z72" s="359"/>
      <c r="AA72" s="359"/>
      <c r="AB72" s="359"/>
      <c r="AC72" s="359"/>
      <c r="AD72" s="359"/>
      <c r="AE72" s="359"/>
      <c r="AF72" s="359"/>
      <c r="AG72" s="359"/>
      <c r="AH72" s="359"/>
      <c r="AI72" s="359"/>
      <c r="AJ72" s="359"/>
      <c r="AK72" s="359"/>
      <c r="AL72" s="359"/>
      <c r="AM72" s="359"/>
      <c r="AN72" s="359"/>
      <c r="AO72" s="359"/>
      <c r="AP72" s="359"/>
      <c r="AQ72" s="359"/>
      <c r="AR72" s="359"/>
      <c r="AS72" s="359"/>
      <c r="AT72" s="359"/>
      <c r="AU72" s="359"/>
      <c r="AV72" s="359"/>
      <c r="AW72" s="359"/>
      <c r="AX72" s="359"/>
      <c r="AY72" s="359"/>
      <c r="AZ72" s="359"/>
      <c r="BA72" s="359"/>
      <c r="BB72" s="359"/>
      <c r="BC72" s="359"/>
      <c r="BD72" s="359"/>
      <c r="BE72" s="359"/>
      <c r="BF72" s="359"/>
      <c r="BG72" s="359"/>
      <c r="BH72" s="359"/>
      <c r="BI72" s="359"/>
      <c r="BJ72" s="359"/>
      <c r="BK72" s="359"/>
      <c r="BL72" s="359"/>
      <c r="BM72" s="359"/>
      <c r="BN72" s="359"/>
      <c r="BO72" s="359"/>
      <c r="BP72" s="359"/>
      <c r="BQ72" s="359"/>
      <c r="BR72" s="359"/>
      <c r="BS72" s="359"/>
      <c r="BT72" s="359"/>
      <c r="BU72" s="359"/>
      <c r="BV72" s="359"/>
      <c r="BW72" s="359"/>
      <c r="BX72" s="359"/>
      <c r="BY72" s="359"/>
      <c r="BZ72" s="359"/>
      <c r="CA72" s="359"/>
      <c r="CB72" s="359"/>
      <c r="CC72" s="359"/>
      <c r="CD72" s="359"/>
      <c r="CE72" s="359"/>
      <c r="CF72" s="359"/>
      <c r="CG72" s="359"/>
      <c r="CH72" s="359"/>
      <c r="CI72" s="359"/>
      <c r="CJ72" s="359"/>
      <c r="CK72" s="359"/>
      <c r="CL72" s="359"/>
      <c r="CM72" s="359"/>
      <c r="CN72" s="359"/>
      <c r="CO72" s="359"/>
      <c r="CP72" s="359"/>
      <c r="CQ72" s="359"/>
      <c r="CR72" s="359"/>
      <c r="CS72" s="359"/>
      <c r="CT72" s="359"/>
      <c r="CU72" s="359"/>
      <c r="CV72" s="359"/>
      <c r="CW72" s="359"/>
      <c r="CX72" s="359"/>
      <c r="CY72" s="359"/>
      <c r="CZ72" s="359"/>
      <c r="DA72" s="359"/>
      <c r="DB72" s="359"/>
      <c r="DC72" s="359"/>
      <c r="DD72" s="359"/>
      <c r="DE72" s="359"/>
      <c r="DF72" s="359"/>
      <c r="DG72" s="359"/>
      <c r="DH72" s="359"/>
      <c r="DI72" s="359"/>
      <c r="DJ72" s="359"/>
      <c r="DK72" s="359"/>
      <c r="DL72" s="359"/>
      <c r="DM72" s="359"/>
      <c r="DN72" s="359"/>
      <c r="DO72" s="359"/>
      <c r="DP72" s="359"/>
      <c r="DQ72" s="359"/>
      <c r="DR72" s="359"/>
      <c r="DS72" s="359"/>
      <c r="DT72" s="359"/>
      <c r="DU72" s="359"/>
      <c r="DV72" s="359"/>
      <c r="DW72" s="359"/>
      <c r="DX72" s="359"/>
      <c r="DY72" s="359"/>
      <c r="DZ72" s="359"/>
      <c r="EA72" s="359"/>
      <c r="EB72" s="359"/>
      <c r="EC72" s="359"/>
      <c r="ED72" s="359"/>
      <c r="EE72" s="359"/>
      <c r="EF72" s="359"/>
      <c r="EG72" s="359"/>
      <c r="EH72" s="359"/>
      <c r="EI72" s="359"/>
      <c r="EJ72" s="359"/>
      <c r="EK72" s="359"/>
      <c r="EL72" s="359"/>
      <c r="EM72" s="359"/>
      <c r="EN72" s="359"/>
      <c r="EO72" s="359"/>
      <c r="EP72" s="359"/>
      <c r="EQ72" s="359"/>
      <c r="ER72" s="359"/>
      <c r="ES72" s="359"/>
      <c r="ET72" s="359"/>
      <c r="EU72" s="359"/>
      <c r="EV72" s="359"/>
      <c r="EW72" s="359"/>
      <c r="EX72" s="359"/>
      <c r="EY72" s="359"/>
      <c r="EZ72" s="359"/>
      <c r="FA72" s="359"/>
      <c r="FB72" s="359"/>
      <c r="FC72" s="359"/>
      <c r="FD72" s="359"/>
      <c r="FE72" s="359"/>
      <c r="FF72" s="359"/>
      <c r="FG72" s="359"/>
      <c r="FH72" s="359"/>
      <c r="FI72" s="359"/>
      <c r="FJ72" s="359"/>
      <c r="FK72" s="359"/>
      <c r="FL72" s="359"/>
      <c r="FM72" s="359"/>
      <c r="FN72" s="359"/>
      <c r="FO72" s="359"/>
      <c r="FP72" s="359"/>
      <c r="FQ72" s="359"/>
      <c r="FR72" s="359"/>
      <c r="FS72" s="359"/>
      <c r="FT72" s="359"/>
      <c r="FU72" s="359"/>
      <c r="FV72" s="359"/>
      <c r="FW72" s="359"/>
      <c r="FX72" s="359"/>
      <c r="FY72" s="359"/>
      <c r="FZ72" s="359"/>
      <c r="GA72" s="359"/>
      <c r="GB72" s="359"/>
      <c r="GC72" s="359"/>
      <c r="GD72" s="359"/>
      <c r="GE72" s="359"/>
      <c r="GF72" s="359"/>
      <c r="GG72" s="359"/>
      <c r="GH72" s="359"/>
      <c r="GI72" s="359"/>
      <c r="GJ72" s="359"/>
      <c r="GK72" s="359"/>
      <c r="GL72" s="359"/>
      <c r="GM72" s="359"/>
      <c r="GN72" s="359"/>
      <c r="GO72" s="359"/>
      <c r="GP72" s="359"/>
      <c r="GQ72" s="359"/>
      <c r="GR72" s="359"/>
      <c r="GS72" s="359"/>
      <c r="GT72" s="359"/>
      <c r="GU72" s="359"/>
      <c r="GV72" s="359"/>
      <c r="GW72" s="359"/>
      <c r="GX72" s="359"/>
      <c r="GY72" s="359"/>
      <c r="GZ72" s="359"/>
      <c r="HA72" s="359"/>
      <c r="HB72" s="359"/>
      <c r="HC72" s="359"/>
      <c r="HD72" s="359"/>
      <c r="HE72" s="359"/>
      <c r="HF72" s="359"/>
      <c r="HG72" s="359"/>
      <c r="HH72" s="359"/>
      <c r="HI72" s="359"/>
      <c r="HJ72" s="359"/>
      <c r="HK72" s="359"/>
      <c r="HL72" s="359"/>
      <c r="HM72" s="359"/>
      <c r="HN72" s="359"/>
      <c r="HO72" s="359"/>
      <c r="HP72" s="359"/>
      <c r="HQ72" s="359"/>
      <c r="HR72" s="359"/>
      <c r="HS72" s="359"/>
      <c r="HT72" s="359"/>
      <c r="HU72" s="359"/>
      <c r="HV72" s="359"/>
      <c r="HW72" s="359"/>
      <c r="HX72" s="359"/>
      <c r="HY72" s="359"/>
      <c r="HZ72" s="359"/>
      <c r="IA72" s="359"/>
      <c r="IB72" s="359"/>
      <c r="IC72" s="359"/>
      <c r="ID72" s="359"/>
      <c r="IE72" s="359"/>
      <c r="IF72" s="359"/>
      <c r="IG72" s="359"/>
      <c r="IH72" s="359"/>
      <c r="II72" s="359"/>
      <c r="IJ72" s="359"/>
      <c r="IK72" s="359"/>
      <c r="IL72" s="359"/>
      <c r="IM72" s="359"/>
      <c r="IN72" s="359"/>
      <c r="IO72" s="359"/>
      <c r="IP72" s="359"/>
      <c r="IQ72" s="359"/>
      <c r="IR72" s="359"/>
      <c r="IS72" s="359"/>
      <c r="IT72" s="359"/>
      <c r="IU72" s="359"/>
      <c r="IV72" s="359"/>
    </row>
    <row r="73" spans="1:256">
      <c r="A73" s="353"/>
      <c r="B73" s="354" t="s">
        <v>507</v>
      </c>
      <c r="C73" s="355">
        <v>1</v>
      </c>
      <c r="D73" s="355"/>
      <c r="E73" s="355">
        <v>16</v>
      </c>
      <c r="F73" s="356">
        <v>3.6</v>
      </c>
      <c r="G73" s="356">
        <v>0.68</v>
      </c>
      <c r="H73" s="356"/>
      <c r="I73" s="336">
        <f t="shared" si="4"/>
        <v>39.168000000000006</v>
      </c>
      <c r="J73" s="358"/>
      <c r="K73" s="359"/>
      <c r="L73" s="359"/>
      <c r="M73" s="359"/>
      <c r="N73" s="359"/>
      <c r="O73" s="359"/>
      <c r="P73" s="359"/>
      <c r="Q73" s="359"/>
      <c r="R73" s="359"/>
      <c r="S73" s="359"/>
      <c r="T73" s="359"/>
      <c r="U73" s="359"/>
      <c r="V73" s="359"/>
      <c r="W73" s="359"/>
      <c r="X73" s="359"/>
      <c r="Y73" s="359"/>
      <c r="Z73" s="359"/>
      <c r="AA73" s="359"/>
      <c r="AB73" s="359"/>
      <c r="AC73" s="359"/>
      <c r="AD73" s="359"/>
      <c r="AE73" s="359"/>
      <c r="AF73" s="359"/>
      <c r="AG73" s="359"/>
      <c r="AH73" s="359"/>
      <c r="AI73" s="359"/>
      <c r="AJ73" s="359"/>
      <c r="AK73" s="359"/>
      <c r="AL73" s="359"/>
      <c r="AM73" s="359"/>
      <c r="AN73" s="359"/>
      <c r="AO73" s="359"/>
      <c r="AP73" s="359"/>
      <c r="AQ73" s="359"/>
      <c r="AR73" s="359"/>
      <c r="AS73" s="359"/>
      <c r="AT73" s="359"/>
      <c r="AU73" s="359"/>
      <c r="AV73" s="359"/>
      <c r="AW73" s="359"/>
      <c r="AX73" s="359"/>
      <c r="AY73" s="359"/>
      <c r="AZ73" s="359"/>
      <c r="BA73" s="359"/>
      <c r="BB73" s="359"/>
      <c r="BC73" s="359"/>
      <c r="BD73" s="359"/>
      <c r="BE73" s="359"/>
      <c r="BF73" s="359"/>
      <c r="BG73" s="359"/>
      <c r="BH73" s="359"/>
      <c r="BI73" s="359"/>
      <c r="BJ73" s="359"/>
      <c r="BK73" s="359"/>
      <c r="BL73" s="359"/>
      <c r="BM73" s="359"/>
      <c r="BN73" s="359"/>
      <c r="BO73" s="359"/>
      <c r="BP73" s="359"/>
      <c r="BQ73" s="359"/>
      <c r="BR73" s="359"/>
      <c r="BS73" s="359"/>
      <c r="BT73" s="359"/>
      <c r="BU73" s="359"/>
      <c r="BV73" s="359"/>
      <c r="BW73" s="359"/>
      <c r="BX73" s="359"/>
      <c r="BY73" s="359"/>
      <c r="BZ73" s="359"/>
      <c r="CA73" s="359"/>
      <c r="CB73" s="359"/>
      <c r="CC73" s="359"/>
      <c r="CD73" s="359"/>
      <c r="CE73" s="359"/>
      <c r="CF73" s="359"/>
      <c r="CG73" s="359"/>
      <c r="CH73" s="359"/>
      <c r="CI73" s="359"/>
      <c r="CJ73" s="359"/>
      <c r="CK73" s="359"/>
      <c r="CL73" s="359"/>
      <c r="CM73" s="359"/>
      <c r="CN73" s="359"/>
      <c r="CO73" s="359"/>
      <c r="CP73" s="359"/>
      <c r="CQ73" s="359"/>
      <c r="CR73" s="359"/>
      <c r="CS73" s="359"/>
      <c r="CT73" s="359"/>
      <c r="CU73" s="359"/>
      <c r="CV73" s="359"/>
      <c r="CW73" s="359"/>
      <c r="CX73" s="359"/>
      <c r="CY73" s="359"/>
      <c r="CZ73" s="359"/>
      <c r="DA73" s="359"/>
      <c r="DB73" s="359"/>
      <c r="DC73" s="359"/>
      <c r="DD73" s="359"/>
      <c r="DE73" s="359"/>
      <c r="DF73" s="359"/>
      <c r="DG73" s="359"/>
      <c r="DH73" s="359"/>
      <c r="DI73" s="359"/>
      <c r="DJ73" s="359"/>
      <c r="DK73" s="359"/>
      <c r="DL73" s="359"/>
      <c r="DM73" s="359"/>
      <c r="DN73" s="359"/>
      <c r="DO73" s="359"/>
      <c r="DP73" s="359"/>
      <c r="DQ73" s="359"/>
      <c r="DR73" s="359"/>
      <c r="DS73" s="359"/>
      <c r="DT73" s="359"/>
      <c r="DU73" s="359"/>
      <c r="DV73" s="359"/>
      <c r="DW73" s="359"/>
      <c r="DX73" s="359"/>
      <c r="DY73" s="359"/>
      <c r="DZ73" s="359"/>
      <c r="EA73" s="359"/>
      <c r="EB73" s="359"/>
      <c r="EC73" s="359"/>
      <c r="ED73" s="359"/>
      <c r="EE73" s="359"/>
      <c r="EF73" s="359"/>
      <c r="EG73" s="359"/>
      <c r="EH73" s="359"/>
      <c r="EI73" s="359"/>
      <c r="EJ73" s="359"/>
      <c r="EK73" s="359"/>
      <c r="EL73" s="359"/>
      <c r="EM73" s="359"/>
      <c r="EN73" s="359"/>
      <c r="EO73" s="359"/>
      <c r="EP73" s="359"/>
      <c r="EQ73" s="359"/>
      <c r="ER73" s="359"/>
      <c r="ES73" s="359"/>
      <c r="ET73" s="359"/>
      <c r="EU73" s="359"/>
      <c r="EV73" s="359"/>
      <c r="EW73" s="359"/>
      <c r="EX73" s="359"/>
      <c r="EY73" s="359"/>
      <c r="EZ73" s="359"/>
      <c r="FA73" s="359"/>
      <c r="FB73" s="359"/>
      <c r="FC73" s="359"/>
      <c r="FD73" s="359"/>
      <c r="FE73" s="359"/>
      <c r="FF73" s="359"/>
      <c r="FG73" s="359"/>
      <c r="FH73" s="359"/>
      <c r="FI73" s="359"/>
      <c r="FJ73" s="359"/>
      <c r="FK73" s="359"/>
      <c r="FL73" s="359"/>
      <c r="FM73" s="359"/>
      <c r="FN73" s="359"/>
      <c r="FO73" s="359"/>
      <c r="FP73" s="359"/>
      <c r="FQ73" s="359"/>
      <c r="FR73" s="359"/>
      <c r="FS73" s="359"/>
      <c r="FT73" s="359"/>
      <c r="FU73" s="359"/>
      <c r="FV73" s="359"/>
      <c r="FW73" s="359"/>
      <c r="FX73" s="359"/>
      <c r="FY73" s="359"/>
      <c r="FZ73" s="359"/>
      <c r="GA73" s="359"/>
      <c r="GB73" s="359"/>
      <c r="GC73" s="359"/>
      <c r="GD73" s="359"/>
      <c r="GE73" s="359"/>
      <c r="GF73" s="359"/>
      <c r="GG73" s="359"/>
      <c r="GH73" s="359"/>
      <c r="GI73" s="359"/>
      <c r="GJ73" s="359"/>
      <c r="GK73" s="359"/>
      <c r="GL73" s="359"/>
      <c r="GM73" s="359"/>
      <c r="GN73" s="359"/>
      <c r="GO73" s="359"/>
      <c r="GP73" s="359"/>
      <c r="GQ73" s="359"/>
      <c r="GR73" s="359"/>
      <c r="GS73" s="359"/>
      <c r="GT73" s="359"/>
      <c r="GU73" s="359"/>
      <c r="GV73" s="359"/>
      <c r="GW73" s="359"/>
      <c r="GX73" s="359"/>
      <c r="GY73" s="359"/>
      <c r="GZ73" s="359"/>
      <c r="HA73" s="359"/>
      <c r="HB73" s="359"/>
      <c r="HC73" s="359"/>
      <c r="HD73" s="359"/>
      <c r="HE73" s="359"/>
      <c r="HF73" s="359"/>
      <c r="HG73" s="359"/>
      <c r="HH73" s="359"/>
      <c r="HI73" s="359"/>
      <c r="HJ73" s="359"/>
      <c r="HK73" s="359"/>
      <c r="HL73" s="359"/>
      <c r="HM73" s="359"/>
      <c r="HN73" s="359"/>
      <c r="HO73" s="359"/>
      <c r="HP73" s="359"/>
      <c r="HQ73" s="359"/>
      <c r="HR73" s="359"/>
      <c r="HS73" s="359"/>
      <c r="HT73" s="359"/>
      <c r="HU73" s="359"/>
      <c r="HV73" s="359"/>
      <c r="HW73" s="359"/>
      <c r="HX73" s="359"/>
      <c r="HY73" s="359"/>
      <c r="HZ73" s="359"/>
      <c r="IA73" s="359"/>
      <c r="IB73" s="359"/>
      <c r="IC73" s="359"/>
      <c r="ID73" s="359"/>
      <c r="IE73" s="359"/>
      <c r="IF73" s="359"/>
      <c r="IG73" s="359"/>
      <c r="IH73" s="359"/>
      <c r="II73" s="359"/>
      <c r="IJ73" s="359"/>
      <c r="IK73" s="359"/>
      <c r="IL73" s="359"/>
      <c r="IM73" s="359"/>
      <c r="IN73" s="359"/>
      <c r="IO73" s="359"/>
      <c r="IP73" s="359"/>
      <c r="IQ73" s="359"/>
      <c r="IR73" s="359"/>
      <c r="IS73" s="359"/>
      <c r="IT73" s="359"/>
      <c r="IU73" s="359"/>
      <c r="IV73" s="359"/>
    </row>
    <row r="74" spans="1:256">
      <c r="A74" s="353"/>
      <c r="B74" s="354" t="s">
        <v>508</v>
      </c>
      <c r="C74" s="355">
        <v>1</v>
      </c>
      <c r="D74" s="355"/>
      <c r="E74" s="355">
        <v>2</v>
      </c>
      <c r="F74" s="356">
        <v>4.9000000000000004</v>
      </c>
      <c r="G74" s="356">
        <v>0.68</v>
      </c>
      <c r="H74" s="356"/>
      <c r="I74" s="336">
        <f t="shared" si="4"/>
        <v>6.6640000000000006</v>
      </c>
      <c r="J74" s="358"/>
      <c r="K74" s="359"/>
      <c r="L74" s="359"/>
      <c r="M74" s="359"/>
      <c r="N74" s="359"/>
      <c r="O74" s="359"/>
      <c r="P74" s="359"/>
      <c r="Q74" s="359"/>
      <c r="R74" s="359"/>
      <c r="S74" s="359"/>
      <c r="T74" s="359"/>
      <c r="U74" s="359"/>
      <c r="V74" s="359"/>
      <c r="W74" s="359"/>
      <c r="X74" s="359"/>
      <c r="Y74" s="359"/>
      <c r="Z74" s="359"/>
      <c r="AA74" s="359"/>
      <c r="AB74" s="359"/>
      <c r="AC74" s="359"/>
      <c r="AD74" s="359"/>
      <c r="AE74" s="359"/>
      <c r="AF74" s="359"/>
      <c r="AG74" s="359"/>
      <c r="AH74" s="359"/>
      <c r="AI74" s="359"/>
      <c r="AJ74" s="359"/>
      <c r="AK74" s="359"/>
      <c r="AL74" s="359"/>
      <c r="AM74" s="359"/>
      <c r="AN74" s="359"/>
      <c r="AO74" s="359"/>
      <c r="AP74" s="359"/>
      <c r="AQ74" s="359"/>
      <c r="AR74" s="359"/>
      <c r="AS74" s="359"/>
      <c r="AT74" s="359"/>
      <c r="AU74" s="359"/>
      <c r="AV74" s="359"/>
      <c r="AW74" s="359"/>
      <c r="AX74" s="359"/>
      <c r="AY74" s="359"/>
      <c r="AZ74" s="359"/>
      <c r="BA74" s="359"/>
      <c r="BB74" s="359"/>
      <c r="BC74" s="359"/>
      <c r="BD74" s="359"/>
      <c r="BE74" s="359"/>
      <c r="BF74" s="359"/>
      <c r="BG74" s="359"/>
      <c r="BH74" s="359"/>
      <c r="BI74" s="359"/>
      <c r="BJ74" s="359"/>
      <c r="BK74" s="359"/>
      <c r="BL74" s="359"/>
      <c r="BM74" s="359"/>
      <c r="BN74" s="359"/>
      <c r="BO74" s="359"/>
      <c r="BP74" s="359"/>
      <c r="BQ74" s="359"/>
      <c r="BR74" s="359"/>
      <c r="BS74" s="359"/>
      <c r="BT74" s="359"/>
      <c r="BU74" s="359"/>
      <c r="BV74" s="359"/>
      <c r="BW74" s="359"/>
      <c r="BX74" s="359"/>
      <c r="BY74" s="359"/>
      <c r="BZ74" s="359"/>
      <c r="CA74" s="359"/>
      <c r="CB74" s="359"/>
      <c r="CC74" s="359"/>
      <c r="CD74" s="359"/>
      <c r="CE74" s="359"/>
      <c r="CF74" s="359"/>
      <c r="CG74" s="359"/>
      <c r="CH74" s="359"/>
      <c r="CI74" s="359"/>
      <c r="CJ74" s="359"/>
      <c r="CK74" s="359"/>
      <c r="CL74" s="359"/>
      <c r="CM74" s="359"/>
      <c r="CN74" s="359"/>
      <c r="CO74" s="359"/>
      <c r="CP74" s="359"/>
      <c r="CQ74" s="359"/>
      <c r="CR74" s="359"/>
      <c r="CS74" s="359"/>
      <c r="CT74" s="359"/>
      <c r="CU74" s="359"/>
      <c r="CV74" s="359"/>
      <c r="CW74" s="359"/>
      <c r="CX74" s="359"/>
      <c r="CY74" s="359"/>
      <c r="CZ74" s="359"/>
      <c r="DA74" s="359"/>
      <c r="DB74" s="359"/>
      <c r="DC74" s="359"/>
      <c r="DD74" s="359"/>
      <c r="DE74" s="359"/>
      <c r="DF74" s="359"/>
      <c r="DG74" s="359"/>
      <c r="DH74" s="359"/>
      <c r="DI74" s="359"/>
      <c r="DJ74" s="359"/>
      <c r="DK74" s="359"/>
      <c r="DL74" s="359"/>
      <c r="DM74" s="359"/>
      <c r="DN74" s="359"/>
      <c r="DO74" s="359"/>
      <c r="DP74" s="359"/>
      <c r="DQ74" s="359"/>
      <c r="DR74" s="359"/>
      <c r="DS74" s="359"/>
      <c r="DT74" s="359"/>
      <c r="DU74" s="359"/>
      <c r="DV74" s="359"/>
      <c r="DW74" s="359"/>
      <c r="DX74" s="359"/>
      <c r="DY74" s="359"/>
      <c r="DZ74" s="359"/>
      <c r="EA74" s="359"/>
      <c r="EB74" s="359"/>
      <c r="EC74" s="359"/>
      <c r="ED74" s="359"/>
      <c r="EE74" s="359"/>
      <c r="EF74" s="359"/>
      <c r="EG74" s="359"/>
      <c r="EH74" s="359"/>
      <c r="EI74" s="359"/>
      <c r="EJ74" s="359"/>
      <c r="EK74" s="359"/>
      <c r="EL74" s="359"/>
      <c r="EM74" s="359"/>
      <c r="EN74" s="359"/>
      <c r="EO74" s="359"/>
      <c r="EP74" s="359"/>
      <c r="EQ74" s="359"/>
      <c r="ER74" s="359"/>
      <c r="ES74" s="359"/>
      <c r="ET74" s="359"/>
      <c r="EU74" s="359"/>
      <c r="EV74" s="359"/>
      <c r="EW74" s="359"/>
      <c r="EX74" s="359"/>
      <c r="EY74" s="359"/>
      <c r="EZ74" s="359"/>
      <c r="FA74" s="359"/>
      <c r="FB74" s="359"/>
      <c r="FC74" s="359"/>
      <c r="FD74" s="359"/>
      <c r="FE74" s="359"/>
      <c r="FF74" s="359"/>
      <c r="FG74" s="359"/>
      <c r="FH74" s="359"/>
      <c r="FI74" s="359"/>
      <c r="FJ74" s="359"/>
      <c r="FK74" s="359"/>
      <c r="FL74" s="359"/>
      <c r="FM74" s="359"/>
      <c r="FN74" s="359"/>
      <c r="FO74" s="359"/>
      <c r="FP74" s="359"/>
      <c r="FQ74" s="359"/>
      <c r="FR74" s="359"/>
      <c r="FS74" s="359"/>
      <c r="FT74" s="359"/>
      <c r="FU74" s="359"/>
      <c r="FV74" s="359"/>
      <c r="FW74" s="359"/>
      <c r="FX74" s="359"/>
      <c r="FY74" s="359"/>
      <c r="FZ74" s="359"/>
      <c r="GA74" s="359"/>
      <c r="GB74" s="359"/>
      <c r="GC74" s="359"/>
      <c r="GD74" s="359"/>
      <c r="GE74" s="359"/>
      <c r="GF74" s="359"/>
      <c r="GG74" s="359"/>
      <c r="GH74" s="359"/>
      <c r="GI74" s="359"/>
      <c r="GJ74" s="359"/>
      <c r="GK74" s="359"/>
      <c r="GL74" s="359"/>
      <c r="GM74" s="359"/>
      <c r="GN74" s="359"/>
      <c r="GO74" s="359"/>
      <c r="GP74" s="359"/>
      <c r="GQ74" s="359"/>
      <c r="GR74" s="359"/>
      <c r="GS74" s="359"/>
      <c r="GT74" s="359"/>
      <c r="GU74" s="359"/>
      <c r="GV74" s="359"/>
      <c r="GW74" s="359"/>
      <c r="GX74" s="359"/>
      <c r="GY74" s="359"/>
      <c r="GZ74" s="359"/>
      <c r="HA74" s="359"/>
      <c r="HB74" s="359"/>
      <c r="HC74" s="359"/>
      <c r="HD74" s="359"/>
      <c r="HE74" s="359"/>
      <c r="HF74" s="359"/>
      <c r="HG74" s="359"/>
      <c r="HH74" s="359"/>
      <c r="HI74" s="359"/>
      <c r="HJ74" s="359"/>
      <c r="HK74" s="359"/>
      <c r="HL74" s="359"/>
      <c r="HM74" s="359"/>
      <c r="HN74" s="359"/>
      <c r="HO74" s="359"/>
      <c r="HP74" s="359"/>
      <c r="HQ74" s="359"/>
      <c r="HR74" s="359"/>
      <c r="HS74" s="359"/>
      <c r="HT74" s="359"/>
      <c r="HU74" s="359"/>
      <c r="HV74" s="359"/>
      <c r="HW74" s="359"/>
      <c r="HX74" s="359"/>
      <c r="HY74" s="359"/>
      <c r="HZ74" s="359"/>
      <c r="IA74" s="359"/>
      <c r="IB74" s="359"/>
      <c r="IC74" s="359"/>
      <c r="ID74" s="359"/>
      <c r="IE74" s="359"/>
      <c r="IF74" s="359"/>
      <c r="IG74" s="359"/>
      <c r="IH74" s="359"/>
      <c r="II74" s="359"/>
      <c r="IJ74" s="359"/>
      <c r="IK74" s="359"/>
      <c r="IL74" s="359"/>
      <c r="IM74" s="359"/>
      <c r="IN74" s="359"/>
      <c r="IO74" s="359"/>
      <c r="IP74" s="359"/>
      <c r="IQ74" s="359"/>
      <c r="IR74" s="359"/>
      <c r="IS74" s="359"/>
      <c r="IT74" s="359"/>
      <c r="IU74" s="359"/>
      <c r="IV74" s="359"/>
    </row>
    <row r="75" spans="1:256">
      <c r="A75" s="353"/>
      <c r="B75" s="354" t="s">
        <v>509</v>
      </c>
      <c r="C75" s="355">
        <v>1</v>
      </c>
      <c r="D75" s="355"/>
      <c r="E75" s="355">
        <v>11</v>
      </c>
      <c r="F75" s="356">
        <v>6.3</v>
      </c>
      <c r="G75" s="356">
        <v>0.68</v>
      </c>
      <c r="H75" s="356"/>
      <c r="I75" s="336">
        <f t="shared" si="4"/>
        <v>47.124000000000002</v>
      </c>
      <c r="J75" s="358"/>
      <c r="K75" s="359"/>
      <c r="L75" s="359"/>
      <c r="M75" s="359"/>
      <c r="N75" s="359"/>
      <c r="O75" s="359"/>
      <c r="P75" s="359"/>
      <c r="Q75" s="359"/>
      <c r="R75" s="359"/>
      <c r="S75" s="359"/>
      <c r="T75" s="359"/>
      <c r="U75" s="359"/>
      <c r="V75" s="359"/>
      <c r="W75" s="359"/>
      <c r="X75" s="359"/>
      <c r="Y75" s="359"/>
      <c r="Z75" s="359"/>
      <c r="AA75" s="359"/>
      <c r="AB75" s="359"/>
      <c r="AC75" s="359"/>
      <c r="AD75" s="359"/>
      <c r="AE75" s="359"/>
      <c r="AF75" s="359"/>
      <c r="AG75" s="359"/>
      <c r="AH75" s="359"/>
      <c r="AI75" s="359"/>
      <c r="AJ75" s="359"/>
      <c r="AK75" s="359"/>
      <c r="AL75" s="359"/>
      <c r="AM75" s="359"/>
      <c r="AN75" s="359"/>
      <c r="AO75" s="359"/>
      <c r="AP75" s="359"/>
      <c r="AQ75" s="359"/>
      <c r="AR75" s="359"/>
      <c r="AS75" s="359"/>
      <c r="AT75" s="359"/>
      <c r="AU75" s="359"/>
      <c r="AV75" s="359"/>
      <c r="AW75" s="359"/>
      <c r="AX75" s="359"/>
      <c r="AY75" s="359"/>
      <c r="AZ75" s="359"/>
      <c r="BA75" s="359"/>
      <c r="BB75" s="359"/>
      <c r="BC75" s="359"/>
      <c r="BD75" s="359"/>
      <c r="BE75" s="359"/>
      <c r="BF75" s="359"/>
      <c r="BG75" s="359"/>
      <c r="BH75" s="359"/>
      <c r="BI75" s="359"/>
      <c r="BJ75" s="359"/>
      <c r="BK75" s="359"/>
      <c r="BL75" s="359"/>
      <c r="BM75" s="359"/>
      <c r="BN75" s="359"/>
      <c r="BO75" s="359"/>
      <c r="BP75" s="359"/>
      <c r="BQ75" s="359"/>
      <c r="BR75" s="359"/>
      <c r="BS75" s="359"/>
      <c r="BT75" s="359"/>
      <c r="BU75" s="359"/>
      <c r="BV75" s="359"/>
      <c r="BW75" s="359"/>
      <c r="BX75" s="359"/>
      <c r="BY75" s="359"/>
      <c r="BZ75" s="359"/>
      <c r="CA75" s="359"/>
      <c r="CB75" s="359"/>
      <c r="CC75" s="359"/>
      <c r="CD75" s="359"/>
      <c r="CE75" s="359"/>
      <c r="CF75" s="359"/>
      <c r="CG75" s="359"/>
      <c r="CH75" s="359"/>
      <c r="CI75" s="359"/>
      <c r="CJ75" s="359"/>
      <c r="CK75" s="359"/>
      <c r="CL75" s="359"/>
      <c r="CM75" s="359"/>
      <c r="CN75" s="359"/>
      <c r="CO75" s="359"/>
      <c r="CP75" s="359"/>
      <c r="CQ75" s="359"/>
      <c r="CR75" s="359"/>
      <c r="CS75" s="359"/>
      <c r="CT75" s="359"/>
      <c r="CU75" s="359"/>
      <c r="CV75" s="359"/>
      <c r="CW75" s="359"/>
      <c r="CX75" s="359"/>
      <c r="CY75" s="359"/>
      <c r="CZ75" s="359"/>
      <c r="DA75" s="359"/>
      <c r="DB75" s="359"/>
      <c r="DC75" s="359"/>
      <c r="DD75" s="359"/>
      <c r="DE75" s="359"/>
      <c r="DF75" s="359"/>
      <c r="DG75" s="359"/>
      <c r="DH75" s="359"/>
      <c r="DI75" s="359"/>
      <c r="DJ75" s="359"/>
      <c r="DK75" s="359"/>
      <c r="DL75" s="359"/>
      <c r="DM75" s="359"/>
      <c r="DN75" s="359"/>
      <c r="DO75" s="359"/>
      <c r="DP75" s="359"/>
      <c r="DQ75" s="359"/>
      <c r="DR75" s="359"/>
      <c r="DS75" s="359"/>
      <c r="DT75" s="359"/>
      <c r="DU75" s="359"/>
      <c r="DV75" s="359"/>
      <c r="DW75" s="359"/>
      <c r="DX75" s="359"/>
      <c r="DY75" s="359"/>
      <c r="DZ75" s="359"/>
      <c r="EA75" s="359"/>
      <c r="EB75" s="359"/>
      <c r="EC75" s="359"/>
      <c r="ED75" s="359"/>
      <c r="EE75" s="359"/>
      <c r="EF75" s="359"/>
      <c r="EG75" s="359"/>
      <c r="EH75" s="359"/>
      <c r="EI75" s="359"/>
      <c r="EJ75" s="359"/>
      <c r="EK75" s="359"/>
      <c r="EL75" s="359"/>
      <c r="EM75" s="359"/>
      <c r="EN75" s="359"/>
      <c r="EO75" s="359"/>
      <c r="EP75" s="359"/>
      <c r="EQ75" s="359"/>
      <c r="ER75" s="359"/>
      <c r="ES75" s="359"/>
      <c r="ET75" s="359"/>
      <c r="EU75" s="359"/>
      <c r="EV75" s="359"/>
      <c r="EW75" s="359"/>
      <c r="EX75" s="359"/>
      <c r="EY75" s="359"/>
      <c r="EZ75" s="359"/>
      <c r="FA75" s="359"/>
      <c r="FB75" s="359"/>
      <c r="FC75" s="359"/>
      <c r="FD75" s="359"/>
      <c r="FE75" s="359"/>
      <c r="FF75" s="359"/>
      <c r="FG75" s="359"/>
      <c r="FH75" s="359"/>
      <c r="FI75" s="359"/>
      <c r="FJ75" s="359"/>
      <c r="FK75" s="359"/>
      <c r="FL75" s="359"/>
      <c r="FM75" s="359"/>
      <c r="FN75" s="359"/>
      <c r="FO75" s="359"/>
      <c r="FP75" s="359"/>
      <c r="FQ75" s="359"/>
      <c r="FR75" s="359"/>
      <c r="FS75" s="359"/>
      <c r="FT75" s="359"/>
      <c r="FU75" s="359"/>
      <c r="FV75" s="359"/>
      <c r="FW75" s="359"/>
      <c r="FX75" s="359"/>
      <c r="FY75" s="359"/>
      <c r="FZ75" s="359"/>
      <c r="GA75" s="359"/>
      <c r="GB75" s="359"/>
      <c r="GC75" s="359"/>
      <c r="GD75" s="359"/>
      <c r="GE75" s="359"/>
      <c r="GF75" s="359"/>
      <c r="GG75" s="359"/>
      <c r="GH75" s="359"/>
      <c r="GI75" s="359"/>
      <c r="GJ75" s="359"/>
      <c r="GK75" s="359"/>
      <c r="GL75" s="359"/>
      <c r="GM75" s="359"/>
      <c r="GN75" s="359"/>
      <c r="GO75" s="359"/>
      <c r="GP75" s="359"/>
      <c r="GQ75" s="359"/>
      <c r="GR75" s="359"/>
      <c r="GS75" s="359"/>
      <c r="GT75" s="359"/>
      <c r="GU75" s="359"/>
      <c r="GV75" s="359"/>
      <c r="GW75" s="359"/>
      <c r="GX75" s="359"/>
      <c r="GY75" s="359"/>
      <c r="GZ75" s="359"/>
      <c r="HA75" s="359"/>
      <c r="HB75" s="359"/>
      <c r="HC75" s="359"/>
      <c r="HD75" s="359"/>
      <c r="HE75" s="359"/>
      <c r="HF75" s="359"/>
      <c r="HG75" s="359"/>
      <c r="HH75" s="359"/>
      <c r="HI75" s="359"/>
      <c r="HJ75" s="359"/>
      <c r="HK75" s="359"/>
      <c r="HL75" s="359"/>
      <c r="HM75" s="359"/>
      <c r="HN75" s="359"/>
      <c r="HO75" s="359"/>
      <c r="HP75" s="359"/>
      <c r="HQ75" s="359"/>
      <c r="HR75" s="359"/>
      <c r="HS75" s="359"/>
      <c r="HT75" s="359"/>
      <c r="HU75" s="359"/>
      <c r="HV75" s="359"/>
      <c r="HW75" s="359"/>
      <c r="HX75" s="359"/>
      <c r="HY75" s="359"/>
      <c r="HZ75" s="359"/>
      <c r="IA75" s="359"/>
      <c r="IB75" s="359"/>
      <c r="IC75" s="359"/>
      <c r="ID75" s="359"/>
      <c r="IE75" s="359"/>
      <c r="IF75" s="359"/>
      <c r="IG75" s="359"/>
      <c r="IH75" s="359"/>
      <c r="II75" s="359"/>
      <c r="IJ75" s="359"/>
      <c r="IK75" s="359"/>
      <c r="IL75" s="359"/>
      <c r="IM75" s="359"/>
      <c r="IN75" s="359"/>
      <c r="IO75" s="359"/>
      <c r="IP75" s="359"/>
      <c r="IQ75" s="359"/>
      <c r="IR75" s="359"/>
      <c r="IS75" s="359"/>
      <c r="IT75" s="359"/>
      <c r="IU75" s="359"/>
      <c r="IV75" s="359"/>
    </row>
    <row r="76" spans="1:256">
      <c r="A76" s="353"/>
      <c r="B76" s="354" t="s">
        <v>510</v>
      </c>
      <c r="C76" s="355">
        <v>1</v>
      </c>
      <c r="D76" s="355"/>
      <c r="E76" s="355">
        <v>16</v>
      </c>
      <c r="F76" s="356">
        <v>4.95</v>
      </c>
      <c r="G76" s="356">
        <v>0.23</v>
      </c>
      <c r="H76" s="356"/>
      <c r="I76" s="336">
        <f t="shared" si="4"/>
        <v>18.216000000000001</v>
      </c>
      <c r="J76" s="358"/>
      <c r="K76" s="359"/>
      <c r="L76" s="359"/>
      <c r="M76" s="359"/>
      <c r="N76" s="359"/>
      <c r="O76" s="359"/>
      <c r="P76" s="359"/>
      <c r="Q76" s="359"/>
      <c r="R76" s="359"/>
      <c r="S76" s="359"/>
      <c r="T76" s="359"/>
      <c r="U76" s="359"/>
      <c r="V76" s="359"/>
      <c r="W76" s="359"/>
      <c r="X76" s="359"/>
      <c r="Y76" s="359"/>
      <c r="Z76" s="359"/>
      <c r="AA76" s="359"/>
      <c r="AB76" s="359"/>
      <c r="AC76" s="359"/>
      <c r="AD76" s="359"/>
      <c r="AE76" s="359"/>
      <c r="AF76" s="359"/>
      <c r="AG76" s="359"/>
      <c r="AH76" s="359"/>
      <c r="AI76" s="359"/>
      <c r="AJ76" s="359"/>
      <c r="AK76" s="359"/>
      <c r="AL76" s="359"/>
      <c r="AM76" s="359"/>
      <c r="AN76" s="359"/>
      <c r="AO76" s="359"/>
      <c r="AP76" s="359"/>
      <c r="AQ76" s="359"/>
      <c r="AR76" s="359"/>
      <c r="AS76" s="359"/>
      <c r="AT76" s="359"/>
      <c r="AU76" s="359"/>
      <c r="AV76" s="359"/>
      <c r="AW76" s="359"/>
      <c r="AX76" s="359"/>
      <c r="AY76" s="359"/>
      <c r="AZ76" s="359"/>
      <c r="BA76" s="359"/>
      <c r="BB76" s="359"/>
      <c r="BC76" s="359"/>
      <c r="BD76" s="359"/>
      <c r="BE76" s="359"/>
      <c r="BF76" s="359"/>
      <c r="BG76" s="359"/>
      <c r="BH76" s="359"/>
      <c r="BI76" s="359"/>
      <c r="BJ76" s="359"/>
      <c r="BK76" s="359"/>
      <c r="BL76" s="359"/>
      <c r="BM76" s="359"/>
      <c r="BN76" s="359"/>
      <c r="BO76" s="359"/>
      <c r="BP76" s="359"/>
      <c r="BQ76" s="359"/>
      <c r="BR76" s="359"/>
      <c r="BS76" s="359"/>
      <c r="BT76" s="359"/>
      <c r="BU76" s="359"/>
      <c r="BV76" s="359"/>
      <c r="BW76" s="359"/>
      <c r="BX76" s="359"/>
      <c r="BY76" s="359"/>
      <c r="BZ76" s="359"/>
      <c r="CA76" s="359"/>
      <c r="CB76" s="359"/>
      <c r="CC76" s="359"/>
      <c r="CD76" s="359"/>
      <c r="CE76" s="359"/>
      <c r="CF76" s="359"/>
      <c r="CG76" s="359"/>
      <c r="CH76" s="359"/>
      <c r="CI76" s="359"/>
      <c r="CJ76" s="359"/>
      <c r="CK76" s="359"/>
      <c r="CL76" s="359"/>
      <c r="CM76" s="359"/>
      <c r="CN76" s="359"/>
      <c r="CO76" s="359"/>
      <c r="CP76" s="359"/>
      <c r="CQ76" s="359"/>
      <c r="CR76" s="359"/>
      <c r="CS76" s="359"/>
      <c r="CT76" s="359"/>
      <c r="CU76" s="359"/>
      <c r="CV76" s="359"/>
      <c r="CW76" s="359"/>
      <c r="CX76" s="359"/>
      <c r="CY76" s="359"/>
      <c r="CZ76" s="359"/>
      <c r="DA76" s="359"/>
      <c r="DB76" s="359"/>
      <c r="DC76" s="359"/>
      <c r="DD76" s="359"/>
      <c r="DE76" s="359"/>
      <c r="DF76" s="359"/>
      <c r="DG76" s="359"/>
      <c r="DH76" s="359"/>
      <c r="DI76" s="359"/>
      <c r="DJ76" s="359"/>
      <c r="DK76" s="359"/>
      <c r="DL76" s="359"/>
      <c r="DM76" s="359"/>
      <c r="DN76" s="359"/>
      <c r="DO76" s="359"/>
      <c r="DP76" s="359"/>
      <c r="DQ76" s="359"/>
      <c r="DR76" s="359"/>
      <c r="DS76" s="359"/>
      <c r="DT76" s="359"/>
      <c r="DU76" s="359"/>
      <c r="DV76" s="359"/>
      <c r="DW76" s="359"/>
      <c r="DX76" s="359"/>
      <c r="DY76" s="359"/>
      <c r="DZ76" s="359"/>
      <c r="EA76" s="359"/>
      <c r="EB76" s="359"/>
      <c r="EC76" s="359"/>
      <c r="ED76" s="359"/>
      <c r="EE76" s="359"/>
      <c r="EF76" s="359"/>
      <c r="EG76" s="359"/>
      <c r="EH76" s="359"/>
      <c r="EI76" s="359"/>
      <c r="EJ76" s="359"/>
      <c r="EK76" s="359"/>
      <c r="EL76" s="359"/>
      <c r="EM76" s="359"/>
      <c r="EN76" s="359"/>
      <c r="EO76" s="359"/>
      <c r="EP76" s="359"/>
      <c r="EQ76" s="359"/>
      <c r="ER76" s="359"/>
      <c r="ES76" s="359"/>
      <c r="ET76" s="359"/>
      <c r="EU76" s="359"/>
      <c r="EV76" s="359"/>
      <c r="EW76" s="359"/>
      <c r="EX76" s="359"/>
      <c r="EY76" s="359"/>
      <c r="EZ76" s="359"/>
      <c r="FA76" s="359"/>
      <c r="FB76" s="359"/>
      <c r="FC76" s="359"/>
      <c r="FD76" s="359"/>
      <c r="FE76" s="359"/>
      <c r="FF76" s="359"/>
      <c r="FG76" s="359"/>
      <c r="FH76" s="359"/>
      <c r="FI76" s="359"/>
      <c r="FJ76" s="359"/>
      <c r="FK76" s="359"/>
      <c r="FL76" s="359"/>
      <c r="FM76" s="359"/>
      <c r="FN76" s="359"/>
      <c r="FO76" s="359"/>
      <c r="FP76" s="359"/>
      <c r="FQ76" s="359"/>
      <c r="FR76" s="359"/>
      <c r="FS76" s="359"/>
      <c r="FT76" s="359"/>
      <c r="FU76" s="359"/>
      <c r="FV76" s="359"/>
      <c r="FW76" s="359"/>
      <c r="FX76" s="359"/>
      <c r="FY76" s="359"/>
      <c r="FZ76" s="359"/>
      <c r="GA76" s="359"/>
      <c r="GB76" s="359"/>
      <c r="GC76" s="359"/>
      <c r="GD76" s="359"/>
      <c r="GE76" s="359"/>
      <c r="GF76" s="359"/>
      <c r="GG76" s="359"/>
      <c r="GH76" s="359"/>
      <c r="GI76" s="359"/>
      <c r="GJ76" s="359"/>
      <c r="GK76" s="359"/>
      <c r="GL76" s="359"/>
      <c r="GM76" s="359"/>
      <c r="GN76" s="359"/>
      <c r="GO76" s="359"/>
      <c r="GP76" s="359"/>
      <c r="GQ76" s="359"/>
      <c r="GR76" s="359"/>
      <c r="GS76" s="359"/>
      <c r="GT76" s="359"/>
      <c r="GU76" s="359"/>
      <c r="GV76" s="359"/>
      <c r="GW76" s="359"/>
      <c r="GX76" s="359"/>
      <c r="GY76" s="359"/>
      <c r="GZ76" s="359"/>
      <c r="HA76" s="359"/>
      <c r="HB76" s="359"/>
      <c r="HC76" s="359"/>
      <c r="HD76" s="359"/>
      <c r="HE76" s="359"/>
      <c r="HF76" s="359"/>
      <c r="HG76" s="359"/>
      <c r="HH76" s="359"/>
      <c r="HI76" s="359"/>
      <c r="HJ76" s="359"/>
      <c r="HK76" s="359"/>
      <c r="HL76" s="359"/>
      <c r="HM76" s="359"/>
      <c r="HN76" s="359"/>
      <c r="HO76" s="359"/>
      <c r="HP76" s="359"/>
      <c r="HQ76" s="359"/>
      <c r="HR76" s="359"/>
      <c r="HS76" s="359"/>
      <c r="HT76" s="359"/>
      <c r="HU76" s="359"/>
      <c r="HV76" s="359"/>
      <c r="HW76" s="359"/>
      <c r="HX76" s="359"/>
      <c r="HY76" s="359"/>
      <c r="HZ76" s="359"/>
      <c r="IA76" s="359"/>
      <c r="IB76" s="359"/>
      <c r="IC76" s="359"/>
      <c r="ID76" s="359"/>
      <c r="IE76" s="359"/>
      <c r="IF76" s="359"/>
      <c r="IG76" s="359"/>
      <c r="IH76" s="359"/>
      <c r="II76" s="359"/>
      <c r="IJ76" s="359"/>
      <c r="IK76" s="359"/>
      <c r="IL76" s="359"/>
      <c r="IM76" s="359"/>
      <c r="IN76" s="359"/>
      <c r="IO76" s="359"/>
      <c r="IP76" s="359"/>
      <c r="IQ76" s="359"/>
      <c r="IR76" s="359"/>
      <c r="IS76" s="359"/>
      <c r="IT76" s="359"/>
      <c r="IU76" s="359"/>
      <c r="IV76" s="359"/>
    </row>
    <row r="77" spans="1:256">
      <c r="A77" s="353"/>
      <c r="B77" s="354" t="s">
        <v>511</v>
      </c>
      <c r="C77" s="355">
        <v>1</v>
      </c>
      <c r="D77" s="355"/>
      <c r="E77" s="355">
        <v>16</v>
      </c>
      <c r="F77" s="356">
        <v>3</v>
      </c>
      <c r="G77" s="356">
        <v>0.23</v>
      </c>
      <c r="H77" s="356"/>
      <c r="I77" s="336">
        <f t="shared" si="4"/>
        <v>11.040000000000001</v>
      </c>
      <c r="J77" s="358"/>
      <c r="K77" s="359"/>
      <c r="L77" s="359"/>
      <c r="M77" s="359"/>
      <c r="N77" s="359"/>
      <c r="O77" s="359"/>
      <c r="P77" s="359"/>
      <c r="Q77" s="359"/>
      <c r="R77" s="359"/>
      <c r="S77" s="359"/>
      <c r="T77" s="359"/>
      <c r="U77" s="359"/>
      <c r="V77" s="359"/>
      <c r="W77" s="359"/>
      <c r="X77" s="359"/>
      <c r="Y77" s="359"/>
      <c r="Z77" s="359"/>
      <c r="AA77" s="359"/>
      <c r="AB77" s="359"/>
      <c r="AC77" s="359"/>
      <c r="AD77" s="359"/>
      <c r="AE77" s="359"/>
      <c r="AF77" s="359"/>
      <c r="AG77" s="359"/>
      <c r="AH77" s="359"/>
      <c r="AI77" s="359"/>
      <c r="AJ77" s="359"/>
      <c r="AK77" s="359"/>
      <c r="AL77" s="359"/>
      <c r="AM77" s="359"/>
      <c r="AN77" s="359"/>
      <c r="AO77" s="359"/>
      <c r="AP77" s="359"/>
      <c r="AQ77" s="359"/>
      <c r="AR77" s="359"/>
      <c r="AS77" s="359"/>
      <c r="AT77" s="359"/>
      <c r="AU77" s="359"/>
      <c r="AV77" s="359"/>
      <c r="AW77" s="359"/>
      <c r="AX77" s="359"/>
      <c r="AY77" s="359"/>
      <c r="AZ77" s="359"/>
      <c r="BA77" s="359"/>
      <c r="BB77" s="359"/>
      <c r="BC77" s="359"/>
      <c r="BD77" s="359"/>
      <c r="BE77" s="359"/>
      <c r="BF77" s="359"/>
      <c r="BG77" s="359"/>
      <c r="BH77" s="359"/>
      <c r="BI77" s="359"/>
      <c r="BJ77" s="359"/>
      <c r="BK77" s="359"/>
      <c r="BL77" s="359"/>
      <c r="BM77" s="359"/>
      <c r="BN77" s="359"/>
      <c r="BO77" s="359"/>
      <c r="BP77" s="359"/>
      <c r="BQ77" s="359"/>
      <c r="BR77" s="359"/>
      <c r="BS77" s="359"/>
      <c r="BT77" s="359"/>
      <c r="BU77" s="359"/>
      <c r="BV77" s="359"/>
      <c r="BW77" s="359"/>
      <c r="BX77" s="359"/>
      <c r="BY77" s="359"/>
      <c r="BZ77" s="359"/>
      <c r="CA77" s="359"/>
      <c r="CB77" s="359"/>
      <c r="CC77" s="359"/>
      <c r="CD77" s="359"/>
      <c r="CE77" s="359"/>
      <c r="CF77" s="359"/>
      <c r="CG77" s="359"/>
      <c r="CH77" s="359"/>
      <c r="CI77" s="359"/>
      <c r="CJ77" s="359"/>
      <c r="CK77" s="359"/>
      <c r="CL77" s="359"/>
      <c r="CM77" s="359"/>
      <c r="CN77" s="359"/>
      <c r="CO77" s="359"/>
      <c r="CP77" s="359"/>
      <c r="CQ77" s="359"/>
      <c r="CR77" s="359"/>
      <c r="CS77" s="359"/>
      <c r="CT77" s="359"/>
      <c r="CU77" s="359"/>
      <c r="CV77" s="359"/>
      <c r="CW77" s="359"/>
      <c r="CX77" s="359"/>
      <c r="CY77" s="359"/>
      <c r="CZ77" s="359"/>
      <c r="DA77" s="359"/>
      <c r="DB77" s="359"/>
      <c r="DC77" s="359"/>
      <c r="DD77" s="359"/>
      <c r="DE77" s="359"/>
      <c r="DF77" s="359"/>
      <c r="DG77" s="359"/>
      <c r="DH77" s="359"/>
      <c r="DI77" s="359"/>
      <c r="DJ77" s="359"/>
      <c r="DK77" s="359"/>
      <c r="DL77" s="359"/>
      <c r="DM77" s="359"/>
      <c r="DN77" s="359"/>
      <c r="DO77" s="359"/>
      <c r="DP77" s="359"/>
      <c r="DQ77" s="359"/>
      <c r="DR77" s="359"/>
      <c r="DS77" s="359"/>
      <c r="DT77" s="359"/>
      <c r="DU77" s="359"/>
      <c r="DV77" s="359"/>
      <c r="DW77" s="359"/>
      <c r="DX77" s="359"/>
      <c r="DY77" s="359"/>
      <c r="DZ77" s="359"/>
      <c r="EA77" s="359"/>
      <c r="EB77" s="359"/>
      <c r="EC77" s="359"/>
      <c r="ED77" s="359"/>
      <c r="EE77" s="359"/>
      <c r="EF77" s="359"/>
      <c r="EG77" s="359"/>
      <c r="EH77" s="359"/>
      <c r="EI77" s="359"/>
      <c r="EJ77" s="359"/>
      <c r="EK77" s="359"/>
      <c r="EL77" s="359"/>
      <c r="EM77" s="359"/>
      <c r="EN77" s="359"/>
      <c r="EO77" s="359"/>
      <c r="EP77" s="359"/>
      <c r="EQ77" s="359"/>
      <c r="ER77" s="359"/>
      <c r="ES77" s="359"/>
      <c r="ET77" s="359"/>
      <c r="EU77" s="359"/>
      <c r="EV77" s="359"/>
      <c r="EW77" s="359"/>
      <c r="EX77" s="359"/>
      <c r="EY77" s="359"/>
      <c r="EZ77" s="359"/>
      <c r="FA77" s="359"/>
      <c r="FB77" s="359"/>
      <c r="FC77" s="359"/>
      <c r="FD77" s="359"/>
      <c r="FE77" s="359"/>
      <c r="FF77" s="359"/>
      <c r="FG77" s="359"/>
      <c r="FH77" s="359"/>
      <c r="FI77" s="359"/>
      <c r="FJ77" s="359"/>
      <c r="FK77" s="359"/>
      <c r="FL77" s="359"/>
      <c r="FM77" s="359"/>
      <c r="FN77" s="359"/>
      <c r="FO77" s="359"/>
      <c r="FP77" s="359"/>
      <c r="FQ77" s="359"/>
      <c r="FR77" s="359"/>
      <c r="FS77" s="359"/>
      <c r="FT77" s="359"/>
      <c r="FU77" s="359"/>
      <c r="FV77" s="359"/>
      <c r="FW77" s="359"/>
      <c r="FX77" s="359"/>
      <c r="FY77" s="359"/>
      <c r="FZ77" s="359"/>
      <c r="GA77" s="359"/>
      <c r="GB77" s="359"/>
      <c r="GC77" s="359"/>
      <c r="GD77" s="359"/>
      <c r="GE77" s="359"/>
      <c r="GF77" s="359"/>
      <c r="GG77" s="359"/>
      <c r="GH77" s="359"/>
      <c r="GI77" s="359"/>
      <c r="GJ77" s="359"/>
      <c r="GK77" s="359"/>
      <c r="GL77" s="359"/>
      <c r="GM77" s="359"/>
      <c r="GN77" s="359"/>
      <c r="GO77" s="359"/>
      <c r="GP77" s="359"/>
      <c r="GQ77" s="359"/>
      <c r="GR77" s="359"/>
      <c r="GS77" s="359"/>
      <c r="GT77" s="359"/>
      <c r="GU77" s="359"/>
      <c r="GV77" s="359"/>
      <c r="GW77" s="359"/>
      <c r="GX77" s="359"/>
      <c r="GY77" s="359"/>
      <c r="GZ77" s="359"/>
      <c r="HA77" s="359"/>
      <c r="HB77" s="359"/>
      <c r="HC77" s="359"/>
      <c r="HD77" s="359"/>
      <c r="HE77" s="359"/>
      <c r="HF77" s="359"/>
      <c r="HG77" s="359"/>
      <c r="HH77" s="359"/>
      <c r="HI77" s="359"/>
      <c r="HJ77" s="359"/>
      <c r="HK77" s="359"/>
      <c r="HL77" s="359"/>
      <c r="HM77" s="359"/>
      <c r="HN77" s="359"/>
      <c r="HO77" s="359"/>
      <c r="HP77" s="359"/>
      <c r="HQ77" s="359"/>
      <c r="HR77" s="359"/>
      <c r="HS77" s="359"/>
      <c r="HT77" s="359"/>
      <c r="HU77" s="359"/>
      <c r="HV77" s="359"/>
      <c r="HW77" s="359"/>
      <c r="HX77" s="359"/>
      <c r="HY77" s="359"/>
      <c r="HZ77" s="359"/>
      <c r="IA77" s="359"/>
      <c r="IB77" s="359"/>
      <c r="IC77" s="359"/>
      <c r="ID77" s="359"/>
      <c r="IE77" s="359"/>
      <c r="IF77" s="359"/>
      <c r="IG77" s="359"/>
      <c r="IH77" s="359"/>
      <c r="II77" s="359"/>
      <c r="IJ77" s="359"/>
      <c r="IK77" s="359"/>
      <c r="IL77" s="359"/>
      <c r="IM77" s="359"/>
      <c r="IN77" s="359"/>
      <c r="IO77" s="359"/>
      <c r="IP77" s="359"/>
      <c r="IQ77" s="359"/>
      <c r="IR77" s="359"/>
      <c r="IS77" s="359"/>
      <c r="IT77" s="359"/>
      <c r="IU77" s="359"/>
      <c r="IV77" s="359"/>
    </row>
    <row r="78" spans="1:256">
      <c r="A78" s="353"/>
      <c r="B78" s="354" t="s">
        <v>512</v>
      </c>
      <c r="C78" s="355">
        <v>1</v>
      </c>
      <c r="D78" s="355"/>
      <c r="E78" s="355">
        <v>13</v>
      </c>
      <c r="F78" s="356">
        <v>2.7</v>
      </c>
      <c r="G78" s="356">
        <v>0.23</v>
      </c>
      <c r="H78" s="356"/>
      <c r="I78" s="336">
        <f t="shared" si="4"/>
        <v>8.0730000000000004</v>
      </c>
      <c r="J78" s="358"/>
      <c r="K78" s="359"/>
      <c r="L78" s="359"/>
      <c r="M78" s="359"/>
      <c r="N78" s="359"/>
      <c r="O78" s="359"/>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c r="IP78" s="359"/>
      <c r="IQ78" s="359"/>
      <c r="IR78" s="359"/>
      <c r="IS78" s="359"/>
      <c r="IT78" s="359"/>
      <c r="IU78" s="359"/>
      <c r="IV78" s="359"/>
    </row>
    <row r="79" spans="1:256">
      <c r="A79" s="353"/>
      <c r="B79" s="354" t="s">
        <v>513</v>
      </c>
      <c r="C79" s="355">
        <v>2</v>
      </c>
      <c r="D79" s="355"/>
      <c r="E79" s="355">
        <v>36</v>
      </c>
      <c r="F79" s="356"/>
      <c r="G79" s="356">
        <v>0.6</v>
      </c>
      <c r="H79" s="356">
        <v>2.1</v>
      </c>
      <c r="I79" s="336">
        <f t="shared" si="4"/>
        <v>90.72</v>
      </c>
      <c r="J79" s="358"/>
      <c r="K79" s="359"/>
      <c r="L79" s="359"/>
      <c r="M79" s="359"/>
      <c r="N79" s="359"/>
      <c r="O79" s="359"/>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c r="IP79" s="359"/>
      <c r="IQ79" s="359"/>
      <c r="IR79" s="359"/>
      <c r="IS79" s="359"/>
      <c r="IT79" s="359"/>
      <c r="IU79" s="359"/>
      <c r="IV79" s="359"/>
    </row>
    <row r="80" spans="1:256">
      <c r="A80" s="353"/>
      <c r="B80" s="354" t="s">
        <v>514</v>
      </c>
      <c r="C80" s="355">
        <v>5</v>
      </c>
      <c r="D80" s="355">
        <v>2</v>
      </c>
      <c r="E80" s="355">
        <v>36</v>
      </c>
      <c r="F80" s="356">
        <v>0.6</v>
      </c>
      <c r="G80" s="356">
        <v>0.75</v>
      </c>
      <c r="H80" s="356"/>
      <c r="I80" s="336">
        <f t="shared" si="4"/>
        <v>162</v>
      </c>
      <c r="J80" s="358"/>
      <c r="K80" s="359"/>
      <c r="L80" s="359"/>
      <c r="M80" s="359"/>
      <c r="N80" s="359"/>
      <c r="O80" s="359"/>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c r="IP80" s="359"/>
      <c r="IQ80" s="359"/>
      <c r="IR80" s="359"/>
      <c r="IS80" s="359"/>
      <c r="IT80" s="359"/>
      <c r="IU80" s="359"/>
      <c r="IV80" s="359"/>
    </row>
    <row r="81" spans="1:256">
      <c r="A81" s="353"/>
      <c r="B81" s="354" t="s">
        <v>515</v>
      </c>
      <c r="C81" s="355"/>
      <c r="D81" s="355"/>
      <c r="E81" s="355"/>
      <c r="F81" s="356"/>
      <c r="G81" s="356"/>
      <c r="H81" s="356"/>
      <c r="I81" s="336">
        <f t="shared" si="4"/>
        <v>0</v>
      </c>
      <c r="J81" s="358"/>
      <c r="K81" s="359"/>
      <c r="L81" s="359"/>
      <c r="M81" s="359"/>
      <c r="N81" s="359"/>
      <c r="O81" s="359"/>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c r="IP81" s="359"/>
      <c r="IQ81" s="359"/>
      <c r="IR81" s="359"/>
      <c r="IS81" s="359"/>
      <c r="IT81" s="359"/>
      <c r="IU81" s="359"/>
      <c r="IV81" s="359"/>
    </row>
    <row r="82" spans="1:256">
      <c r="A82" s="353"/>
      <c r="B82" s="354" t="s">
        <v>506</v>
      </c>
      <c r="C82" s="355">
        <v>-1</v>
      </c>
      <c r="D82" s="355"/>
      <c r="E82" s="355">
        <v>2</v>
      </c>
      <c r="F82" s="356">
        <v>1.8</v>
      </c>
      <c r="G82" s="356"/>
      <c r="H82" s="356">
        <v>2.1</v>
      </c>
      <c r="I82" s="336">
        <f t="shared" si="4"/>
        <v>-7.5600000000000005</v>
      </c>
      <c r="J82" s="358"/>
      <c r="K82" s="359"/>
      <c r="L82" s="359"/>
      <c r="M82" s="359"/>
      <c r="N82" s="359"/>
      <c r="O82" s="359"/>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c r="IP82" s="359"/>
      <c r="IQ82" s="359"/>
      <c r="IR82" s="359"/>
      <c r="IS82" s="359"/>
      <c r="IT82" s="359"/>
      <c r="IU82" s="359"/>
      <c r="IV82" s="359"/>
    </row>
    <row r="83" spans="1:256">
      <c r="A83" s="353"/>
      <c r="B83" s="354" t="s">
        <v>7</v>
      </c>
      <c r="C83" s="355">
        <v>-1</v>
      </c>
      <c r="D83" s="355"/>
      <c r="E83" s="355">
        <v>6</v>
      </c>
      <c r="F83" s="356">
        <v>1.2</v>
      </c>
      <c r="G83" s="356"/>
      <c r="H83" s="356">
        <v>2.1</v>
      </c>
      <c r="I83" s="336">
        <f t="shared" si="4"/>
        <v>-15.12</v>
      </c>
      <c r="K83" s="359"/>
      <c r="L83" s="359"/>
      <c r="M83" s="359"/>
      <c r="N83" s="359"/>
      <c r="O83" s="359"/>
      <c r="P83" s="359"/>
      <c r="Q83" s="359"/>
      <c r="R83" s="359"/>
      <c r="S83" s="359"/>
      <c r="T83" s="359"/>
      <c r="U83" s="359"/>
      <c r="V83" s="359"/>
      <c r="W83" s="359"/>
      <c r="X83" s="359"/>
      <c r="Y83" s="359"/>
      <c r="Z83" s="359"/>
      <c r="AA83" s="359"/>
      <c r="AB83" s="359"/>
      <c r="AC83" s="359"/>
      <c r="AD83" s="359"/>
      <c r="AE83" s="359"/>
      <c r="AF83" s="359"/>
      <c r="AG83" s="359"/>
      <c r="AH83" s="359"/>
      <c r="AI83" s="359"/>
      <c r="AJ83" s="359"/>
      <c r="AK83" s="359"/>
      <c r="AL83" s="359"/>
      <c r="AM83" s="359"/>
      <c r="AN83" s="359"/>
      <c r="AO83" s="359"/>
      <c r="AP83" s="359"/>
      <c r="AQ83" s="359"/>
      <c r="AR83" s="359"/>
      <c r="AS83" s="359"/>
      <c r="AT83" s="359"/>
      <c r="AU83" s="359"/>
      <c r="AV83" s="359"/>
      <c r="AW83" s="359"/>
      <c r="AX83" s="359"/>
      <c r="AY83" s="359"/>
      <c r="AZ83" s="359"/>
      <c r="BA83" s="359"/>
      <c r="BB83" s="359"/>
      <c r="BC83" s="359"/>
      <c r="BD83" s="359"/>
      <c r="BE83" s="359"/>
      <c r="BF83" s="359"/>
      <c r="BG83" s="359"/>
      <c r="BH83" s="359"/>
      <c r="BI83" s="359"/>
      <c r="BJ83" s="359"/>
      <c r="BK83" s="359"/>
      <c r="BL83" s="359"/>
      <c r="BM83" s="359"/>
      <c r="BN83" s="359"/>
      <c r="BO83" s="359"/>
      <c r="BP83" s="359"/>
      <c r="BQ83" s="359"/>
      <c r="BR83" s="359"/>
      <c r="BS83" s="359"/>
      <c r="BT83" s="359"/>
      <c r="BU83" s="359"/>
      <c r="BV83" s="359"/>
      <c r="BW83" s="359"/>
      <c r="BX83" s="359"/>
      <c r="BY83" s="359"/>
      <c r="BZ83" s="359"/>
      <c r="CA83" s="359"/>
      <c r="CB83" s="359"/>
      <c r="CC83" s="359"/>
      <c r="CD83" s="359"/>
      <c r="CE83" s="359"/>
      <c r="CF83" s="359"/>
      <c r="CG83" s="359"/>
      <c r="CH83" s="359"/>
      <c r="CI83" s="359"/>
      <c r="CJ83" s="359"/>
      <c r="CK83" s="359"/>
      <c r="CL83" s="359"/>
      <c r="CM83" s="359"/>
      <c r="CN83" s="359"/>
      <c r="CO83" s="359"/>
      <c r="CP83" s="359"/>
      <c r="CQ83" s="359"/>
      <c r="CR83" s="359"/>
      <c r="CS83" s="359"/>
      <c r="CT83" s="359"/>
      <c r="CU83" s="359"/>
      <c r="CV83" s="359"/>
      <c r="CW83" s="359"/>
      <c r="CX83" s="359"/>
      <c r="CY83" s="359"/>
      <c r="CZ83" s="359"/>
      <c r="DA83" s="359"/>
      <c r="DB83" s="359"/>
      <c r="DC83" s="359"/>
      <c r="DD83" s="359"/>
      <c r="DE83" s="359"/>
      <c r="DF83" s="359"/>
      <c r="DG83" s="359"/>
      <c r="DH83" s="359"/>
      <c r="DI83" s="359"/>
      <c r="DJ83" s="359"/>
      <c r="DK83" s="359"/>
      <c r="DL83" s="359"/>
      <c r="DM83" s="359"/>
      <c r="DN83" s="359"/>
      <c r="DO83" s="359"/>
      <c r="DP83" s="359"/>
      <c r="DQ83" s="359"/>
      <c r="DR83" s="359"/>
      <c r="DS83" s="359"/>
      <c r="DT83" s="359"/>
      <c r="DU83" s="359"/>
      <c r="DV83" s="359"/>
      <c r="DW83" s="359"/>
      <c r="DX83" s="359"/>
      <c r="DY83" s="359"/>
      <c r="DZ83" s="359"/>
      <c r="EA83" s="359"/>
      <c r="EB83" s="359"/>
      <c r="EC83" s="359"/>
      <c r="ED83" s="359"/>
      <c r="EE83" s="359"/>
      <c r="EF83" s="359"/>
      <c r="EG83" s="359"/>
      <c r="EH83" s="359"/>
      <c r="EI83" s="359"/>
      <c r="EJ83" s="359"/>
      <c r="EK83" s="359"/>
      <c r="EL83" s="359"/>
      <c r="EM83" s="359"/>
      <c r="EN83" s="359"/>
      <c r="EO83" s="359"/>
      <c r="EP83" s="359"/>
      <c r="EQ83" s="359"/>
      <c r="ER83" s="359"/>
      <c r="ES83" s="359"/>
      <c r="ET83" s="359"/>
      <c r="EU83" s="359"/>
      <c r="EV83" s="359"/>
      <c r="EW83" s="359"/>
      <c r="EX83" s="359"/>
      <c r="EY83" s="359"/>
      <c r="EZ83" s="359"/>
      <c r="FA83" s="359"/>
      <c r="FB83" s="359"/>
      <c r="FC83" s="359"/>
      <c r="FD83" s="359"/>
      <c r="FE83" s="359"/>
      <c r="FF83" s="359"/>
      <c r="FG83" s="359"/>
      <c r="FH83" s="359"/>
      <c r="FI83" s="359"/>
      <c r="FJ83" s="359"/>
      <c r="FK83" s="359"/>
      <c r="FL83" s="359"/>
      <c r="FM83" s="359"/>
      <c r="FN83" s="359"/>
      <c r="FO83" s="359"/>
      <c r="FP83" s="359"/>
      <c r="FQ83" s="359"/>
      <c r="FR83" s="359"/>
      <c r="FS83" s="359"/>
      <c r="FT83" s="359"/>
      <c r="FU83" s="359"/>
      <c r="FV83" s="359"/>
      <c r="FW83" s="359"/>
      <c r="FX83" s="359"/>
      <c r="FY83" s="359"/>
      <c r="FZ83" s="359"/>
      <c r="GA83" s="359"/>
      <c r="GB83" s="359"/>
      <c r="GC83" s="359"/>
      <c r="GD83" s="359"/>
      <c r="GE83" s="359"/>
      <c r="GF83" s="359"/>
      <c r="GG83" s="359"/>
      <c r="GH83" s="359"/>
      <c r="GI83" s="359"/>
      <c r="GJ83" s="359"/>
      <c r="GK83" s="359"/>
      <c r="GL83" s="359"/>
      <c r="GM83" s="359"/>
      <c r="GN83" s="359"/>
      <c r="GO83" s="359"/>
      <c r="GP83" s="359"/>
      <c r="GQ83" s="359"/>
      <c r="GR83" s="359"/>
      <c r="GS83" s="359"/>
      <c r="GT83" s="359"/>
      <c r="GU83" s="359"/>
      <c r="GV83" s="359"/>
      <c r="GW83" s="359"/>
      <c r="GX83" s="359"/>
      <c r="GY83" s="359"/>
      <c r="GZ83" s="359"/>
      <c r="HA83" s="359"/>
      <c r="HB83" s="359"/>
      <c r="HC83" s="359"/>
      <c r="HD83" s="359"/>
      <c r="HE83" s="359"/>
      <c r="HF83" s="359"/>
      <c r="HG83" s="359"/>
      <c r="HH83" s="359"/>
      <c r="HI83" s="359"/>
      <c r="HJ83" s="359"/>
      <c r="HK83" s="359"/>
      <c r="HL83" s="359"/>
      <c r="HM83" s="359"/>
      <c r="HN83" s="359"/>
      <c r="HO83" s="359"/>
      <c r="HP83" s="359"/>
      <c r="HQ83" s="359"/>
      <c r="HR83" s="359"/>
      <c r="HS83" s="359"/>
      <c r="HT83" s="359"/>
      <c r="HU83" s="359"/>
      <c r="HV83" s="359"/>
      <c r="HW83" s="359"/>
      <c r="HX83" s="359"/>
      <c r="HY83" s="359"/>
      <c r="HZ83" s="359"/>
      <c r="IA83" s="359"/>
      <c r="IB83" s="359"/>
      <c r="IC83" s="359"/>
      <c r="ID83" s="359"/>
      <c r="IE83" s="359"/>
      <c r="IF83" s="359"/>
      <c r="IG83" s="359"/>
      <c r="IH83" s="359"/>
      <c r="II83" s="359"/>
      <c r="IJ83" s="359"/>
      <c r="IK83" s="359"/>
      <c r="IL83" s="359"/>
      <c r="IM83" s="359"/>
      <c r="IN83" s="359"/>
      <c r="IO83" s="359"/>
      <c r="IP83" s="359"/>
      <c r="IQ83" s="359"/>
      <c r="IR83" s="359"/>
      <c r="IS83" s="359"/>
      <c r="IT83" s="359"/>
      <c r="IU83" s="359"/>
      <c r="IV83" s="359"/>
    </row>
    <row r="84" spans="1:256">
      <c r="A84" s="353"/>
      <c r="B84" s="354" t="s">
        <v>507</v>
      </c>
      <c r="C84" s="355">
        <v>-1</v>
      </c>
      <c r="D84" s="355"/>
      <c r="E84" s="355">
        <v>16</v>
      </c>
      <c r="F84" s="356">
        <v>0.9</v>
      </c>
      <c r="G84" s="356"/>
      <c r="H84" s="336">
        <v>1.35</v>
      </c>
      <c r="I84" s="336">
        <f t="shared" si="4"/>
        <v>-19.440000000000001</v>
      </c>
      <c r="K84" s="359"/>
      <c r="L84" s="359"/>
      <c r="M84" s="359"/>
      <c r="N84" s="359"/>
      <c r="O84" s="359"/>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c r="IP84" s="359"/>
      <c r="IQ84" s="359"/>
      <c r="IR84" s="359"/>
      <c r="IS84" s="359"/>
      <c r="IT84" s="359"/>
      <c r="IU84" s="359"/>
      <c r="IV84" s="359"/>
    </row>
    <row r="85" spans="1:256">
      <c r="A85" s="337"/>
      <c r="B85" s="354" t="s">
        <v>508</v>
      </c>
      <c r="C85" s="355">
        <v>-1</v>
      </c>
      <c r="D85" s="355"/>
      <c r="E85" s="355">
        <v>2</v>
      </c>
      <c r="F85" s="336">
        <v>1.1000000000000001</v>
      </c>
      <c r="G85" s="336"/>
      <c r="H85" s="336">
        <v>1.35</v>
      </c>
      <c r="I85" s="336">
        <f t="shared" si="4"/>
        <v>-2.9700000000000006</v>
      </c>
      <c r="Q85" s="328" t="s">
        <v>44</v>
      </c>
    </row>
    <row r="86" spans="1:256">
      <c r="A86" s="337"/>
      <c r="B86" s="354" t="s">
        <v>509</v>
      </c>
      <c r="C86" s="355">
        <v>-1</v>
      </c>
      <c r="D86" s="355"/>
      <c r="E86" s="355">
        <v>11</v>
      </c>
      <c r="F86" s="336">
        <v>1.8</v>
      </c>
      <c r="G86" s="336"/>
      <c r="H86" s="336">
        <v>1.35</v>
      </c>
      <c r="I86" s="336">
        <f t="shared" si="4"/>
        <v>-26.730000000000004</v>
      </c>
    </row>
    <row r="87" spans="1:256">
      <c r="A87" s="337"/>
      <c r="B87" s="354" t="s">
        <v>510</v>
      </c>
      <c r="C87" s="355">
        <v>-1</v>
      </c>
      <c r="D87" s="355"/>
      <c r="E87" s="355">
        <v>16</v>
      </c>
      <c r="F87" s="336">
        <v>0.75</v>
      </c>
      <c r="G87" s="336"/>
      <c r="H87" s="336">
        <v>2.1</v>
      </c>
      <c r="I87" s="336">
        <f t="shared" si="4"/>
        <v>-25.200000000000003</v>
      </c>
      <c r="K87" s="328">
        <f>1.1*4</f>
        <v>4.4000000000000004</v>
      </c>
    </row>
    <row r="88" spans="1:256">
      <c r="A88" s="337"/>
      <c r="B88" s="338" t="s">
        <v>512</v>
      </c>
      <c r="C88" s="355">
        <v>-1</v>
      </c>
      <c r="D88" s="355"/>
      <c r="E88" s="355">
        <v>13</v>
      </c>
      <c r="F88" s="336">
        <v>0.75</v>
      </c>
      <c r="G88" s="336"/>
      <c r="H88" s="336">
        <v>0.6</v>
      </c>
      <c r="I88" s="336">
        <f t="shared" si="4"/>
        <v>-5.85</v>
      </c>
    </row>
    <row r="89" spans="1:256">
      <c r="A89" s="337"/>
      <c r="B89" s="341" t="s">
        <v>478</v>
      </c>
      <c r="C89" s="339"/>
      <c r="D89" s="339"/>
      <c r="E89" s="339"/>
      <c r="F89" s="336"/>
      <c r="G89" s="336"/>
      <c r="H89" s="363"/>
      <c r="I89" s="336"/>
    </row>
    <row r="90" spans="1:256">
      <c r="A90" s="337"/>
      <c r="B90" s="338" t="s">
        <v>500</v>
      </c>
      <c r="C90" s="339">
        <v>1</v>
      </c>
      <c r="D90" s="339"/>
      <c r="E90" s="339">
        <v>1</v>
      </c>
      <c r="F90" s="336">
        <v>30.01</v>
      </c>
      <c r="G90" s="336"/>
      <c r="H90" s="336">
        <v>3.6</v>
      </c>
      <c r="I90" s="336">
        <f t="shared" ref="I90:I98" si="5">PRODUCT(C90:H90)</f>
        <v>108.036</v>
      </c>
    </row>
    <row r="91" spans="1:256">
      <c r="A91" s="337"/>
      <c r="B91" s="338" t="s">
        <v>479</v>
      </c>
      <c r="C91" s="339">
        <v>1</v>
      </c>
      <c r="D91" s="339"/>
      <c r="E91" s="339">
        <v>1</v>
      </c>
      <c r="F91" s="336">
        <v>24.72</v>
      </c>
      <c r="G91" s="336"/>
      <c r="H91" s="336">
        <v>3.5</v>
      </c>
      <c r="I91" s="336">
        <f t="shared" si="5"/>
        <v>86.52</v>
      </c>
      <c r="L91" s="336">
        <v>5.2</v>
      </c>
      <c r="M91" s="336">
        <v>7.16</v>
      </c>
    </row>
    <row r="92" spans="1:256">
      <c r="A92" s="337"/>
      <c r="B92" s="338" t="s">
        <v>480</v>
      </c>
      <c r="C92" s="339">
        <v>1</v>
      </c>
      <c r="D92" s="339"/>
      <c r="E92" s="339">
        <v>1</v>
      </c>
      <c r="F92" s="336">
        <v>16.5</v>
      </c>
      <c r="G92" s="336"/>
      <c r="H92" s="336">
        <v>3.5</v>
      </c>
      <c r="I92" s="336">
        <f t="shared" si="5"/>
        <v>57.75</v>
      </c>
      <c r="L92" s="336">
        <v>5.2</v>
      </c>
      <c r="M92" s="336">
        <v>3.05</v>
      </c>
    </row>
    <row r="93" spans="1:256">
      <c r="A93" s="337"/>
      <c r="B93" s="338" t="s">
        <v>481</v>
      </c>
      <c r="C93" s="339">
        <v>1</v>
      </c>
      <c r="D93" s="339"/>
      <c r="E93" s="339">
        <v>2</v>
      </c>
      <c r="F93" s="336">
        <v>14</v>
      </c>
      <c r="G93" s="336"/>
      <c r="H93" s="336">
        <v>3.5</v>
      </c>
      <c r="I93" s="336">
        <f t="shared" si="5"/>
        <v>98</v>
      </c>
      <c r="L93" s="336">
        <v>1.2</v>
      </c>
      <c r="M93" s="336">
        <v>5.2</v>
      </c>
    </row>
    <row r="94" spans="1:256">
      <c r="A94" s="337"/>
      <c r="B94" s="338" t="s">
        <v>475</v>
      </c>
      <c r="C94" s="339">
        <v>1</v>
      </c>
      <c r="D94" s="339"/>
      <c r="E94" s="339">
        <v>2</v>
      </c>
      <c r="F94" s="336">
        <v>41.17</v>
      </c>
      <c r="G94" s="336"/>
      <c r="H94" s="336">
        <v>3.5</v>
      </c>
      <c r="I94" s="336">
        <f t="shared" si="5"/>
        <v>288.19</v>
      </c>
    </row>
    <row r="95" spans="1:256">
      <c r="A95" s="337"/>
      <c r="B95" s="338" t="s">
        <v>502</v>
      </c>
      <c r="C95" s="339">
        <v>1</v>
      </c>
      <c r="D95" s="339"/>
      <c r="E95" s="339">
        <v>1</v>
      </c>
      <c r="F95" s="336">
        <v>17.12</v>
      </c>
      <c r="G95" s="336"/>
      <c r="H95" s="336">
        <v>3.5</v>
      </c>
      <c r="I95" s="336">
        <f t="shared" si="5"/>
        <v>59.92</v>
      </c>
    </row>
    <row r="96" spans="1:256">
      <c r="A96" s="337"/>
      <c r="B96" s="338" t="s">
        <v>503</v>
      </c>
      <c r="C96" s="339">
        <v>1</v>
      </c>
      <c r="D96" s="339"/>
      <c r="E96" s="339">
        <v>7</v>
      </c>
      <c r="F96" s="336">
        <v>6</v>
      </c>
      <c r="G96" s="336"/>
      <c r="H96" s="336">
        <v>3.5</v>
      </c>
      <c r="I96" s="336">
        <f t="shared" si="5"/>
        <v>147</v>
      </c>
    </row>
    <row r="97" spans="1:10">
      <c r="A97" s="337"/>
      <c r="B97" s="338" t="s">
        <v>481</v>
      </c>
      <c r="C97" s="339">
        <v>1</v>
      </c>
      <c r="D97" s="339"/>
      <c r="E97" s="339">
        <v>9</v>
      </c>
      <c r="F97" s="336">
        <v>5.4</v>
      </c>
      <c r="G97" s="336"/>
      <c r="H97" s="336">
        <v>3.5</v>
      </c>
      <c r="I97" s="336">
        <f t="shared" si="5"/>
        <v>170.1</v>
      </c>
    </row>
    <row r="98" spans="1:10">
      <c r="A98" s="337"/>
      <c r="B98" s="338" t="s">
        <v>504</v>
      </c>
      <c r="C98" s="339">
        <v>1</v>
      </c>
      <c r="D98" s="339"/>
      <c r="E98" s="339">
        <v>2</v>
      </c>
      <c r="F98" s="336">
        <v>5.49</v>
      </c>
      <c r="G98" s="336"/>
      <c r="H98" s="336">
        <v>3.5</v>
      </c>
      <c r="I98" s="336">
        <f t="shared" si="5"/>
        <v>38.43</v>
      </c>
    </row>
    <row r="99" spans="1:10">
      <c r="A99" s="353"/>
      <c r="B99" s="354" t="s">
        <v>505</v>
      </c>
      <c r="C99" s="355"/>
      <c r="D99" s="355"/>
      <c r="E99" s="355"/>
      <c r="F99" s="356"/>
      <c r="G99" s="356"/>
      <c r="H99" s="356"/>
      <c r="I99" s="357"/>
      <c r="J99" s="358"/>
    </row>
    <row r="100" spans="1:10">
      <c r="A100" s="353"/>
      <c r="B100" s="354" t="s">
        <v>506</v>
      </c>
      <c r="C100" s="355">
        <v>1</v>
      </c>
      <c r="D100" s="355"/>
      <c r="E100" s="355">
        <v>1</v>
      </c>
      <c r="F100" s="356">
        <v>6</v>
      </c>
      <c r="G100" s="356">
        <v>0.23</v>
      </c>
      <c r="H100" s="356"/>
      <c r="I100" s="336">
        <f t="shared" ref="I100:I120" si="6">PRODUCT(C100:H100)</f>
        <v>1.3800000000000001</v>
      </c>
      <c r="J100" s="358"/>
    </row>
    <row r="101" spans="1:10">
      <c r="A101" s="353"/>
      <c r="B101" s="354" t="s">
        <v>7</v>
      </c>
      <c r="C101" s="355">
        <v>1</v>
      </c>
      <c r="D101" s="355"/>
      <c r="E101" s="355">
        <v>6</v>
      </c>
      <c r="F101" s="356">
        <v>5.4</v>
      </c>
      <c r="G101" s="356">
        <v>0.23</v>
      </c>
      <c r="H101" s="356"/>
      <c r="I101" s="336">
        <f t="shared" si="6"/>
        <v>7.4520000000000017</v>
      </c>
      <c r="J101" s="358"/>
    </row>
    <row r="102" spans="1:10">
      <c r="A102" s="353"/>
      <c r="B102" s="354" t="s">
        <v>507</v>
      </c>
      <c r="C102" s="355">
        <v>1</v>
      </c>
      <c r="D102" s="355"/>
      <c r="E102" s="355">
        <v>16</v>
      </c>
      <c r="F102" s="356">
        <v>3.6</v>
      </c>
      <c r="G102" s="356">
        <v>0.68</v>
      </c>
      <c r="H102" s="356"/>
      <c r="I102" s="336">
        <f t="shared" si="6"/>
        <v>39.168000000000006</v>
      </c>
      <c r="J102" s="358"/>
    </row>
    <row r="103" spans="1:10">
      <c r="A103" s="353"/>
      <c r="B103" s="354" t="s">
        <v>508</v>
      </c>
      <c r="C103" s="355">
        <v>1</v>
      </c>
      <c r="D103" s="355"/>
      <c r="E103" s="355">
        <v>2</v>
      </c>
      <c r="F103" s="356">
        <v>4.9000000000000004</v>
      </c>
      <c r="G103" s="356">
        <v>0.68</v>
      </c>
      <c r="H103" s="356"/>
      <c r="I103" s="336">
        <f t="shared" si="6"/>
        <v>6.6640000000000006</v>
      </c>
      <c r="J103" s="358"/>
    </row>
    <row r="104" spans="1:10">
      <c r="A104" s="353"/>
      <c r="B104" s="354" t="s">
        <v>509</v>
      </c>
      <c r="C104" s="355">
        <v>1</v>
      </c>
      <c r="D104" s="355"/>
      <c r="E104" s="355">
        <v>12</v>
      </c>
      <c r="F104" s="356">
        <v>6.3</v>
      </c>
      <c r="G104" s="356">
        <v>0.68</v>
      </c>
      <c r="H104" s="356"/>
      <c r="I104" s="336">
        <f t="shared" si="6"/>
        <v>51.408000000000001</v>
      </c>
      <c r="J104" s="358"/>
    </row>
    <row r="105" spans="1:10">
      <c r="A105" s="353"/>
      <c r="B105" s="354" t="s">
        <v>510</v>
      </c>
      <c r="C105" s="355">
        <v>1</v>
      </c>
      <c r="D105" s="355"/>
      <c r="E105" s="355">
        <v>16</v>
      </c>
      <c r="F105" s="356">
        <v>4.95</v>
      </c>
      <c r="G105" s="356">
        <v>0.23</v>
      </c>
      <c r="H105" s="356"/>
      <c r="I105" s="336">
        <f t="shared" si="6"/>
        <v>18.216000000000001</v>
      </c>
      <c r="J105" s="358"/>
    </row>
    <row r="106" spans="1:10">
      <c r="A106" s="353"/>
      <c r="B106" s="354" t="s">
        <v>511</v>
      </c>
      <c r="C106" s="355">
        <v>1</v>
      </c>
      <c r="D106" s="355"/>
      <c r="E106" s="355">
        <v>16</v>
      </c>
      <c r="F106" s="356">
        <v>3</v>
      </c>
      <c r="G106" s="356">
        <v>0.23</v>
      </c>
      <c r="H106" s="356"/>
      <c r="I106" s="336">
        <f t="shared" si="6"/>
        <v>11.040000000000001</v>
      </c>
      <c r="J106" s="358"/>
    </row>
    <row r="107" spans="1:10">
      <c r="A107" s="353"/>
      <c r="B107" s="354" t="s">
        <v>512</v>
      </c>
      <c r="C107" s="355">
        <v>1</v>
      </c>
      <c r="D107" s="355"/>
      <c r="E107" s="355">
        <v>13</v>
      </c>
      <c r="F107" s="356">
        <v>2.7</v>
      </c>
      <c r="G107" s="356">
        <v>0.23</v>
      </c>
      <c r="H107" s="356"/>
      <c r="I107" s="336">
        <f t="shared" si="6"/>
        <v>8.0730000000000004</v>
      </c>
      <c r="J107" s="358"/>
    </row>
    <row r="108" spans="1:10">
      <c r="A108" s="353"/>
      <c r="B108" s="354" t="s">
        <v>513</v>
      </c>
      <c r="C108" s="355">
        <v>2</v>
      </c>
      <c r="D108" s="355"/>
      <c r="E108" s="355">
        <v>36</v>
      </c>
      <c r="F108" s="356"/>
      <c r="G108" s="356">
        <v>0.6</v>
      </c>
      <c r="H108" s="356">
        <v>2.1</v>
      </c>
      <c r="I108" s="336">
        <f t="shared" si="6"/>
        <v>90.72</v>
      </c>
      <c r="J108" s="358"/>
    </row>
    <row r="109" spans="1:10">
      <c r="A109" s="353"/>
      <c r="B109" s="354" t="s">
        <v>514</v>
      </c>
      <c r="C109" s="355">
        <v>5</v>
      </c>
      <c r="D109" s="355">
        <v>2</v>
      </c>
      <c r="E109" s="355">
        <v>36</v>
      </c>
      <c r="F109" s="356">
        <v>0.6</v>
      </c>
      <c r="G109" s="356">
        <v>0.75</v>
      </c>
      <c r="H109" s="356"/>
      <c r="I109" s="336">
        <f t="shared" si="6"/>
        <v>162</v>
      </c>
      <c r="J109" s="358"/>
    </row>
    <row r="110" spans="1:10">
      <c r="A110" s="337"/>
      <c r="B110" s="338" t="s">
        <v>516</v>
      </c>
      <c r="C110" s="355">
        <v>1</v>
      </c>
      <c r="D110" s="355"/>
      <c r="E110" s="355">
        <v>1</v>
      </c>
      <c r="F110" s="336">
        <v>8.4</v>
      </c>
      <c r="G110" s="336">
        <v>0.68</v>
      </c>
      <c r="H110" s="336"/>
      <c r="I110" s="336">
        <f t="shared" si="6"/>
        <v>5.7120000000000006</v>
      </c>
    </row>
    <row r="111" spans="1:10">
      <c r="A111" s="353"/>
      <c r="B111" s="354" t="s">
        <v>515</v>
      </c>
      <c r="C111" s="355"/>
      <c r="D111" s="355"/>
      <c r="E111" s="355"/>
      <c r="F111" s="356"/>
      <c r="G111" s="356"/>
      <c r="H111" s="356"/>
      <c r="I111" s="336">
        <f t="shared" si="6"/>
        <v>0</v>
      </c>
      <c r="J111" s="358"/>
    </row>
    <row r="112" spans="1:10">
      <c r="A112" s="353"/>
      <c r="B112" s="354" t="s">
        <v>506</v>
      </c>
      <c r="C112" s="355">
        <v>-1</v>
      </c>
      <c r="D112" s="355"/>
      <c r="E112" s="355">
        <v>2</v>
      </c>
      <c r="F112" s="356">
        <v>1.8</v>
      </c>
      <c r="G112" s="356"/>
      <c r="H112" s="356">
        <v>2.1</v>
      </c>
      <c r="I112" s="336">
        <f t="shared" si="6"/>
        <v>-7.5600000000000005</v>
      </c>
      <c r="J112" s="358"/>
    </row>
    <row r="113" spans="1:9">
      <c r="A113" s="353"/>
      <c r="B113" s="354" t="s">
        <v>7</v>
      </c>
      <c r="C113" s="355">
        <v>-1</v>
      </c>
      <c r="D113" s="355"/>
      <c r="E113" s="355">
        <v>6</v>
      </c>
      <c r="F113" s="356">
        <v>1.2</v>
      </c>
      <c r="G113" s="356"/>
      <c r="H113" s="356">
        <v>2.1</v>
      </c>
      <c r="I113" s="336">
        <f t="shared" si="6"/>
        <v>-15.12</v>
      </c>
    </row>
    <row r="114" spans="1:9">
      <c r="A114" s="353"/>
      <c r="B114" s="354" t="s">
        <v>507</v>
      </c>
      <c r="C114" s="355">
        <v>-1</v>
      </c>
      <c r="D114" s="355"/>
      <c r="E114" s="355">
        <v>16</v>
      </c>
      <c r="F114" s="356">
        <v>0.9</v>
      </c>
      <c r="G114" s="356"/>
      <c r="H114" s="336">
        <v>1.35</v>
      </c>
      <c r="I114" s="336">
        <f t="shared" si="6"/>
        <v>-19.440000000000001</v>
      </c>
    </row>
    <row r="115" spans="1:9">
      <c r="A115" s="337"/>
      <c r="B115" s="354" t="s">
        <v>508</v>
      </c>
      <c r="C115" s="355">
        <v>-1</v>
      </c>
      <c r="D115" s="355"/>
      <c r="E115" s="355">
        <v>2</v>
      </c>
      <c r="F115" s="336">
        <v>1.1000000000000001</v>
      </c>
      <c r="G115" s="336"/>
      <c r="H115" s="336">
        <v>1.35</v>
      </c>
      <c r="I115" s="336">
        <f t="shared" si="6"/>
        <v>-2.9700000000000006</v>
      </c>
    </row>
    <row r="116" spans="1:9">
      <c r="A116" s="337"/>
      <c r="B116" s="354" t="s">
        <v>509</v>
      </c>
      <c r="C116" s="355">
        <v>-1</v>
      </c>
      <c r="D116" s="355"/>
      <c r="E116" s="355">
        <v>12</v>
      </c>
      <c r="F116" s="336">
        <v>1.8</v>
      </c>
      <c r="G116" s="336"/>
      <c r="H116" s="336">
        <v>1.35</v>
      </c>
      <c r="I116" s="336">
        <f t="shared" si="6"/>
        <v>-29.160000000000004</v>
      </c>
    </row>
    <row r="117" spans="1:9">
      <c r="A117" s="337"/>
      <c r="B117" s="338" t="s">
        <v>516</v>
      </c>
      <c r="C117" s="355">
        <v>-1</v>
      </c>
      <c r="D117" s="355"/>
      <c r="E117" s="355">
        <v>1</v>
      </c>
      <c r="F117" s="336">
        <v>1.8</v>
      </c>
      <c r="G117" s="336"/>
      <c r="H117" s="336">
        <v>2.4</v>
      </c>
      <c r="I117" s="336">
        <f t="shared" si="6"/>
        <v>-4.32</v>
      </c>
    </row>
    <row r="118" spans="1:9">
      <c r="A118" s="337"/>
      <c r="B118" s="354" t="s">
        <v>510</v>
      </c>
      <c r="C118" s="355">
        <v>-1</v>
      </c>
      <c r="D118" s="355"/>
      <c r="E118" s="355">
        <v>16</v>
      </c>
      <c r="F118" s="336">
        <v>0.75</v>
      </c>
      <c r="G118" s="336"/>
      <c r="H118" s="336">
        <v>2.1</v>
      </c>
      <c r="I118" s="336">
        <f t="shared" si="6"/>
        <v>-25.200000000000003</v>
      </c>
    </row>
    <row r="119" spans="1:9">
      <c r="A119" s="337"/>
      <c r="B119" s="354" t="s">
        <v>511</v>
      </c>
      <c r="C119" s="355">
        <v>-1</v>
      </c>
      <c r="D119" s="355"/>
      <c r="E119" s="355">
        <v>16</v>
      </c>
      <c r="F119" s="336">
        <v>0.9</v>
      </c>
      <c r="G119" s="336"/>
      <c r="H119" s="336">
        <v>0.6</v>
      </c>
      <c r="I119" s="336">
        <f t="shared" si="6"/>
        <v>-8.64</v>
      </c>
    </row>
    <row r="120" spans="1:9">
      <c r="A120" s="337"/>
      <c r="B120" s="338" t="s">
        <v>512</v>
      </c>
      <c r="C120" s="355">
        <v>-1</v>
      </c>
      <c r="D120" s="355"/>
      <c r="E120" s="355">
        <v>13</v>
      </c>
      <c r="F120" s="336">
        <v>0.75</v>
      </c>
      <c r="G120" s="336"/>
      <c r="H120" s="336">
        <v>0.6</v>
      </c>
      <c r="I120" s="336">
        <f t="shared" si="6"/>
        <v>-5.85</v>
      </c>
    </row>
    <row r="121" spans="1:9">
      <c r="A121" s="337"/>
      <c r="B121" s="341" t="s">
        <v>482</v>
      </c>
      <c r="C121" s="339"/>
      <c r="D121" s="339"/>
      <c r="E121" s="339"/>
      <c r="F121" s="336"/>
      <c r="G121" s="336"/>
      <c r="H121" s="363"/>
      <c r="I121" s="336"/>
    </row>
    <row r="122" spans="1:9">
      <c r="A122" s="337"/>
      <c r="B122" s="338" t="s">
        <v>500</v>
      </c>
      <c r="C122" s="339">
        <v>1</v>
      </c>
      <c r="D122" s="339"/>
      <c r="E122" s="339">
        <v>1</v>
      </c>
      <c r="F122" s="336">
        <v>30.01</v>
      </c>
      <c r="G122" s="336"/>
      <c r="H122" s="336">
        <v>3.6</v>
      </c>
      <c r="I122" s="336">
        <f t="shared" ref="I122:I130" si="7">PRODUCT(C122:H122)</f>
        <v>108.036</v>
      </c>
    </row>
    <row r="123" spans="1:9">
      <c r="A123" s="337"/>
      <c r="B123" s="338" t="s">
        <v>483</v>
      </c>
      <c r="C123" s="339">
        <v>1</v>
      </c>
      <c r="D123" s="339"/>
      <c r="E123" s="339">
        <v>1</v>
      </c>
      <c r="F123" s="336">
        <v>24.72</v>
      </c>
      <c r="G123" s="336"/>
      <c r="H123" s="336">
        <v>3.5</v>
      </c>
      <c r="I123" s="336">
        <f t="shared" si="7"/>
        <v>86.52</v>
      </c>
    </row>
    <row r="124" spans="1:9">
      <c r="A124" s="337"/>
      <c r="B124" s="338" t="s">
        <v>484</v>
      </c>
      <c r="C124" s="339">
        <v>1</v>
      </c>
      <c r="D124" s="339"/>
      <c r="E124" s="339">
        <v>1</v>
      </c>
      <c r="F124" s="336">
        <v>16.5</v>
      </c>
      <c r="G124" s="336"/>
      <c r="H124" s="336">
        <v>3.5</v>
      </c>
      <c r="I124" s="336">
        <f t="shared" si="7"/>
        <v>57.75</v>
      </c>
    </row>
    <row r="125" spans="1:9">
      <c r="A125" s="337"/>
      <c r="B125" s="338" t="s">
        <v>481</v>
      </c>
      <c r="C125" s="339">
        <v>1</v>
      </c>
      <c r="D125" s="339"/>
      <c r="E125" s="339">
        <v>2</v>
      </c>
      <c r="F125" s="336">
        <v>14</v>
      </c>
      <c r="G125" s="336"/>
      <c r="H125" s="336">
        <v>3.5</v>
      </c>
      <c r="I125" s="336">
        <f t="shared" si="7"/>
        <v>98</v>
      </c>
    </row>
    <row r="126" spans="1:9">
      <c r="A126" s="337"/>
      <c r="B126" s="338" t="s">
        <v>475</v>
      </c>
      <c r="C126" s="339">
        <v>1</v>
      </c>
      <c r="D126" s="339"/>
      <c r="E126" s="339">
        <v>2</v>
      </c>
      <c r="F126" s="336">
        <v>41.17</v>
      </c>
      <c r="G126" s="336"/>
      <c r="H126" s="336">
        <v>3.5</v>
      </c>
      <c r="I126" s="336">
        <f t="shared" si="7"/>
        <v>288.19</v>
      </c>
    </row>
    <row r="127" spans="1:9">
      <c r="A127" s="337"/>
      <c r="B127" s="338" t="s">
        <v>502</v>
      </c>
      <c r="C127" s="339">
        <v>1</v>
      </c>
      <c r="D127" s="339"/>
      <c r="E127" s="339">
        <v>1</v>
      </c>
      <c r="F127" s="336">
        <v>17.12</v>
      </c>
      <c r="G127" s="336"/>
      <c r="H127" s="336">
        <v>3.5</v>
      </c>
      <c r="I127" s="336">
        <f t="shared" si="7"/>
        <v>59.92</v>
      </c>
    </row>
    <row r="128" spans="1:9">
      <c r="A128" s="337"/>
      <c r="B128" s="338" t="s">
        <v>503</v>
      </c>
      <c r="C128" s="339">
        <v>1</v>
      </c>
      <c r="D128" s="339"/>
      <c r="E128" s="339">
        <v>7</v>
      </c>
      <c r="F128" s="336">
        <v>6</v>
      </c>
      <c r="G128" s="336"/>
      <c r="H128" s="336">
        <v>3.5</v>
      </c>
      <c r="I128" s="336">
        <f t="shared" si="7"/>
        <v>147</v>
      </c>
    </row>
    <row r="129" spans="1:10">
      <c r="A129" s="337"/>
      <c r="B129" s="338" t="s">
        <v>481</v>
      </c>
      <c r="C129" s="339">
        <v>1</v>
      </c>
      <c r="D129" s="339"/>
      <c r="E129" s="339">
        <v>9</v>
      </c>
      <c r="F129" s="336">
        <v>5.4</v>
      </c>
      <c r="G129" s="336"/>
      <c r="H129" s="336">
        <v>3.5</v>
      </c>
      <c r="I129" s="336">
        <f t="shared" si="7"/>
        <v>170.1</v>
      </c>
    </row>
    <row r="130" spans="1:10">
      <c r="A130" s="337"/>
      <c r="B130" s="338" t="s">
        <v>504</v>
      </c>
      <c r="C130" s="339">
        <v>1</v>
      </c>
      <c r="D130" s="339"/>
      <c r="E130" s="339">
        <v>2</v>
      </c>
      <c r="F130" s="336">
        <v>5.49</v>
      </c>
      <c r="G130" s="336"/>
      <c r="H130" s="336">
        <v>3.5</v>
      </c>
      <c r="I130" s="336">
        <f t="shared" si="7"/>
        <v>38.43</v>
      </c>
    </row>
    <row r="131" spans="1:10">
      <c r="A131" s="353"/>
      <c r="B131" s="354" t="s">
        <v>505</v>
      </c>
      <c r="C131" s="355"/>
      <c r="D131" s="355"/>
      <c r="E131" s="355"/>
      <c r="F131" s="356"/>
      <c r="G131" s="356"/>
      <c r="H131" s="356"/>
      <c r="I131" s="357"/>
      <c r="J131" s="358"/>
    </row>
    <row r="132" spans="1:10">
      <c r="A132" s="353"/>
      <c r="B132" s="354" t="s">
        <v>506</v>
      </c>
      <c r="C132" s="355">
        <v>1</v>
      </c>
      <c r="D132" s="355"/>
      <c r="E132" s="355">
        <v>1</v>
      </c>
      <c r="F132" s="356">
        <v>6</v>
      </c>
      <c r="G132" s="356">
        <v>0.23</v>
      </c>
      <c r="H132" s="356"/>
      <c r="I132" s="336">
        <f t="shared" ref="I132:I181" si="8">PRODUCT(C132:H132)</f>
        <v>1.3800000000000001</v>
      </c>
      <c r="J132" s="358"/>
    </row>
    <row r="133" spans="1:10">
      <c r="A133" s="353"/>
      <c r="B133" s="354" t="s">
        <v>7</v>
      </c>
      <c r="C133" s="355">
        <v>1</v>
      </c>
      <c r="D133" s="355"/>
      <c r="E133" s="355">
        <v>6</v>
      </c>
      <c r="F133" s="356">
        <v>5.4</v>
      </c>
      <c r="G133" s="356">
        <v>0.23</v>
      </c>
      <c r="H133" s="356"/>
      <c r="I133" s="336">
        <f t="shared" si="8"/>
        <v>7.4520000000000017</v>
      </c>
      <c r="J133" s="358"/>
    </row>
    <row r="134" spans="1:10">
      <c r="A134" s="353"/>
      <c r="B134" s="354" t="s">
        <v>507</v>
      </c>
      <c r="C134" s="355">
        <v>1</v>
      </c>
      <c r="D134" s="355"/>
      <c r="E134" s="355">
        <v>16</v>
      </c>
      <c r="F134" s="356">
        <v>3.6</v>
      </c>
      <c r="G134" s="356">
        <v>0.68</v>
      </c>
      <c r="H134" s="356"/>
      <c r="I134" s="336">
        <f t="shared" si="8"/>
        <v>39.168000000000006</v>
      </c>
      <c r="J134" s="358"/>
    </row>
    <row r="135" spans="1:10">
      <c r="A135" s="353"/>
      <c r="B135" s="354" t="s">
        <v>508</v>
      </c>
      <c r="C135" s="355">
        <v>1</v>
      </c>
      <c r="D135" s="355"/>
      <c r="E135" s="355">
        <v>2</v>
      </c>
      <c r="F135" s="356">
        <v>4.9000000000000004</v>
      </c>
      <c r="G135" s="356">
        <v>0.68</v>
      </c>
      <c r="H135" s="356"/>
      <c r="I135" s="336">
        <f t="shared" si="8"/>
        <v>6.6640000000000006</v>
      </c>
      <c r="J135" s="358"/>
    </row>
    <row r="136" spans="1:10">
      <c r="A136" s="353"/>
      <c r="B136" s="354" t="s">
        <v>509</v>
      </c>
      <c r="C136" s="355">
        <v>1</v>
      </c>
      <c r="D136" s="355"/>
      <c r="E136" s="355">
        <v>12</v>
      </c>
      <c r="F136" s="356">
        <v>6.3</v>
      </c>
      <c r="G136" s="356">
        <v>0.68</v>
      </c>
      <c r="H136" s="356"/>
      <c r="I136" s="336">
        <f t="shared" si="8"/>
        <v>51.408000000000001</v>
      </c>
      <c r="J136" s="358"/>
    </row>
    <row r="137" spans="1:10">
      <c r="A137" s="353"/>
      <c r="B137" s="354" t="s">
        <v>510</v>
      </c>
      <c r="C137" s="355">
        <v>1</v>
      </c>
      <c r="D137" s="355"/>
      <c r="E137" s="355">
        <v>16</v>
      </c>
      <c r="F137" s="356">
        <v>4.95</v>
      </c>
      <c r="G137" s="356">
        <v>0.23</v>
      </c>
      <c r="H137" s="356"/>
      <c r="I137" s="336">
        <f t="shared" si="8"/>
        <v>18.216000000000001</v>
      </c>
      <c r="J137" s="358"/>
    </row>
    <row r="138" spans="1:10">
      <c r="A138" s="353"/>
      <c r="B138" s="354" t="s">
        <v>511</v>
      </c>
      <c r="C138" s="355">
        <v>1</v>
      </c>
      <c r="D138" s="355"/>
      <c r="E138" s="355">
        <v>16</v>
      </c>
      <c r="F138" s="356">
        <v>3</v>
      </c>
      <c r="G138" s="356">
        <v>0.23</v>
      </c>
      <c r="H138" s="356"/>
      <c r="I138" s="336">
        <f t="shared" si="8"/>
        <v>11.040000000000001</v>
      </c>
      <c r="J138" s="358"/>
    </row>
    <row r="139" spans="1:10">
      <c r="A139" s="353"/>
      <c r="B139" s="354" t="s">
        <v>512</v>
      </c>
      <c r="C139" s="355">
        <v>1</v>
      </c>
      <c r="D139" s="355"/>
      <c r="E139" s="355">
        <v>13</v>
      </c>
      <c r="F139" s="356">
        <v>2.7</v>
      </c>
      <c r="G139" s="356">
        <v>0.23</v>
      </c>
      <c r="H139" s="356"/>
      <c r="I139" s="336">
        <f t="shared" si="8"/>
        <v>8.0730000000000004</v>
      </c>
      <c r="J139" s="358"/>
    </row>
    <row r="140" spans="1:10">
      <c r="A140" s="353"/>
      <c r="B140" s="354" t="s">
        <v>513</v>
      </c>
      <c r="C140" s="355">
        <v>2</v>
      </c>
      <c r="D140" s="355"/>
      <c r="E140" s="355">
        <v>36</v>
      </c>
      <c r="F140" s="356"/>
      <c r="G140" s="356">
        <v>0.6</v>
      </c>
      <c r="H140" s="356">
        <v>2.1</v>
      </c>
      <c r="I140" s="336">
        <f t="shared" si="8"/>
        <v>90.72</v>
      </c>
      <c r="J140" s="358"/>
    </row>
    <row r="141" spans="1:10">
      <c r="A141" s="353"/>
      <c r="B141" s="354" t="s">
        <v>514</v>
      </c>
      <c r="C141" s="355">
        <v>5</v>
      </c>
      <c r="D141" s="355">
        <v>2</v>
      </c>
      <c r="E141" s="355">
        <v>36</v>
      </c>
      <c r="F141" s="356">
        <v>0.6</v>
      </c>
      <c r="G141" s="356">
        <v>0.75</v>
      </c>
      <c r="H141" s="356"/>
      <c r="I141" s="336">
        <f t="shared" si="8"/>
        <v>162</v>
      </c>
      <c r="J141" s="358"/>
    </row>
    <row r="142" spans="1:10">
      <c r="A142" s="337"/>
      <c r="B142" s="338" t="s">
        <v>516</v>
      </c>
      <c r="C142" s="355">
        <v>1</v>
      </c>
      <c r="D142" s="355"/>
      <c r="E142" s="355">
        <v>1</v>
      </c>
      <c r="F142" s="336">
        <v>8.4</v>
      </c>
      <c r="G142" s="336">
        <v>0.68</v>
      </c>
      <c r="H142" s="336"/>
      <c r="I142" s="336">
        <f t="shared" si="8"/>
        <v>5.7120000000000006</v>
      </c>
    </row>
    <row r="143" spans="1:10">
      <c r="A143" s="353"/>
      <c r="B143" s="354" t="s">
        <v>515</v>
      </c>
      <c r="C143" s="355"/>
      <c r="D143" s="355"/>
      <c r="E143" s="355"/>
      <c r="F143" s="356"/>
      <c r="G143" s="356"/>
      <c r="H143" s="356"/>
      <c r="I143" s="336">
        <f t="shared" si="8"/>
        <v>0</v>
      </c>
      <c r="J143" s="358"/>
    </row>
    <row r="144" spans="1:10">
      <c r="A144" s="353"/>
      <c r="B144" s="354" t="s">
        <v>506</v>
      </c>
      <c r="C144" s="355">
        <v>-1</v>
      </c>
      <c r="D144" s="355"/>
      <c r="E144" s="355">
        <v>2</v>
      </c>
      <c r="F144" s="356">
        <v>1.8</v>
      </c>
      <c r="G144" s="356"/>
      <c r="H144" s="356">
        <v>2.1</v>
      </c>
      <c r="I144" s="336">
        <f t="shared" si="8"/>
        <v>-7.5600000000000005</v>
      </c>
      <c r="J144" s="358"/>
    </row>
    <row r="145" spans="1:20">
      <c r="A145" s="353"/>
      <c r="B145" s="354" t="s">
        <v>7</v>
      </c>
      <c r="C145" s="355">
        <v>-1</v>
      </c>
      <c r="D145" s="355"/>
      <c r="E145" s="355">
        <v>6</v>
      </c>
      <c r="F145" s="356">
        <v>1.2</v>
      </c>
      <c r="G145" s="356"/>
      <c r="H145" s="356">
        <v>2.1</v>
      </c>
      <c r="I145" s="336">
        <f t="shared" si="8"/>
        <v>-15.12</v>
      </c>
    </row>
    <row r="146" spans="1:20">
      <c r="A146" s="353"/>
      <c r="B146" s="354" t="s">
        <v>507</v>
      </c>
      <c r="C146" s="355">
        <v>-1</v>
      </c>
      <c r="D146" s="355"/>
      <c r="E146" s="355">
        <v>16</v>
      </c>
      <c r="F146" s="356">
        <v>0.9</v>
      </c>
      <c r="G146" s="356"/>
      <c r="H146" s="336">
        <v>1.35</v>
      </c>
      <c r="I146" s="336">
        <f t="shared" si="8"/>
        <v>-19.440000000000001</v>
      </c>
    </row>
    <row r="147" spans="1:20">
      <c r="A147" s="337"/>
      <c r="B147" s="354" t="s">
        <v>508</v>
      </c>
      <c r="C147" s="355">
        <v>-1</v>
      </c>
      <c r="D147" s="355"/>
      <c r="E147" s="355">
        <v>2</v>
      </c>
      <c r="F147" s="336">
        <v>1.1000000000000001</v>
      </c>
      <c r="G147" s="336"/>
      <c r="H147" s="336">
        <v>1.35</v>
      </c>
      <c r="I147" s="336">
        <f t="shared" si="8"/>
        <v>-2.9700000000000006</v>
      </c>
    </row>
    <row r="148" spans="1:20">
      <c r="A148" s="337"/>
      <c r="B148" s="354" t="s">
        <v>509</v>
      </c>
      <c r="C148" s="355">
        <v>-1</v>
      </c>
      <c r="D148" s="355"/>
      <c r="E148" s="355">
        <v>12</v>
      </c>
      <c r="F148" s="336">
        <v>1.8</v>
      </c>
      <c r="G148" s="336"/>
      <c r="H148" s="336">
        <v>1.35</v>
      </c>
      <c r="I148" s="336">
        <f t="shared" si="8"/>
        <v>-29.160000000000004</v>
      </c>
    </row>
    <row r="149" spans="1:20">
      <c r="A149" s="337"/>
      <c r="B149" s="354" t="s">
        <v>510</v>
      </c>
      <c r="C149" s="355">
        <v>-1</v>
      </c>
      <c r="D149" s="355"/>
      <c r="E149" s="355">
        <v>16</v>
      </c>
      <c r="F149" s="336">
        <v>0.75</v>
      </c>
      <c r="G149" s="336"/>
      <c r="H149" s="336">
        <v>2.1</v>
      </c>
      <c r="I149" s="336">
        <f t="shared" si="8"/>
        <v>-25.200000000000003</v>
      </c>
    </row>
    <row r="150" spans="1:20">
      <c r="A150" s="337"/>
      <c r="B150" s="354" t="s">
        <v>511</v>
      </c>
      <c r="C150" s="355">
        <v>-1</v>
      </c>
      <c r="D150" s="355"/>
      <c r="E150" s="355">
        <v>16</v>
      </c>
      <c r="F150" s="336">
        <v>0.9</v>
      </c>
      <c r="G150" s="336"/>
      <c r="H150" s="336">
        <v>0.6</v>
      </c>
      <c r="I150" s="336">
        <f t="shared" si="8"/>
        <v>-8.64</v>
      </c>
    </row>
    <row r="151" spans="1:20">
      <c r="A151" s="337"/>
      <c r="B151" s="338" t="s">
        <v>512</v>
      </c>
      <c r="C151" s="355">
        <v>-1</v>
      </c>
      <c r="D151" s="355"/>
      <c r="E151" s="355">
        <v>13</v>
      </c>
      <c r="F151" s="336">
        <v>0.75</v>
      </c>
      <c r="G151" s="336"/>
      <c r="H151" s="336">
        <v>0.6</v>
      </c>
      <c r="I151" s="336">
        <f t="shared" si="8"/>
        <v>-5.85</v>
      </c>
      <c r="L151" s="338" t="s">
        <v>517</v>
      </c>
      <c r="M151" s="355"/>
      <c r="N151" s="355"/>
      <c r="O151" s="355"/>
      <c r="P151" s="336"/>
      <c r="Q151" s="336"/>
      <c r="R151" s="336"/>
      <c r="S151" s="364">
        <f t="shared" ref="S151:S160" si="9">PRODUCT(M151:R151)</f>
        <v>0</v>
      </c>
      <c r="T151" s="340"/>
    </row>
    <row r="152" spans="1:20">
      <c r="A152" s="337"/>
      <c r="B152" s="338" t="s">
        <v>516</v>
      </c>
      <c r="C152" s="355">
        <v>-1</v>
      </c>
      <c r="D152" s="355"/>
      <c r="E152" s="355">
        <v>1</v>
      </c>
      <c r="F152" s="336">
        <v>1.8</v>
      </c>
      <c r="G152" s="336"/>
      <c r="H152" s="336">
        <v>2.4</v>
      </c>
      <c r="I152" s="336">
        <f t="shared" si="8"/>
        <v>-4.32</v>
      </c>
      <c r="L152" s="338" t="s">
        <v>518</v>
      </c>
      <c r="M152" s="355">
        <v>1</v>
      </c>
      <c r="N152" s="355"/>
      <c r="O152" s="355">
        <v>1</v>
      </c>
      <c r="P152" s="336">
        <v>43.8</v>
      </c>
      <c r="Q152" s="336"/>
      <c r="R152" s="336">
        <v>4.5</v>
      </c>
      <c r="S152" s="364">
        <f t="shared" si="9"/>
        <v>197.1</v>
      </c>
      <c r="T152" s="340"/>
    </row>
    <row r="153" spans="1:20">
      <c r="A153" s="337"/>
      <c r="B153" s="338" t="s">
        <v>485</v>
      </c>
      <c r="C153" s="339">
        <v>1</v>
      </c>
      <c r="D153" s="339"/>
      <c r="E153" s="339">
        <v>1</v>
      </c>
      <c r="F153" s="336">
        <v>30.01</v>
      </c>
      <c r="G153" s="336"/>
      <c r="H153" s="336">
        <v>2.4500000000000002</v>
      </c>
      <c r="I153" s="336">
        <f t="shared" si="8"/>
        <v>73.524500000000003</v>
      </c>
      <c r="L153" s="338" t="s">
        <v>493</v>
      </c>
      <c r="M153" s="355">
        <v>1</v>
      </c>
      <c r="N153" s="355"/>
      <c r="O153" s="355">
        <v>1</v>
      </c>
      <c r="P153" s="336">
        <v>41.96</v>
      </c>
      <c r="Q153" s="336"/>
      <c r="R153" s="336">
        <v>3.1</v>
      </c>
      <c r="S153" s="364">
        <f t="shared" si="9"/>
        <v>130.07599999999999</v>
      </c>
      <c r="T153" s="340"/>
    </row>
    <row r="154" spans="1:20">
      <c r="A154" s="337"/>
      <c r="B154" s="338" t="s">
        <v>505</v>
      </c>
      <c r="C154" s="355"/>
      <c r="D154" s="355"/>
      <c r="E154" s="355"/>
      <c r="F154" s="336"/>
      <c r="G154" s="336"/>
      <c r="H154" s="336"/>
      <c r="I154" s="336">
        <f t="shared" si="8"/>
        <v>0</v>
      </c>
      <c r="L154" s="338" t="s">
        <v>519</v>
      </c>
      <c r="M154" s="355">
        <v>2</v>
      </c>
      <c r="N154" s="355"/>
      <c r="O154" s="355">
        <v>2</v>
      </c>
      <c r="P154" s="336">
        <v>0.5</v>
      </c>
      <c r="Q154" s="336">
        <v>6.15</v>
      </c>
      <c r="R154" s="336">
        <v>0.45</v>
      </c>
      <c r="S154" s="364">
        <f t="shared" si="9"/>
        <v>5.5350000000000001</v>
      </c>
      <c r="T154" s="340"/>
    </row>
    <row r="155" spans="1:20">
      <c r="A155" s="337"/>
      <c r="B155" s="338" t="s">
        <v>487</v>
      </c>
      <c r="C155" s="355">
        <v>1</v>
      </c>
      <c r="D155" s="355"/>
      <c r="E155" s="355">
        <v>2</v>
      </c>
      <c r="F155" s="336">
        <v>6.3</v>
      </c>
      <c r="G155" s="336">
        <v>0.23</v>
      </c>
      <c r="H155" s="336"/>
      <c r="I155" s="336">
        <f t="shared" si="8"/>
        <v>2.8980000000000001</v>
      </c>
      <c r="L155" s="338" t="s">
        <v>505</v>
      </c>
      <c r="M155" s="355"/>
      <c r="N155" s="355"/>
      <c r="O155" s="355"/>
      <c r="P155" s="336"/>
      <c r="Q155" s="336"/>
      <c r="R155" s="336"/>
      <c r="S155" s="364">
        <f t="shared" si="9"/>
        <v>0</v>
      </c>
      <c r="T155" s="340"/>
    </row>
    <row r="156" spans="1:20">
      <c r="A156" s="337"/>
      <c r="B156" s="338" t="s">
        <v>520</v>
      </c>
      <c r="C156" s="355">
        <v>1</v>
      </c>
      <c r="D156" s="355"/>
      <c r="E156" s="355">
        <v>2</v>
      </c>
      <c r="F156" s="336">
        <v>5.2</v>
      </c>
      <c r="G156" s="336">
        <v>0.23</v>
      </c>
      <c r="H156" s="336"/>
      <c r="I156" s="336">
        <f t="shared" si="8"/>
        <v>2.3920000000000003</v>
      </c>
      <c r="L156" s="338" t="s">
        <v>509</v>
      </c>
      <c r="M156" s="355">
        <v>1</v>
      </c>
      <c r="N156" s="355"/>
      <c r="O156" s="355">
        <v>8</v>
      </c>
      <c r="P156" s="336">
        <v>5.6</v>
      </c>
      <c r="Q156" s="336"/>
      <c r="R156" s="336">
        <v>0.23</v>
      </c>
      <c r="S156" s="364">
        <f t="shared" si="9"/>
        <v>10.304</v>
      </c>
      <c r="T156" s="340"/>
    </row>
    <row r="157" spans="1:20">
      <c r="A157" s="337"/>
      <c r="B157" s="338" t="s">
        <v>515</v>
      </c>
      <c r="C157" s="355"/>
      <c r="D157" s="355"/>
      <c r="E157" s="355"/>
      <c r="F157" s="336"/>
      <c r="G157" s="336"/>
      <c r="H157" s="336"/>
      <c r="I157" s="336">
        <f t="shared" si="8"/>
        <v>0</v>
      </c>
      <c r="L157" s="338" t="s">
        <v>489</v>
      </c>
      <c r="M157" s="355">
        <v>1</v>
      </c>
      <c r="N157" s="355"/>
      <c r="O157" s="355">
        <v>2</v>
      </c>
      <c r="P157" s="336">
        <v>6.25</v>
      </c>
      <c r="Q157" s="336"/>
      <c r="R157" s="336">
        <v>0.23</v>
      </c>
      <c r="S157" s="364">
        <f t="shared" si="9"/>
        <v>2.875</v>
      </c>
      <c r="T157" s="340"/>
    </row>
    <row r="158" spans="1:20">
      <c r="A158" s="337"/>
      <c r="B158" s="338" t="s">
        <v>487</v>
      </c>
      <c r="C158" s="355">
        <v>-1</v>
      </c>
      <c r="D158" s="355"/>
      <c r="E158" s="355">
        <v>2</v>
      </c>
      <c r="F158" s="336">
        <v>1.8</v>
      </c>
      <c r="G158" s="336"/>
      <c r="H158" s="336">
        <v>1.35</v>
      </c>
      <c r="I158" s="336">
        <f t="shared" si="8"/>
        <v>-4.8600000000000003</v>
      </c>
      <c r="L158" s="338" t="s">
        <v>515</v>
      </c>
      <c r="M158" s="355"/>
      <c r="N158" s="355"/>
      <c r="O158" s="355"/>
      <c r="P158" s="336"/>
      <c r="Q158" s="336"/>
      <c r="R158" s="336"/>
      <c r="S158" s="364">
        <f t="shared" si="9"/>
        <v>0</v>
      </c>
      <c r="T158" s="340"/>
    </row>
    <row r="159" spans="1:20">
      <c r="A159" s="337"/>
      <c r="B159" s="338" t="s">
        <v>520</v>
      </c>
      <c r="C159" s="355">
        <v>-1</v>
      </c>
      <c r="D159" s="355"/>
      <c r="E159" s="355">
        <v>2</v>
      </c>
      <c r="F159" s="336">
        <v>1.2</v>
      </c>
      <c r="G159" s="336"/>
      <c r="H159" s="336">
        <v>2</v>
      </c>
      <c r="I159" s="336">
        <f t="shared" si="8"/>
        <v>-4.8</v>
      </c>
      <c r="L159" s="338" t="s">
        <v>509</v>
      </c>
      <c r="M159" s="355">
        <v>-1</v>
      </c>
      <c r="N159" s="355"/>
      <c r="O159" s="355">
        <v>8</v>
      </c>
      <c r="P159" s="336">
        <v>1.45</v>
      </c>
      <c r="Q159" s="336">
        <v>1.35</v>
      </c>
      <c r="R159" s="336"/>
      <c r="S159" s="364">
        <f t="shared" si="9"/>
        <v>-15.66</v>
      </c>
      <c r="T159" s="340"/>
    </row>
    <row r="160" spans="1:20">
      <c r="A160" s="337"/>
      <c r="B160" s="338" t="s">
        <v>486</v>
      </c>
      <c r="C160" s="339">
        <v>3</v>
      </c>
      <c r="D160" s="339"/>
      <c r="E160" s="339">
        <v>16</v>
      </c>
      <c r="F160" s="336">
        <v>1.36</v>
      </c>
      <c r="G160" s="336">
        <v>0.6</v>
      </c>
      <c r="H160" s="336"/>
      <c r="I160" s="336">
        <f t="shared" si="8"/>
        <v>39.167999999999999</v>
      </c>
      <c r="K160" s="365"/>
      <c r="L160" s="338" t="s">
        <v>489</v>
      </c>
      <c r="M160" s="355">
        <v>-1</v>
      </c>
      <c r="N160" s="355"/>
      <c r="O160" s="355">
        <v>2</v>
      </c>
      <c r="P160" s="336">
        <v>1.64</v>
      </c>
      <c r="Q160" s="336">
        <v>2.2999999999999998</v>
      </c>
      <c r="R160" s="336"/>
      <c r="S160" s="364">
        <f t="shared" si="9"/>
        <v>-7.5439999999999987</v>
      </c>
      <c r="T160" s="340"/>
    </row>
    <row r="161" spans="1:20">
      <c r="A161" s="337"/>
      <c r="B161" s="338" t="s">
        <v>487</v>
      </c>
      <c r="C161" s="339">
        <v>3</v>
      </c>
      <c r="D161" s="339"/>
      <c r="E161" s="339">
        <v>14</v>
      </c>
      <c r="F161" s="336">
        <v>2.2599999999999998</v>
      </c>
      <c r="G161" s="336">
        <v>0.6</v>
      </c>
      <c r="H161" s="336"/>
      <c r="I161" s="336">
        <f t="shared" si="8"/>
        <v>56.951999999999991</v>
      </c>
      <c r="K161" s="365"/>
      <c r="L161" s="338"/>
      <c r="M161" s="355"/>
      <c r="N161" s="355"/>
      <c r="O161" s="355"/>
      <c r="P161" s="336"/>
      <c r="Q161" s="336"/>
      <c r="R161" s="336"/>
      <c r="S161" s="364"/>
      <c r="T161" s="340"/>
    </row>
    <row r="162" spans="1:20">
      <c r="A162" s="337"/>
      <c r="B162" s="338" t="s">
        <v>488</v>
      </c>
      <c r="C162" s="339">
        <v>3</v>
      </c>
      <c r="D162" s="339"/>
      <c r="E162" s="339">
        <v>2</v>
      </c>
      <c r="F162" s="336">
        <v>1.56</v>
      </c>
      <c r="G162" s="336">
        <v>0.6</v>
      </c>
      <c r="H162" s="336"/>
      <c r="I162" s="336">
        <f t="shared" si="8"/>
        <v>5.6159999999999997</v>
      </c>
      <c r="K162" s="365"/>
      <c r="L162" s="338"/>
      <c r="M162" s="355"/>
      <c r="N162" s="355"/>
      <c r="O162" s="355"/>
      <c r="P162" s="336"/>
      <c r="Q162" s="336"/>
      <c r="R162" s="336"/>
      <c r="S162" s="364"/>
      <c r="T162" s="340"/>
    </row>
    <row r="163" spans="1:20">
      <c r="A163" s="337"/>
      <c r="B163" s="338" t="s">
        <v>489</v>
      </c>
      <c r="C163" s="339">
        <v>1</v>
      </c>
      <c r="D163" s="339"/>
      <c r="E163" s="339">
        <v>2</v>
      </c>
      <c r="F163" s="336">
        <v>1.66</v>
      </c>
      <c r="G163" s="336">
        <v>0.6</v>
      </c>
      <c r="H163" s="336"/>
      <c r="I163" s="336">
        <f t="shared" si="8"/>
        <v>1.9919999999999998</v>
      </c>
      <c r="K163" s="365"/>
      <c r="L163" s="338"/>
      <c r="M163" s="355"/>
      <c r="N163" s="355"/>
      <c r="O163" s="355"/>
      <c r="P163" s="336"/>
      <c r="Q163" s="336"/>
      <c r="R163" s="336"/>
      <c r="S163" s="364"/>
      <c r="T163" s="340"/>
    </row>
    <row r="164" spans="1:20">
      <c r="A164" s="337"/>
      <c r="B164" s="338" t="s">
        <v>490</v>
      </c>
      <c r="C164" s="339">
        <v>1</v>
      </c>
      <c r="D164" s="339"/>
      <c r="E164" s="339">
        <v>2</v>
      </c>
      <c r="F164" s="336">
        <v>2.2599999999999998</v>
      </c>
      <c r="G164" s="336">
        <v>0.6</v>
      </c>
      <c r="H164" s="336"/>
      <c r="I164" s="336">
        <f t="shared" si="8"/>
        <v>2.7119999999999997</v>
      </c>
      <c r="K164" s="365"/>
      <c r="L164" s="338"/>
      <c r="M164" s="355"/>
      <c r="N164" s="355"/>
      <c r="O164" s="355"/>
      <c r="P164" s="336"/>
      <c r="Q164" s="336"/>
      <c r="R164" s="336"/>
      <c r="S164" s="364"/>
      <c r="T164" s="340"/>
    </row>
    <row r="165" spans="1:20">
      <c r="A165" s="337"/>
      <c r="B165" s="338"/>
      <c r="C165" s="339"/>
      <c r="D165" s="339"/>
      <c r="E165" s="339"/>
      <c r="F165" s="336"/>
      <c r="G165" s="336"/>
      <c r="H165" s="336"/>
      <c r="I165" s="336"/>
      <c r="K165" s="366"/>
      <c r="L165" s="367"/>
      <c r="M165" s="368"/>
      <c r="N165" s="368"/>
      <c r="O165" s="368"/>
      <c r="P165" s="369"/>
      <c r="Q165" s="369"/>
      <c r="R165" s="369"/>
      <c r="S165" s="369"/>
      <c r="T165" s="370"/>
    </row>
    <row r="166" spans="1:20">
      <c r="A166" s="337"/>
      <c r="B166" s="338" t="s">
        <v>517</v>
      </c>
      <c r="C166" s="355"/>
      <c r="D166" s="355"/>
      <c r="E166" s="355"/>
      <c r="F166" s="336"/>
      <c r="G166" s="336"/>
      <c r="H166" s="336"/>
      <c r="I166" s="336">
        <f t="shared" si="8"/>
        <v>0</v>
      </c>
      <c r="K166" s="366"/>
      <c r="L166" s="367"/>
      <c r="M166" s="368"/>
      <c r="N166" s="368"/>
      <c r="O166" s="368"/>
      <c r="P166" s="369"/>
      <c r="Q166" s="369"/>
      <c r="R166" s="369"/>
      <c r="S166" s="369"/>
      <c r="T166" s="370"/>
    </row>
    <row r="167" spans="1:20">
      <c r="A167" s="337"/>
      <c r="B167" s="338" t="s">
        <v>518</v>
      </c>
      <c r="C167" s="355">
        <v>1</v>
      </c>
      <c r="D167" s="355"/>
      <c r="E167" s="355">
        <v>1</v>
      </c>
      <c r="F167" s="336">
        <v>43.8</v>
      </c>
      <c r="G167" s="336"/>
      <c r="H167" s="336">
        <v>4.5</v>
      </c>
      <c r="I167" s="336">
        <f t="shared" si="8"/>
        <v>197.1</v>
      </c>
      <c r="K167" s="366"/>
      <c r="L167" s="367"/>
      <c r="M167" s="368"/>
      <c r="N167" s="368"/>
      <c r="O167" s="368"/>
      <c r="P167" s="369"/>
      <c r="Q167" s="369"/>
      <c r="R167" s="369"/>
      <c r="S167" s="369"/>
      <c r="T167" s="370"/>
    </row>
    <row r="168" spans="1:20">
      <c r="A168" s="337"/>
      <c r="B168" s="338" t="s">
        <v>493</v>
      </c>
      <c r="C168" s="355">
        <v>1</v>
      </c>
      <c r="D168" s="355"/>
      <c r="E168" s="355">
        <v>1</v>
      </c>
      <c r="F168" s="336">
        <v>41.96</v>
      </c>
      <c r="G168" s="336"/>
      <c r="H168" s="336">
        <v>3.1</v>
      </c>
      <c r="I168" s="336">
        <f t="shared" si="8"/>
        <v>130.07599999999999</v>
      </c>
      <c r="K168" s="366"/>
      <c r="L168" s="367"/>
      <c r="M168" s="368"/>
      <c r="N168" s="368"/>
      <c r="O168" s="368"/>
      <c r="P168" s="369"/>
      <c r="Q168" s="369"/>
      <c r="R168" s="369"/>
      <c r="S168" s="369"/>
      <c r="T168" s="370"/>
    </row>
    <row r="169" spans="1:20">
      <c r="A169" s="337"/>
      <c r="B169" s="338" t="s">
        <v>519</v>
      </c>
      <c r="C169" s="355">
        <v>2</v>
      </c>
      <c r="D169" s="355"/>
      <c r="E169" s="355">
        <v>2</v>
      </c>
      <c r="F169" s="336">
        <v>0.5</v>
      </c>
      <c r="G169" s="336">
        <v>6.15</v>
      </c>
      <c r="H169" s="336">
        <v>0.45</v>
      </c>
      <c r="I169" s="336">
        <f t="shared" si="8"/>
        <v>5.5350000000000001</v>
      </c>
      <c r="K169" s="366"/>
      <c r="L169" s="367"/>
      <c r="M169" s="368"/>
      <c r="N169" s="368"/>
      <c r="O169" s="368"/>
      <c r="P169" s="369"/>
      <c r="Q169" s="369"/>
      <c r="R169" s="369"/>
      <c r="S169" s="369"/>
      <c r="T169" s="370"/>
    </row>
    <row r="170" spans="1:20">
      <c r="A170" s="337"/>
      <c r="B170" s="338" t="s">
        <v>505</v>
      </c>
      <c r="C170" s="355"/>
      <c r="D170" s="355"/>
      <c r="E170" s="355"/>
      <c r="F170" s="336"/>
      <c r="G170" s="336"/>
      <c r="H170" s="336"/>
      <c r="I170" s="336">
        <f t="shared" si="8"/>
        <v>0</v>
      </c>
      <c r="K170" s="366"/>
      <c r="L170" s="367"/>
      <c r="M170" s="368"/>
      <c r="N170" s="368"/>
      <c r="O170" s="368"/>
      <c r="P170" s="369"/>
      <c r="Q170" s="369"/>
      <c r="R170" s="369"/>
      <c r="S170" s="369"/>
      <c r="T170" s="370"/>
    </row>
    <row r="171" spans="1:20">
      <c r="A171" s="337"/>
      <c r="B171" s="338" t="s">
        <v>509</v>
      </c>
      <c r="C171" s="355">
        <v>1</v>
      </c>
      <c r="D171" s="355"/>
      <c r="E171" s="355">
        <v>8</v>
      </c>
      <c r="F171" s="336">
        <v>5.6</v>
      </c>
      <c r="G171" s="336"/>
      <c r="H171" s="336">
        <v>0.23</v>
      </c>
      <c r="I171" s="336">
        <f t="shared" si="8"/>
        <v>10.304</v>
      </c>
      <c r="K171" s="366"/>
      <c r="L171" s="367"/>
      <c r="M171" s="368"/>
      <c r="N171" s="368"/>
      <c r="O171" s="368"/>
      <c r="P171" s="369"/>
      <c r="Q171" s="369"/>
      <c r="R171" s="369"/>
      <c r="S171" s="369"/>
      <c r="T171" s="370"/>
    </row>
    <row r="172" spans="1:20">
      <c r="A172" s="337"/>
      <c r="B172" s="338" t="s">
        <v>489</v>
      </c>
      <c r="C172" s="355">
        <v>1</v>
      </c>
      <c r="D172" s="355"/>
      <c r="E172" s="355">
        <v>2</v>
      </c>
      <c r="F172" s="336">
        <v>6.25</v>
      </c>
      <c r="G172" s="336"/>
      <c r="H172" s="336">
        <v>0.23</v>
      </c>
      <c r="I172" s="336">
        <f t="shared" si="8"/>
        <v>2.875</v>
      </c>
      <c r="K172" s="366"/>
      <c r="L172" s="367"/>
      <c r="M172" s="368"/>
      <c r="N172" s="368"/>
      <c r="O172" s="368"/>
      <c r="P172" s="369"/>
      <c r="Q172" s="369"/>
      <c r="R172" s="369"/>
      <c r="S172" s="369"/>
      <c r="T172" s="370"/>
    </row>
    <row r="173" spans="1:20">
      <c r="A173" s="337"/>
      <c r="B173" s="338" t="s">
        <v>515</v>
      </c>
      <c r="C173" s="355"/>
      <c r="D173" s="355"/>
      <c r="E173" s="355"/>
      <c r="F173" s="336"/>
      <c r="G173" s="336"/>
      <c r="H173" s="336"/>
      <c r="I173" s="336">
        <f t="shared" si="8"/>
        <v>0</v>
      </c>
      <c r="K173" s="366"/>
      <c r="L173" s="367"/>
      <c r="M173" s="368"/>
      <c r="N173" s="368"/>
      <c r="O173" s="368"/>
      <c r="P173" s="369"/>
      <c r="Q173" s="369"/>
      <c r="R173" s="369"/>
      <c r="S173" s="369"/>
      <c r="T173" s="370"/>
    </row>
    <row r="174" spans="1:20">
      <c r="A174" s="337"/>
      <c r="B174" s="338" t="s">
        <v>509</v>
      </c>
      <c r="C174" s="355">
        <v>-1</v>
      </c>
      <c r="D174" s="355"/>
      <c r="E174" s="355">
        <v>8</v>
      </c>
      <c r="F174" s="336">
        <v>1.45</v>
      </c>
      <c r="G174" s="336">
        <v>1.35</v>
      </c>
      <c r="H174" s="336"/>
      <c r="I174" s="336">
        <f t="shared" si="8"/>
        <v>-15.66</v>
      </c>
      <c r="K174" s="366"/>
      <c r="L174" s="367"/>
      <c r="M174" s="368"/>
      <c r="N174" s="368"/>
      <c r="O174" s="368"/>
      <c r="P174" s="369"/>
      <c r="Q174" s="369"/>
      <c r="R174" s="369"/>
      <c r="S174" s="369"/>
      <c r="T174" s="370"/>
    </row>
    <row r="175" spans="1:20">
      <c r="A175" s="337"/>
      <c r="B175" s="338" t="s">
        <v>489</v>
      </c>
      <c r="C175" s="355">
        <v>-1</v>
      </c>
      <c r="D175" s="355"/>
      <c r="E175" s="355">
        <v>2</v>
      </c>
      <c r="F175" s="336">
        <v>1.64</v>
      </c>
      <c r="G175" s="336">
        <v>2.2999999999999998</v>
      </c>
      <c r="H175" s="336"/>
      <c r="I175" s="336">
        <f t="shared" si="8"/>
        <v>-7.5439999999999987</v>
      </c>
      <c r="K175" s="366"/>
      <c r="L175" s="367"/>
      <c r="M175" s="368"/>
      <c r="N175" s="368"/>
      <c r="O175" s="368"/>
      <c r="P175" s="369"/>
      <c r="Q175" s="369"/>
      <c r="R175" s="369"/>
      <c r="S175" s="369"/>
      <c r="T175" s="370"/>
    </row>
    <row r="176" spans="1:20">
      <c r="A176" s="337"/>
      <c r="B176" s="338" t="s">
        <v>521</v>
      </c>
      <c r="C176" s="355"/>
      <c r="D176" s="355"/>
      <c r="E176" s="355"/>
      <c r="F176" s="336"/>
      <c r="G176" s="336"/>
      <c r="H176" s="336"/>
      <c r="I176" s="336">
        <f t="shared" si="8"/>
        <v>0</v>
      </c>
      <c r="K176" s="366"/>
      <c r="L176" s="367"/>
      <c r="M176" s="368"/>
      <c r="N176" s="368"/>
      <c r="O176" s="368"/>
      <c r="P176" s="369"/>
      <c r="Q176" s="369"/>
      <c r="R176" s="369"/>
      <c r="S176" s="369"/>
      <c r="T176" s="370"/>
    </row>
    <row r="177" spans="1:256">
      <c r="A177" s="337"/>
      <c r="B177" s="338" t="s">
        <v>518</v>
      </c>
      <c r="C177" s="355">
        <v>1</v>
      </c>
      <c r="D177" s="355"/>
      <c r="E177" s="355">
        <v>1</v>
      </c>
      <c r="F177" s="336">
        <v>31.9</v>
      </c>
      <c r="G177" s="336"/>
      <c r="H177" s="336">
        <v>1.5</v>
      </c>
      <c r="I177" s="336">
        <f t="shared" si="8"/>
        <v>47.849999999999994</v>
      </c>
      <c r="K177" s="366"/>
      <c r="L177" s="367"/>
      <c r="M177" s="368"/>
      <c r="N177" s="368"/>
      <c r="O177" s="368"/>
      <c r="P177" s="369"/>
      <c r="Q177" s="369"/>
      <c r="R177" s="369"/>
      <c r="S177" s="369"/>
      <c r="T177" s="370"/>
    </row>
    <row r="178" spans="1:256">
      <c r="A178" s="337"/>
      <c r="B178" s="338" t="s">
        <v>522</v>
      </c>
      <c r="C178" s="355">
        <v>2</v>
      </c>
      <c r="D178" s="355"/>
      <c r="E178" s="355">
        <v>2</v>
      </c>
      <c r="F178" s="336">
        <v>3</v>
      </c>
      <c r="G178" s="336"/>
      <c r="H178" s="336">
        <v>3.3</v>
      </c>
      <c r="I178" s="336">
        <f t="shared" si="8"/>
        <v>39.599999999999994</v>
      </c>
      <c r="K178" s="366"/>
      <c r="L178" s="367"/>
      <c r="M178" s="368"/>
      <c r="N178" s="368"/>
      <c r="O178" s="368"/>
      <c r="P178" s="369"/>
      <c r="Q178" s="369"/>
      <c r="R178" s="369"/>
      <c r="S178" s="369"/>
      <c r="T178" s="370"/>
    </row>
    <row r="179" spans="1:256">
      <c r="A179" s="337"/>
      <c r="B179" s="338" t="s">
        <v>523</v>
      </c>
      <c r="C179" s="355">
        <v>1</v>
      </c>
      <c r="D179" s="355"/>
      <c r="E179" s="355">
        <v>2</v>
      </c>
      <c r="F179" s="336">
        <v>31.9</v>
      </c>
      <c r="G179" s="336">
        <v>0.23</v>
      </c>
      <c r="H179" s="336"/>
      <c r="I179" s="336">
        <f t="shared" si="8"/>
        <v>14.673999999999999</v>
      </c>
      <c r="K179" s="366"/>
      <c r="L179" s="367"/>
      <c r="M179" s="368"/>
      <c r="N179" s="368"/>
      <c r="O179" s="368"/>
      <c r="P179" s="369"/>
      <c r="Q179" s="369"/>
      <c r="R179" s="369"/>
      <c r="S179" s="369"/>
      <c r="T179" s="370"/>
    </row>
    <row r="180" spans="1:256">
      <c r="A180" s="337"/>
      <c r="B180" s="338" t="s">
        <v>524</v>
      </c>
      <c r="C180" s="355">
        <v>1</v>
      </c>
      <c r="D180" s="355"/>
      <c r="E180" s="355">
        <v>2</v>
      </c>
      <c r="F180" s="336">
        <v>15.5</v>
      </c>
      <c r="G180" s="336"/>
      <c r="H180" s="336">
        <v>3.3</v>
      </c>
      <c r="I180" s="336">
        <f t="shared" si="8"/>
        <v>102.3</v>
      </c>
      <c r="K180" s="366"/>
      <c r="L180" s="367"/>
      <c r="M180" s="368"/>
      <c r="N180" s="368"/>
      <c r="O180" s="368"/>
      <c r="P180" s="369"/>
      <c r="Q180" s="369"/>
      <c r="R180" s="369"/>
      <c r="S180" s="369"/>
      <c r="T180" s="370"/>
    </row>
    <row r="181" spans="1:256">
      <c r="A181" s="337"/>
      <c r="B181" s="338" t="s">
        <v>525</v>
      </c>
      <c r="C181" s="355">
        <v>1</v>
      </c>
      <c r="D181" s="355"/>
      <c r="E181" s="355">
        <v>1</v>
      </c>
      <c r="F181" s="336">
        <v>30.06</v>
      </c>
      <c r="G181" s="336"/>
      <c r="H181" s="336">
        <v>1.65</v>
      </c>
      <c r="I181" s="336">
        <f t="shared" si="8"/>
        <v>49.598999999999997</v>
      </c>
      <c r="K181" s="366"/>
      <c r="L181" s="367"/>
      <c r="M181" s="368"/>
      <c r="N181" s="368"/>
      <c r="O181" s="368"/>
      <c r="P181" s="369"/>
      <c r="Q181" s="369"/>
      <c r="R181" s="369"/>
      <c r="S181" s="369"/>
      <c r="T181" s="370"/>
    </row>
    <row r="182" spans="1:256">
      <c r="A182" s="353"/>
      <c r="B182" s="354"/>
      <c r="C182" s="355"/>
      <c r="D182" s="355"/>
      <c r="E182" s="355"/>
      <c r="F182" s="356"/>
      <c r="G182" s="356"/>
      <c r="H182" s="356"/>
      <c r="I182" s="336">
        <f>SUM(I49:I181)</f>
        <v>4999.5935000000054</v>
      </c>
      <c r="J182" s="358"/>
      <c r="K182" s="359"/>
      <c r="L182" s="359"/>
      <c r="M182" s="359"/>
      <c r="N182" s="359"/>
      <c r="O182" s="359"/>
      <c r="P182" s="359"/>
      <c r="Q182" s="359"/>
      <c r="R182" s="359"/>
      <c r="S182" s="359"/>
      <c r="T182" s="359"/>
      <c r="U182" s="359"/>
      <c r="V182" s="359"/>
      <c r="W182" s="359"/>
      <c r="X182" s="359"/>
      <c r="Y182" s="359"/>
      <c r="Z182" s="359"/>
      <c r="AA182" s="359"/>
      <c r="AB182" s="359"/>
      <c r="AC182" s="359"/>
      <c r="AD182" s="359"/>
      <c r="AE182" s="359"/>
      <c r="AF182" s="359"/>
      <c r="AG182" s="359"/>
      <c r="AH182" s="359"/>
      <c r="AI182" s="359"/>
      <c r="AJ182" s="359"/>
      <c r="AK182" s="359"/>
      <c r="AL182" s="359"/>
      <c r="AM182" s="359"/>
      <c r="AN182" s="359"/>
      <c r="AO182" s="359"/>
      <c r="AP182" s="359"/>
      <c r="AQ182" s="359"/>
      <c r="AR182" s="359"/>
      <c r="AS182" s="359"/>
      <c r="AT182" s="359"/>
      <c r="AU182" s="359"/>
      <c r="AV182" s="359"/>
      <c r="AW182" s="359"/>
      <c r="AX182" s="359"/>
      <c r="AY182" s="359"/>
      <c r="AZ182" s="359"/>
      <c r="BA182" s="359"/>
      <c r="BB182" s="359"/>
      <c r="BC182" s="359"/>
      <c r="BD182" s="359"/>
      <c r="BE182" s="359"/>
      <c r="BF182" s="359"/>
      <c r="BG182" s="359"/>
      <c r="BH182" s="359"/>
      <c r="BI182" s="359"/>
      <c r="BJ182" s="359"/>
      <c r="BK182" s="359"/>
      <c r="BL182" s="359"/>
      <c r="BM182" s="359"/>
      <c r="BN182" s="359"/>
      <c r="BO182" s="359"/>
      <c r="BP182" s="359"/>
      <c r="BQ182" s="359"/>
      <c r="BR182" s="359"/>
      <c r="BS182" s="359"/>
      <c r="BT182" s="359"/>
      <c r="BU182" s="359"/>
      <c r="BV182" s="359"/>
      <c r="BW182" s="359"/>
      <c r="BX182" s="359"/>
      <c r="BY182" s="359"/>
      <c r="BZ182" s="359"/>
      <c r="CA182" s="359"/>
      <c r="CB182" s="359"/>
      <c r="CC182" s="359"/>
      <c r="CD182" s="359"/>
      <c r="CE182" s="359"/>
      <c r="CF182" s="359"/>
      <c r="CG182" s="359"/>
      <c r="CH182" s="359"/>
      <c r="CI182" s="359"/>
      <c r="CJ182" s="359"/>
      <c r="CK182" s="359"/>
      <c r="CL182" s="359"/>
      <c r="CM182" s="359"/>
      <c r="CN182" s="359"/>
      <c r="CO182" s="359"/>
      <c r="CP182" s="359"/>
      <c r="CQ182" s="359"/>
      <c r="CR182" s="359"/>
      <c r="CS182" s="359"/>
      <c r="CT182" s="359"/>
      <c r="CU182" s="359"/>
      <c r="CV182" s="359"/>
      <c r="CW182" s="359"/>
      <c r="CX182" s="359"/>
      <c r="CY182" s="359"/>
      <c r="CZ182" s="359"/>
      <c r="DA182" s="359"/>
      <c r="DB182" s="359"/>
      <c r="DC182" s="359"/>
      <c r="DD182" s="359"/>
      <c r="DE182" s="359"/>
      <c r="DF182" s="359"/>
      <c r="DG182" s="359"/>
      <c r="DH182" s="359"/>
      <c r="DI182" s="359"/>
      <c r="DJ182" s="359"/>
      <c r="DK182" s="359"/>
      <c r="DL182" s="359"/>
      <c r="DM182" s="359"/>
      <c r="DN182" s="359"/>
      <c r="DO182" s="359"/>
      <c r="DP182" s="359"/>
      <c r="DQ182" s="359"/>
      <c r="DR182" s="359"/>
      <c r="DS182" s="359"/>
      <c r="DT182" s="359"/>
      <c r="DU182" s="359"/>
      <c r="DV182" s="359"/>
      <c r="DW182" s="359"/>
      <c r="DX182" s="359"/>
      <c r="DY182" s="359"/>
      <c r="DZ182" s="359"/>
      <c r="EA182" s="359"/>
      <c r="EB182" s="359"/>
      <c r="EC182" s="359"/>
      <c r="ED182" s="359"/>
      <c r="EE182" s="359"/>
      <c r="EF182" s="359"/>
      <c r="EG182" s="359"/>
      <c r="EH182" s="359"/>
      <c r="EI182" s="359"/>
      <c r="EJ182" s="359"/>
      <c r="EK182" s="359"/>
      <c r="EL182" s="359"/>
      <c r="EM182" s="359"/>
      <c r="EN182" s="359"/>
      <c r="EO182" s="359"/>
      <c r="EP182" s="359"/>
      <c r="EQ182" s="359"/>
      <c r="ER182" s="359"/>
      <c r="ES182" s="359"/>
      <c r="ET182" s="359"/>
      <c r="EU182" s="359"/>
      <c r="EV182" s="359"/>
      <c r="EW182" s="359"/>
      <c r="EX182" s="359"/>
      <c r="EY182" s="359"/>
      <c r="EZ182" s="359"/>
      <c r="FA182" s="359"/>
      <c r="FB182" s="359"/>
      <c r="FC182" s="359"/>
      <c r="FD182" s="359"/>
      <c r="FE182" s="359"/>
      <c r="FF182" s="359"/>
      <c r="FG182" s="359"/>
      <c r="FH182" s="359"/>
      <c r="FI182" s="359"/>
      <c r="FJ182" s="359"/>
      <c r="FK182" s="359"/>
      <c r="FL182" s="359"/>
      <c r="FM182" s="359"/>
      <c r="FN182" s="359"/>
      <c r="FO182" s="359"/>
      <c r="FP182" s="359"/>
      <c r="FQ182" s="359"/>
      <c r="FR182" s="359"/>
      <c r="FS182" s="359"/>
      <c r="FT182" s="359"/>
      <c r="FU182" s="359"/>
      <c r="FV182" s="359"/>
      <c r="FW182" s="359"/>
      <c r="FX182" s="359"/>
      <c r="FY182" s="359"/>
      <c r="FZ182" s="359"/>
      <c r="GA182" s="359"/>
      <c r="GB182" s="359"/>
      <c r="GC182" s="359"/>
      <c r="GD182" s="359"/>
      <c r="GE182" s="359"/>
      <c r="GF182" s="359"/>
      <c r="GG182" s="359"/>
      <c r="GH182" s="359"/>
      <c r="GI182" s="359"/>
      <c r="GJ182" s="359"/>
      <c r="GK182" s="359"/>
      <c r="GL182" s="359"/>
      <c r="GM182" s="359"/>
      <c r="GN182" s="359"/>
      <c r="GO182" s="359"/>
      <c r="GP182" s="359"/>
      <c r="GQ182" s="359"/>
      <c r="GR182" s="359"/>
      <c r="GS182" s="359"/>
      <c r="GT182" s="359"/>
      <c r="GU182" s="359"/>
      <c r="GV182" s="359"/>
      <c r="GW182" s="359"/>
      <c r="GX182" s="359"/>
      <c r="GY182" s="359"/>
      <c r="GZ182" s="359"/>
      <c r="HA182" s="359"/>
      <c r="HB182" s="359"/>
      <c r="HC182" s="359"/>
      <c r="HD182" s="359"/>
      <c r="HE182" s="359"/>
      <c r="HF182" s="359"/>
      <c r="HG182" s="359"/>
      <c r="HH182" s="359"/>
      <c r="HI182" s="359"/>
      <c r="HJ182" s="359"/>
      <c r="HK182" s="359"/>
      <c r="HL182" s="359"/>
      <c r="HM182" s="359"/>
      <c r="HN182" s="359"/>
      <c r="HO182" s="359"/>
      <c r="HP182" s="359"/>
      <c r="HQ182" s="359"/>
      <c r="HR182" s="359"/>
      <c r="HS182" s="359"/>
      <c r="HT182" s="359"/>
      <c r="HU182" s="359"/>
      <c r="HV182" s="359"/>
      <c r="HW182" s="359"/>
      <c r="HX182" s="359"/>
      <c r="HY182" s="359"/>
      <c r="HZ182" s="359"/>
      <c r="IA182" s="359"/>
      <c r="IB182" s="359"/>
      <c r="IC182" s="359"/>
      <c r="ID182" s="359"/>
      <c r="IE182" s="359"/>
      <c r="IF182" s="359"/>
      <c r="IG182" s="359"/>
      <c r="IH182" s="359"/>
      <c r="II182" s="359"/>
      <c r="IJ182" s="359"/>
      <c r="IK182" s="359"/>
      <c r="IL182" s="359"/>
      <c r="IM182" s="359"/>
      <c r="IN182" s="359"/>
      <c r="IO182" s="359"/>
      <c r="IP182" s="359"/>
      <c r="IQ182" s="359"/>
      <c r="IR182" s="359"/>
      <c r="IS182" s="359"/>
      <c r="IT182" s="359"/>
      <c r="IU182" s="359"/>
      <c r="IV182" s="359"/>
    </row>
    <row r="183" spans="1:256">
      <c r="A183" s="353"/>
      <c r="B183" s="354"/>
      <c r="C183" s="355"/>
      <c r="D183" s="355"/>
      <c r="E183" s="355"/>
      <c r="F183" s="356"/>
      <c r="G183" s="356"/>
      <c r="H183" s="371" t="s">
        <v>491</v>
      </c>
      <c r="I183" s="345">
        <v>5000</v>
      </c>
      <c r="J183" s="372" t="s">
        <v>289</v>
      </c>
      <c r="K183" s="359"/>
      <c r="L183" s="359"/>
      <c r="M183" s="359"/>
      <c r="N183" s="359"/>
      <c r="O183" s="359"/>
      <c r="P183" s="359"/>
      <c r="Q183" s="359"/>
      <c r="R183" s="359"/>
      <c r="S183" s="359"/>
      <c r="T183" s="359"/>
      <c r="U183" s="359"/>
      <c r="V183" s="359"/>
      <c r="W183" s="359"/>
      <c r="X183" s="359"/>
      <c r="Y183" s="359"/>
      <c r="Z183" s="359"/>
      <c r="AA183" s="359"/>
      <c r="AB183" s="359"/>
      <c r="AC183" s="359"/>
      <c r="AD183" s="359"/>
      <c r="AE183" s="359"/>
      <c r="AF183" s="359"/>
      <c r="AG183" s="359"/>
      <c r="AH183" s="359"/>
      <c r="AI183" s="359"/>
      <c r="AJ183" s="359"/>
      <c r="AK183" s="359"/>
      <c r="AL183" s="359"/>
      <c r="AM183" s="359"/>
      <c r="AN183" s="359"/>
      <c r="AO183" s="359"/>
      <c r="AP183" s="359"/>
      <c r="AQ183" s="359"/>
      <c r="AR183" s="359"/>
      <c r="AS183" s="359"/>
      <c r="AT183" s="359"/>
      <c r="AU183" s="359"/>
      <c r="AV183" s="359"/>
      <c r="AW183" s="359"/>
      <c r="AX183" s="359"/>
      <c r="AY183" s="359"/>
      <c r="AZ183" s="359"/>
      <c r="BA183" s="359"/>
      <c r="BB183" s="359"/>
      <c r="BC183" s="359"/>
      <c r="BD183" s="359"/>
      <c r="BE183" s="359"/>
      <c r="BF183" s="359"/>
      <c r="BG183" s="359"/>
      <c r="BH183" s="359"/>
      <c r="BI183" s="359"/>
      <c r="BJ183" s="359"/>
      <c r="BK183" s="359"/>
      <c r="BL183" s="359"/>
      <c r="BM183" s="359"/>
      <c r="BN183" s="359"/>
      <c r="BO183" s="359"/>
      <c r="BP183" s="359"/>
      <c r="BQ183" s="359"/>
      <c r="BR183" s="359"/>
      <c r="BS183" s="359"/>
      <c r="BT183" s="359"/>
      <c r="BU183" s="359"/>
      <c r="BV183" s="359"/>
      <c r="BW183" s="359"/>
      <c r="BX183" s="359"/>
      <c r="BY183" s="359"/>
      <c r="BZ183" s="359"/>
      <c r="CA183" s="359"/>
      <c r="CB183" s="359"/>
      <c r="CC183" s="359"/>
      <c r="CD183" s="359"/>
      <c r="CE183" s="359"/>
      <c r="CF183" s="359"/>
      <c r="CG183" s="359"/>
      <c r="CH183" s="359"/>
      <c r="CI183" s="359"/>
      <c r="CJ183" s="359"/>
      <c r="CK183" s="359"/>
      <c r="CL183" s="359"/>
      <c r="CM183" s="359"/>
      <c r="CN183" s="359"/>
      <c r="CO183" s="359"/>
      <c r="CP183" s="359"/>
      <c r="CQ183" s="359"/>
      <c r="CR183" s="359"/>
      <c r="CS183" s="359"/>
      <c r="CT183" s="359"/>
      <c r="CU183" s="359"/>
      <c r="CV183" s="359"/>
      <c r="CW183" s="359"/>
      <c r="CX183" s="359"/>
      <c r="CY183" s="359"/>
      <c r="CZ183" s="359"/>
      <c r="DA183" s="359"/>
      <c r="DB183" s="359"/>
      <c r="DC183" s="359"/>
      <c r="DD183" s="359"/>
      <c r="DE183" s="359"/>
      <c r="DF183" s="359"/>
      <c r="DG183" s="359"/>
      <c r="DH183" s="359"/>
      <c r="DI183" s="359"/>
      <c r="DJ183" s="359"/>
      <c r="DK183" s="359"/>
      <c r="DL183" s="359"/>
      <c r="DM183" s="359"/>
      <c r="DN183" s="359"/>
      <c r="DO183" s="359"/>
      <c r="DP183" s="359"/>
      <c r="DQ183" s="359"/>
      <c r="DR183" s="359"/>
      <c r="DS183" s="359"/>
      <c r="DT183" s="359"/>
      <c r="DU183" s="359"/>
      <c r="DV183" s="359"/>
      <c r="DW183" s="359"/>
      <c r="DX183" s="359"/>
      <c r="DY183" s="359"/>
      <c r="DZ183" s="359"/>
      <c r="EA183" s="359"/>
      <c r="EB183" s="359"/>
      <c r="EC183" s="359"/>
      <c r="ED183" s="359"/>
      <c r="EE183" s="359"/>
      <c r="EF183" s="359"/>
      <c r="EG183" s="359"/>
      <c r="EH183" s="359"/>
      <c r="EI183" s="359"/>
      <c r="EJ183" s="359"/>
      <c r="EK183" s="359"/>
      <c r="EL183" s="359"/>
      <c r="EM183" s="359"/>
      <c r="EN183" s="359"/>
      <c r="EO183" s="359"/>
      <c r="EP183" s="359"/>
      <c r="EQ183" s="359"/>
      <c r="ER183" s="359"/>
      <c r="ES183" s="359"/>
      <c r="ET183" s="359"/>
      <c r="EU183" s="359"/>
      <c r="EV183" s="359"/>
      <c r="EW183" s="359"/>
      <c r="EX183" s="359"/>
      <c r="EY183" s="359"/>
      <c r="EZ183" s="359"/>
      <c r="FA183" s="359"/>
      <c r="FB183" s="359"/>
      <c r="FC183" s="359"/>
      <c r="FD183" s="359"/>
      <c r="FE183" s="359"/>
      <c r="FF183" s="359"/>
      <c r="FG183" s="359"/>
      <c r="FH183" s="359"/>
      <c r="FI183" s="359"/>
      <c r="FJ183" s="359"/>
      <c r="FK183" s="359"/>
      <c r="FL183" s="359"/>
      <c r="FM183" s="359"/>
      <c r="FN183" s="359"/>
      <c r="FO183" s="359"/>
      <c r="FP183" s="359"/>
      <c r="FQ183" s="359"/>
      <c r="FR183" s="359"/>
      <c r="FS183" s="359"/>
      <c r="FT183" s="359"/>
      <c r="FU183" s="359"/>
      <c r="FV183" s="359"/>
      <c r="FW183" s="359"/>
      <c r="FX183" s="359"/>
      <c r="FY183" s="359"/>
      <c r="FZ183" s="359"/>
      <c r="GA183" s="359"/>
      <c r="GB183" s="359"/>
      <c r="GC183" s="359"/>
      <c r="GD183" s="359"/>
      <c r="GE183" s="359"/>
      <c r="GF183" s="359"/>
      <c r="GG183" s="359"/>
      <c r="GH183" s="359"/>
      <c r="GI183" s="359"/>
      <c r="GJ183" s="359"/>
      <c r="GK183" s="359"/>
      <c r="GL183" s="359"/>
      <c r="GM183" s="359"/>
      <c r="GN183" s="359"/>
      <c r="GO183" s="359"/>
      <c r="GP183" s="359"/>
      <c r="GQ183" s="359"/>
      <c r="GR183" s="359"/>
      <c r="GS183" s="359"/>
      <c r="GT183" s="359"/>
      <c r="GU183" s="359"/>
      <c r="GV183" s="359"/>
      <c r="GW183" s="359"/>
      <c r="GX183" s="359"/>
      <c r="GY183" s="359"/>
      <c r="GZ183" s="359"/>
      <c r="HA183" s="359"/>
      <c r="HB183" s="359"/>
      <c r="HC183" s="359"/>
      <c r="HD183" s="359"/>
      <c r="HE183" s="359"/>
      <c r="HF183" s="359"/>
      <c r="HG183" s="359"/>
      <c r="HH183" s="359"/>
      <c r="HI183" s="359"/>
      <c r="HJ183" s="359"/>
      <c r="HK183" s="359"/>
      <c r="HL183" s="359"/>
      <c r="HM183" s="359"/>
      <c r="HN183" s="359"/>
      <c r="HO183" s="359"/>
      <c r="HP183" s="359"/>
      <c r="HQ183" s="359"/>
      <c r="HR183" s="359"/>
      <c r="HS183" s="359"/>
      <c r="HT183" s="359"/>
      <c r="HU183" s="359"/>
      <c r="HV183" s="359"/>
      <c r="HW183" s="359"/>
      <c r="HX183" s="359"/>
      <c r="HY183" s="359"/>
      <c r="HZ183" s="359"/>
      <c r="IA183" s="359"/>
      <c r="IB183" s="359"/>
      <c r="IC183" s="359"/>
      <c r="ID183" s="359"/>
      <c r="IE183" s="359"/>
      <c r="IF183" s="359"/>
      <c r="IG183" s="359"/>
      <c r="IH183" s="359"/>
      <c r="II183" s="359"/>
      <c r="IJ183" s="359"/>
      <c r="IK183" s="359"/>
      <c r="IL183" s="359"/>
      <c r="IM183" s="359"/>
      <c r="IN183" s="359"/>
      <c r="IO183" s="359"/>
      <c r="IP183" s="359"/>
      <c r="IQ183" s="359"/>
      <c r="IR183" s="359"/>
      <c r="IS183" s="359"/>
      <c r="IT183" s="359"/>
      <c r="IU183" s="359"/>
      <c r="IV183" s="359"/>
    </row>
    <row r="184" spans="1:256">
      <c r="A184" s="353"/>
      <c r="B184" s="354"/>
      <c r="C184" s="355"/>
      <c r="D184" s="355"/>
      <c r="E184" s="355"/>
      <c r="F184" s="356"/>
      <c r="G184" s="356"/>
      <c r="H184" s="356"/>
      <c r="I184" s="336"/>
      <c r="J184" s="358"/>
      <c r="K184" s="359"/>
      <c r="L184" s="359"/>
      <c r="M184" s="359"/>
      <c r="N184" s="359"/>
      <c r="O184" s="359"/>
      <c r="P184" s="359"/>
      <c r="Q184" s="359"/>
      <c r="R184" s="359"/>
      <c r="S184" s="359"/>
      <c r="T184" s="359"/>
      <c r="U184" s="359"/>
      <c r="V184" s="359"/>
      <c r="W184" s="359"/>
      <c r="X184" s="359"/>
      <c r="Y184" s="359"/>
      <c r="Z184" s="359"/>
      <c r="AA184" s="359"/>
      <c r="AB184" s="359"/>
      <c r="AC184" s="359"/>
      <c r="AD184" s="359"/>
      <c r="AE184" s="359"/>
      <c r="AF184" s="359"/>
      <c r="AG184" s="359"/>
      <c r="AH184" s="359"/>
      <c r="AI184" s="359"/>
      <c r="AJ184" s="359"/>
      <c r="AK184" s="359"/>
      <c r="AL184" s="359"/>
      <c r="AM184" s="359"/>
      <c r="AN184" s="359"/>
      <c r="AO184" s="359"/>
      <c r="AP184" s="359"/>
      <c r="AQ184" s="359"/>
      <c r="AR184" s="359"/>
      <c r="AS184" s="359"/>
      <c r="AT184" s="359"/>
      <c r="AU184" s="359"/>
      <c r="AV184" s="359"/>
      <c r="AW184" s="359"/>
      <c r="AX184" s="359"/>
      <c r="AY184" s="359"/>
      <c r="AZ184" s="359"/>
      <c r="BA184" s="359"/>
      <c r="BB184" s="359"/>
      <c r="BC184" s="359"/>
      <c r="BD184" s="359"/>
      <c r="BE184" s="359"/>
      <c r="BF184" s="359"/>
      <c r="BG184" s="359"/>
      <c r="BH184" s="359"/>
      <c r="BI184" s="359"/>
      <c r="BJ184" s="359"/>
      <c r="BK184" s="359"/>
      <c r="BL184" s="359"/>
      <c r="BM184" s="359"/>
      <c r="BN184" s="359"/>
      <c r="BO184" s="359"/>
      <c r="BP184" s="359"/>
      <c r="BQ184" s="359"/>
      <c r="BR184" s="359"/>
      <c r="BS184" s="359"/>
      <c r="BT184" s="359"/>
      <c r="BU184" s="359"/>
      <c r="BV184" s="359"/>
      <c r="BW184" s="359"/>
      <c r="BX184" s="359"/>
      <c r="BY184" s="359"/>
      <c r="BZ184" s="359"/>
      <c r="CA184" s="359"/>
      <c r="CB184" s="359"/>
      <c r="CC184" s="359"/>
      <c r="CD184" s="359"/>
      <c r="CE184" s="359"/>
      <c r="CF184" s="359"/>
      <c r="CG184" s="359"/>
      <c r="CH184" s="359"/>
      <c r="CI184" s="359"/>
      <c r="CJ184" s="359"/>
      <c r="CK184" s="359"/>
      <c r="CL184" s="359"/>
      <c r="CM184" s="359"/>
      <c r="CN184" s="359"/>
      <c r="CO184" s="359"/>
      <c r="CP184" s="359"/>
      <c r="CQ184" s="359"/>
      <c r="CR184" s="359"/>
      <c r="CS184" s="359"/>
      <c r="CT184" s="359"/>
      <c r="CU184" s="359"/>
      <c r="CV184" s="359"/>
      <c r="CW184" s="359"/>
      <c r="CX184" s="359"/>
      <c r="CY184" s="359"/>
      <c r="CZ184" s="359"/>
      <c r="DA184" s="359"/>
      <c r="DB184" s="359"/>
      <c r="DC184" s="359"/>
      <c r="DD184" s="359"/>
      <c r="DE184" s="359"/>
      <c r="DF184" s="359"/>
      <c r="DG184" s="359"/>
      <c r="DH184" s="359"/>
      <c r="DI184" s="359"/>
      <c r="DJ184" s="359"/>
      <c r="DK184" s="359"/>
      <c r="DL184" s="359"/>
      <c r="DM184" s="359"/>
      <c r="DN184" s="359"/>
      <c r="DO184" s="359"/>
      <c r="DP184" s="359"/>
      <c r="DQ184" s="359"/>
      <c r="DR184" s="359"/>
      <c r="DS184" s="359"/>
      <c r="DT184" s="359"/>
      <c r="DU184" s="359"/>
      <c r="DV184" s="359"/>
      <c r="DW184" s="359"/>
      <c r="DX184" s="359"/>
      <c r="DY184" s="359"/>
      <c r="DZ184" s="359"/>
      <c r="EA184" s="359"/>
      <c r="EB184" s="359"/>
      <c r="EC184" s="359"/>
      <c r="ED184" s="359"/>
      <c r="EE184" s="359"/>
      <c r="EF184" s="359"/>
      <c r="EG184" s="359"/>
      <c r="EH184" s="359"/>
      <c r="EI184" s="359"/>
      <c r="EJ184" s="359"/>
      <c r="EK184" s="359"/>
      <c r="EL184" s="359"/>
      <c r="EM184" s="359"/>
      <c r="EN184" s="359"/>
      <c r="EO184" s="359"/>
      <c r="EP184" s="359"/>
      <c r="EQ184" s="359"/>
      <c r="ER184" s="359"/>
      <c r="ES184" s="359"/>
      <c r="ET184" s="359"/>
      <c r="EU184" s="359"/>
      <c r="EV184" s="359"/>
      <c r="EW184" s="359"/>
      <c r="EX184" s="359"/>
      <c r="EY184" s="359"/>
      <c r="EZ184" s="359"/>
      <c r="FA184" s="359"/>
      <c r="FB184" s="359"/>
      <c r="FC184" s="359"/>
      <c r="FD184" s="359"/>
      <c r="FE184" s="359"/>
      <c r="FF184" s="359"/>
      <c r="FG184" s="359"/>
      <c r="FH184" s="359"/>
      <c r="FI184" s="359"/>
      <c r="FJ184" s="359"/>
      <c r="FK184" s="359"/>
      <c r="FL184" s="359"/>
      <c r="FM184" s="359"/>
      <c r="FN184" s="359"/>
      <c r="FO184" s="359"/>
      <c r="FP184" s="359"/>
      <c r="FQ184" s="359"/>
      <c r="FR184" s="359"/>
      <c r="FS184" s="359"/>
      <c r="FT184" s="359"/>
      <c r="FU184" s="359"/>
      <c r="FV184" s="359"/>
      <c r="FW184" s="359"/>
      <c r="FX184" s="359"/>
      <c r="FY184" s="359"/>
      <c r="FZ184" s="359"/>
      <c r="GA184" s="359"/>
      <c r="GB184" s="359"/>
      <c r="GC184" s="359"/>
      <c r="GD184" s="359"/>
      <c r="GE184" s="359"/>
      <c r="GF184" s="359"/>
      <c r="GG184" s="359"/>
      <c r="GH184" s="359"/>
      <c r="GI184" s="359"/>
      <c r="GJ184" s="359"/>
      <c r="GK184" s="359"/>
      <c r="GL184" s="359"/>
      <c r="GM184" s="359"/>
      <c r="GN184" s="359"/>
      <c r="GO184" s="359"/>
      <c r="GP184" s="359"/>
      <c r="GQ184" s="359"/>
      <c r="GR184" s="359"/>
      <c r="GS184" s="359"/>
      <c r="GT184" s="359"/>
      <c r="GU184" s="359"/>
      <c r="GV184" s="359"/>
      <c r="GW184" s="359"/>
      <c r="GX184" s="359"/>
      <c r="GY184" s="359"/>
      <c r="GZ184" s="359"/>
      <c r="HA184" s="359"/>
      <c r="HB184" s="359"/>
      <c r="HC184" s="359"/>
      <c r="HD184" s="359"/>
      <c r="HE184" s="359"/>
      <c r="HF184" s="359"/>
      <c r="HG184" s="359"/>
      <c r="HH184" s="359"/>
      <c r="HI184" s="359"/>
      <c r="HJ184" s="359"/>
      <c r="HK184" s="359"/>
      <c r="HL184" s="359"/>
      <c r="HM184" s="359"/>
      <c r="HN184" s="359"/>
      <c r="HO184" s="359"/>
      <c r="HP184" s="359"/>
      <c r="HQ184" s="359"/>
      <c r="HR184" s="359"/>
      <c r="HS184" s="359"/>
      <c r="HT184" s="359"/>
      <c r="HU184" s="359"/>
      <c r="HV184" s="359"/>
      <c r="HW184" s="359"/>
      <c r="HX184" s="359"/>
      <c r="HY184" s="359"/>
      <c r="HZ184" s="359"/>
      <c r="IA184" s="359"/>
      <c r="IB184" s="359"/>
      <c r="IC184" s="359"/>
      <c r="ID184" s="359"/>
      <c r="IE184" s="359"/>
      <c r="IF184" s="359"/>
      <c r="IG184" s="359"/>
      <c r="IH184" s="359"/>
      <c r="II184" s="359"/>
      <c r="IJ184" s="359"/>
      <c r="IK184" s="359"/>
      <c r="IL184" s="359"/>
      <c r="IM184" s="359"/>
      <c r="IN184" s="359"/>
      <c r="IO184" s="359"/>
      <c r="IP184" s="359"/>
      <c r="IQ184" s="359"/>
      <c r="IR184" s="359"/>
      <c r="IS184" s="359"/>
      <c r="IT184" s="359"/>
      <c r="IU184" s="359"/>
      <c r="IV184" s="359"/>
    </row>
    <row r="185" spans="1:256">
      <c r="A185" s="353"/>
      <c r="B185" s="354"/>
      <c r="C185" s="355"/>
      <c r="D185" s="355"/>
      <c r="E185" s="355"/>
      <c r="F185" s="356"/>
      <c r="G185" s="356"/>
      <c r="H185" s="356"/>
      <c r="I185" s="336"/>
      <c r="J185" s="358"/>
      <c r="K185" s="359"/>
      <c r="L185" s="359"/>
      <c r="M185" s="359"/>
      <c r="N185" s="359"/>
      <c r="O185" s="359"/>
      <c r="P185" s="359"/>
      <c r="Q185" s="359"/>
      <c r="R185" s="359"/>
      <c r="S185" s="359"/>
      <c r="T185" s="359"/>
      <c r="U185" s="359"/>
      <c r="V185" s="359"/>
      <c r="W185" s="359"/>
      <c r="X185" s="359"/>
      <c r="Y185" s="359"/>
      <c r="Z185" s="359"/>
      <c r="AA185" s="359"/>
      <c r="AB185" s="359"/>
      <c r="AC185" s="359"/>
      <c r="AD185" s="359"/>
      <c r="AE185" s="359"/>
      <c r="AF185" s="359"/>
      <c r="AG185" s="359"/>
      <c r="AH185" s="359"/>
      <c r="AI185" s="359"/>
      <c r="AJ185" s="359"/>
      <c r="AK185" s="359"/>
      <c r="AL185" s="359"/>
      <c r="AM185" s="359"/>
      <c r="AN185" s="359"/>
      <c r="AO185" s="359"/>
      <c r="AP185" s="359"/>
      <c r="AQ185" s="359"/>
      <c r="AR185" s="359"/>
      <c r="AS185" s="359"/>
      <c r="AT185" s="359"/>
      <c r="AU185" s="359"/>
      <c r="AV185" s="359"/>
      <c r="AW185" s="359"/>
      <c r="AX185" s="359"/>
      <c r="AY185" s="359"/>
      <c r="AZ185" s="359"/>
      <c r="BA185" s="359"/>
      <c r="BB185" s="359"/>
      <c r="BC185" s="359"/>
      <c r="BD185" s="359"/>
      <c r="BE185" s="359"/>
      <c r="BF185" s="359"/>
      <c r="BG185" s="359"/>
      <c r="BH185" s="359"/>
      <c r="BI185" s="359"/>
      <c r="BJ185" s="359"/>
      <c r="BK185" s="359"/>
      <c r="BL185" s="359"/>
      <c r="BM185" s="359"/>
      <c r="BN185" s="359"/>
      <c r="BO185" s="359"/>
      <c r="BP185" s="359"/>
      <c r="BQ185" s="359"/>
      <c r="BR185" s="359"/>
      <c r="BS185" s="359"/>
      <c r="BT185" s="359"/>
      <c r="BU185" s="359"/>
      <c r="BV185" s="359"/>
      <c r="BW185" s="359"/>
      <c r="BX185" s="359"/>
      <c r="BY185" s="359"/>
      <c r="BZ185" s="359"/>
      <c r="CA185" s="359"/>
      <c r="CB185" s="359"/>
      <c r="CC185" s="359"/>
      <c r="CD185" s="359"/>
      <c r="CE185" s="359"/>
      <c r="CF185" s="359"/>
      <c r="CG185" s="359"/>
      <c r="CH185" s="359"/>
      <c r="CI185" s="359"/>
      <c r="CJ185" s="359"/>
      <c r="CK185" s="359"/>
      <c r="CL185" s="359"/>
      <c r="CM185" s="359"/>
      <c r="CN185" s="359"/>
      <c r="CO185" s="359"/>
      <c r="CP185" s="359"/>
      <c r="CQ185" s="359"/>
      <c r="CR185" s="359"/>
      <c r="CS185" s="359"/>
      <c r="CT185" s="359"/>
      <c r="CU185" s="359"/>
      <c r="CV185" s="359"/>
      <c r="CW185" s="359"/>
      <c r="CX185" s="359"/>
      <c r="CY185" s="359"/>
      <c r="CZ185" s="359"/>
      <c r="DA185" s="359"/>
      <c r="DB185" s="359"/>
      <c r="DC185" s="359"/>
      <c r="DD185" s="359"/>
      <c r="DE185" s="359"/>
      <c r="DF185" s="359"/>
      <c r="DG185" s="359"/>
      <c r="DH185" s="359"/>
      <c r="DI185" s="359"/>
      <c r="DJ185" s="359"/>
      <c r="DK185" s="359"/>
      <c r="DL185" s="359"/>
      <c r="DM185" s="359"/>
      <c r="DN185" s="359"/>
      <c r="DO185" s="359"/>
      <c r="DP185" s="359"/>
      <c r="DQ185" s="359"/>
      <c r="DR185" s="359"/>
      <c r="DS185" s="359"/>
      <c r="DT185" s="359"/>
      <c r="DU185" s="359"/>
      <c r="DV185" s="359"/>
      <c r="DW185" s="359"/>
      <c r="DX185" s="359"/>
      <c r="DY185" s="359"/>
      <c r="DZ185" s="359"/>
      <c r="EA185" s="359"/>
      <c r="EB185" s="359"/>
      <c r="EC185" s="359"/>
      <c r="ED185" s="359"/>
      <c r="EE185" s="359"/>
      <c r="EF185" s="359"/>
      <c r="EG185" s="359"/>
      <c r="EH185" s="359"/>
      <c r="EI185" s="359"/>
      <c r="EJ185" s="359"/>
      <c r="EK185" s="359"/>
      <c r="EL185" s="359"/>
      <c r="EM185" s="359"/>
      <c r="EN185" s="359"/>
      <c r="EO185" s="359"/>
      <c r="EP185" s="359"/>
      <c r="EQ185" s="359"/>
      <c r="ER185" s="359"/>
      <c r="ES185" s="359"/>
      <c r="ET185" s="359"/>
      <c r="EU185" s="359"/>
      <c r="EV185" s="359"/>
      <c r="EW185" s="359"/>
      <c r="EX185" s="359"/>
      <c r="EY185" s="359"/>
      <c r="EZ185" s="359"/>
      <c r="FA185" s="359"/>
      <c r="FB185" s="359"/>
      <c r="FC185" s="359"/>
      <c r="FD185" s="359"/>
      <c r="FE185" s="359"/>
      <c r="FF185" s="359"/>
      <c r="FG185" s="359"/>
      <c r="FH185" s="359"/>
      <c r="FI185" s="359"/>
      <c r="FJ185" s="359"/>
      <c r="FK185" s="359"/>
      <c r="FL185" s="359"/>
      <c r="FM185" s="359"/>
      <c r="FN185" s="359"/>
      <c r="FO185" s="359"/>
      <c r="FP185" s="359"/>
      <c r="FQ185" s="359"/>
      <c r="FR185" s="359"/>
      <c r="FS185" s="359"/>
      <c r="FT185" s="359"/>
      <c r="FU185" s="359"/>
      <c r="FV185" s="359"/>
      <c r="FW185" s="359"/>
      <c r="FX185" s="359"/>
      <c r="FY185" s="359"/>
      <c r="FZ185" s="359"/>
      <c r="GA185" s="359"/>
      <c r="GB185" s="359"/>
      <c r="GC185" s="359"/>
      <c r="GD185" s="359"/>
      <c r="GE185" s="359"/>
      <c r="GF185" s="359"/>
      <c r="GG185" s="359"/>
      <c r="GH185" s="359"/>
      <c r="GI185" s="359"/>
      <c r="GJ185" s="359"/>
      <c r="GK185" s="359"/>
      <c r="GL185" s="359"/>
      <c r="GM185" s="359"/>
      <c r="GN185" s="359"/>
      <c r="GO185" s="359"/>
      <c r="GP185" s="359"/>
      <c r="GQ185" s="359"/>
      <c r="GR185" s="359"/>
      <c r="GS185" s="359"/>
      <c r="GT185" s="359"/>
      <c r="GU185" s="359"/>
      <c r="GV185" s="359"/>
      <c r="GW185" s="359"/>
      <c r="GX185" s="359"/>
      <c r="GY185" s="359"/>
      <c r="GZ185" s="359"/>
      <c r="HA185" s="359"/>
      <c r="HB185" s="359"/>
      <c r="HC185" s="359"/>
      <c r="HD185" s="359"/>
      <c r="HE185" s="359"/>
      <c r="HF185" s="359"/>
      <c r="HG185" s="359"/>
      <c r="HH185" s="359"/>
      <c r="HI185" s="359"/>
      <c r="HJ185" s="359"/>
      <c r="HK185" s="359"/>
      <c r="HL185" s="359"/>
      <c r="HM185" s="359"/>
      <c r="HN185" s="359"/>
      <c r="HO185" s="359"/>
      <c r="HP185" s="359"/>
      <c r="HQ185" s="359"/>
      <c r="HR185" s="359"/>
      <c r="HS185" s="359"/>
      <c r="HT185" s="359"/>
      <c r="HU185" s="359"/>
      <c r="HV185" s="359"/>
      <c r="HW185" s="359"/>
      <c r="HX185" s="359"/>
      <c r="HY185" s="359"/>
      <c r="HZ185" s="359"/>
      <c r="IA185" s="359"/>
      <c r="IB185" s="359"/>
      <c r="IC185" s="359"/>
      <c r="ID185" s="359"/>
      <c r="IE185" s="359"/>
      <c r="IF185" s="359"/>
      <c r="IG185" s="359"/>
      <c r="IH185" s="359"/>
      <c r="II185" s="359"/>
      <c r="IJ185" s="359"/>
      <c r="IK185" s="359"/>
      <c r="IL185" s="359"/>
      <c r="IM185" s="359"/>
      <c r="IN185" s="359"/>
      <c r="IO185" s="359"/>
      <c r="IP185" s="359"/>
      <c r="IQ185" s="359"/>
      <c r="IR185" s="359"/>
      <c r="IS185" s="359"/>
      <c r="IT185" s="359"/>
      <c r="IU185" s="359"/>
      <c r="IV185" s="359"/>
    </row>
    <row r="186" spans="1:256" ht="45" customHeight="1">
      <c r="A186" s="353">
        <v>3</v>
      </c>
      <c r="B186" s="354" t="s">
        <v>526</v>
      </c>
      <c r="C186" s="355"/>
      <c r="D186" s="355"/>
      <c r="E186" s="355"/>
      <c r="F186" s="356"/>
      <c r="G186" s="356"/>
      <c r="H186" s="356"/>
      <c r="I186" s="336"/>
      <c r="J186" s="358"/>
      <c r="K186" s="359"/>
      <c r="L186" s="359"/>
      <c r="M186" s="359"/>
      <c r="N186" s="359"/>
      <c r="O186" s="359"/>
      <c r="P186" s="359"/>
      <c r="Q186" s="359"/>
      <c r="R186" s="359"/>
      <c r="S186" s="359"/>
      <c r="T186" s="359"/>
      <c r="U186" s="359"/>
      <c r="V186" s="359"/>
      <c r="W186" s="359"/>
      <c r="X186" s="359"/>
      <c r="Y186" s="359"/>
      <c r="Z186" s="359"/>
      <c r="AA186" s="359"/>
      <c r="AB186" s="359"/>
      <c r="AC186" s="359"/>
      <c r="AD186" s="359"/>
      <c r="AE186" s="359"/>
      <c r="AF186" s="359"/>
      <c r="AG186" s="359"/>
      <c r="AH186" s="359"/>
      <c r="AI186" s="359"/>
      <c r="AJ186" s="359"/>
      <c r="AK186" s="359"/>
      <c r="AL186" s="359"/>
      <c r="AM186" s="359"/>
      <c r="AN186" s="359"/>
      <c r="AO186" s="359"/>
      <c r="AP186" s="359"/>
      <c r="AQ186" s="359"/>
      <c r="AR186" s="359"/>
      <c r="AS186" s="359"/>
      <c r="AT186" s="359"/>
      <c r="AU186" s="359"/>
      <c r="AV186" s="359"/>
      <c r="AW186" s="359"/>
      <c r="AX186" s="359"/>
      <c r="AY186" s="359"/>
      <c r="AZ186" s="359"/>
      <c r="BA186" s="359"/>
      <c r="BB186" s="359"/>
      <c r="BC186" s="359"/>
      <c r="BD186" s="359"/>
      <c r="BE186" s="359"/>
      <c r="BF186" s="359"/>
      <c r="BG186" s="359"/>
      <c r="BH186" s="359"/>
      <c r="BI186" s="359"/>
      <c r="BJ186" s="359"/>
      <c r="BK186" s="359"/>
      <c r="BL186" s="359"/>
      <c r="BM186" s="359"/>
      <c r="BN186" s="359"/>
      <c r="BO186" s="359"/>
      <c r="BP186" s="359"/>
      <c r="BQ186" s="359"/>
      <c r="BR186" s="359"/>
      <c r="BS186" s="359"/>
      <c r="BT186" s="359"/>
      <c r="BU186" s="359"/>
      <c r="BV186" s="359"/>
      <c r="BW186" s="359"/>
      <c r="BX186" s="359"/>
      <c r="BY186" s="359"/>
      <c r="BZ186" s="359"/>
      <c r="CA186" s="359"/>
      <c r="CB186" s="359"/>
      <c r="CC186" s="359"/>
      <c r="CD186" s="359"/>
      <c r="CE186" s="359"/>
      <c r="CF186" s="359"/>
      <c r="CG186" s="359"/>
      <c r="CH186" s="359"/>
      <c r="CI186" s="359"/>
      <c r="CJ186" s="359"/>
      <c r="CK186" s="359"/>
      <c r="CL186" s="359"/>
      <c r="CM186" s="359"/>
      <c r="CN186" s="359"/>
      <c r="CO186" s="359"/>
      <c r="CP186" s="359"/>
      <c r="CQ186" s="359"/>
      <c r="CR186" s="359"/>
      <c r="CS186" s="359"/>
      <c r="CT186" s="359"/>
      <c r="CU186" s="359"/>
      <c r="CV186" s="359"/>
      <c r="CW186" s="359"/>
      <c r="CX186" s="359"/>
      <c r="CY186" s="359"/>
      <c r="CZ186" s="359"/>
      <c r="DA186" s="359"/>
      <c r="DB186" s="359"/>
      <c r="DC186" s="359"/>
      <c r="DD186" s="359"/>
      <c r="DE186" s="359"/>
      <c r="DF186" s="359"/>
      <c r="DG186" s="359"/>
      <c r="DH186" s="359"/>
      <c r="DI186" s="359"/>
      <c r="DJ186" s="359"/>
      <c r="DK186" s="359"/>
      <c r="DL186" s="359"/>
      <c r="DM186" s="359"/>
      <c r="DN186" s="359"/>
      <c r="DO186" s="359"/>
      <c r="DP186" s="359"/>
      <c r="DQ186" s="359"/>
      <c r="DR186" s="359"/>
      <c r="DS186" s="359"/>
      <c r="DT186" s="359"/>
      <c r="DU186" s="359"/>
      <c r="DV186" s="359"/>
      <c r="DW186" s="359"/>
      <c r="DX186" s="359"/>
      <c r="DY186" s="359"/>
      <c r="DZ186" s="359"/>
      <c r="EA186" s="359"/>
      <c r="EB186" s="359"/>
      <c r="EC186" s="359"/>
      <c r="ED186" s="359"/>
      <c r="EE186" s="359"/>
      <c r="EF186" s="359"/>
      <c r="EG186" s="359"/>
      <c r="EH186" s="359"/>
      <c r="EI186" s="359"/>
      <c r="EJ186" s="359"/>
      <c r="EK186" s="359"/>
      <c r="EL186" s="359"/>
      <c r="EM186" s="359"/>
      <c r="EN186" s="359"/>
      <c r="EO186" s="359"/>
      <c r="EP186" s="359"/>
      <c r="EQ186" s="359"/>
      <c r="ER186" s="359"/>
      <c r="ES186" s="359"/>
      <c r="ET186" s="359"/>
      <c r="EU186" s="359"/>
      <c r="EV186" s="359"/>
      <c r="EW186" s="359"/>
      <c r="EX186" s="359"/>
      <c r="EY186" s="359"/>
      <c r="EZ186" s="359"/>
      <c r="FA186" s="359"/>
      <c r="FB186" s="359"/>
      <c r="FC186" s="359"/>
      <c r="FD186" s="359"/>
      <c r="FE186" s="359"/>
      <c r="FF186" s="359"/>
      <c r="FG186" s="359"/>
      <c r="FH186" s="359"/>
      <c r="FI186" s="359"/>
      <c r="FJ186" s="359"/>
      <c r="FK186" s="359"/>
      <c r="FL186" s="359"/>
      <c r="FM186" s="359"/>
      <c r="FN186" s="359"/>
      <c r="FO186" s="359"/>
      <c r="FP186" s="359"/>
      <c r="FQ186" s="359"/>
      <c r="FR186" s="359"/>
      <c r="FS186" s="359"/>
      <c r="FT186" s="359"/>
      <c r="FU186" s="359"/>
      <c r="FV186" s="359"/>
      <c r="FW186" s="359"/>
      <c r="FX186" s="359"/>
      <c r="FY186" s="359"/>
      <c r="FZ186" s="359"/>
      <c r="GA186" s="359"/>
      <c r="GB186" s="359"/>
      <c r="GC186" s="359"/>
      <c r="GD186" s="359"/>
      <c r="GE186" s="359"/>
      <c r="GF186" s="359"/>
      <c r="GG186" s="359"/>
      <c r="GH186" s="359"/>
      <c r="GI186" s="359"/>
      <c r="GJ186" s="359"/>
      <c r="GK186" s="359"/>
      <c r="GL186" s="359"/>
      <c r="GM186" s="359"/>
      <c r="GN186" s="359"/>
      <c r="GO186" s="359"/>
      <c r="GP186" s="359"/>
      <c r="GQ186" s="359"/>
      <c r="GR186" s="359"/>
      <c r="GS186" s="359"/>
      <c r="GT186" s="359"/>
      <c r="GU186" s="359"/>
      <c r="GV186" s="359"/>
      <c r="GW186" s="359"/>
      <c r="GX186" s="359"/>
      <c r="GY186" s="359"/>
      <c r="GZ186" s="359"/>
      <c r="HA186" s="359"/>
      <c r="HB186" s="359"/>
      <c r="HC186" s="359"/>
      <c r="HD186" s="359"/>
      <c r="HE186" s="359"/>
      <c r="HF186" s="359"/>
      <c r="HG186" s="359"/>
      <c r="HH186" s="359"/>
      <c r="HI186" s="359"/>
      <c r="HJ186" s="359"/>
      <c r="HK186" s="359"/>
      <c r="HL186" s="359"/>
      <c r="HM186" s="359"/>
      <c r="HN186" s="359"/>
      <c r="HO186" s="359"/>
      <c r="HP186" s="359"/>
      <c r="HQ186" s="359"/>
      <c r="HR186" s="359"/>
      <c r="HS186" s="359"/>
      <c r="HT186" s="359"/>
      <c r="HU186" s="359"/>
      <c r="HV186" s="359"/>
      <c r="HW186" s="359"/>
      <c r="HX186" s="359"/>
      <c r="HY186" s="359"/>
      <c r="HZ186" s="359"/>
      <c r="IA186" s="359"/>
      <c r="IB186" s="359"/>
      <c r="IC186" s="359"/>
      <c r="ID186" s="359"/>
      <c r="IE186" s="359"/>
      <c r="IF186" s="359"/>
      <c r="IG186" s="359"/>
      <c r="IH186" s="359"/>
      <c r="II186" s="359"/>
      <c r="IJ186" s="359"/>
      <c r="IK186" s="359"/>
      <c r="IL186" s="359"/>
      <c r="IM186" s="359"/>
      <c r="IN186" s="359"/>
      <c r="IO186" s="359"/>
      <c r="IP186" s="359"/>
      <c r="IQ186" s="359"/>
      <c r="IR186" s="359"/>
      <c r="IS186" s="359"/>
      <c r="IT186" s="359"/>
      <c r="IU186" s="359"/>
      <c r="IV186" s="359"/>
    </row>
    <row r="187" spans="1:256">
      <c r="A187" s="337"/>
      <c r="B187" s="338" t="s">
        <v>518</v>
      </c>
      <c r="C187" s="339"/>
      <c r="D187" s="339"/>
      <c r="E187" s="339"/>
      <c r="F187" s="336"/>
      <c r="G187" s="336"/>
      <c r="H187" s="336"/>
      <c r="I187" s="336"/>
    </row>
    <row r="188" spans="1:256">
      <c r="A188" s="337"/>
      <c r="B188" s="338" t="s">
        <v>527</v>
      </c>
      <c r="C188" s="339">
        <v>1</v>
      </c>
      <c r="D188" s="339"/>
      <c r="E188" s="339">
        <v>1</v>
      </c>
      <c r="F188" s="336">
        <v>97.87</v>
      </c>
      <c r="G188" s="336"/>
      <c r="H188" s="336">
        <v>13</v>
      </c>
      <c r="I188" s="336">
        <f t="shared" ref="I188:I194" si="10">PRODUCT(C188:H188)</f>
        <v>1272.31</v>
      </c>
    </row>
    <row r="189" spans="1:256">
      <c r="A189" s="337"/>
      <c r="B189" s="338" t="s">
        <v>528</v>
      </c>
      <c r="C189" s="339">
        <v>1</v>
      </c>
      <c r="D189" s="339"/>
      <c r="E189" s="339">
        <v>1</v>
      </c>
      <c r="F189" s="336">
        <v>12.1</v>
      </c>
      <c r="G189" s="336"/>
      <c r="H189" s="336">
        <v>3.3</v>
      </c>
      <c r="I189" s="336">
        <f t="shared" si="10"/>
        <v>39.93</v>
      </c>
    </row>
    <row r="190" spans="1:256">
      <c r="A190" s="337"/>
      <c r="B190" s="338" t="s">
        <v>529</v>
      </c>
      <c r="C190" s="339">
        <v>1</v>
      </c>
      <c r="D190" s="339"/>
      <c r="E190" s="339">
        <v>1</v>
      </c>
      <c r="F190" s="336">
        <v>96.03</v>
      </c>
      <c r="G190" s="336"/>
      <c r="H190" s="336">
        <v>1.2</v>
      </c>
      <c r="I190" s="336">
        <f t="shared" si="10"/>
        <v>115.23599999999999</v>
      </c>
    </row>
    <row r="191" spans="1:256">
      <c r="A191" s="337"/>
      <c r="B191" s="338" t="s">
        <v>530</v>
      </c>
      <c r="C191" s="339">
        <v>1</v>
      </c>
      <c r="D191" s="339"/>
      <c r="E191" s="339">
        <v>1</v>
      </c>
      <c r="F191" s="336">
        <v>97.87</v>
      </c>
      <c r="G191" s="336"/>
      <c r="H191" s="336">
        <v>0.23</v>
      </c>
      <c r="I191" s="336">
        <f t="shared" si="10"/>
        <v>22.510100000000001</v>
      </c>
    </row>
    <row r="192" spans="1:256">
      <c r="A192" s="337"/>
      <c r="B192" s="338" t="s">
        <v>485</v>
      </c>
      <c r="C192" s="339">
        <v>1</v>
      </c>
      <c r="D192" s="339"/>
      <c r="E192" s="339">
        <v>1</v>
      </c>
      <c r="F192" s="336">
        <v>21.29</v>
      </c>
      <c r="G192" s="336"/>
      <c r="H192" s="336">
        <v>3</v>
      </c>
      <c r="I192" s="336">
        <f t="shared" si="10"/>
        <v>63.87</v>
      </c>
    </row>
    <row r="193" spans="1:256">
      <c r="A193" s="337"/>
      <c r="B193" s="338" t="s">
        <v>531</v>
      </c>
      <c r="C193" s="339">
        <v>1</v>
      </c>
      <c r="D193" s="339"/>
      <c r="E193" s="339">
        <v>1</v>
      </c>
      <c r="F193" s="336">
        <v>20.83</v>
      </c>
      <c r="G193" s="336"/>
      <c r="H193" s="336">
        <v>0.45</v>
      </c>
      <c r="I193" s="336">
        <f t="shared" si="10"/>
        <v>9.3734999999999999</v>
      </c>
    </row>
    <row r="194" spans="1:256">
      <c r="A194" s="337"/>
      <c r="B194" s="338" t="s">
        <v>532</v>
      </c>
      <c r="C194" s="339">
        <v>1</v>
      </c>
      <c r="D194" s="339"/>
      <c r="E194" s="339">
        <v>1</v>
      </c>
      <c r="F194" s="336">
        <v>21.29</v>
      </c>
      <c r="G194" s="336"/>
      <c r="H194" s="336">
        <v>0.23</v>
      </c>
      <c r="I194" s="336">
        <f t="shared" si="10"/>
        <v>4.8967000000000001</v>
      </c>
    </row>
    <row r="195" spans="1:256">
      <c r="A195" s="337"/>
      <c r="B195" s="338"/>
      <c r="C195" s="339"/>
      <c r="D195" s="339"/>
      <c r="E195" s="339"/>
      <c r="F195" s="336"/>
      <c r="G195" s="336"/>
      <c r="H195" s="336"/>
      <c r="I195" s="336">
        <f>SUM(I188:I194)</f>
        <v>1528.1262999999999</v>
      </c>
    </row>
    <row r="196" spans="1:256">
      <c r="A196" s="353"/>
      <c r="B196" s="354"/>
      <c r="C196" s="355"/>
      <c r="D196" s="355"/>
      <c r="E196" s="355"/>
      <c r="F196" s="356"/>
      <c r="G196" s="356"/>
      <c r="H196" s="371" t="s">
        <v>491</v>
      </c>
      <c r="I196" s="345">
        <v>1529</v>
      </c>
      <c r="J196" s="372" t="s">
        <v>289</v>
      </c>
      <c r="K196" s="359"/>
      <c r="L196" s="359"/>
      <c r="M196" s="359"/>
      <c r="N196" s="359"/>
      <c r="O196" s="359"/>
      <c r="P196" s="359"/>
      <c r="Q196" s="359"/>
      <c r="R196" s="359"/>
      <c r="S196" s="359"/>
      <c r="T196" s="359"/>
      <c r="U196" s="359"/>
      <c r="V196" s="359"/>
      <c r="W196" s="359"/>
      <c r="X196" s="359"/>
      <c r="Y196" s="359"/>
      <c r="Z196" s="359"/>
      <c r="AA196" s="359"/>
      <c r="AB196" s="359"/>
      <c r="AC196" s="359"/>
      <c r="AD196" s="359"/>
      <c r="AE196" s="359"/>
      <c r="AF196" s="359"/>
      <c r="AG196" s="359"/>
      <c r="AH196" s="359"/>
      <c r="AI196" s="359"/>
      <c r="AJ196" s="359"/>
      <c r="AK196" s="359"/>
      <c r="AL196" s="359"/>
      <c r="AM196" s="359"/>
      <c r="AN196" s="359"/>
      <c r="AO196" s="359"/>
      <c r="AP196" s="359"/>
      <c r="AQ196" s="359"/>
      <c r="AR196" s="359"/>
      <c r="AS196" s="359"/>
      <c r="AT196" s="359"/>
      <c r="AU196" s="359"/>
      <c r="AV196" s="359"/>
      <c r="AW196" s="359"/>
      <c r="AX196" s="359"/>
      <c r="AY196" s="359"/>
      <c r="AZ196" s="359"/>
      <c r="BA196" s="359"/>
      <c r="BB196" s="359"/>
      <c r="BC196" s="359"/>
      <c r="BD196" s="359"/>
      <c r="BE196" s="359"/>
      <c r="BF196" s="359"/>
      <c r="BG196" s="359"/>
      <c r="BH196" s="359"/>
      <c r="BI196" s="359"/>
      <c r="BJ196" s="359"/>
      <c r="BK196" s="359"/>
      <c r="BL196" s="359"/>
      <c r="BM196" s="359"/>
      <c r="BN196" s="359"/>
      <c r="BO196" s="359"/>
      <c r="BP196" s="359"/>
      <c r="BQ196" s="359"/>
      <c r="BR196" s="359"/>
      <c r="BS196" s="359"/>
      <c r="BT196" s="359"/>
      <c r="BU196" s="359"/>
      <c r="BV196" s="359"/>
      <c r="BW196" s="359"/>
      <c r="BX196" s="359"/>
      <c r="BY196" s="359"/>
      <c r="BZ196" s="359"/>
      <c r="CA196" s="359"/>
      <c r="CB196" s="359"/>
      <c r="CC196" s="359"/>
      <c r="CD196" s="359"/>
      <c r="CE196" s="359"/>
      <c r="CF196" s="359"/>
      <c r="CG196" s="359"/>
      <c r="CH196" s="359"/>
      <c r="CI196" s="359"/>
      <c r="CJ196" s="359"/>
      <c r="CK196" s="359"/>
      <c r="CL196" s="359"/>
      <c r="CM196" s="359"/>
      <c r="CN196" s="359"/>
      <c r="CO196" s="359"/>
      <c r="CP196" s="359"/>
      <c r="CQ196" s="359"/>
      <c r="CR196" s="359"/>
      <c r="CS196" s="359"/>
      <c r="CT196" s="359"/>
      <c r="CU196" s="359"/>
      <c r="CV196" s="359"/>
      <c r="CW196" s="359"/>
      <c r="CX196" s="359"/>
      <c r="CY196" s="359"/>
      <c r="CZ196" s="359"/>
      <c r="DA196" s="359"/>
      <c r="DB196" s="359"/>
      <c r="DC196" s="359"/>
      <c r="DD196" s="359"/>
      <c r="DE196" s="359"/>
      <c r="DF196" s="359"/>
      <c r="DG196" s="359"/>
      <c r="DH196" s="359"/>
      <c r="DI196" s="359"/>
      <c r="DJ196" s="359"/>
      <c r="DK196" s="359"/>
      <c r="DL196" s="359"/>
      <c r="DM196" s="359"/>
      <c r="DN196" s="359"/>
      <c r="DO196" s="359"/>
      <c r="DP196" s="359"/>
      <c r="DQ196" s="359"/>
      <c r="DR196" s="359"/>
      <c r="DS196" s="359"/>
      <c r="DT196" s="359"/>
      <c r="DU196" s="359"/>
      <c r="DV196" s="359"/>
      <c r="DW196" s="359"/>
      <c r="DX196" s="359"/>
      <c r="DY196" s="359"/>
      <c r="DZ196" s="359"/>
      <c r="EA196" s="359"/>
      <c r="EB196" s="359"/>
      <c r="EC196" s="359"/>
      <c r="ED196" s="359"/>
      <c r="EE196" s="359"/>
      <c r="EF196" s="359"/>
      <c r="EG196" s="359"/>
      <c r="EH196" s="359"/>
      <c r="EI196" s="359"/>
      <c r="EJ196" s="359"/>
      <c r="EK196" s="359"/>
      <c r="EL196" s="359"/>
      <c r="EM196" s="359"/>
      <c r="EN196" s="359"/>
      <c r="EO196" s="359"/>
      <c r="EP196" s="359"/>
      <c r="EQ196" s="359"/>
      <c r="ER196" s="359"/>
      <c r="ES196" s="359"/>
      <c r="ET196" s="359"/>
      <c r="EU196" s="359"/>
      <c r="EV196" s="359"/>
      <c r="EW196" s="359"/>
      <c r="EX196" s="359"/>
      <c r="EY196" s="359"/>
      <c r="EZ196" s="359"/>
      <c r="FA196" s="359"/>
      <c r="FB196" s="359"/>
      <c r="FC196" s="359"/>
      <c r="FD196" s="359"/>
      <c r="FE196" s="359"/>
      <c r="FF196" s="359"/>
      <c r="FG196" s="359"/>
      <c r="FH196" s="359"/>
      <c r="FI196" s="359"/>
      <c r="FJ196" s="359"/>
      <c r="FK196" s="359"/>
      <c r="FL196" s="359"/>
      <c r="FM196" s="359"/>
      <c r="FN196" s="359"/>
      <c r="FO196" s="359"/>
      <c r="FP196" s="359"/>
      <c r="FQ196" s="359"/>
      <c r="FR196" s="359"/>
      <c r="FS196" s="359"/>
      <c r="FT196" s="359"/>
      <c r="FU196" s="359"/>
      <c r="FV196" s="359"/>
      <c r="FW196" s="359"/>
      <c r="FX196" s="359"/>
      <c r="FY196" s="359"/>
      <c r="FZ196" s="359"/>
      <c r="GA196" s="359"/>
      <c r="GB196" s="359"/>
      <c r="GC196" s="359"/>
      <c r="GD196" s="359"/>
      <c r="GE196" s="359"/>
      <c r="GF196" s="359"/>
      <c r="GG196" s="359"/>
      <c r="GH196" s="359"/>
      <c r="GI196" s="359"/>
      <c r="GJ196" s="359"/>
      <c r="GK196" s="359"/>
      <c r="GL196" s="359"/>
      <c r="GM196" s="359"/>
      <c r="GN196" s="359"/>
      <c r="GO196" s="359"/>
      <c r="GP196" s="359"/>
      <c r="GQ196" s="359"/>
      <c r="GR196" s="359"/>
      <c r="GS196" s="359"/>
      <c r="GT196" s="359"/>
      <c r="GU196" s="359"/>
      <c r="GV196" s="359"/>
      <c r="GW196" s="359"/>
      <c r="GX196" s="359"/>
      <c r="GY196" s="359"/>
      <c r="GZ196" s="359"/>
      <c r="HA196" s="359"/>
      <c r="HB196" s="359"/>
      <c r="HC196" s="359"/>
      <c r="HD196" s="359"/>
      <c r="HE196" s="359"/>
      <c r="HF196" s="359"/>
      <c r="HG196" s="359"/>
      <c r="HH196" s="359"/>
      <c r="HI196" s="359"/>
      <c r="HJ196" s="359"/>
      <c r="HK196" s="359"/>
      <c r="HL196" s="359"/>
      <c r="HM196" s="359"/>
      <c r="HN196" s="359"/>
      <c r="HO196" s="359"/>
      <c r="HP196" s="359"/>
      <c r="HQ196" s="359"/>
      <c r="HR196" s="359"/>
      <c r="HS196" s="359"/>
      <c r="HT196" s="359"/>
      <c r="HU196" s="359"/>
      <c r="HV196" s="359"/>
      <c r="HW196" s="359"/>
      <c r="HX196" s="359"/>
      <c r="HY196" s="359"/>
      <c r="HZ196" s="359"/>
      <c r="IA196" s="359"/>
      <c r="IB196" s="359"/>
      <c r="IC196" s="359"/>
      <c r="ID196" s="359"/>
      <c r="IE196" s="359"/>
      <c r="IF196" s="359"/>
      <c r="IG196" s="359"/>
      <c r="IH196" s="359"/>
      <c r="II196" s="359"/>
      <c r="IJ196" s="359"/>
      <c r="IK196" s="359"/>
      <c r="IL196" s="359"/>
      <c r="IM196" s="359"/>
      <c r="IN196" s="359"/>
      <c r="IO196" s="359"/>
      <c r="IP196" s="359"/>
      <c r="IQ196" s="359"/>
      <c r="IR196" s="359"/>
      <c r="IS196" s="359"/>
      <c r="IT196" s="359"/>
      <c r="IU196" s="359"/>
      <c r="IV196" s="359"/>
    </row>
    <row r="197" spans="1:256">
      <c r="A197" s="353"/>
      <c r="B197" s="354"/>
      <c r="C197" s="355"/>
      <c r="D197" s="355"/>
      <c r="E197" s="355"/>
      <c r="F197" s="356"/>
      <c r="G197" s="356"/>
      <c r="H197" s="356"/>
      <c r="I197" s="336"/>
      <c r="J197" s="358"/>
      <c r="K197" s="359"/>
      <c r="L197" s="359"/>
      <c r="M197" s="359"/>
      <c r="N197" s="359"/>
      <c r="O197" s="359"/>
      <c r="P197" s="359"/>
      <c r="Q197" s="359"/>
      <c r="R197" s="359"/>
      <c r="S197" s="359"/>
      <c r="T197" s="359"/>
      <c r="U197" s="359"/>
      <c r="V197" s="359"/>
      <c r="W197" s="359"/>
      <c r="X197" s="359"/>
      <c r="Y197" s="359"/>
      <c r="Z197" s="359"/>
      <c r="AA197" s="359"/>
      <c r="AB197" s="359"/>
      <c r="AC197" s="359"/>
      <c r="AD197" s="359"/>
      <c r="AE197" s="359"/>
      <c r="AF197" s="359"/>
      <c r="AG197" s="359"/>
      <c r="AH197" s="359"/>
      <c r="AI197" s="359"/>
      <c r="AJ197" s="359"/>
      <c r="AK197" s="359"/>
      <c r="AL197" s="359"/>
      <c r="AM197" s="359"/>
      <c r="AN197" s="359"/>
      <c r="AO197" s="359"/>
      <c r="AP197" s="359"/>
      <c r="AQ197" s="359"/>
      <c r="AR197" s="359"/>
      <c r="AS197" s="359"/>
      <c r="AT197" s="359"/>
      <c r="AU197" s="359"/>
      <c r="AV197" s="359"/>
      <c r="AW197" s="359"/>
      <c r="AX197" s="359"/>
      <c r="AY197" s="359"/>
      <c r="AZ197" s="359"/>
      <c r="BA197" s="359"/>
      <c r="BB197" s="359"/>
      <c r="BC197" s="359"/>
      <c r="BD197" s="359"/>
      <c r="BE197" s="359"/>
      <c r="BF197" s="359"/>
      <c r="BG197" s="359"/>
      <c r="BH197" s="359"/>
      <c r="BI197" s="359"/>
      <c r="BJ197" s="359"/>
      <c r="BK197" s="359"/>
      <c r="BL197" s="359"/>
      <c r="BM197" s="359"/>
      <c r="BN197" s="359"/>
      <c r="BO197" s="359"/>
      <c r="BP197" s="359"/>
      <c r="BQ197" s="359"/>
      <c r="BR197" s="359"/>
      <c r="BS197" s="359"/>
      <c r="BT197" s="359"/>
      <c r="BU197" s="359"/>
      <c r="BV197" s="359"/>
      <c r="BW197" s="359"/>
      <c r="BX197" s="359"/>
      <c r="BY197" s="359"/>
      <c r="BZ197" s="359"/>
      <c r="CA197" s="359"/>
      <c r="CB197" s="359"/>
      <c r="CC197" s="359"/>
      <c r="CD197" s="359"/>
      <c r="CE197" s="359"/>
      <c r="CF197" s="359"/>
      <c r="CG197" s="359"/>
      <c r="CH197" s="359"/>
      <c r="CI197" s="359"/>
      <c r="CJ197" s="359"/>
      <c r="CK197" s="359"/>
      <c r="CL197" s="359"/>
      <c r="CM197" s="359"/>
      <c r="CN197" s="359"/>
      <c r="CO197" s="359"/>
      <c r="CP197" s="359"/>
      <c r="CQ197" s="359"/>
      <c r="CR197" s="359"/>
      <c r="CS197" s="359"/>
      <c r="CT197" s="359"/>
      <c r="CU197" s="359"/>
      <c r="CV197" s="359"/>
      <c r="CW197" s="359"/>
      <c r="CX197" s="359"/>
      <c r="CY197" s="359"/>
      <c r="CZ197" s="359"/>
      <c r="DA197" s="359"/>
      <c r="DB197" s="359"/>
      <c r="DC197" s="359"/>
      <c r="DD197" s="359"/>
      <c r="DE197" s="359"/>
      <c r="DF197" s="359"/>
      <c r="DG197" s="359"/>
      <c r="DH197" s="359"/>
      <c r="DI197" s="359"/>
      <c r="DJ197" s="359"/>
      <c r="DK197" s="359"/>
      <c r="DL197" s="359"/>
      <c r="DM197" s="359"/>
      <c r="DN197" s="359"/>
      <c r="DO197" s="359"/>
      <c r="DP197" s="359"/>
      <c r="DQ197" s="359"/>
      <c r="DR197" s="359"/>
      <c r="DS197" s="359"/>
      <c r="DT197" s="359"/>
      <c r="DU197" s="359"/>
      <c r="DV197" s="359"/>
      <c r="DW197" s="359"/>
      <c r="DX197" s="359"/>
      <c r="DY197" s="359"/>
      <c r="DZ197" s="359"/>
      <c r="EA197" s="359"/>
      <c r="EB197" s="359"/>
      <c r="EC197" s="359"/>
      <c r="ED197" s="359"/>
      <c r="EE197" s="359"/>
      <c r="EF197" s="359"/>
      <c r="EG197" s="359"/>
      <c r="EH197" s="359"/>
      <c r="EI197" s="359"/>
      <c r="EJ197" s="359"/>
      <c r="EK197" s="359"/>
      <c r="EL197" s="359"/>
      <c r="EM197" s="359"/>
      <c r="EN197" s="359"/>
      <c r="EO197" s="359"/>
      <c r="EP197" s="359"/>
      <c r="EQ197" s="359"/>
      <c r="ER197" s="359"/>
      <c r="ES197" s="359"/>
      <c r="ET197" s="359"/>
      <c r="EU197" s="359"/>
      <c r="EV197" s="359"/>
      <c r="EW197" s="359"/>
      <c r="EX197" s="359"/>
      <c r="EY197" s="359"/>
      <c r="EZ197" s="359"/>
      <c r="FA197" s="359"/>
      <c r="FB197" s="359"/>
      <c r="FC197" s="359"/>
      <c r="FD197" s="359"/>
      <c r="FE197" s="359"/>
      <c r="FF197" s="359"/>
      <c r="FG197" s="359"/>
      <c r="FH197" s="359"/>
      <c r="FI197" s="359"/>
      <c r="FJ197" s="359"/>
      <c r="FK197" s="359"/>
      <c r="FL197" s="359"/>
      <c r="FM197" s="359"/>
      <c r="FN197" s="359"/>
      <c r="FO197" s="359"/>
      <c r="FP197" s="359"/>
      <c r="FQ197" s="359"/>
      <c r="FR197" s="359"/>
      <c r="FS197" s="359"/>
      <c r="FT197" s="359"/>
      <c r="FU197" s="359"/>
      <c r="FV197" s="359"/>
      <c r="FW197" s="359"/>
      <c r="FX197" s="359"/>
      <c r="FY197" s="359"/>
      <c r="FZ197" s="359"/>
      <c r="GA197" s="359"/>
      <c r="GB197" s="359"/>
      <c r="GC197" s="359"/>
      <c r="GD197" s="359"/>
      <c r="GE197" s="359"/>
      <c r="GF197" s="359"/>
      <c r="GG197" s="359"/>
      <c r="GH197" s="359"/>
      <c r="GI197" s="359"/>
      <c r="GJ197" s="359"/>
      <c r="GK197" s="359"/>
      <c r="GL197" s="359"/>
      <c r="GM197" s="359"/>
      <c r="GN197" s="359"/>
      <c r="GO197" s="359"/>
      <c r="GP197" s="359"/>
      <c r="GQ197" s="359"/>
      <c r="GR197" s="359"/>
      <c r="GS197" s="359"/>
      <c r="GT197" s="359"/>
      <c r="GU197" s="359"/>
      <c r="GV197" s="359"/>
      <c r="GW197" s="359"/>
      <c r="GX197" s="359"/>
      <c r="GY197" s="359"/>
      <c r="GZ197" s="359"/>
      <c r="HA197" s="359"/>
      <c r="HB197" s="359"/>
      <c r="HC197" s="359"/>
      <c r="HD197" s="359"/>
      <c r="HE197" s="359"/>
      <c r="HF197" s="359"/>
      <c r="HG197" s="359"/>
      <c r="HH197" s="359"/>
      <c r="HI197" s="359"/>
      <c r="HJ197" s="359"/>
      <c r="HK197" s="359"/>
      <c r="HL197" s="359"/>
      <c r="HM197" s="359"/>
      <c r="HN197" s="359"/>
      <c r="HO197" s="359"/>
      <c r="HP197" s="359"/>
      <c r="HQ197" s="359"/>
      <c r="HR197" s="359"/>
      <c r="HS197" s="359"/>
      <c r="HT197" s="359"/>
      <c r="HU197" s="359"/>
      <c r="HV197" s="359"/>
      <c r="HW197" s="359"/>
      <c r="HX197" s="359"/>
      <c r="HY197" s="359"/>
      <c r="HZ197" s="359"/>
      <c r="IA197" s="359"/>
      <c r="IB197" s="359"/>
      <c r="IC197" s="359"/>
      <c r="ID197" s="359"/>
      <c r="IE197" s="359"/>
      <c r="IF197" s="359"/>
      <c r="IG197" s="359"/>
      <c r="IH197" s="359"/>
      <c r="II197" s="359"/>
      <c r="IJ197" s="359"/>
      <c r="IK197" s="359"/>
      <c r="IL197" s="359"/>
      <c r="IM197" s="359"/>
      <c r="IN197" s="359"/>
      <c r="IO197" s="359"/>
      <c r="IP197" s="359"/>
      <c r="IQ197" s="359"/>
      <c r="IR197" s="359"/>
      <c r="IS197" s="359"/>
      <c r="IT197" s="359"/>
      <c r="IU197" s="359"/>
      <c r="IV197" s="359"/>
    </row>
    <row r="198" spans="1:256" ht="31.5">
      <c r="A198" s="353">
        <v>4</v>
      </c>
      <c r="B198" s="354" t="s">
        <v>533</v>
      </c>
      <c r="C198" s="355"/>
      <c r="D198" s="355"/>
      <c r="E198" s="355"/>
      <c r="F198" s="356"/>
      <c r="G198" s="356"/>
      <c r="H198" s="356"/>
      <c r="I198" s="336"/>
      <c r="J198" s="358"/>
      <c r="K198" s="359"/>
      <c r="L198" s="359"/>
      <c r="M198" s="359"/>
      <c r="N198" s="359"/>
      <c r="O198" s="359"/>
      <c r="P198" s="359"/>
      <c r="Q198" s="359"/>
      <c r="R198" s="359"/>
      <c r="S198" s="359"/>
      <c r="T198" s="359"/>
      <c r="U198" s="359"/>
      <c r="V198" s="359"/>
      <c r="W198" s="359"/>
      <c r="X198" s="359"/>
      <c r="Y198" s="359"/>
      <c r="Z198" s="359"/>
      <c r="AA198" s="359"/>
      <c r="AB198" s="359"/>
      <c r="AC198" s="359"/>
      <c r="AD198" s="359"/>
      <c r="AE198" s="359"/>
      <c r="AF198" s="359"/>
      <c r="AG198" s="359"/>
      <c r="AH198" s="359"/>
      <c r="AI198" s="359"/>
      <c r="AJ198" s="359"/>
      <c r="AK198" s="359"/>
      <c r="AL198" s="359"/>
      <c r="AM198" s="359"/>
      <c r="AN198" s="359"/>
      <c r="AO198" s="359"/>
      <c r="AP198" s="359"/>
      <c r="AQ198" s="359"/>
      <c r="AR198" s="359"/>
      <c r="AS198" s="359"/>
      <c r="AT198" s="359"/>
      <c r="AU198" s="359"/>
      <c r="AV198" s="359"/>
      <c r="AW198" s="359"/>
      <c r="AX198" s="359"/>
      <c r="AY198" s="359"/>
      <c r="AZ198" s="359"/>
      <c r="BA198" s="359"/>
      <c r="BB198" s="359"/>
      <c r="BC198" s="359"/>
      <c r="BD198" s="359"/>
      <c r="BE198" s="359"/>
      <c r="BF198" s="359"/>
      <c r="BG198" s="359"/>
      <c r="BH198" s="359"/>
      <c r="BI198" s="359"/>
      <c r="BJ198" s="359"/>
      <c r="BK198" s="359"/>
      <c r="BL198" s="359"/>
      <c r="BM198" s="359"/>
      <c r="BN198" s="359"/>
      <c r="BO198" s="359"/>
      <c r="BP198" s="359"/>
      <c r="BQ198" s="359"/>
      <c r="BR198" s="359"/>
      <c r="BS198" s="359"/>
      <c r="BT198" s="359"/>
      <c r="BU198" s="359"/>
      <c r="BV198" s="359"/>
      <c r="BW198" s="359"/>
      <c r="BX198" s="359"/>
      <c r="BY198" s="359"/>
      <c r="BZ198" s="359"/>
      <c r="CA198" s="359"/>
      <c r="CB198" s="359"/>
      <c r="CC198" s="359"/>
      <c r="CD198" s="359"/>
      <c r="CE198" s="359"/>
      <c r="CF198" s="359"/>
      <c r="CG198" s="359"/>
      <c r="CH198" s="359"/>
      <c r="CI198" s="359"/>
      <c r="CJ198" s="359"/>
      <c r="CK198" s="359"/>
      <c r="CL198" s="359"/>
      <c r="CM198" s="359"/>
      <c r="CN198" s="359"/>
      <c r="CO198" s="359"/>
      <c r="CP198" s="359"/>
      <c r="CQ198" s="359"/>
      <c r="CR198" s="359"/>
      <c r="CS198" s="359"/>
      <c r="CT198" s="359"/>
      <c r="CU198" s="359"/>
      <c r="CV198" s="359"/>
      <c r="CW198" s="359"/>
      <c r="CX198" s="359"/>
      <c r="CY198" s="359"/>
      <c r="CZ198" s="359"/>
      <c r="DA198" s="359"/>
      <c r="DB198" s="359"/>
      <c r="DC198" s="359"/>
      <c r="DD198" s="359"/>
      <c r="DE198" s="359"/>
      <c r="DF198" s="359"/>
      <c r="DG198" s="359"/>
      <c r="DH198" s="359"/>
      <c r="DI198" s="359"/>
      <c r="DJ198" s="359"/>
      <c r="DK198" s="359"/>
      <c r="DL198" s="359"/>
      <c r="DM198" s="359"/>
      <c r="DN198" s="359"/>
      <c r="DO198" s="359"/>
      <c r="DP198" s="359"/>
      <c r="DQ198" s="359"/>
      <c r="DR198" s="359"/>
      <c r="DS198" s="359"/>
      <c r="DT198" s="359"/>
      <c r="DU198" s="359"/>
      <c r="DV198" s="359"/>
      <c r="DW198" s="359"/>
      <c r="DX198" s="359"/>
      <c r="DY198" s="359"/>
      <c r="DZ198" s="359"/>
      <c r="EA198" s="359"/>
      <c r="EB198" s="359"/>
      <c r="EC198" s="359"/>
      <c r="ED198" s="359"/>
      <c r="EE198" s="359"/>
      <c r="EF198" s="359"/>
      <c r="EG198" s="359"/>
      <c r="EH198" s="359"/>
      <c r="EI198" s="359"/>
      <c r="EJ198" s="359"/>
      <c r="EK198" s="359"/>
      <c r="EL198" s="359"/>
      <c r="EM198" s="359"/>
      <c r="EN198" s="359"/>
      <c r="EO198" s="359"/>
      <c r="EP198" s="359"/>
      <c r="EQ198" s="359"/>
      <c r="ER198" s="359"/>
      <c r="ES198" s="359"/>
      <c r="ET198" s="359"/>
      <c r="EU198" s="359"/>
      <c r="EV198" s="359"/>
      <c r="EW198" s="359"/>
      <c r="EX198" s="359"/>
      <c r="EY198" s="359"/>
      <c r="EZ198" s="359"/>
      <c r="FA198" s="359"/>
      <c r="FB198" s="359"/>
      <c r="FC198" s="359"/>
      <c r="FD198" s="359"/>
      <c r="FE198" s="359"/>
      <c r="FF198" s="359"/>
      <c r="FG198" s="359"/>
      <c r="FH198" s="359"/>
      <c r="FI198" s="359"/>
      <c r="FJ198" s="359"/>
      <c r="FK198" s="359"/>
      <c r="FL198" s="359"/>
      <c r="FM198" s="359"/>
      <c r="FN198" s="359"/>
      <c r="FO198" s="359"/>
      <c r="FP198" s="359"/>
      <c r="FQ198" s="359"/>
      <c r="FR198" s="359"/>
      <c r="FS198" s="359"/>
      <c r="FT198" s="359"/>
      <c r="FU198" s="359"/>
      <c r="FV198" s="359"/>
      <c r="FW198" s="359"/>
      <c r="FX198" s="359"/>
      <c r="FY198" s="359"/>
      <c r="FZ198" s="359"/>
      <c r="GA198" s="359"/>
      <c r="GB198" s="359"/>
      <c r="GC198" s="359"/>
      <c r="GD198" s="359"/>
      <c r="GE198" s="359"/>
      <c r="GF198" s="359"/>
      <c r="GG198" s="359"/>
      <c r="GH198" s="359"/>
      <c r="GI198" s="359"/>
      <c r="GJ198" s="359"/>
      <c r="GK198" s="359"/>
      <c r="GL198" s="359"/>
      <c r="GM198" s="359"/>
      <c r="GN198" s="359"/>
      <c r="GO198" s="359"/>
      <c r="GP198" s="359"/>
      <c r="GQ198" s="359"/>
      <c r="GR198" s="359"/>
      <c r="GS198" s="359"/>
      <c r="GT198" s="359"/>
      <c r="GU198" s="359"/>
      <c r="GV198" s="359"/>
      <c r="GW198" s="359"/>
      <c r="GX198" s="359"/>
      <c r="GY198" s="359"/>
      <c r="GZ198" s="359"/>
      <c r="HA198" s="359"/>
      <c r="HB198" s="359"/>
      <c r="HC198" s="359"/>
      <c r="HD198" s="359"/>
      <c r="HE198" s="359"/>
      <c r="HF198" s="359"/>
      <c r="HG198" s="359"/>
      <c r="HH198" s="359"/>
      <c r="HI198" s="359"/>
      <c r="HJ198" s="359"/>
      <c r="HK198" s="359"/>
      <c r="HL198" s="359"/>
      <c r="HM198" s="359"/>
      <c r="HN198" s="359"/>
      <c r="HO198" s="359"/>
      <c r="HP198" s="359"/>
      <c r="HQ198" s="359"/>
      <c r="HR198" s="359"/>
      <c r="HS198" s="359"/>
      <c r="HT198" s="359"/>
      <c r="HU198" s="359"/>
      <c r="HV198" s="359"/>
      <c r="HW198" s="359"/>
      <c r="HX198" s="359"/>
      <c r="HY198" s="359"/>
      <c r="HZ198" s="359"/>
      <c r="IA198" s="359"/>
      <c r="IB198" s="359"/>
      <c r="IC198" s="359"/>
      <c r="ID198" s="359"/>
      <c r="IE198" s="359"/>
      <c r="IF198" s="359"/>
      <c r="IG198" s="359"/>
      <c r="IH198" s="359"/>
      <c r="II198" s="359"/>
      <c r="IJ198" s="359"/>
      <c r="IK198" s="359"/>
      <c r="IL198" s="359"/>
      <c r="IM198" s="359"/>
      <c r="IN198" s="359"/>
      <c r="IO198" s="359"/>
      <c r="IP198" s="359"/>
      <c r="IQ198" s="359"/>
      <c r="IR198" s="359"/>
      <c r="IS198" s="359"/>
      <c r="IT198" s="359"/>
      <c r="IU198" s="359"/>
      <c r="IV198" s="359"/>
    </row>
    <row r="199" spans="1:256">
      <c r="A199" s="353"/>
      <c r="B199" s="354" t="s">
        <v>506</v>
      </c>
      <c r="C199" s="355">
        <v>1</v>
      </c>
      <c r="D199" s="355"/>
      <c r="E199" s="355">
        <v>2</v>
      </c>
      <c r="F199" s="356">
        <v>1.8</v>
      </c>
      <c r="G199" s="356"/>
      <c r="H199" s="356">
        <v>2.1</v>
      </c>
      <c r="I199" s="336">
        <f t="shared" ref="I199" si="11">PRODUCT(C199:H199)</f>
        <v>7.5600000000000005</v>
      </c>
      <c r="J199" s="358"/>
      <c r="K199" s="359"/>
      <c r="L199" s="359"/>
      <c r="M199" s="359"/>
      <c r="N199" s="359"/>
      <c r="O199" s="359"/>
      <c r="P199" s="359"/>
      <c r="Q199" s="359"/>
      <c r="R199" s="359"/>
      <c r="S199" s="359"/>
      <c r="T199" s="359"/>
      <c r="U199" s="359"/>
      <c r="V199" s="359"/>
      <c r="W199" s="359"/>
      <c r="X199" s="359"/>
      <c r="Y199" s="359"/>
      <c r="Z199" s="359"/>
      <c r="AA199" s="359"/>
      <c r="AB199" s="359"/>
      <c r="AC199" s="359"/>
      <c r="AD199" s="359"/>
      <c r="AE199" s="359"/>
      <c r="AF199" s="359"/>
      <c r="AG199" s="359"/>
      <c r="AH199" s="359"/>
      <c r="AI199" s="359"/>
      <c r="AJ199" s="359"/>
      <c r="AK199" s="359"/>
      <c r="AL199" s="359"/>
      <c r="AM199" s="359"/>
      <c r="AN199" s="359"/>
      <c r="AO199" s="359"/>
      <c r="AP199" s="359"/>
      <c r="AQ199" s="359"/>
      <c r="AR199" s="359"/>
      <c r="AS199" s="359"/>
      <c r="AT199" s="359"/>
      <c r="AU199" s="359"/>
      <c r="AV199" s="359"/>
      <c r="AW199" s="359"/>
      <c r="AX199" s="359"/>
      <c r="AY199" s="359"/>
      <c r="AZ199" s="359"/>
      <c r="BA199" s="359"/>
      <c r="BB199" s="359"/>
      <c r="BC199" s="359"/>
      <c r="BD199" s="359"/>
      <c r="BE199" s="359"/>
      <c r="BF199" s="359"/>
      <c r="BG199" s="359"/>
      <c r="BH199" s="359"/>
      <c r="BI199" s="359"/>
      <c r="BJ199" s="359"/>
      <c r="BK199" s="359"/>
      <c r="BL199" s="359"/>
      <c r="BM199" s="359"/>
      <c r="BN199" s="359"/>
      <c r="BO199" s="359"/>
      <c r="BP199" s="359"/>
      <c r="BQ199" s="359"/>
      <c r="BR199" s="359"/>
      <c r="BS199" s="359"/>
      <c r="BT199" s="359"/>
      <c r="BU199" s="359"/>
      <c r="BV199" s="359"/>
      <c r="BW199" s="359"/>
      <c r="BX199" s="359"/>
      <c r="BY199" s="359"/>
      <c r="BZ199" s="359"/>
      <c r="CA199" s="359"/>
      <c r="CB199" s="359"/>
      <c r="CC199" s="359"/>
      <c r="CD199" s="359"/>
      <c r="CE199" s="359"/>
      <c r="CF199" s="359"/>
      <c r="CG199" s="359"/>
      <c r="CH199" s="359"/>
      <c r="CI199" s="359"/>
      <c r="CJ199" s="359"/>
      <c r="CK199" s="359"/>
      <c r="CL199" s="359"/>
      <c r="CM199" s="359"/>
      <c r="CN199" s="359"/>
      <c r="CO199" s="359"/>
      <c r="CP199" s="359"/>
      <c r="CQ199" s="359"/>
      <c r="CR199" s="359"/>
      <c r="CS199" s="359"/>
      <c r="CT199" s="359"/>
      <c r="CU199" s="359"/>
      <c r="CV199" s="359"/>
      <c r="CW199" s="359"/>
      <c r="CX199" s="359"/>
      <c r="CY199" s="359"/>
      <c r="CZ199" s="359"/>
      <c r="DA199" s="359"/>
      <c r="DB199" s="359"/>
      <c r="DC199" s="359"/>
      <c r="DD199" s="359"/>
      <c r="DE199" s="359"/>
      <c r="DF199" s="359"/>
      <c r="DG199" s="359"/>
      <c r="DH199" s="359"/>
      <c r="DI199" s="359"/>
      <c r="DJ199" s="359"/>
      <c r="DK199" s="359"/>
      <c r="DL199" s="359"/>
      <c r="DM199" s="359"/>
      <c r="DN199" s="359"/>
      <c r="DO199" s="359"/>
      <c r="DP199" s="359"/>
      <c r="DQ199" s="359"/>
      <c r="DR199" s="359"/>
      <c r="DS199" s="359"/>
      <c r="DT199" s="359"/>
      <c r="DU199" s="359"/>
      <c r="DV199" s="359"/>
      <c r="DW199" s="359"/>
      <c r="DX199" s="359"/>
      <c r="DY199" s="359"/>
      <c r="DZ199" s="359"/>
      <c r="EA199" s="359"/>
      <c r="EB199" s="359"/>
      <c r="EC199" s="359"/>
      <c r="ED199" s="359"/>
      <c r="EE199" s="359"/>
      <c r="EF199" s="359"/>
      <c r="EG199" s="359"/>
      <c r="EH199" s="359"/>
      <c r="EI199" s="359"/>
      <c r="EJ199" s="359"/>
      <c r="EK199" s="359"/>
      <c r="EL199" s="359"/>
      <c r="EM199" s="359"/>
      <c r="EN199" s="359"/>
      <c r="EO199" s="359"/>
      <c r="EP199" s="359"/>
      <c r="EQ199" s="359"/>
      <c r="ER199" s="359"/>
      <c r="ES199" s="359"/>
      <c r="ET199" s="359"/>
      <c r="EU199" s="359"/>
      <c r="EV199" s="359"/>
      <c r="EW199" s="359"/>
      <c r="EX199" s="359"/>
      <c r="EY199" s="359"/>
      <c r="EZ199" s="359"/>
      <c r="FA199" s="359"/>
      <c r="FB199" s="359"/>
      <c r="FC199" s="359"/>
      <c r="FD199" s="359"/>
      <c r="FE199" s="359"/>
      <c r="FF199" s="359"/>
      <c r="FG199" s="359"/>
      <c r="FH199" s="359"/>
      <c r="FI199" s="359"/>
      <c r="FJ199" s="359"/>
      <c r="FK199" s="359"/>
      <c r="FL199" s="359"/>
      <c r="FM199" s="359"/>
      <c r="FN199" s="359"/>
      <c r="FO199" s="359"/>
      <c r="FP199" s="359"/>
      <c r="FQ199" s="359"/>
      <c r="FR199" s="359"/>
      <c r="FS199" s="359"/>
      <c r="FT199" s="359"/>
      <c r="FU199" s="359"/>
      <c r="FV199" s="359"/>
      <c r="FW199" s="359"/>
      <c r="FX199" s="359"/>
      <c r="FY199" s="359"/>
      <c r="FZ199" s="359"/>
      <c r="GA199" s="359"/>
      <c r="GB199" s="359"/>
      <c r="GC199" s="359"/>
      <c r="GD199" s="359"/>
      <c r="GE199" s="359"/>
      <c r="GF199" s="359"/>
      <c r="GG199" s="359"/>
      <c r="GH199" s="359"/>
      <c r="GI199" s="359"/>
      <c r="GJ199" s="359"/>
      <c r="GK199" s="359"/>
      <c r="GL199" s="359"/>
      <c r="GM199" s="359"/>
      <c r="GN199" s="359"/>
      <c r="GO199" s="359"/>
      <c r="GP199" s="359"/>
      <c r="GQ199" s="359"/>
      <c r="GR199" s="359"/>
      <c r="GS199" s="359"/>
      <c r="GT199" s="359"/>
      <c r="GU199" s="359"/>
      <c r="GV199" s="359"/>
      <c r="GW199" s="359"/>
      <c r="GX199" s="359"/>
      <c r="GY199" s="359"/>
      <c r="GZ199" s="359"/>
      <c r="HA199" s="359"/>
      <c r="HB199" s="359"/>
      <c r="HC199" s="359"/>
      <c r="HD199" s="359"/>
      <c r="HE199" s="359"/>
      <c r="HF199" s="359"/>
      <c r="HG199" s="359"/>
      <c r="HH199" s="359"/>
      <c r="HI199" s="359"/>
      <c r="HJ199" s="359"/>
      <c r="HK199" s="359"/>
      <c r="HL199" s="359"/>
      <c r="HM199" s="359"/>
      <c r="HN199" s="359"/>
      <c r="HO199" s="359"/>
      <c r="HP199" s="359"/>
      <c r="HQ199" s="359"/>
      <c r="HR199" s="359"/>
      <c r="HS199" s="359"/>
      <c r="HT199" s="359"/>
      <c r="HU199" s="359"/>
      <c r="HV199" s="359"/>
      <c r="HW199" s="359"/>
      <c r="HX199" s="359"/>
      <c r="HY199" s="359"/>
      <c r="HZ199" s="359"/>
      <c r="IA199" s="359"/>
      <c r="IB199" s="359"/>
      <c r="IC199" s="359"/>
      <c r="ID199" s="359"/>
      <c r="IE199" s="359"/>
      <c r="IF199" s="359"/>
      <c r="IG199" s="359"/>
      <c r="IH199" s="359"/>
      <c r="II199" s="359"/>
      <c r="IJ199" s="359"/>
      <c r="IK199" s="359"/>
      <c r="IL199" s="359"/>
      <c r="IM199" s="359"/>
      <c r="IN199" s="359"/>
      <c r="IO199" s="359"/>
      <c r="IP199" s="359"/>
      <c r="IQ199" s="359"/>
      <c r="IR199" s="359"/>
      <c r="IS199" s="359"/>
      <c r="IT199" s="359"/>
      <c r="IU199" s="359"/>
      <c r="IV199" s="359"/>
    </row>
    <row r="200" spans="1:256">
      <c r="A200" s="337"/>
      <c r="B200" s="338"/>
      <c r="C200" s="339"/>
      <c r="D200" s="339"/>
      <c r="E200" s="339"/>
      <c r="F200" s="336"/>
      <c r="G200" s="336"/>
      <c r="H200" s="345" t="s">
        <v>491</v>
      </c>
      <c r="I200" s="345">
        <f>I199</f>
        <v>7.5600000000000005</v>
      </c>
      <c r="J200" s="346" t="s">
        <v>289</v>
      </c>
    </row>
    <row r="201" spans="1:256">
      <c r="A201" s="337"/>
      <c r="B201" s="338"/>
      <c r="C201" s="339"/>
      <c r="D201" s="339"/>
      <c r="E201" s="339"/>
      <c r="F201" s="336"/>
      <c r="G201" s="336"/>
      <c r="H201" s="336"/>
      <c r="I201" s="336"/>
    </row>
    <row r="202" spans="1:256" ht="31.5">
      <c r="A202" s="337">
        <v>5</v>
      </c>
      <c r="B202" s="338" t="s">
        <v>534</v>
      </c>
      <c r="C202" s="339"/>
      <c r="D202" s="339"/>
      <c r="E202" s="339"/>
      <c r="F202" s="336"/>
      <c r="G202" s="336"/>
      <c r="H202" s="336"/>
      <c r="I202" s="336"/>
      <c r="L202" s="344"/>
    </row>
    <row r="203" spans="1:256">
      <c r="A203" s="353"/>
      <c r="B203" s="354" t="s">
        <v>507</v>
      </c>
      <c r="C203" s="355">
        <v>3</v>
      </c>
      <c r="D203" s="355"/>
      <c r="E203" s="355">
        <v>16</v>
      </c>
      <c r="F203" s="356">
        <v>0.9</v>
      </c>
      <c r="G203" s="356"/>
      <c r="H203" s="336">
        <v>1.35</v>
      </c>
      <c r="I203" s="336">
        <f t="shared" ref="I203:I209" si="12">PRODUCT(C203:H203)</f>
        <v>58.320000000000007</v>
      </c>
    </row>
    <row r="204" spans="1:256">
      <c r="A204" s="337"/>
      <c r="B204" s="354" t="s">
        <v>508</v>
      </c>
      <c r="C204" s="355">
        <v>3</v>
      </c>
      <c r="D204" s="355"/>
      <c r="E204" s="355">
        <v>2</v>
      </c>
      <c r="F204" s="336">
        <v>1.1000000000000001</v>
      </c>
      <c r="G204" s="336"/>
      <c r="H204" s="336">
        <v>1.35</v>
      </c>
      <c r="I204" s="336">
        <f t="shared" si="12"/>
        <v>8.9100000000000019</v>
      </c>
    </row>
    <row r="205" spans="1:256">
      <c r="A205" s="337"/>
      <c r="B205" s="354" t="s">
        <v>509</v>
      </c>
      <c r="C205" s="355">
        <v>3</v>
      </c>
      <c r="D205" s="355"/>
      <c r="E205" s="355">
        <v>12</v>
      </c>
      <c r="F205" s="336">
        <v>1.8</v>
      </c>
      <c r="G205" s="336"/>
      <c r="H205" s="336">
        <v>1.35</v>
      </c>
      <c r="I205" s="336">
        <f t="shared" si="12"/>
        <v>87.48</v>
      </c>
    </row>
    <row r="206" spans="1:256">
      <c r="A206" s="337"/>
      <c r="B206" s="354" t="s">
        <v>511</v>
      </c>
      <c r="C206" s="355">
        <v>3</v>
      </c>
      <c r="D206" s="355"/>
      <c r="E206" s="355">
        <v>16</v>
      </c>
      <c r="F206" s="336">
        <v>0.9</v>
      </c>
      <c r="G206" s="336"/>
      <c r="H206" s="336">
        <v>0.6</v>
      </c>
      <c r="I206" s="336">
        <f t="shared" si="12"/>
        <v>25.92</v>
      </c>
    </row>
    <row r="207" spans="1:256">
      <c r="A207" s="337"/>
      <c r="B207" s="354" t="s">
        <v>535</v>
      </c>
      <c r="C207" s="355">
        <v>3</v>
      </c>
      <c r="D207" s="355"/>
      <c r="E207" s="355">
        <v>13</v>
      </c>
      <c r="F207" s="336">
        <v>0.75</v>
      </c>
      <c r="G207" s="336"/>
      <c r="H207" s="336">
        <v>0.6</v>
      </c>
      <c r="I207" s="336">
        <f t="shared" si="12"/>
        <v>17.55</v>
      </c>
    </row>
    <row r="208" spans="1:256">
      <c r="A208" s="337"/>
      <c r="B208" s="354" t="s">
        <v>536</v>
      </c>
      <c r="C208" s="355">
        <v>1</v>
      </c>
      <c r="D208" s="355"/>
      <c r="E208" s="355">
        <v>2</v>
      </c>
      <c r="F208" s="336">
        <v>1.5</v>
      </c>
      <c r="G208" s="336"/>
      <c r="H208" s="336">
        <v>1.35</v>
      </c>
      <c r="I208" s="336">
        <f t="shared" si="12"/>
        <v>4.0500000000000007</v>
      </c>
    </row>
    <row r="209" spans="1:10">
      <c r="A209" s="337"/>
      <c r="B209" s="354" t="s">
        <v>490</v>
      </c>
      <c r="C209" s="355">
        <v>1</v>
      </c>
      <c r="D209" s="355"/>
      <c r="E209" s="355">
        <v>2</v>
      </c>
      <c r="F209" s="336">
        <v>1.8</v>
      </c>
      <c r="G209" s="336"/>
      <c r="H209" s="336">
        <v>2.4</v>
      </c>
      <c r="I209" s="336">
        <f t="shared" si="12"/>
        <v>8.64</v>
      </c>
    </row>
    <row r="210" spans="1:10">
      <c r="A210" s="337"/>
      <c r="B210" s="338"/>
      <c r="C210" s="339"/>
      <c r="D210" s="339"/>
      <c r="E210" s="339"/>
      <c r="F210" s="336"/>
      <c r="G210" s="336"/>
      <c r="H210" s="336"/>
      <c r="I210" s="336">
        <f>SUM(I203:I209)</f>
        <v>210.87</v>
      </c>
    </row>
    <row r="211" spans="1:10">
      <c r="A211" s="337"/>
      <c r="B211" s="338" t="s">
        <v>537</v>
      </c>
      <c r="C211" s="339"/>
      <c r="D211" s="339"/>
      <c r="E211" s="339"/>
      <c r="F211" s="336"/>
      <c r="G211" s="336"/>
      <c r="H211" s="336"/>
      <c r="I211" s="336">
        <f>I210*50%</f>
        <v>105.435</v>
      </c>
    </row>
    <row r="212" spans="1:10">
      <c r="A212" s="337"/>
      <c r="B212" s="338"/>
      <c r="C212" s="339"/>
      <c r="D212" s="339"/>
      <c r="E212" s="339"/>
      <c r="F212" s="336"/>
      <c r="G212" s="336"/>
      <c r="H212" s="345" t="s">
        <v>491</v>
      </c>
      <c r="I212" s="345">
        <v>105.5</v>
      </c>
      <c r="J212" s="346" t="s">
        <v>289</v>
      </c>
    </row>
    <row r="213" spans="1:10">
      <c r="A213" s="337"/>
      <c r="B213" s="347"/>
      <c r="C213" s="339"/>
      <c r="D213" s="339"/>
      <c r="E213" s="339"/>
      <c r="F213" s="336"/>
      <c r="G213" s="336"/>
      <c r="H213" s="336"/>
      <c r="I213" s="336"/>
    </row>
    <row r="214" spans="1:10" ht="184.5" customHeight="1">
      <c r="A214" s="337">
        <v>6</v>
      </c>
      <c r="B214" s="338" t="s">
        <v>538</v>
      </c>
      <c r="C214" s="339"/>
      <c r="D214" s="339"/>
      <c r="E214" s="339"/>
      <c r="F214" s="336"/>
      <c r="G214" s="336"/>
      <c r="H214" s="336"/>
      <c r="I214" s="336"/>
    </row>
    <row r="215" spans="1:10">
      <c r="A215" s="337"/>
      <c r="B215" s="338" t="s">
        <v>539</v>
      </c>
      <c r="C215" s="339">
        <v>1</v>
      </c>
      <c r="D215" s="339"/>
      <c r="E215" s="339">
        <v>3</v>
      </c>
      <c r="F215" s="336"/>
      <c r="G215" s="336"/>
      <c r="H215" s="336"/>
      <c r="I215" s="345">
        <f t="shared" ref="I215" si="13">PRODUCT(C215:H215)</f>
        <v>3</v>
      </c>
      <c r="J215" s="346" t="s">
        <v>18</v>
      </c>
    </row>
    <row r="216" spans="1:10">
      <c r="A216" s="337"/>
      <c r="B216" s="338"/>
      <c r="C216" s="339"/>
      <c r="D216" s="339"/>
      <c r="E216" s="339"/>
      <c r="F216" s="336"/>
      <c r="G216" s="336"/>
      <c r="H216" s="336"/>
      <c r="I216" s="336"/>
    </row>
    <row r="217" spans="1:10" ht="220.5">
      <c r="A217" s="337">
        <v>7</v>
      </c>
      <c r="B217" s="373" t="s">
        <v>540</v>
      </c>
      <c r="C217" s="374"/>
      <c r="D217" s="374"/>
      <c r="E217" s="374"/>
      <c r="F217" s="375"/>
      <c r="G217" s="375"/>
      <c r="H217" s="375"/>
      <c r="I217" s="375"/>
    </row>
    <row r="218" spans="1:10">
      <c r="A218" s="337"/>
      <c r="B218" s="338" t="s">
        <v>541</v>
      </c>
      <c r="C218" s="339"/>
      <c r="D218" s="339"/>
      <c r="E218" s="339"/>
      <c r="F218" s="336"/>
      <c r="G218" s="336"/>
      <c r="H218" s="336"/>
      <c r="I218" s="336"/>
    </row>
    <row r="219" spans="1:10">
      <c r="A219" s="337"/>
      <c r="B219" s="338" t="s">
        <v>542</v>
      </c>
      <c r="C219" s="339">
        <v>1</v>
      </c>
      <c r="D219" s="339"/>
      <c r="E219" s="339">
        <v>16</v>
      </c>
      <c r="F219" s="336">
        <v>0.75</v>
      </c>
      <c r="G219" s="336"/>
      <c r="H219" s="336">
        <v>2.1</v>
      </c>
      <c r="I219" s="336">
        <f t="shared" ref="I219:I221" si="14">PRODUCT(C219:H219)</f>
        <v>25.200000000000003</v>
      </c>
    </row>
    <row r="220" spans="1:10">
      <c r="A220" s="337"/>
      <c r="B220" s="376" t="s">
        <v>478</v>
      </c>
      <c r="C220" s="339">
        <v>1</v>
      </c>
      <c r="D220" s="339"/>
      <c r="E220" s="339">
        <v>18</v>
      </c>
      <c r="F220" s="336">
        <v>0.75</v>
      </c>
      <c r="G220" s="336"/>
      <c r="H220" s="336">
        <v>2.1</v>
      </c>
      <c r="I220" s="336">
        <f t="shared" si="14"/>
        <v>28.35</v>
      </c>
      <c r="J220" s="377"/>
    </row>
    <row r="221" spans="1:10">
      <c r="A221" s="337"/>
      <c r="B221" s="376" t="s">
        <v>482</v>
      </c>
      <c r="C221" s="339">
        <v>1</v>
      </c>
      <c r="D221" s="339"/>
      <c r="E221" s="339">
        <v>18</v>
      </c>
      <c r="F221" s="336">
        <v>0.75</v>
      </c>
      <c r="G221" s="336"/>
      <c r="H221" s="336">
        <v>2.1</v>
      </c>
      <c r="I221" s="336">
        <f t="shared" si="14"/>
        <v>28.35</v>
      </c>
      <c r="J221" s="377"/>
    </row>
    <row r="222" spans="1:10">
      <c r="A222" s="337"/>
      <c r="B222" s="373"/>
      <c r="C222" s="374"/>
      <c r="D222" s="374"/>
      <c r="E222" s="374"/>
      <c r="F222" s="375"/>
      <c r="G222" s="375"/>
      <c r="H222" s="375"/>
      <c r="I222" s="378">
        <f>SUM(I219:I221)</f>
        <v>81.900000000000006</v>
      </c>
      <c r="J222" s="379" t="s">
        <v>289</v>
      </c>
    </row>
    <row r="223" spans="1:10">
      <c r="A223" s="337"/>
      <c r="B223" s="373"/>
      <c r="C223" s="374"/>
      <c r="D223" s="374"/>
      <c r="E223" s="374"/>
      <c r="F223" s="375"/>
      <c r="G223" s="375"/>
      <c r="H223" s="375"/>
      <c r="I223" s="336"/>
    </row>
    <row r="224" spans="1:10" ht="38.25" customHeight="1">
      <c r="A224" s="337">
        <v>8</v>
      </c>
      <c r="B224" s="338" t="s">
        <v>543</v>
      </c>
      <c r="C224" s="374"/>
      <c r="D224" s="374"/>
      <c r="E224" s="374"/>
      <c r="F224" s="375"/>
      <c r="G224" s="375"/>
      <c r="H224" s="375"/>
      <c r="I224" s="375"/>
      <c r="J224" s="377"/>
    </row>
    <row r="225" spans="1:10">
      <c r="A225" s="337"/>
      <c r="B225" s="338" t="s">
        <v>544</v>
      </c>
      <c r="C225" s="374">
        <v>1</v>
      </c>
      <c r="D225" s="374"/>
      <c r="E225" s="374">
        <v>3</v>
      </c>
      <c r="F225" s="375">
        <v>8</v>
      </c>
      <c r="G225" s="375"/>
      <c r="H225" s="375">
        <v>2</v>
      </c>
      <c r="I225" s="336">
        <f t="shared" ref="I225" si="15">PRODUCT(C225:H225)</f>
        <v>48</v>
      </c>
    </row>
    <row r="226" spans="1:10">
      <c r="A226" s="337"/>
      <c r="B226" s="338"/>
      <c r="C226" s="374"/>
      <c r="D226" s="374"/>
      <c r="E226" s="374"/>
      <c r="F226" s="375"/>
      <c r="G226" s="375"/>
      <c r="H226" s="375"/>
      <c r="I226" s="345">
        <f>I225</f>
        <v>48</v>
      </c>
      <c r="J226" s="346" t="s">
        <v>289</v>
      </c>
    </row>
    <row r="227" spans="1:10" hidden="1">
      <c r="A227" s="337"/>
      <c r="B227" s="354"/>
      <c r="C227" s="339"/>
      <c r="D227" s="339"/>
      <c r="E227" s="339"/>
      <c r="F227" s="336"/>
      <c r="G227" s="336"/>
      <c r="H227" s="336"/>
      <c r="I227" s="375"/>
    </row>
    <row r="228" spans="1:10">
      <c r="A228" s="337"/>
      <c r="B228" s="380"/>
      <c r="C228" s="339"/>
      <c r="D228" s="339"/>
      <c r="E228" s="339"/>
      <c r="F228" s="336"/>
      <c r="G228" s="336"/>
      <c r="H228" s="336"/>
      <c r="I228" s="336"/>
    </row>
    <row r="229" spans="1:10">
      <c r="A229" s="337">
        <v>9</v>
      </c>
      <c r="B229" s="354" t="s">
        <v>545</v>
      </c>
      <c r="C229" s="339"/>
      <c r="D229" s="339"/>
      <c r="E229" s="339"/>
      <c r="F229" s="336"/>
      <c r="G229" s="336"/>
      <c r="H229" s="336"/>
      <c r="I229" s="336"/>
    </row>
    <row r="230" spans="1:10">
      <c r="A230" s="337"/>
      <c r="B230" s="354" t="s">
        <v>546</v>
      </c>
      <c r="C230" s="339">
        <v>1</v>
      </c>
      <c r="D230" s="339"/>
      <c r="E230" s="339">
        <v>1</v>
      </c>
      <c r="F230" s="336">
        <v>5.8</v>
      </c>
      <c r="G230" s="336"/>
      <c r="H230" s="336">
        <v>2.4</v>
      </c>
      <c r="I230" s="336">
        <f t="shared" ref="I230" si="16">PRODUCT(C230:H230)</f>
        <v>13.92</v>
      </c>
    </row>
    <row r="231" spans="1:10">
      <c r="A231" s="337"/>
      <c r="B231" s="338"/>
      <c r="C231" s="339"/>
      <c r="D231" s="339"/>
      <c r="E231" s="339"/>
      <c r="F231" s="336"/>
      <c r="G231" s="336"/>
      <c r="H231" s="336"/>
      <c r="I231" s="345">
        <f>I230</f>
        <v>13.92</v>
      </c>
      <c r="J231" s="346" t="s">
        <v>289</v>
      </c>
    </row>
    <row r="232" spans="1:10">
      <c r="A232" s="337"/>
      <c r="B232" s="354"/>
      <c r="C232" s="339"/>
      <c r="D232" s="339"/>
      <c r="E232" s="339"/>
      <c r="F232" s="336"/>
      <c r="G232" s="336"/>
      <c r="H232" s="336"/>
      <c r="I232" s="375"/>
    </row>
    <row r="233" spans="1:10">
      <c r="A233" s="337">
        <v>10</v>
      </c>
      <c r="B233" s="338" t="s">
        <v>547</v>
      </c>
      <c r="C233" s="339"/>
      <c r="D233" s="339"/>
      <c r="E233" s="339"/>
      <c r="F233" s="336"/>
      <c r="G233" s="336"/>
      <c r="H233" s="336"/>
      <c r="I233" s="336"/>
    </row>
    <row r="234" spans="1:10">
      <c r="A234" s="337"/>
      <c r="B234" s="338" t="s">
        <v>548</v>
      </c>
      <c r="C234" s="339">
        <v>1</v>
      </c>
      <c r="D234" s="339"/>
      <c r="E234" s="339">
        <v>2</v>
      </c>
      <c r="F234" s="336">
        <v>3.8</v>
      </c>
      <c r="G234" s="336"/>
      <c r="H234" s="336">
        <v>2.1</v>
      </c>
      <c r="I234" s="336">
        <f t="shared" ref="I234:I235" si="17">PRODUCT(C234:H234)</f>
        <v>15.959999999999999</v>
      </c>
    </row>
    <row r="235" spans="1:10">
      <c r="A235" s="337"/>
      <c r="B235" s="338" t="s">
        <v>549</v>
      </c>
      <c r="C235" s="339">
        <v>1</v>
      </c>
      <c r="D235" s="339"/>
      <c r="E235" s="339">
        <v>3</v>
      </c>
      <c r="F235" s="336">
        <v>1.8</v>
      </c>
      <c r="G235" s="336"/>
      <c r="H235" s="336">
        <v>1.35</v>
      </c>
      <c r="I235" s="336">
        <f t="shared" si="17"/>
        <v>7.2900000000000009</v>
      </c>
    </row>
    <row r="236" spans="1:10">
      <c r="A236" s="337"/>
      <c r="B236" s="373"/>
      <c r="C236" s="339"/>
      <c r="D236" s="339"/>
      <c r="E236" s="339"/>
      <c r="F236" s="336"/>
      <c r="G236" s="336"/>
      <c r="H236" s="336"/>
      <c r="I236" s="336">
        <f>SUM(I234:I235)</f>
        <v>23.25</v>
      </c>
    </row>
    <row r="237" spans="1:10">
      <c r="A237" s="337"/>
      <c r="B237" s="381"/>
      <c r="C237" s="339"/>
      <c r="D237" s="339"/>
      <c r="E237" s="339"/>
      <c r="F237" s="336"/>
      <c r="G237" s="336"/>
      <c r="H237" s="345" t="s">
        <v>491</v>
      </c>
      <c r="I237" s="345">
        <v>23.3</v>
      </c>
      <c r="J237" s="346" t="s">
        <v>289</v>
      </c>
    </row>
    <row r="238" spans="1:10">
      <c r="A238" s="337"/>
      <c r="B238" s="338"/>
      <c r="C238" s="339"/>
      <c r="D238" s="339"/>
      <c r="E238" s="339"/>
      <c r="F238" s="336"/>
      <c r="G238" s="336"/>
      <c r="H238" s="336"/>
      <c r="I238" s="336"/>
    </row>
    <row r="239" spans="1:10" ht="54" customHeight="1">
      <c r="A239" s="337">
        <v>11</v>
      </c>
      <c r="B239" s="338" t="s">
        <v>550</v>
      </c>
      <c r="C239" s="339"/>
      <c r="D239" s="339"/>
      <c r="E239" s="339"/>
      <c r="F239" s="336"/>
      <c r="G239" s="336"/>
      <c r="H239" s="336"/>
      <c r="I239" s="336"/>
    </row>
    <row r="240" spans="1:10">
      <c r="A240" s="337"/>
      <c r="B240" s="338" t="s">
        <v>551</v>
      </c>
      <c r="C240" s="339">
        <v>1</v>
      </c>
      <c r="D240" s="339"/>
      <c r="E240" s="339">
        <v>1</v>
      </c>
      <c r="F240" s="336">
        <v>31.67</v>
      </c>
      <c r="G240" s="336">
        <v>12.1</v>
      </c>
      <c r="H240" s="336"/>
      <c r="I240" s="336">
        <f t="shared" ref="I240:I243" si="18">PRODUCT(C240:H240)</f>
        <v>383.20699999999999</v>
      </c>
    </row>
    <row r="241" spans="1:12">
      <c r="A241" s="337"/>
      <c r="B241" s="338" t="s">
        <v>498</v>
      </c>
      <c r="C241" s="339">
        <v>-1</v>
      </c>
      <c r="D241" s="339"/>
      <c r="E241" s="339">
        <v>2</v>
      </c>
      <c r="F241" s="336">
        <v>2.1</v>
      </c>
      <c r="G241" s="336">
        <v>2.59</v>
      </c>
      <c r="H241" s="336"/>
      <c r="I241" s="336">
        <f t="shared" si="18"/>
        <v>-10.878</v>
      </c>
    </row>
    <row r="242" spans="1:12">
      <c r="A242" s="337"/>
      <c r="B242" s="338" t="s">
        <v>552</v>
      </c>
      <c r="C242" s="339">
        <v>1</v>
      </c>
      <c r="D242" s="339"/>
      <c r="E242" s="339">
        <v>1</v>
      </c>
      <c r="F242" s="336">
        <v>119.16</v>
      </c>
      <c r="G242" s="336"/>
      <c r="H242" s="336">
        <v>0.15</v>
      </c>
      <c r="I242" s="336">
        <f t="shared" si="18"/>
        <v>17.873999999999999</v>
      </c>
    </row>
    <row r="243" spans="1:12">
      <c r="A243" s="337"/>
      <c r="B243" s="338"/>
      <c r="C243" s="339">
        <v>1</v>
      </c>
      <c r="D243" s="339"/>
      <c r="E243" s="339">
        <v>1</v>
      </c>
      <c r="F243" s="336">
        <v>24.66</v>
      </c>
      <c r="G243" s="336"/>
      <c r="H243" s="336">
        <v>0.15</v>
      </c>
      <c r="I243" s="336">
        <f t="shared" si="18"/>
        <v>3.6989999999999998</v>
      </c>
    </row>
    <row r="244" spans="1:12">
      <c r="A244" s="337"/>
      <c r="B244" s="338"/>
      <c r="C244" s="339"/>
      <c r="D244" s="339"/>
      <c r="E244" s="339"/>
      <c r="F244" s="336"/>
      <c r="G244" s="336"/>
      <c r="H244" s="345"/>
      <c r="I244" s="345">
        <f>SUM(I240:I243)</f>
        <v>393.90200000000004</v>
      </c>
      <c r="J244" s="346" t="s">
        <v>289</v>
      </c>
    </row>
    <row r="245" spans="1:12">
      <c r="A245" s="337"/>
      <c r="B245" s="338"/>
      <c r="C245" s="339"/>
      <c r="D245" s="339"/>
      <c r="E245" s="339"/>
      <c r="F245" s="336"/>
      <c r="G245" s="336"/>
      <c r="H245" s="345" t="s">
        <v>491</v>
      </c>
      <c r="I245" s="345">
        <v>394</v>
      </c>
      <c r="J245" s="346" t="s">
        <v>289</v>
      </c>
    </row>
    <row r="246" spans="1:12">
      <c r="A246" s="337"/>
      <c r="B246" s="338"/>
      <c r="C246" s="339"/>
      <c r="D246" s="339"/>
      <c r="E246" s="339"/>
      <c r="F246" s="336"/>
      <c r="G246" s="336"/>
      <c r="H246" s="336"/>
      <c r="I246" s="336"/>
    </row>
    <row r="247" spans="1:12" ht="31.5">
      <c r="A247" s="337">
        <v>12</v>
      </c>
      <c r="B247" s="338" t="s">
        <v>553</v>
      </c>
      <c r="C247" s="339"/>
      <c r="D247" s="339"/>
      <c r="E247" s="339"/>
      <c r="F247" s="336"/>
      <c r="G247" s="336"/>
      <c r="H247" s="336"/>
      <c r="I247" s="336"/>
    </row>
    <row r="248" spans="1:12">
      <c r="A248" s="337"/>
      <c r="B248" s="338" t="s">
        <v>554</v>
      </c>
      <c r="C248" s="339">
        <v>1</v>
      </c>
      <c r="D248" s="339"/>
      <c r="E248" s="339">
        <v>18</v>
      </c>
      <c r="F248" s="336">
        <v>1.2</v>
      </c>
      <c r="G248" s="336">
        <v>2.6</v>
      </c>
      <c r="H248" s="336">
        <v>2.1</v>
      </c>
      <c r="I248" s="336">
        <f>PRODUCT(C248:H248)</f>
        <v>117.93599999999999</v>
      </c>
    </row>
    <row r="249" spans="1:12">
      <c r="A249" s="337"/>
      <c r="B249" s="338" t="s">
        <v>513</v>
      </c>
      <c r="C249" s="339">
        <v>1</v>
      </c>
      <c r="D249" s="339"/>
      <c r="E249" s="339">
        <v>4</v>
      </c>
      <c r="F249" s="336">
        <v>1</v>
      </c>
      <c r="G249" s="336">
        <v>2.6</v>
      </c>
      <c r="H249" s="336">
        <v>2.1</v>
      </c>
      <c r="I249" s="336">
        <f>PRODUCT(C249:H249)</f>
        <v>21.840000000000003</v>
      </c>
    </row>
    <row r="250" spans="1:12">
      <c r="A250" s="337"/>
      <c r="B250" s="338"/>
      <c r="C250" s="339"/>
      <c r="D250" s="339"/>
      <c r="E250" s="339"/>
      <c r="F250" s="336"/>
      <c r="G250" s="336"/>
      <c r="H250" s="336"/>
      <c r="I250" s="336">
        <f>SUM(I248:I249)</f>
        <v>139.77600000000001</v>
      </c>
    </row>
    <row r="251" spans="1:12">
      <c r="A251" s="337"/>
      <c r="B251" s="338"/>
      <c r="C251" s="339"/>
      <c r="D251" s="339"/>
      <c r="E251" s="339"/>
      <c r="F251" s="336"/>
      <c r="G251" s="336"/>
      <c r="H251" s="345" t="s">
        <v>491</v>
      </c>
      <c r="I251" s="345">
        <v>140</v>
      </c>
      <c r="J251" s="346" t="s">
        <v>289</v>
      </c>
    </row>
    <row r="252" spans="1:12">
      <c r="A252" s="337"/>
      <c r="B252" s="338"/>
      <c r="C252" s="339"/>
      <c r="D252" s="339"/>
      <c r="E252" s="339"/>
      <c r="F252" s="336"/>
      <c r="G252" s="336"/>
      <c r="H252" s="336"/>
      <c r="I252" s="336"/>
    </row>
    <row r="253" spans="1:12" ht="31.5">
      <c r="A253" s="337">
        <v>13</v>
      </c>
      <c r="B253" s="338" t="s">
        <v>555</v>
      </c>
      <c r="C253" s="339"/>
      <c r="D253" s="339"/>
      <c r="E253" s="339"/>
      <c r="F253" s="336"/>
      <c r="G253" s="336"/>
      <c r="H253" s="336"/>
      <c r="I253" s="336"/>
      <c r="L253" s="344">
        <f>2*8*0.5*1.45*2.9</f>
        <v>33.64</v>
      </c>
    </row>
    <row r="254" spans="1:12">
      <c r="A254" s="353"/>
      <c r="B254" s="354" t="s">
        <v>507</v>
      </c>
      <c r="C254" s="355">
        <v>3</v>
      </c>
      <c r="D254" s="355"/>
      <c r="E254" s="355">
        <v>16</v>
      </c>
      <c r="F254" s="356">
        <v>0.9</v>
      </c>
      <c r="G254" s="356"/>
      <c r="H254" s="336">
        <v>1.35</v>
      </c>
      <c r="I254" s="336">
        <f t="shared" ref="I254:I268" si="19">PRODUCT(C254:H254)</f>
        <v>58.320000000000007</v>
      </c>
      <c r="L254" s="344"/>
    </row>
    <row r="255" spans="1:12">
      <c r="A255" s="337"/>
      <c r="B255" s="354" t="s">
        <v>508</v>
      </c>
      <c r="C255" s="355">
        <v>3</v>
      </c>
      <c r="D255" s="355"/>
      <c r="E255" s="355">
        <v>2</v>
      </c>
      <c r="F255" s="336">
        <v>1.1000000000000001</v>
      </c>
      <c r="G255" s="336"/>
      <c r="H255" s="336">
        <v>1.35</v>
      </c>
      <c r="I255" s="336">
        <f t="shared" si="19"/>
        <v>8.9100000000000019</v>
      </c>
      <c r="L255" s="344"/>
    </row>
    <row r="256" spans="1:12">
      <c r="A256" s="337"/>
      <c r="B256" s="354" t="s">
        <v>509</v>
      </c>
      <c r="C256" s="355">
        <v>3</v>
      </c>
      <c r="D256" s="355"/>
      <c r="E256" s="355">
        <v>12</v>
      </c>
      <c r="F256" s="336">
        <v>1.8</v>
      </c>
      <c r="G256" s="336"/>
      <c r="H256" s="336">
        <v>1.35</v>
      </c>
      <c r="I256" s="336">
        <f t="shared" si="19"/>
        <v>87.48</v>
      </c>
      <c r="L256" s="344"/>
    </row>
    <row r="257" spans="1:12">
      <c r="A257" s="337"/>
      <c r="B257" s="354" t="s">
        <v>511</v>
      </c>
      <c r="C257" s="355">
        <v>3</v>
      </c>
      <c r="D257" s="355"/>
      <c r="E257" s="355">
        <v>16</v>
      </c>
      <c r="F257" s="336">
        <v>0.9</v>
      </c>
      <c r="G257" s="336"/>
      <c r="H257" s="336">
        <v>0.6</v>
      </c>
      <c r="I257" s="336">
        <f t="shared" si="19"/>
        <v>25.92</v>
      </c>
      <c r="L257" s="344"/>
    </row>
    <row r="258" spans="1:12">
      <c r="A258" s="337"/>
      <c r="B258" s="354" t="s">
        <v>535</v>
      </c>
      <c r="C258" s="355">
        <v>3</v>
      </c>
      <c r="D258" s="355"/>
      <c r="E258" s="355">
        <v>13</v>
      </c>
      <c r="F258" s="336">
        <v>0.75</v>
      </c>
      <c r="G258" s="336"/>
      <c r="H258" s="336">
        <v>0.6</v>
      </c>
      <c r="I258" s="336">
        <f t="shared" si="19"/>
        <v>17.55</v>
      </c>
      <c r="L258" s="344"/>
    </row>
    <row r="259" spans="1:12">
      <c r="A259" s="337"/>
      <c r="B259" s="354" t="s">
        <v>536</v>
      </c>
      <c r="C259" s="355">
        <v>1</v>
      </c>
      <c r="D259" s="355"/>
      <c r="E259" s="355">
        <v>2</v>
      </c>
      <c r="F259" s="336">
        <v>1.5</v>
      </c>
      <c r="G259" s="336"/>
      <c r="H259" s="336">
        <v>1.35</v>
      </c>
      <c r="I259" s="336">
        <f t="shared" si="19"/>
        <v>4.0500000000000007</v>
      </c>
      <c r="L259" s="344"/>
    </row>
    <row r="260" spans="1:12">
      <c r="A260" s="337"/>
      <c r="B260" s="354" t="s">
        <v>490</v>
      </c>
      <c r="C260" s="355">
        <v>1</v>
      </c>
      <c r="D260" s="355"/>
      <c r="E260" s="355">
        <v>2</v>
      </c>
      <c r="F260" s="336">
        <v>1.8</v>
      </c>
      <c r="G260" s="336"/>
      <c r="H260" s="336">
        <v>2.4</v>
      </c>
      <c r="I260" s="336">
        <f t="shared" si="19"/>
        <v>8.64</v>
      </c>
      <c r="L260" s="344"/>
    </row>
    <row r="261" spans="1:12">
      <c r="A261" s="337"/>
      <c r="B261" s="354" t="s">
        <v>556</v>
      </c>
      <c r="C261" s="355">
        <v>1</v>
      </c>
      <c r="D261" s="355"/>
      <c r="E261" s="355">
        <v>1</v>
      </c>
      <c r="F261" s="336">
        <v>3.1</v>
      </c>
      <c r="G261" s="336"/>
      <c r="H261" s="336">
        <v>2.1</v>
      </c>
      <c r="I261" s="336">
        <f t="shared" si="19"/>
        <v>6.5100000000000007</v>
      </c>
      <c r="L261" s="344"/>
    </row>
    <row r="262" spans="1:12">
      <c r="A262" s="337"/>
      <c r="B262" s="354" t="s">
        <v>557</v>
      </c>
      <c r="C262" s="355">
        <v>2</v>
      </c>
      <c r="D262" s="355"/>
      <c r="E262" s="355">
        <v>2</v>
      </c>
      <c r="F262" s="336">
        <v>1.25</v>
      </c>
      <c r="G262" s="336"/>
      <c r="H262" s="336">
        <v>2.1</v>
      </c>
      <c r="I262" s="336">
        <f t="shared" si="19"/>
        <v>10.5</v>
      </c>
      <c r="L262" s="344"/>
    </row>
    <row r="263" spans="1:12">
      <c r="A263" s="337"/>
      <c r="B263" s="354" t="s">
        <v>558</v>
      </c>
      <c r="C263" s="355">
        <v>1</v>
      </c>
      <c r="D263" s="355"/>
      <c r="E263" s="355">
        <v>2</v>
      </c>
      <c r="F263" s="336">
        <v>1.2</v>
      </c>
      <c r="G263" s="336"/>
      <c r="H263" s="336">
        <v>2</v>
      </c>
      <c r="I263" s="336">
        <f t="shared" si="19"/>
        <v>4.8</v>
      </c>
      <c r="L263" s="344"/>
    </row>
    <row r="264" spans="1:12">
      <c r="A264" s="337"/>
      <c r="B264" s="354" t="s">
        <v>559</v>
      </c>
      <c r="C264" s="355">
        <v>1</v>
      </c>
      <c r="D264" s="355"/>
      <c r="E264" s="355">
        <v>1</v>
      </c>
      <c r="F264" s="336">
        <v>38.700000000000003</v>
      </c>
      <c r="G264" s="336"/>
      <c r="H264" s="336">
        <v>0.8</v>
      </c>
      <c r="I264" s="336">
        <f t="shared" si="19"/>
        <v>30.960000000000004</v>
      </c>
      <c r="L264" s="344"/>
    </row>
    <row r="265" spans="1:12">
      <c r="A265" s="337"/>
      <c r="B265" s="354" t="s">
        <v>560</v>
      </c>
      <c r="C265" s="355">
        <v>1</v>
      </c>
      <c r="D265" s="355"/>
      <c r="E265" s="355">
        <v>8</v>
      </c>
      <c r="F265" s="336">
        <v>1.45</v>
      </c>
      <c r="G265" s="336"/>
      <c r="H265" s="336">
        <v>1.35</v>
      </c>
      <c r="I265" s="336">
        <f t="shared" si="19"/>
        <v>15.66</v>
      </c>
      <c r="L265" s="344"/>
    </row>
    <row r="266" spans="1:12">
      <c r="A266" s="337"/>
      <c r="B266" s="354" t="s">
        <v>561</v>
      </c>
      <c r="C266" s="355">
        <v>1</v>
      </c>
      <c r="D266" s="355"/>
      <c r="E266" s="355">
        <v>2</v>
      </c>
      <c r="F266" s="336">
        <v>1.65</v>
      </c>
      <c r="G266" s="336"/>
      <c r="H266" s="336">
        <v>2.2000000000000002</v>
      </c>
      <c r="I266" s="336">
        <f t="shared" si="19"/>
        <v>7.26</v>
      </c>
      <c r="L266" s="344"/>
    </row>
    <row r="267" spans="1:12">
      <c r="A267" s="337"/>
      <c r="B267" s="354" t="s">
        <v>562</v>
      </c>
      <c r="C267" s="355">
        <v>1</v>
      </c>
      <c r="D267" s="355"/>
      <c r="E267" s="355">
        <v>1</v>
      </c>
      <c r="F267" s="336">
        <v>31.9</v>
      </c>
      <c r="G267" s="336"/>
      <c r="H267" s="336">
        <v>1.8</v>
      </c>
      <c r="I267" s="336">
        <f t="shared" si="19"/>
        <v>57.42</v>
      </c>
      <c r="L267" s="344"/>
    </row>
    <row r="268" spans="1:12">
      <c r="A268" s="337"/>
      <c r="B268" s="354" t="s">
        <v>563</v>
      </c>
      <c r="C268" s="355">
        <v>1</v>
      </c>
      <c r="D268" s="355"/>
      <c r="E268" s="355">
        <v>2</v>
      </c>
      <c r="F268" s="336">
        <v>1.65</v>
      </c>
      <c r="G268" s="336"/>
      <c r="H268" s="336">
        <v>2.2000000000000002</v>
      </c>
      <c r="I268" s="336">
        <f t="shared" si="19"/>
        <v>7.26</v>
      </c>
      <c r="L268" s="344"/>
    </row>
    <row r="269" spans="1:12">
      <c r="A269" s="337"/>
      <c r="B269" s="354"/>
      <c r="C269" s="355"/>
      <c r="D269" s="355"/>
      <c r="E269" s="355"/>
      <c r="F269" s="336"/>
      <c r="G269" s="336"/>
      <c r="H269" s="336"/>
      <c r="I269" s="336">
        <f>SUM(I254:I268)</f>
        <v>351.24</v>
      </c>
      <c r="L269" s="344"/>
    </row>
    <row r="270" spans="1:12">
      <c r="A270" s="337"/>
      <c r="B270" s="338"/>
      <c r="C270" s="339"/>
      <c r="D270" s="339"/>
      <c r="E270" s="339"/>
      <c r="F270" s="336"/>
      <c r="G270" s="336"/>
      <c r="H270" s="345" t="s">
        <v>491</v>
      </c>
      <c r="I270" s="345">
        <v>351.3</v>
      </c>
      <c r="J270" s="346" t="s">
        <v>289</v>
      </c>
      <c r="L270" s="344"/>
    </row>
    <row r="271" spans="1:12">
      <c r="A271" s="337"/>
      <c r="B271" s="338"/>
      <c r="C271" s="339"/>
      <c r="D271" s="339"/>
      <c r="E271" s="339"/>
      <c r="F271" s="336"/>
      <c r="G271" s="336"/>
      <c r="H271" s="336"/>
      <c r="I271" s="336"/>
      <c r="L271" s="344"/>
    </row>
    <row r="272" spans="1:12" ht="71.25" customHeight="1">
      <c r="A272" s="337">
        <v>14</v>
      </c>
      <c r="B272" s="338" t="s">
        <v>564</v>
      </c>
      <c r="C272" s="339"/>
      <c r="D272" s="339"/>
      <c r="E272" s="339"/>
      <c r="F272" s="336"/>
      <c r="G272" s="336"/>
      <c r="H272" s="336"/>
      <c r="I272" s="336"/>
      <c r="L272" s="344"/>
    </row>
    <row r="273" spans="1:12" ht="39.75" customHeight="1">
      <c r="A273" s="337"/>
      <c r="B273" s="338" t="s">
        <v>565</v>
      </c>
      <c r="C273" s="339">
        <v>3</v>
      </c>
      <c r="D273" s="339"/>
      <c r="E273" s="339">
        <v>7</v>
      </c>
      <c r="F273" s="336">
        <v>1.2</v>
      </c>
      <c r="G273" s="336"/>
      <c r="H273" s="336">
        <v>1.5</v>
      </c>
      <c r="I273" s="336">
        <f t="shared" ref="I273:I277" si="20">PRODUCT(C273:H273)</f>
        <v>37.799999999999997</v>
      </c>
      <c r="L273" s="344"/>
    </row>
    <row r="274" spans="1:12">
      <c r="A274" s="337"/>
      <c r="B274" s="338" t="s">
        <v>566</v>
      </c>
      <c r="C274" s="339">
        <v>1</v>
      </c>
      <c r="D274" s="339"/>
      <c r="E274" s="339">
        <v>1</v>
      </c>
      <c r="F274" s="336">
        <v>2.1</v>
      </c>
      <c r="G274" s="336">
        <v>6.46</v>
      </c>
      <c r="H274" s="336"/>
      <c r="I274" s="336">
        <f t="shared" si="20"/>
        <v>13.566000000000001</v>
      </c>
      <c r="L274" s="344"/>
    </row>
    <row r="275" spans="1:12">
      <c r="A275" s="337"/>
      <c r="B275" s="338" t="s">
        <v>567</v>
      </c>
      <c r="C275" s="339">
        <v>1</v>
      </c>
      <c r="D275" s="339"/>
      <c r="E275" s="339">
        <v>1</v>
      </c>
      <c r="F275" s="336">
        <v>4.7300000000000004</v>
      </c>
      <c r="G275" s="336">
        <v>11.64</v>
      </c>
      <c r="H275" s="336"/>
      <c r="I275" s="336">
        <f t="shared" si="20"/>
        <v>55.057200000000009</v>
      </c>
      <c r="L275" s="344"/>
    </row>
    <row r="276" spans="1:12">
      <c r="A276" s="337"/>
      <c r="B276" s="338" t="s">
        <v>568</v>
      </c>
      <c r="C276" s="339">
        <v>1</v>
      </c>
      <c r="D276" s="339"/>
      <c r="E276" s="339">
        <v>1</v>
      </c>
      <c r="F276" s="336">
        <v>2.1</v>
      </c>
      <c r="G276" s="336">
        <v>6.46</v>
      </c>
      <c r="H276" s="336"/>
      <c r="I276" s="336">
        <f t="shared" si="20"/>
        <v>13.566000000000001</v>
      </c>
      <c r="L276" s="344"/>
    </row>
    <row r="277" spans="1:12">
      <c r="A277" s="337"/>
      <c r="B277" s="338" t="s">
        <v>569</v>
      </c>
      <c r="C277" s="339">
        <v>1</v>
      </c>
      <c r="D277" s="339"/>
      <c r="E277" s="339">
        <v>1</v>
      </c>
      <c r="F277" s="336">
        <v>4.7300000000000004</v>
      </c>
      <c r="G277" s="336">
        <v>11.64</v>
      </c>
      <c r="H277" s="336"/>
      <c r="I277" s="336">
        <f t="shared" si="20"/>
        <v>55.057200000000009</v>
      </c>
      <c r="L277" s="344"/>
    </row>
    <row r="278" spans="1:12">
      <c r="A278" s="337"/>
      <c r="B278" s="338"/>
      <c r="C278" s="339"/>
      <c r="D278" s="339"/>
      <c r="E278" s="339"/>
      <c r="F278" s="336"/>
      <c r="G278" s="336"/>
      <c r="H278" s="336"/>
      <c r="I278" s="336">
        <f>SUM(I273:I277)</f>
        <v>175.04640000000001</v>
      </c>
      <c r="L278" s="344"/>
    </row>
    <row r="279" spans="1:12">
      <c r="A279" s="337"/>
      <c r="B279" s="338"/>
      <c r="C279" s="339"/>
      <c r="D279" s="339"/>
      <c r="E279" s="339"/>
      <c r="F279" s="336"/>
      <c r="G279" s="336"/>
      <c r="H279" s="345" t="s">
        <v>491</v>
      </c>
      <c r="I279" s="345">
        <v>175.1</v>
      </c>
      <c r="J279" s="346" t="s">
        <v>289</v>
      </c>
      <c r="L279" s="344"/>
    </row>
    <row r="280" spans="1:12">
      <c r="A280" s="337"/>
      <c r="B280" s="338"/>
      <c r="C280" s="339"/>
      <c r="D280" s="339"/>
      <c r="E280" s="339"/>
      <c r="F280" s="336"/>
      <c r="G280" s="336"/>
      <c r="H280" s="336"/>
      <c r="I280" s="336"/>
      <c r="L280" s="344"/>
    </row>
    <row r="281" spans="1:12" ht="47.25" customHeight="1">
      <c r="A281" s="337">
        <v>15</v>
      </c>
      <c r="B281" s="338" t="s">
        <v>570</v>
      </c>
      <c r="C281" s="339"/>
      <c r="D281" s="339"/>
      <c r="E281" s="339"/>
      <c r="F281" s="336"/>
      <c r="G281" s="336"/>
      <c r="H281" s="336"/>
      <c r="I281" s="336"/>
      <c r="L281" s="344"/>
    </row>
    <row r="282" spans="1:12">
      <c r="A282" s="337"/>
      <c r="B282" s="338" t="s">
        <v>567</v>
      </c>
      <c r="C282" s="339">
        <v>1</v>
      </c>
      <c r="D282" s="339"/>
      <c r="E282" s="339">
        <v>9</v>
      </c>
      <c r="F282" s="336">
        <v>1.5</v>
      </c>
      <c r="G282" s="336">
        <v>1.2</v>
      </c>
      <c r="H282" s="336"/>
      <c r="I282" s="336">
        <f t="shared" ref="I282:I283" si="21">PRODUCT(C282:H282)</f>
        <v>16.2</v>
      </c>
      <c r="L282" s="344"/>
    </row>
    <row r="283" spans="1:12">
      <c r="A283" s="337"/>
      <c r="B283" s="338" t="s">
        <v>569</v>
      </c>
      <c r="C283" s="339">
        <v>1</v>
      </c>
      <c r="D283" s="339"/>
      <c r="E283" s="339">
        <v>9</v>
      </c>
      <c r="F283" s="336">
        <v>1.5</v>
      </c>
      <c r="G283" s="336">
        <v>1.2</v>
      </c>
      <c r="H283" s="336"/>
      <c r="I283" s="336">
        <f t="shared" si="21"/>
        <v>16.2</v>
      </c>
      <c r="L283" s="344"/>
    </row>
    <row r="284" spans="1:12">
      <c r="A284" s="337"/>
      <c r="B284" s="338"/>
      <c r="C284" s="339"/>
      <c r="D284" s="339"/>
      <c r="E284" s="339"/>
      <c r="F284" s="336"/>
      <c r="G284" s="336"/>
      <c r="H284" s="336"/>
      <c r="I284" s="336">
        <f>SUM(I282:I283)</f>
        <v>32.4</v>
      </c>
      <c r="L284" s="344"/>
    </row>
    <row r="285" spans="1:12">
      <c r="A285" s="337"/>
      <c r="B285" s="338"/>
      <c r="C285" s="339"/>
      <c r="D285" s="339"/>
      <c r="E285" s="339"/>
      <c r="F285" s="336"/>
      <c r="G285" s="336"/>
      <c r="H285" s="345" t="s">
        <v>491</v>
      </c>
      <c r="I285" s="345">
        <v>32.5</v>
      </c>
      <c r="J285" s="346" t="s">
        <v>289</v>
      </c>
      <c r="L285" s="344"/>
    </row>
    <row r="286" spans="1:12">
      <c r="A286" s="337"/>
      <c r="B286" s="338"/>
      <c r="C286" s="339"/>
      <c r="D286" s="339"/>
      <c r="E286" s="339"/>
      <c r="F286" s="336"/>
      <c r="G286" s="336"/>
      <c r="H286" s="336"/>
      <c r="I286" s="336"/>
      <c r="L286" s="344"/>
    </row>
    <row r="287" spans="1:12" ht="52.5" customHeight="1">
      <c r="A287" s="337">
        <v>16</v>
      </c>
      <c r="B287" s="338" t="s">
        <v>571</v>
      </c>
      <c r="C287" s="339"/>
      <c r="D287" s="339"/>
      <c r="E287" s="339"/>
      <c r="F287" s="336"/>
      <c r="G287" s="336"/>
      <c r="H287" s="336"/>
      <c r="I287" s="336"/>
      <c r="L287" s="344"/>
    </row>
    <row r="288" spans="1:12">
      <c r="A288" s="337"/>
      <c r="B288" s="338" t="s">
        <v>567</v>
      </c>
      <c r="C288" s="339">
        <v>1</v>
      </c>
      <c r="D288" s="339"/>
      <c r="E288" s="339">
        <v>9</v>
      </c>
      <c r="F288" s="336">
        <v>1.5</v>
      </c>
      <c r="G288" s="336">
        <v>1.2</v>
      </c>
      <c r="H288" s="336">
        <v>0.28000000000000003</v>
      </c>
      <c r="I288" s="336">
        <f t="shared" ref="I288:I289" si="22">PRODUCT(C288:H288)</f>
        <v>4.5360000000000005</v>
      </c>
      <c r="L288" s="344"/>
    </row>
    <row r="289" spans="1:12">
      <c r="A289" s="337"/>
      <c r="B289" s="338" t="s">
        <v>569</v>
      </c>
      <c r="C289" s="339">
        <v>1</v>
      </c>
      <c r="D289" s="339"/>
      <c r="E289" s="339">
        <v>9</v>
      </c>
      <c r="F289" s="336">
        <v>1.5</v>
      </c>
      <c r="G289" s="336">
        <v>1.2</v>
      </c>
      <c r="H289" s="336">
        <v>0.28000000000000003</v>
      </c>
      <c r="I289" s="336">
        <f t="shared" si="22"/>
        <v>4.5360000000000005</v>
      </c>
      <c r="L289" s="344"/>
    </row>
    <row r="290" spans="1:12">
      <c r="A290" s="337"/>
      <c r="B290" s="338"/>
      <c r="C290" s="339"/>
      <c r="D290" s="339"/>
      <c r="E290" s="339"/>
      <c r="F290" s="336"/>
      <c r="G290" s="336"/>
      <c r="H290" s="336"/>
      <c r="I290" s="336">
        <f>SUM(I288:I289)</f>
        <v>9.072000000000001</v>
      </c>
      <c r="L290" s="344"/>
    </row>
    <row r="291" spans="1:12">
      <c r="A291" s="337"/>
      <c r="B291" s="338"/>
      <c r="C291" s="339"/>
      <c r="D291" s="339"/>
      <c r="E291" s="339"/>
      <c r="F291" s="336"/>
      <c r="G291" s="336"/>
      <c r="H291" s="345" t="s">
        <v>491</v>
      </c>
      <c r="I291" s="345">
        <v>9.1</v>
      </c>
      <c r="J291" s="346" t="s">
        <v>289</v>
      </c>
      <c r="L291" s="344"/>
    </row>
    <row r="292" spans="1:12">
      <c r="A292" s="337"/>
      <c r="B292" s="338"/>
      <c r="C292" s="339"/>
      <c r="D292" s="339"/>
      <c r="E292" s="339"/>
      <c r="F292" s="336"/>
      <c r="G292" s="336"/>
      <c r="H292" s="336"/>
      <c r="I292" s="336"/>
      <c r="L292" s="344"/>
    </row>
    <row r="293" spans="1:12" ht="47.25">
      <c r="A293" s="337">
        <v>17</v>
      </c>
      <c r="B293" s="338" t="s">
        <v>572</v>
      </c>
      <c r="C293" s="339"/>
      <c r="D293" s="339"/>
      <c r="E293" s="339"/>
      <c r="F293" s="336"/>
      <c r="G293" s="336"/>
      <c r="H293" s="336"/>
      <c r="I293" s="336"/>
      <c r="L293" s="344"/>
    </row>
    <row r="294" spans="1:12">
      <c r="A294" s="337"/>
      <c r="B294" s="338" t="s">
        <v>566</v>
      </c>
      <c r="C294" s="339">
        <v>1</v>
      </c>
      <c r="D294" s="339"/>
      <c r="E294" s="339">
        <v>1</v>
      </c>
      <c r="F294" s="336">
        <v>2.1</v>
      </c>
      <c r="G294" s="336">
        <v>6.46</v>
      </c>
      <c r="H294" s="336"/>
      <c r="I294" s="336">
        <f t="shared" ref="I294:I297" si="23">PRODUCT(C294:H294)</f>
        <v>13.566000000000001</v>
      </c>
      <c r="L294" s="344"/>
    </row>
    <row r="295" spans="1:12">
      <c r="A295" s="337"/>
      <c r="B295" s="338" t="s">
        <v>567</v>
      </c>
      <c r="C295" s="339">
        <v>1</v>
      </c>
      <c r="D295" s="339"/>
      <c r="E295" s="339">
        <v>1</v>
      </c>
      <c r="F295" s="336">
        <v>4.7300000000000004</v>
      </c>
      <c r="G295" s="336">
        <v>11.64</v>
      </c>
      <c r="H295" s="336"/>
      <c r="I295" s="336">
        <f t="shared" si="23"/>
        <v>55.057200000000009</v>
      </c>
      <c r="L295" s="344"/>
    </row>
    <row r="296" spans="1:12">
      <c r="A296" s="337"/>
      <c r="B296" s="338" t="s">
        <v>568</v>
      </c>
      <c r="C296" s="339">
        <v>1</v>
      </c>
      <c r="D296" s="339"/>
      <c r="E296" s="339">
        <v>1</v>
      </c>
      <c r="F296" s="336">
        <v>2.1</v>
      </c>
      <c r="G296" s="336">
        <v>6.46</v>
      </c>
      <c r="H296" s="336"/>
      <c r="I296" s="336">
        <f t="shared" si="23"/>
        <v>13.566000000000001</v>
      </c>
      <c r="L296" s="344"/>
    </row>
    <row r="297" spans="1:12">
      <c r="A297" s="337"/>
      <c r="B297" s="338" t="s">
        <v>569</v>
      </c>
      <c r="C297" s="339">
        <v>1</v>
      </c>
      <c r="D297" s="339"/>
      <c r="E297" s="339">
        <v>1</v>
      </c>
      <c r="F297" s="336">
        <v>4.7300000000000004</v>
      </c>
      <c r="G297" s="336">
        <v>11.64</v>
      </c>
      <c r="H297" s="336"/>
      <c r="I297" s="336">
        <f t="shared" si="23"/>
        <v>55.057200000000009</v>
      </c>
      <c r="L297" s="344"/>
    </row>
    <row r="298" spans="1:12">
      <c r="A298" s="337"/>
      <c r="B298" s="338"/>
      <c r="C298" s="339"/>
      <c r="D298" s="339"/>
      <c r="E298" s="339"/>
      <c r="F298" s="336"/>
      <c r="G298" s="336"/>
      <c r="H298" s="336"/>
      <c r="I298" s="336">
        <f>SUM(I294:I297)</f>
        <v>137.24640000000002</v>
      </c>
      <c r="L298" s="344"/>
    </row>
    <row r="299" spans="1:12">
      <c r="A299" s="337"/>
      <c r="B299" s="338"/>
      <c r="C299" s="339"/>
      <c r="D299" s="339"/>
      <c r="E299" s="339"/>
      <c r="F299" s="336"/>
      <c r="G299" s="336"/>
      <c r="H299" s="345" t="s">
        <v>25</v>
      </c>
      <c r="I299" s="345">
        <v>137.30000000000001</v>
      </c>
      <c r="J299" s="346" t="s">
        <v>289</v>
      </c>
      <c r="L299" s="344"/>
    </row>
    <row r="300" spans="1:12">
      <c r="A300" s="337"/>
      <c r="B300" s="338"/>
      <c r="C300" s="339"/>
      <c r="D300" s="339"/>
      <c r="E300" s="339"/>
      <c r="F300" s="336"/>
      <c r="G300" s="336"/>
      <c r="H300" s="336"/>
      <c r="I300" s="336"/>
      <c r="L300" s="344"/>
    </row>
    <row r="301" spans="1:12" ht="31.5">
      <c r="A301" s="337">
        <v>18</v>
      </c>
      <c r="B301" s="338" t="s">
        <v>573</v>
      </c>
      <c r="C301" s="339"/>
      <c r="D301" s="339"/>
      <c r="E301" s="339"/>
      <c r="F301" s="336"/>
      <c r="G301" s="336"/>
      <c r="H301" s="336"/>
      <c r="I301" s="336"/>
      <c r="L301" s="344"/>
    </row>
    <row r="302" spans="1:12" ht="31.5">
      <c r="A302" s="337"/>
      <c r="B302" s="338" t="s">
        <v>565</v>
      </c>
      <c r="C302" s="339">
        <v>3</v>
      </c>
      <c r="D302" s="339"/>
      <c r="E302" s="339">
        <v>7</v>
      </c>
      <c r="F302" s="336">
        <v>1.2</v>
      </c>
      <c r="G302" s="336"/>
      <c r="H302" s="336">
        <v>1.5</v>
      </c>
      <c r="I302" s="336">
        <f t="shared" ref="I302" si="24">PRODUCT(C302:H302)</f>
        <v>37.799999999999997</v>
      </c>
      <c r="L302" s="344"/>
    </row>
    <row r="303" spans="1:12">
      <c r="A303" s="337"/>
      <c r="B303" s="338"/>
      <c r="C303" s="339"/>
      <c r="D303" s="339"/>
      <c r="E303" s="339"/>
      <c r="F303" s="336"/>
      <c r="G303" s="336"/>
      <c r="H303" s="336"/>
      <c r="I303" s="345">
        <f>I302</f>
        <v>37.799999999999997</v>
      </c>
      <c r="J303" s="346" t="s">
        <v>289</v>
      </c>
      <c r="L303" s="344"/>
    </row>
    <row r="304" spans="1:12">
      <c r="A304" s="337"/>
      <c r="B304" s="338"/>
      <c r="C304" s="339"/>
      <c r="D304" s="339"/>
      <c r="E304" s="339"/>
      <c r="F304" s="336"/>
      <c r="G304" s="336"/>
      <c r="H304" s="336"/>
      <c r="I304" s="336"/>
      <c r="L304" s="344"/>
    </row>
    <row r="305" spans="1:12">
      <c r="A305" s="337">
        <v>19</v>
      </c>
      <c r="B305" s="338" t="s">
        <v>574</v>
      </c>
      <c r="C305" s="339"/>
      <c r="D305" s="339"/>
      <c r="E305" s="339"/>
      <c r="F305" s="336"/>
      <c r="G305" s="336"/>
      <c r="H305" s="336"/>
      <c r="I305" s="336"/>
      <c r="L305" s="344"/>
    </row>
    <row r="306" spans="1:12">
      <c r="A306" s="337"/>
      <c r="B306" s="338" t="s">
        <v>575</v>
      </c>
      <c r="C306" s="339">
        <v>1</v>
      </c>
      <c r="D306" s="339"/>
      <c r="E306" s="339">
        <v>1</v>
      </c>
      <c r="F306" s="336">
        <v>26.51</v>
      </c>
      <c r="G306" s="336"/>
      <c r="H306" s="336">
        <v>0.1</v>
      </c>
      <c r="I306" s="336">
        <f t="shared" ref="I306:I310" si="25">PRODUCT(C306:H306)</f>
        <v>2.6510000000000002</v>
      </c>
      <c r="L306" s="344"/>
    </row>
    <row r="307" spans="1:12">
      <c r="A307" s="337"/>
      <c r="B307" s="338" t="s">
        <v>576</v>
      </c>
      <c r="C307" s="339">
        <v>1</v>
      </c>
      <c r="D307" s="339"/>
      <c r="E307" s="339">
        <v>1</v>
      </c>
      <c r="F307" s="336">
        <v>24.97</v>
      </c>
      <c r="G307" s="336"/>
      <c r="H307" s="336">
        <v>0.1</v>
      </c>
      <c r="I307" s="336">
        <f t="shared" si="25"/>
        <v>2.4969999999999999</v>
      </c>
      <c r="L307" s="344"/>
    </row>
    <row r="308" spans="1:12">
      <c r="A308" s="337"/>
      <c r="B308" s="338" t="s">
        <v>577</v>
      </c>
      <c r="C308" s="339">
        <v>1</v>
      </c>
      <c r="D308" s="339"/>
      <c r="E308" s="339">
        <v>1</v>
      </c>
      <c r="F308" s="336">
        <v>16.5</v>
      </c>
      <c r="G308" s="336"/>
      <c r="H308" s="336">
        <v>0.1</v>
      </c>
      <c r="I308" s="336">
        <f t="shared" si="25"/>
        <v>1.6500000000000001</v>
      </c>
      <c r="L308" s="344"/>
    </row>
    <row r="309" spans="1:12">
      <c r="A309" s="337"/>
      <c r="B309" s="338" t="s">
        <v>578</v>
      </c>
      <c r="C309" s="339">
        <v>1</v>
      </c>
      <c r="D309" s="339"/>
      <c r="E309" s="339">
        <v>1</v>
      </c>
      <c r="F309" s="336">
        <v>24.97</v>
      </c>
      <c r="G309" s="336"/>
      <c r="H309" s="336">
        <v>0.1</v>
      </c>
      <c r="I309" s="336">
        <f t="shared" si="25"/>
        <v>2.4969999999999999</v>
      </c>
      <c r="L309" s="344"/>
    </row>
    <row r="310" spans="1:12">
      <c r="A310" s="337"/>
      <c r="B310" s="338" t="s">
        <v>579</v>
      </c>
      <c r="C310" s="339">
        <v>1</v>
      </c>
      <c r="D310" s="339"/>
      <c r="E310" s="339">
        <v>1</v>
      </c>
      <c r="F310" s="336">
        <v>16.5</v>
      </c>
      <c r="G310" s="336"/>
      <c r="H310" s="336">
        <v>0.1</v>
      </c>
      <c r="I310" s="336">
        <f t="shared" si="25"/>
        <v>1.6500000000000001</v>
      </c>
      <c r="L310" s="344"/>
    </row>
    <row r="311" spans="1:12">
      <c r="A311" s="337"/>
      <c r="B311" s="338"/>
      <c r="C311" s="339"/>
      <c r="D311" s="339"/>
      <c r="E311" s="339"/>
      <c r="F311" s="336"/>
      <c r="G311" s="336"/>
      <c r="H311" s="336"/>
      <c r="I311" s="336">
        <f>SUM(I306:I310)</f>
        <v>10.945</v>
      </c>
      <c r="L311" s="344"/>
    </row>
    <row r="312" spans="1:12">
      <c r="A312" s="337"/>
      <c r="B312" s="338"/>
      <c r="C312" s="339"/>
      <c r="D312" s="339"/>
      <c r="E312" s="339"/>
      <c r="F312" s="336"/>
      <c r="G312" s="336"/>
      <c r="H312" s="345" t="s">
        <v>491</v>
      </c>
      <c r="I312" s="345">
        <v>11</v>
      </c>
      <c r="J312" s="346" t="s">
        <v>289</v>
      </c>
      <c r="L312" s="344"/>
    </row>
    <row r="313" spans="1:12">
      <c r="A313" s="337"/>
      <c r="B313" s="338"/>
      <c r="C313" s="339"/>
      <c r="D313" s="339"/>
      <c r="E313" s="339"/>
      <c r="F313" s="336"/>
      <c r="G313" s="336"/>
      <c r="H313" s="336"/>
      <c r="I313" s="336"/>
      <c r="L313" s="344"/>
    </row>
    <row r="314" spans="1:12" ht="60" customHeight="1">
      <c r="A314" s="337">
        <v>20</v>
      </c>
      <c r="B314" s="338" t="s">
        <v>580</v>
      </c>
      <c r="C314" s="339"/>
      <c r="D314" s="339"/>
      <c r="E314" s="339"/>
      <c r="F314" s="336"/>
      <c r="G314" s="336"/>
      <c r="H314" s="336"/>
      <c r="I314" s="336"/>
      <c r="L314" s="344"/>
    </row>
    <row r="315" spans="1:12">
      <c r="A315" s="337"/>
      <c r="B315" s="338" t="s">
        <v>581</v>
      </c>
      <c r="C315" s="339">
        <v>1</v>
      </c>
      <c r="D315" s="339"/>
      <c r="E315" s="339">
        <v>1</v>
      </c>
      <c r="F315" s="336">
        <v>2.2000000000000002</v>
      </c>
      <c r="G315" s="336">
        <v>1.2</v>
      </c>
      <c r="H315" s="336"/>
      <c r="I315" s="336">
        <f t="shared" ref="I315:I317" si="26">PRODUCT(C315:H315)</f>
        <v>2.64</v>
      </c>
      <c r="L315" s="344"/>
    </row>
    <row r="316" spans="1:12">
      <c r="A316" s="337"/>
      <c r="B316" s="338"/>
      <c r="C316" s="339">
        <v>1</v>
      </c>
      <c r="D316" s="339"/>
      <c r="E316" s="339">
        <v>1</v>
      </c>
      <c r="F316" s="336">
        <v>2.6</v>
      </c>
      <c r="G316" s="336">
        <v>1.8</v>
      </c>
      <c r="H316" s="336"/>
      <c r="I316" s="336">
        <f t="shared" si="26"/>
        <v>4.6800000000000006</v>
      </c>
      <c r="L316" s="344"/>
    </row>
    <row r="317" spans="1:12">
      <c r="A317" s="337"/>
      <c r="B317" s="338"/>
      <c r="C317" s="339">
        <v>1</v>
      </c>
      <c r="D317" s="339"/>
      <c r="E317" s="339">
        <v>1</v>
      </c>
      <c r="F317" s="336">
        <v>3.7</v>
      </c>
      <c r="G317" s="336">
        <v>1.75</v>
      </c>
      <c r="H317" s="336"/>
      <c r="I317" s="336">
        <f t="shared" si="26"/>
        <v>6.4750000000000005</v>
      </c>
      <c r="L317" s="344"/>
    </row>
    <row r="318" spans="1:12">
      <c r="A318" s="337"/>
      <c r="B318" s="338"/>
      <c r="C318" s="339"/>
      <c r="D318" s="339"/>
      <c r="E318" s="339"/>
      <c r="F318" s="336"/>
      <c r="G318" s="336"/>
      <c r="H318" s="336"/>
      <c r="I318" s="336">
        <f>SUM(I315:I317)</f>
        <v>13.795000000000002</v>
      </c>
      <c r="J318" s="340" t="s">
        <v>289</v>
      </c>
      <c r="L318" s="344"/>
    </row>
    <row r="319" spans="1:12">
      <c r="A319" s="337"/>
      <c r="B319" s="338"/>
      <c r="C319" s="339"/>
      <c r="D319" s="339"/>
      <c r="E319" s="339"/>
      <c r="F319" s="336"/>
      <c r="G319" s="336"/>
      <c r="H319" s="345" t="s">
        <v>491</v>
      </c>
      <c r="I319" s="345">
        <v>13.8</v>
      </c>
      <c r="J319" s="346" t="s">
        <v>289</v>
      </c>
      <c r="L319" s="344"/>
    </row>
    <row r="320" spans="1:12">
      <c r="A320" s="337"/>
      <c r="B320" s="338"/>
      <c r="C320" s="339"/>
      <c r="D320" s="339"/>
      <c r="E320" s="339"/>
      <c r="F320" s="336"/>
      <c r="G320" s="336"/>
      <c r="H320" s="336"/>
      <c r="I320" s="336"/>
      <c r="L320" s="344"/>
    </row>
    <row r="321" spans="1:12">
      <c r="A321" s="337"/>
      <c r="B321" s="338"/>
      <c r="C321" s="339"/>
      <c r="D321" s="339"/>
      <c r="E321" s="339"/>
      <c r="F321" s="336"/>
      <c r="G321" s="336"/>
      <c r="H321" s="336"/>
      <c r="I321" s="336"/>
      <c r="L321" s="344"/>
    </row>
    <row r="322" spans="1:12" ht="31.5">
      <c r="A322" s="337">
        <v>21</v>
      </c>
      <c r="B322" s="338" t="s">
        <v>582</v>
      </c>
      <c r="C322" s="339"/>
      <c r="D322" s="339"/>
      <c r="E322" s="339"/>
      <c r="F322" s="336"/>
      <c r="G322" s="336"/>
      <c r="H322" s="336"/>
      <c r="I322" s="336"/>
      <c r="L322" s="344"/>
    </row>
    <row r="323" spans="1:12">
      <c r="A323" s="337"/>
      <c r="B323" s="338" t="s">
        <v>583</v>
      </c>
      <c r="C323" s="339"/>
      <c r="D323" s="339"/>
      <c r="E323" s="339"/>
      <c r="F323" s="336"/>
      <c r="G323" s="336"/>
      <c r="H323" s="336"/>
      <c r="I323" s="336"/>
      <c r="L323" s="344"/>
    </row>
    <row r="324" spans="1:12">
      <c r="A324" s="337"/>
      <c r="B324" s="338" t="s">
        <v>584</v>
      </c>
      <c r="C324" s="339">
        <v>3</v>
      </c>
      <c r="D324" s="339"/>
      <c r="E324" s="339">
        <v>16</v>
      </c>
      <c r="F324" s="336">
        <v>1.75</v>
      </c>
      <c r="G324" s="336"/>
      <c r="H324" s="336"/>
      <c r="I324" s="345">
        <f t="shared" ref="I324:I344" si="27">PRODUCT(C324:H324)</f>
        <v>84</v>
      </c>
      <c r="J324" s="346" t="s">
        <v>15</v>
      </c>
      <c r="L324" s="344"/>
    </row>
    <row r="325" spans="1:12">
      <c r="A325" s="337"/>
      <c r="B325" s="338"/>
      <c r="C325" s="339"/>
      <c r="D325" s="339"/>
      <c r="E325" s="339"/>
      <c r="F325" s="336"/>
      <c r="G325" s="336"/>
      <c r="H325" s="336"/>
      <c r="I325" s="336"/>
      <c r="L325" s="344"/>
    </row>
    <row r="326" spans="1:12">
      <c r="A326" s="337"/>
      <c r="B326" s="338" t="s">
        <v>585</v>
      </c>
      <c r="C326" s="339"/>
      <c r="D326" s="339"/>
      <c r="E326" s="339"/>
      <c r="F326" s="336"/>
      <c r="G326" s="336"/>
      <c r="H326" s="336"/>
      <c r="I326" s="336"/>
      <c r="L326" s="344"/>
    </row>
    <row r="327" spans="1:12">
      <c r="A327" s="337"/>
      <c r="B327" s="338" t="s">
        <v>586</v>
      </c>
      <c r="C327" s="339">
        <v>1</v>
      </c>
      <c r="D327" s="339"/>
      <c r="E327" s="339">
        <v>1</v>
      </c>
      <c r="F327" s="336">
        <v>18</v>
      </c>
      <c r="G327" s="336"/>
      <c r="H327" s="336"/>
      <c r="I327" s="336">
        <f t="shared" si="27"/>
        <v>18</v>
      </c>
      <c r="L327" s="344"/>
    </row>
    <row r="328" spans="1:12">
      <c r="A328" s="337"/>
      <c r="B328" s="338"/>
      <c r="C328" s="339">
        <v>1</v>
      </c>
      <c r="D328" s="339"/>
      <c r="E328" s="339">
        <v>1</v>
      </c>
      <c r="F328" s="336">
        <v>20</v>
      </c>
      <c r="G328" s="336"/>
      <c r="H328" s="336"/>
      <c r="I328" s="336">
        <f t="shared" si="27"/>
        <v>20</v>
      </c>
      <c r="L328" s="344"/>
    </row>
    <row r="329" spans="1:12">
      <c r="A329" s="337"/>
      <c r="B329" s="338"/>
      <c r="C329" s="339">
        <v>1</v>
      </c>
      <c r="D329" s="339"/>
      <c r="E329" s="339">
        <v>1</v>
      </c>
      <c r="F329" s="336">
        <v>22</v>
      </c>
      <c r="G329" s="336"/>
      <c r="H329" s="336"/>
      <c r="I329" s="336">
        <f t="shared" si="27"/>
        <v>22</v>
      </c>
      <c r="L329" s="344"/>
    </row>
    <row r="330" spans="1:12">
      <c r="A330" s="337"/>
      <c r="B330" s="338"/>
      <c r="C330" s="339"/>
      <c r="D330" s="339"/>
      <c r="E330" s="339"/>
      <c r="F330" s="336"/>
      <c r="G330" s="336"/>
      <c r="H330" s="336"/>
      <c r="I330" s="345">
        <f>SUM(I327:I329)</f>
        <v>60</v>
      </c>
      <c r="J330" s="346" t="s">
        <v>15</v>
      </c>
      <c r="L330" s="344"/>
    </row>
    <row r="331" spans="1:12">
      <c r="A331" s="337"/>
      <c r="B331" s="338" t="s">
        <v>587</v>
      </c>
      <c r="C331" s="339"/>
      <c r="D331" s="339"/>
      <c r="E331" s="339"/>
      <c r="F331" s="336"/>
      <c r="G331" s="336"/>
      <c r="H331" s="336"/>
      <c r="I331" s="336"/>
      <c r="L331" s="344"/>
    </row>
    <row r="332" spans="1:12">
      <c r="A332" s="337"/>
      <c r="B332" s="338" t="s">
        <v>588</v>
      </c>
      <c r="C332" s="339">
        <v>3</v>
      </c>
      <c r="D332" s="339"/>
      <c r="E332" s="339">
        <v>5</v>
      </c>
      <c r="F332" s="336">
        <v>0.9</v>
      </c>
      <c r="G332" s="336"/>
      <c r="H332" s="336"/>
      <c r="I332" s="336">
        <f t="shared" ref="I332" si="28">PRODUCT(C332:H332)</f>
        <v>13.5</v>
      </c>
      <c r="L332" s="344"/>
    </row>
    <row r="333" spans="1:12">
      <c r="A333" s="337"/>
      <c r="B333" s="338"/>
      <c r="C333" s="339"/>
      <c r="D333" s="339"/>
      <c r="E333" s="339"/>
      <c r="F333" s="336"/>
      <c r="G333" s="336"/>
      <c r="H333" s="336"/>
      <c r="I333" s="345">
        <f>SUM(I332:I332)</f>
        <v>13.5</v>
      </c>
      <c r="J333" s="346" t="s">
        <v>15</v>
      </c>
      <c r="L333" s="344"/>
    </row>
    <row r="334" spans="1:12">
      <c r="A334" s="337"/>
      <c r="B334" s="338"/>
      <c r="C334" s="339"/>
      <c r="D334" s="339"/>
      <c r="E334" s="339"/>
      <c r="F334" s="336"/>
      <c r="G334" s="336"/>
      <c r="H334" s="336"/>
      <c r="I334" s="336"/>
      <c r="L334" s="344"/>
    </row>
    <row r="335" spans="1:12" ht="31.5">
      <c r="A335" s="337">
        <v>22</v>
      </c>
      <c r="B335" s="338" t="s">
        <v>589</v>
      </c>
      <c r="C335" s="339"/>
      <c r="D335" s="339"/>
      <c r="E335" s="339"/>
      <c r="F335" s="336"/>
      <c r="G335" s="336"/>
      <c r="H335" s="336"/>
      <c r="I335" s="336"/>
      <c r="L335" s="344"/>
    </row>
    <row r="336" spans="1:12">
      <c r="A336" s="337"/>
      <c r="B336" s="338" t="s">
        <v>590</v>
      </c>
      <c r="C336" s="339"/>
      <c r="D336" s="339"/>
      <c r="E336" s="339"/>
      <c r="F336" s="336"/>
      <c r="G336" s="336"/>
      <c r="H336" s="336"/>
      <c r="I336" s="336"/>
      <c r="L336" s="344"/>
    </row>
    <row r="337" spans="1:12">
      <c r="A337" s="337"/>
      <c r="B337" s="338" t="s">
        <v>591</v>
      </c>
      <c r="C337" s="339">
        <v>3</v>
      </c>
      <c r="D337" s="339"/>
      <c r="E337" s="339">
        <v>9</v>
      </c>
      <c r="F337" s="336">
        <v>1</v>
      </c>
      <c r="G337" s="336"/>
      <c r="H337" s="336"/>
      <c r="I337" s="336">
        <f t="shared" ref="I337" si="29">PRODUCT(C337:H337)</f>
        <v>27</v>
      </c>
      <c r="L337" s="344"/>
    </row>
    <row r="338" spans="1:12">
      <c r="A338" s="337"/>
      <c r="B338" s="338"/>
      <c r="C338" s="339"/>
      <c r="D338" s="339"/>
      <c r="E338" s="339"/>
      <c r="F338" s="336"/>
      <c r="G338" s="336"/>
      <c r="H338" s="336"/>
      <c r="I338" s="345">
        <f>I337</f>
        <v>27</v>
      </c>
      <c r="J338" s="346" t="s">
        <v>15</v>
      </c>
      <c r="L338" s="344"/>
    </row>
    <row r="339" spans="1:12">
      <c r="A339" s="337"/>
      <c r="B339" s="338"/>
      <c r="C339" s="339"/>
      <c r="D339" s="339"/>
      <c r="E339" s="339"/>
      <c r="F339" s="336"/>
      <c r="G339" s="336"/>
      <c r="H339" s="336"/>
      <c r="I339" s="336"/>
      <c r="L339" s="344"/>
    </row>
    <row r="340" spans="1:12">
      <c r="A340" s="337"/>
      <c r="B340" s="338" t="s">
        <v>592</v>
      </c>
      <c r="C340" s="339"/>
      <c r="D340" s="339"/>
      <c r="E340" s="339"/>
      <c r="F340" s="336"/>
      <c r="G340" s="336"/>
      <c r="H340" s="336"/>
      <c r="I340" s="336"/>
      <c r="L340" s="344"/>
    </row>
    <row r="341" spans="1:12">
      <c r="A341" s="337"/>
      <c r="B341" s="338" t="s">
        <v>591</v>
      </c>
      <c r="C341" s="339">
        <v>3</v>
      </c>
      <c r="D341" s="339"/>
      <c r="E341" s="339">
        <v>9</v>
      </c>
      <c r="F341" s="336">
        <v>0.8</v>
      </c>
      <c r="G341" s="336"/>
      <c r="H341" s="336"/>
      <c r="I341" s="336">
        <f t="shared" ref="I341" si="30">PRODUCT(C341:H341)</f>
        <v>21.6</v>
      </c>
      <c r="L341" s="344"/>
    </row>
    <row r="342" spans="1:12">
      <c r="A342" s="337"/>
      <c r="B342" s="338"/>
      <c r="C342" s="339"/>
      <c r="D342" s="339"/>
      <c r="E342" s="339"/>
      <c r="F342" s="336"/>
      <c r="G342" s="336"/>
      <c r="H342" s="336"/>
      <c r="I342" s="345">
        <f>I341</f>
        <v>21.6</v>
      </c>
      <c r="J342" s="346" t="s">
        <v>15</v>
      </c>
      <c r="L342" s="344"/>
    </row>
    <row r="343" spans="1:12">
      <c r="A343" s="337"/>
      <c r="B343" s="338"/>
      <c r="C343" s="339"/>
      <c r="D343" s="339"/>
      <c r="E343" s="339"/>
      <c r="F343" s="336"/>
      <c r="G343" s="336"/>
      <c r="H343" s="336"/>
      <c r="I343" s="336"/>
      <c r="L343" s="344"/>
    </row>
    <row r="344" spans="1:12">
      <c r="A344" s="337">
        <v>23</v>
      </c>
      <c r="B344" s="338" t="s">
        <v>593</v>
      </c>
      <c r="C344" s="339">
        <v>3</v>
      </c>
      <c r="D344" s="339"/>
      <c r="E344" s="339">
        <v>32</v>
      </c>
      <c r="F344" s="336"/>
      <c r="G344" s="336"/>
      <c r="H344" s="336"/>
      <c r="I344" s="336">
        <f t="shared" si="27"/>
        <v>96</v>
      </c>
      <c r="J344" s="340" t="s">
        <v>18</v>
      </c>
      <c r="L344" s="344"/>
    </row>
    <row r="345" spans="1:12">
      <c r="A345" s="337"/>
      <c r="B345" s="338"/>
      <c r="C345" s="339"/>
      <c r="D345" s="339"/>
      <c r="E345" s="339"/>
      <c r="F345" s="336"/>
      <c r="G345" s="336"/>
      <c r="H345" s="336"/>
      <c r="I345" s="336"/>
      <c r="L345" s="344"/>
    </row>
    <row r="346" spans="1:12">
      <c r="A346" s="337">
        <v>24</v>
      </c>
      <c r="B346" s="338" t="s">
        <v>594</v>
      </c>
      <c r="C346" s="339"/>
      <c r="D346" s="339"/>
      <c r="E346" s="339"/>
      <c r="F346" s="336"/>
      <c r="G346" s="336"/>
      <c r="H346" s="336"/>
      <c r="I346" s="336"/>
      <c r="L346" s="344"/>
    </row>
    <row r="347" spans="1:12">
      <c r="A347" s="337"/>
      <c r="B347" s="338" t="s">
        <v>595</v>
      </c>
      <c r="C347" s="339">
        <v>3</v>
      </c>
      <c r="D347" s="339"/>
      <c r="E347" s="339">
        <v>21</v>
      </c>
      <c r="F347" s="336"/>
      <c r="G347" s="336"/>
      <c r="H347" s="336"/>
      <c r="I347" s="336">
        <f t="shared" ref="I347" si="31">PRODUCT(C347:H347)</f>
        <v>63</v>
      </c>
      <c r="J347" s="340" t="s">
        <v>18</v>
      </c>
      <c r="L347" s="344"/>
    </row>
    <row r="348" spans="1:12">
      <c r="A348" s="337"/>
      <c r="B348" s="338"/>
      <c r="C348" s="339"/>
      <c r="D348" s="339"/>
      <c r="E348" s="339"/>
      <c r="F348" s="336"/>
      <c r="G348" s="336"/>
      <c r="H348" s="336"/>
      <c r="I348" s="336"/>
      <c r="L348" s="344"/>
    </row>
    <row r="349" spans="1:12">
      <c r="A349" s="337">
        <v>25</v>
      </c>
      <c r="B349" s="338" t="s">
        <v>596</v>
      </c>
      <c r="C349" s="339"/>
      <c r="D349" s="339"/>
      <c r="E349" s="339"/>
      <c r="F349" s="336"/>
      <c r="G349" s="336"/>
      <c r="H349" s="336"/>
      <c r="I349" s="336"/>
      <c r="L349" s="344"/>
    </row>
    <row r="350" spans="1:12">
      <c r="A350" s="337"/>
      <c r="B350" s="338" t="s">
        <v>597</v>
      </c>
      <c r="C350" s="339">
        <v>1</v>
      </c>
      <c r="D350" s="339"/>
      <c r="E350" s="339">
        <v>2</v>
      </c>
      <c r="F350" s="336"/>
      <c r="G350" s="336"/>
      <c r="H350" s="336"/>
      <c r="I350" s="336">
        <f t="shared" ref="I350:I352" si="32">PRODUCT(C350:H350)</f>
        <v>2</v>
      </c>
      <c r="L350" s="344"/>
    </row>
    <row r="351" spans="1:12">
      <c r="A351" s="337"/>
      <c r="B351" s="338" t="s">
        <v>598</v>
      </c>
      <c r="C351" s="339">
        <v>1</v>
      </c>
      <c r="D351" s="339"/>
      <c r="E351" s="339">
        <v>4</v>
      </c>
      <c r="F351" s="336"/>
      <c r="G351" s="336"/>
      <c r="H351" s="336"/>
      <c r="I351" s="336">
        <f t="shared" si="32"/>
        <v>4</v>
      </c>
      <c r="L351" s="344"/>
    </row>
    <row r="352" spans="1:12">
      <c r="A352" s="337"/>
      <c r="B352" s="338" t="s">
        <v>599</v>
      </c>
      <c r="C352" s="339">
        <v>1</v>
      </c>
      <c r="D352" s="339"/>
      <c r="E352" s="339">
        <v>4</v>
      </c>
      <c r="F352" s="336"/>
      <c r="G352" s="336"/>
      <c r="H352" s="336"/>
      <c r="I352" s="336">
        <f t="shared" si="32"/>
        <v>4</v>
      </c>
      <c r="L352" s="344"/>
    </row>
    <row r="353" spans="1:12">
      <c r="A353" s="337"/>
      <c r="B353" s="338"/>
      <c r="C353" s="339"/>
      <c r="D353" s="339"/>
      <c r="E353" s="339"/>
      <c r="F353" s="336"/>
      <c r="G353" s="336"/>
      <c r="H353" s="336"/>
      <c r="I353" s="345">
        <f>SUM(I350:I352)</f>
        <v>10</v>
      </c>
      <c r="J353" s="346" t="s">
        <v>18</v>
      </c>
      <c r="L353" s="344"/>
    </row>
    <row r="354" spans="1:12">
      <c r="A354" s="337"/>
      <c r="B354" s="338"/>
      <c r="C354" s="339"/>
      <c r="D354" s="339"/>
      <c r="E354" s="339"/>
      <c r="F354" s="336"/>
      <c r="G354" s="336"/>
      <c r="H354" s="336"/>
      <c r="I354" s="336"/>
      <c r="L354" s="344"/>
    </row>
    <row r="355" spans="1:12" ht="82.5" customHeight="1">
      <c r="A355" s="337">
        <v>26</v>
      </c>
      <c r="B355" s="338" t="s">
        <v>600</v>
      </c>
      <c r="C355" s="339"/>
      <c r="D355" s="339"/>
      <c r="E355" s="339"/>
      <c r="F355" s="336"/>
      <c r="G355" s="336"/>
      <c r="H355" s="336"/>
      <c r="I355" s="336"/>
      <c r="L355" s="344"/>
    </row>
    <row r="356" spans="1:12">
      <c r="A356" s="337"/>
      <c r="B356" s="338" t="s">
        <v>479</v>
      </c>
      <c r="C356" s="339">
        <v>1</v>
      </c>
      <c r="D356" s="339"/>
      <c r="E356" s="339">
        <v>1</v>
      </c>
      <c r="F356" s="336">
        <v>5.2</v>
      </c>
      <c r="G356" s="336">
        <v>7.16</v>
      </c>
      <c r="H356" s="336"/>
      <c r="I356" s="336">
        <f t="shared" ref="I356:I357" si="33">PRODUCT(C356:H356)</f>
        <v>37.231999999999999</v>
      </c>
      <c r="L356" s="344"/>
    </row>
    <row r="357" spans="1:12">
      <c r="A357" s="337"/>
      <c r="B357" s="338" t="s">
        <v>480</v>
      </c>
      <c r="C357" s="339">
        <v>1</v>
      </c>
      <c r="D357" s="339"/>
      <c r="E357" s="339">
        <v>1</v>
      </c>
      <c r="F357" s="336">
        <v>5.2</v>
      </c>
      <c r="G357" s="336">
        <v>3.05</v>
      </c>
      <c r="H357" s="336"/>
      <c r="I357" s="336">
        <f t="shared" si="33"/>
        <v>15.86</v>
      </c>
      <c r="L357" s="344"/>
    </row>
    <row r="358" spans="1:12">
      <c r="A358" s="337"/>
      <c r="B358" s="338"/>
      <c r="C358" s="339"/>
      <c r="D358" s="339"/>
      <c r="E358" s="339"/>
      <c r="F358" s="336"/>
      <c r="G358" s="336"/>
      <c r="H358" s="336"/>
      <c r="I358" s="336">
        <f>SUM(I356:I357)</f>
        <v>53.091999999999999</v>
      </c>
      <c r="L358" s="344"/>
    </row>
    <row r="359" spans="1:12">
      <c r="A359" s="337"/>
      <c r="B359" s="338"/>
      <c r="C359" s="339"/>
      <c r="D359" s="339"/>
      <c r="E359" s="339"/>
      <c r="F359" s="336"/>
      <c r="G359" s="336"/>
      <c r="H359" s="345" t="s">
        <v>491</v>
      </c>
      <c r="I359" s="345">
        <v>53.1</v>
      </c>
      <c r="J359" s="346" t="s">
        <v>247</v>
      </c>
      <c r="L359" s="344"/>
    </row>
    <row r="360" spans="1:12">
      <c r="A360" s="337"/>
      <c r="B360" s="338"/>
      <c r="C360" s="339"/>
      <c r="D360" s="339"/>
      <c r="E360" s="339"/>
      <c r="F360" s="336"/>
      <c r="G360" s="336"/>
      <c r="H360" s="336"/>
      <c r="I360" s="336"/>
      <c r="L360" s="344"/>
    </row>
    <row r="361" spans="1:12" ht="47.25">
      <c r="A361" s="337">
        <v>27</v>
      </c>
      <c r="B361" s="338" t="s">
        <v>601</v>
      </c>
      <c r="C361" s="339"/>
      <c r="D361" s="339"/>
      <c r="E361" s="339"/>
      <c r="F361" s="336"/>
      <c r="G361" s="336"/>
      <c r="H361" s="336"/>
      <c r="I361" s="336"/>
      <c r="L361" s="344"/>
    </row>
    <row r="362" spans="1:12" ht="22.5" customHeight="1">
      <c r="A362" s="337"/>
      <c r="B362" s="338" t="s">
        <v>602</v>
      </c>
      <c r="C362" s="339">
        <v>1</v>
      </c>
      <c r="D362" s="339"/>
      <c r="E362" s="339">
        <v>1</v>
      </c>
      <c r="F362" s="336"/>
      <c r="G362" s="336"/>
      <c r="H362" s="336"/>
      <c r="I362" s="336">
        <f t="shared" ref="I362" si="34">PRODUCT(C362:H362)</f>
        <v>1</v>
      </c>
      <c r="J362" s="340" t="s">
        <v>18</v>
      </c>
      <c r="L362" s="344"/>
    </row>
    <row r="363" spans="1:12">
      <c r="A363" s="337"/>
      <c r="B363" s="338"/>
      <c r="C363" s="339"/>
      <c r="D363" s="339"/>
      <c r="E363" s="339"/>
      <c r="F363" s="336"/>
      <c r="G363" s="336"/>
      <c r="H363" s="336"/>
      <c r="I363" s="336"/>
      <c r="L363" s="344"/>
    </row>
    <row r="364" spans="1:12" ht="58.5" customHeight="1">
      <c r="A364" s="337">
        <v>28</v>
      </c>
      <c r="B364" s="338" t="s">
        <v>603</v>
      </c>
      <c r="C364" s="339"/>
      <c r="D364" s="339"/>
      <c r="E364" s="339"/>
      <c r="F364" s="336"/>
      <c r="G364" s="336"/>
      <c r="H364" s="336"/>
      <c r="I364" s="336"/>
      <c r="L364" s="344"/>
    </row>
    <row r="365" spans="1:12" ht="22.5" customHeight="1">
      <c r="A365" s="337"/>
      <c r="B365" s="338" t="s">
        <v>604</v>
      </c>
      <c r="C365" s="339">
        <v>1</v>
      </c>
      <c r="D365" s="339"/>
      <c r="E365" s="339">
        <v>1</v>
      </c>
      <c r="F365" s="336"/>
      <c r="G365" s="336"/>
      <c r="H365" s="336"/>
      <c r="I365" s="336">
        <f t="shared" ref="I365" si="35">PRODUCT(C365:H365)</f>
        <v>1</v>
      </c>
      <c r="J365" s="340" t="s">
        <v>18</v>
      </c>
      <c r="L365" s="344"/>
    </row>
    <row r="366" spans="1:12">
      <c r="A366" s="337"/>
      <c r="B366" s="338"/>
      <c r="C366" s="339"/>
      <c r="D366" s="339"/>
      <c r="E366" s="339"/>
      <c r="F366" s="336"/>
      <c r="G366" s="336"/>
      <c r="H366" s="336"/>
      <c r="I366" s="336"/>
      <c r="L366" s="344"/>
    </row>
    <row r="367" spans="1:12" ht="70.5" customHeight="1">
      <c r="A367" s="337">
        <v>29</v>
      </c>
      <c r="B367" s="338" t="s">
        <v>605</v>
      </c>
      <c r="C367" s="339"/>
      <c r="D367" s="339"/>
      <c r="E367" s="339"/>
      <c r="F367" s="336"/>
      <c r="G367" s="336"/>
      <c r="H367" s="336"/>
      <c r="I367" s="336"/>
      <c r="L367" s="344"/>
    </row>
    <row r="368" spans="1:12" ht="27.75" customHeight="1">
      <c r="A368" s="337"/>
      <c r="B368" s="338" t="s">
        <v>606</v>
      </c>
      <c r="C368" s="339">
        <v>1</v>
      </c>
      <c r="D368" s="339"/>
      <c r="E368" s="339">
        <v>2</v>
      </c>
      <c r="F368" s="336"/>
      <c r="G368" s="336"/>
      <c r="H368" s="336"/>
      <c r="I368" s="336">
        <f t="shared" ref="I368" si="36">PRODUCT(C368:H368)</f>
        <v>2</v>
      </c>
      <c r="J368" s="340" t="s">
        <v>18</v>
      </c>
      <c r="L368" s="344"/>
    </row>
    <row r="369" spans="1:12">
      <c r="A369" s="337"/>
      <c r="B369" s="338"/>
      <c r="C369" s="339"/>
      <c r="D369" s="339"/>
      <c r="E369" s="339"/>
      <c r="F369" s="336"/>
      <c r="G369" s="336"/>
      <c r="H369" s="336"/>
      <c r="I369" s="336"/>
      <c r="L369" s="344"/>
    </row>
    <row r="370" spans="1:12" ht="47.25">
      <c r="A370" s="337">
        <v>30</v>
      </c>
      <c r="B370" s="338" t="s">
        <v>607</v>
      </c>
      <c r="C370" s="339"/>
      <c r="D370" s="339"/>
      <c r="E370" s="339"/>
      <c r="F370" s="336"/>
      <c r="G370" s="336"/>
      <c r="H370" s="336"/>
      <c r="I370" s="336"/>
      <c r="L370" s="344"/>
    </row>
    <row r="371" spans="1:12" ht="26.25" customHeight="1">
      <c r="A371" s="337"/>
      <c r="B371" s="338" t="s">
        <v>606</v>
      </c>
      <c r="C371" s="339">
        <v>1</v>
      </c>
      <c r="D371" s="339"/>
      <c r="E371" s="339">
        <v>2</v>
      </c>
      <c r="F371" s="336"/>
      <c r="G371" s="336"/>
      <c r="H371" s="336"/>
      <c r="I371" s="336">
        <f t="shared" ref="I371" si="37">PRODUCT(C371:H371)</f>
        <v>2</v>
      </c>
      <c r="J371" s="340" t="s">
        <v>18</v>
      </c>
      <c r="L371" s="344"/>
    </row>
    <row r="372" spans="1:12">
      <c r="A372" s="337"/>
      <c r="B372" s="338"/>
      <c r="C372" s="339"/>
      <c r="D372" s="339"/>
      <c r="E372" s="339"/>
      <c r="F372" s="336"/>
      <c r="G372" s="336"/>
      <c r="H372" s="336"/>
      <c r="I372" s="336"/>
      <c r="L372" s="344"/>
    </row>
    <row r="373" spans="1:12">
      <c r="A373" s="337"/>
      <c r="B373" s="338"/>
      <c r="C373" s="339"/>
      <c r="D373" s="339"/>
      <c r="E373" s="339"/>
      <c r="F373" s="336"/>
      <c r="G373" s="336"/>
      <c r="H373" s="336"/>
      <c r="I373" s="336"/>
      <c r="L373" s="344"/>
    </row>
    <row r="374" spans="1:12" ht="62.25" customHeight="1">
      <c r="A374" s="337">
        <v>31</v>
      </c>
      <c r="B374" s="338" t="s">
        <v>608</v>
      </c>
      <c r="C374" s="339"/>
      <c r="D374" s="339"/>
      <c r="E374" s="339"/>
      <c r="F374" s="336"/>
      <c r="G374" s="336"/>
      <c r="H374" s="336"/>
      <c r="I374" s="336"/>
      <c r="L374" s="344"/>
    </row>
    <row r="375" spans="1:12">
      <c r="A375" s="337"/>
      <c r="B375" s="341" t="s">
        <v>470</v>
      </c>
      <c r="C375" s="339"/>
      <c r="D375" s="339"/>
      <c r="E375" s="339"/>
      <c r="F375" s="336"/>
      <c r="G375" s="336"/>
      <c r="H375" s="336"/>
      <c r="I375" s="336"/>
      <c r="L375" s="344"/>
    </row>
    <row r="376" spans="1:12">
      <c r="A376" s="337"/>
      <c r="B376" s="338" t="s">
        <v>471</v>
      </c>
      <c r="C376" s="339">
        <v>1</v>
      </c>
      <c r="D376" s="339"/>
      <c r="E376" s="339">
        <v>7</v>
      </c>
      <c r="F376" s="336"/>
      <c r="G376" s="336"/>
      <c r="H376" s="336"/>
      <c r="I376" s="336">
        <f t="shared" ref="I376:I397" si="38">PRODUCT(C376:H376)</f>
        <v>7</v>
      </c>
      <c r="L376" s="344"/>
    </row>
    <row r="377" spans="1:12">
      <c r="A377" s="337"/>
      <c r="B377" s="338" t="s">
        <v>472</v>
      </c>
      <c r="C377" s="339">
        <v>1</v>
      </c>
      <c r="D377" s="339"/>
      <c r="E377" s="339">
        <v>6</v>
      </c>
      <c r="F377" s="336"/>
      <c r="G377" s="336"/>
      <c r="H377" s="336"/>
      <c r="I377" s="336">
        <f t="shared" si="38"/>
        <v>6</v>
      </c>
      <c r="L377" s="344"/>
    </row>
    <row r="378" spans="1:12">
      <c r="A378" s="337"/>
      <c r="B378" s="338" t="s">
        <v>501</v>
      </c>
      <c r="C378" s="339">
        <v>1</v>
      </c>
      <c r="D378" s="339"/>
      <c r="E378" s="339">
        <v>12</v>
      </c>
      <c r="F378" s="336"/>
      <c r="G378" s="336"/>
      <c r="H378" s="336"/>
      <c r="I378" s="336">
        <f t="shared" si="38"/>
        <v>12</v>
      </c>
      <c r="L378" s="344"/>
    </row>
    <row r="379" spans="1:12">
      <c r="A379" s="337"/>
      <c r="B379" s="338" t="s">
        <v>609</v>
      </c>
      <c r="C379" s="339">
        <v>1</v>
      </c>
      <c r="D379" s="339"/>
      <c r="E379" s="339">
        <v>7</v>
      </c>
      <c r="F379" s="336"/>
      <c r="G379" s="336"/>
      <c r="H379" s="336"/>
      <c r="I379" s="336">
        <f t="shared" si="38"/>
        <v>7</v>
      </c>
      <c r="L379" s="344"/>
    </row>
    <row r="380" spans="1:12">
      <c r="A380" s="337"/>
      <c r="B380" s="338" t="s">
        <v>475</v>
      </c>
      <c r="C380" s="339">
        <v>2</v>
      </c>
      <c r="D380" s="339"/>
      <c r="E380" s="339">
        <v>40</v>
      </c>
      <c r="F380" s="336"/>
      <c r="G380" s="336"/>
      <c r="H380" s="336"/>
      <c r="I380" s="336">
        <f t="shared" si="38"/>
        <v>80</v>
      </c>
      <c r="L380" s="344"/>
    </row>
    <row r="381" spans="1:12">
      <c r="A381" s="337"/>
      <c r="B381" s="338" t="s">
        <v>481</v>
      </c>
      <c r="C381" s="339">
        <v>1</v>
      </c>
      <c r="D381" s="339"/>
      <c r="E381" s="339">
        <v>16</v>
      </c>
      <c r="F381" s="336"/>
      <c r="G381" s="336"/>
      <c r="H381" s="336"/>
      <c r="I381" s="336">
        <f t="shared" si="38"/>
        <v>16</v>
      </c>
      <c r="L381" s="344"/>
    </row>
    <row r="382" spans="1:12">
      <c r="A382" s="337"/>
      <c r="B382" s="338" t="s">
        <v>610</v>
      </c>
      <c r="C382" s="339">
        <v>1</v>
      </c>
      <c r="D382" s="339"/>
      <c r="E382" s="339">
        <v>10</v>
      </c>
      <c r="F382" s="336"/>
      <c r="G382" s="336"/>
      <c r="H382" s="336"/>
      <c r="I382" s="336">
        <f t="shared" si="38"/>
        <v>10</v>
      </c>
      <c r="L382" s="344"/>
    </row>
    <row r="383" spans="1:12">
      <c r="A383" s="337"/>
      <c r="B383" s="341" t="s">
        <v>478</v>
      </c>
      <c r="C383" s="339"/>
      <c r="D383" s="339"/>
      <c r="E383" s="339"/>
      <c r="F383" s="336"/>
      <c r="G383" s="336"/>
      <c r="H383" s="336"/>
      <c r="I383" s="336">
        <f t="shared" si="38"/>
        <v>0</v>
      </c>
      <c r="L383" s="344"/>
    </row>
    <row r="384" spans="1:12">
      <c r="A384" s="337"/>
      <c r="B384" s="338" t="s">
        <v>472</v>
      </c>
      <c r="C384" s="339">
        <v>1</v>
      </c>
      <c r="D384" s="339"/>
      <c r="E384" s="339">
        <v>6</v>
      </c>
      <c r="F384" s="336"/>
      <c r="G384" s="336"/>
      <c r="H384" s="336"/>
      <c r="I384" s="336">
        <f t="shared" si="38"/>
        <v>6</v>
      </c>
      <c r="L384" s="344"/>
    </row>
    <row r="385" spans="1:12">
      <c r="A385" s="337"/>
      <c r="B385" s="338" t="s">
        <v>479</v>
      </c>
      <c r="C385" s="339">
        <v>1</v>
      </c>
      <c r="D385" s="339"/>
      <c r="E385" s="339">
        <v>12</v>
      </c>
      <c r="F385" s="336"/>
      <c r="G385" s="336"/>
      <c r="H385" s="336"/>
      <c r="I385" s="336">
        <f t="shared" si="38"/>
        <v>12</v>
      </c>
      <c r="L385" s="344"/>
    </row>
    <row r="386" spans="1:12">
      <c r="A386" s="337"/>
      <c r="B386" s="338" t="s">
        <v>480</v>
      </c>
      <c r="C386" s="339">
        <v>1</v>
      </c>
      <c r="D386" s="339"/>
      <c r="E386" s="339">
        <v>7</v>
      </c>
      <c r="F386" s="336"/>
      <c r="G386" s="336"/>
      <c r="H386" s="336"/>
      <c r="I386" s="336">
        <f t="shared" si="38"/>
        <v>7</v>
      </c>
      <c r="L386" s="344"/>
    </row>
    <row r="387" spans="1:12">
      <c r="A387" s="337"/>
      <c r="B387" s="338" t="s">
        <v>475</v>
      </c>
      <c r="C387" s="339">
        <v>2</v>
      </c>
      <c r="D387" s="339"/>
      <c r="E387" s="339">
        <v>40</v>
      </c>
      <c r="F387" s="336"/>
      <c r="G387" s="336"/>
      <c r="H387" s="336"/>
      <c r="I387" s="336">
        <f t="shared" si="38"/>
        <v>80</v>
      </c>
      <c r="L387" s="344"/>
    </row>
    <row r="388" spans="1:12">
      <c r="A388" s="337"/>
      <c r="B388" s="338" t="s">
        <v>481</v>
      </c>
      <c r="C388" s="339">
        <v>1</v>
      </c>
      <c r="D388" s="339"/>
      <c r="E388" s="339">
        <v>16</v>
      </c>
      <c r="F388" s="336"/>
      <c r="G388" s="336"/>
      <c r="H388" s="336"/>
      <c r="I388" s="336">
        <f t="shared" si="38"/>
        <v>16</v>
      </c>
      <c r="L388" s="344"/>
    </row>
    <row r="389" spans="1:12">
      <c r="A389" s="337"/>
      <c r="B389" s="338" t="s">
        <v>610</v>
      </c>
      <c r="C389" s="339">
        <v>1</v>
      </c>
      <c r="D389" s="339"/>
      <c r="E389" s="339">
        <v>10</v>
      </c>
      <c r="F389" s="336"/>
      <c r="G389" s="336"/>
      <c r="H389" s="336"/>
      <c r="I389" s="336">
        <f t="shared" si="38"/>
        <v>10</v>
      </c>
      <c r="L389" s="344"/>
    </row>
    <row r="390" spans="1:12">
      <c r="A390" s="337"/>
      <c r="B390" s="341" t="s">
        <v>482</v>
      </c>
      <c r="C390" s="339"/>
      <c r="D390" s="339"/>
      <c r="E390" s="339"/>
      <c r="F390" s="336"/>
      <c r="G390" s="336"/>
      <c r="H390" s="336"/>
      <c r="I390" s="336"/>
      <c r="L390" s="344"/>
    </row>
    <row r="391" spans="1:12">
      <c r="A391" s="337"/>
      <c r="B391" s="338" t="s">
        <v>472</v>
      </c>
      <c r="C391" s="339">
        <v>1</v>
      </c>
      <c r="D391" s="339"/>
      <c r="E391" s="339">
        <v>4</v>
      </c>
      <c r="F391" s="336"/>
      <c r="G391" s="336"/>
      <c r="H391" s="336"/>
      <c r="I391" s="336">
        <f t="shared" ref="I391:I396" si="39">PRODUCT(C391:H391)</f>
        <v>4</v>
      </c>
      <c r="L391" s="344"/>
    </row>
    <row r="392" spans="1:12">
      <c r="A392" s="337"/>
      <c r="B392" s="338" t="s">
        <v>611</v>
      </c>
      <c r="C392" s="339">
        <v>1</v>
      </c>
      <c r="D392" s="339"/>
      <c r="E392" s="339">
        <v>12</v>
      </c>
      <c r="F392" s="336"/>
      <c r="G392" s="336"/>
      <c r="H392" s="336"/>
      <c r="I392" s="336">
        <f t="shared" si="39"/>
        <v>12</v>
      </c>
      <c r="L392" s="344"/>
    </row>
    <row r="393" spans="1:12">
      <c r="A393" s="337"/>
      <c r="B393" s="338" t="s">
        <v>612</v>
      </c>
      <c r="C393" s="339">
        <v>1</v>
      </c>
      <c r="D393" s="339"/>
      <c r="E393" s="339">
        <v>7</v>
      </c>
      <c r="F393" s="336"/>
      <c r="G393" s="336"/>
      <c r="H393" s="336"/>
      <c r="I393" s="336">
        <f t="shared" si="39"/>
        <v>7</v>
      </c>
      <c r="L393" s="344"/>
    </row>
    <row r="394" spans="1:12">
      <c r="A394" s="337"/>
      <c r="B394" s="338" t="s">
        <v>475</v>
      </c>
      <c r="C394" s="339">
        <v>2</v>
      </c>
      <c r="D394" s="339"/>
      <c r="E394" s="339">
        <v>40</v>
      </c>
      <c r="F394" s="336"/>
      <c r="G394" s="336"/>
      <c r="H394" s="336"/>
      <c r="I394" s="336">
        <f t="shared" si="39"/>
        <v>80</v>
      </c>
      <c r="L394" s="344"/>
    </row>
    <row r="395" spans="1:12">
      <c r="A395" s="337"/>
      <c r="B395" s="338" t="s">
        <v>481</v>
      </c>
      <c r="C395" s="339">
        <v>1</v>
      </c>
      <c r="D395" s="339"/>
      <c r="E395" s="339">
        <v>16</v>
      </c>
      <c r="F395" s="336"/>
      <c r="G395" s="336"/>
      <c r="H395" s="336"/>
      <c r="I395" s="336">
        <f t="shared" si="39"/>
        <v>16</v>
      </c>
      <c r="L395" s="344"/>
    </row>
    <row r="396" spans="1:12">
      <c r="A396" s="337"/>
      <c r="B396" s="338" t="s">
        <v>610</v>
      </c>
      <c r="C396" s="339">
        <v>1</v>
      </c>
      <c r="D396" s="339"/>
      <c r="E396" s="339">
        <v>10</v>
      </c>
      <c r="F396" s="336"/>
      <c r="G396" s="336"/>
      <c r="H396" s="336"/>
      <c r="I396" s="336">
        <f t="shared" si="39"/>
        <v>10</v>
      </c>
      <c r="L396" s="344"/>
    </row>
    <row r="397" spans="1:12">
      <c r="A397" s="337"/>
      <c r="B397" s="338" t="s">
        <v>485</v>
      </c>
      <c r="C397" s="339">
        <v>1</v>
      </c>
      <c r="D397" s="339"/>
      <c r="E397" s="339">
        <v>10</v>
      </c>
      <c r="F397" s="336"/>
      <c r="G397" s="336"/>
      <c r="H397" s="336"/>
      <c r="I397" s="336">
        <f t="shared" si="38"/>
        <v>10</v>
      </c>
      <c r="L397" s="344"/>
    </row>
    <row r="398" spans="1:12">
      <c r="A398" s="337"/>
      <c r="B398" s="338"/>
      <c r="C398" s="339"/>
      <c r="D398" s="339"/>
      <c r="E398" s="339"/>
      <c r="F398" s="336"/>
      <c r="G398" s="336"/>
      <c r="H398" s="336"/>
      <c r="I398" s="345">
        <f>SUM(I376:I397)</f>
        <v>408</v>
      </c>
      <c r="J398" s="346" t="s">
        <v>18</v>
      </c>
      <c r="L398" s="344"/>
    </row>
    <row r="399" spans="1:12">
      <c r="A399" s="337"/>
      <c r="B399" s="338"/>
      <c r="C399" s="339"/>
      <c r="D399" s="339"/>
      <c r="E399" s="339"/>
      <c r="F399" s="336"/>
      <c r="G399" s="336"/>
      <c r="H399" s="336"/>
      <c r="I399" s="336"/>
      <c r="L399" s="344"/>
    </row>
    <row r="400" spans="1:12" ht="61.5" customHeight="1">
      <c r="A400" s="337">
        <v>32</v>
      </c>
      <c r="B400" s="338" t="s">
        <v>613</v>
      </c>
      <c r="C400" s="339"/>
      <c r="D400" s="339"/>
      <c r="E400" s="339"/>
      <c r="F400" s="336"/>
      <c r="G400" s="336"/>
      <c r="H400" s="336"/>
      <c r="I400" s="336"/>
      <c r="L400" s="344"/>
    </row>
    <row r="401" spans="1:12">
      <c r="A401" s="337"/>
      <c r="B401" s="341" t="s">
        <v>470</v>
      </c>
      <c r="C401" s="339"/>
      <c r="D401" s="339"/>
      <c r="E401" s="339"/>
      <c r="F401" s="336"/>
      <c r="G401" s="336"/>
      <c r="H401" s="336"/>
      <c r="I401" s="336"/>
      <c r="L401" s="344"/>
    </row>
    <row r="402" spans="1:12">
      <c r="A402" s="337"/>
      <c r="B402" s="338" t="s">
        <v>471</v>
      </c>
      <c r="C402" s="339">
        <v>1</v>
      </c>
      <c r="D402" s="339"/>
      <c r="E402" s="339">
        <v>6</v>
      </c>
      <c r="F402" s="336"/>
      <c r="G402" s="336"/>
      <c r="H402" s="336"/>
      <c r="I402" s="336">
        <f t="shared" ref="I402:I411" si="40">PRODUCT(C402:H402)</f>
        <v>6</v>
      </c>
      <c r="L402" s="344"/>
    </row>
    <row r="403" spans="1:12">
      <c r="A403" s="337"/>
      <c r="B403" s="338" t="s">
        <v>472</v>
      </c>
      <c r="C403" s="339">
        <v>1</v>
      </c>
      <c r="D403" s="339"/>
      <c r="E403" s="339">
        <v>4</v>
      </c>
      <c r="F403" s="336"/>
      <c r="G403" s="336"/>
      <c r="H403" s="336"/>
      <c r="I403" s="336">
        <f t="shared" si="40"/>
        <v>4</v>
      </c>
      <c r="L403" s="344"/>
    </row>
    <row r="404" spans="1:12">
      <c r="A404" s="337"/>
      <c r="B404" s="338" t="s">
        <v>501</v>
      </c>
      <c r="C404" s="339">
        <v>1</v>
      </c>
      <c r="D404" s="339"/>
      <c r="E404" s="339">
        <v>4</v>
      </c>
      <c r="F404" s="336"/>
      <c r="G404" s="336"/>
      <c r="H404" s="336"/>
      <c r="I404" s="336">
        <f t="shared" si="40"/>
        <v>4</v>
      </c>
      <c r="L404" s="344"/>
    </row>
    <row r="405" spans="1:12">
      <c r="A405" s="337"/>
      <c r="B405" s="338" t="s">
        <v>609</v>
      </c>
      <c r="C405" s="339">
        <v>1</v>
      </c>
      <c r="D405" s="339"/>
      <c r="E405" s="339">
        <v>2</v>
      </c>
      <c r="F405" s="336"/>
      <c r="G405" s="336"/>
      <c r="H405" s="336"/>
      <c r="I405" s="336">
        <f t="shared" si="40"/>
        <v>2</v>
      </c>
      <c r="L405" s="344"/>
    </row>
    <row r="406" spans="1:12">
      <c r="A406" s="337"/>
      <c r="B406" s="338" t="s">
        <v>475</v>
      </c>
      <c r="C406" s="339">
        <v>2</v>
      </c>
      <c r="D406" s="339"/>
      <c r="E406" s="339">
        <v>16</v>
      </c>
      <c r="F406" s="336"/>
      <c r="G406" s="336"/>
      <c r="H406" s="336"/>
      <c r="I406" s="336">
        <f t="shared" si="40"/>
        <v>32</v>
      </c>
      <c r="L406" s="344"/>
    </row>
    <row r="407" spans="1:12">
      <c r="A407" s="337"/>
      <c r="B407" s="341" t="s">
        <v>478</v>
      </c>
      <c r="C407" s="339"/>
      <c r="D407" s="339"/>
      <c r="E407" s="339"/>
      <c r="F407" s="336"/>
      <c r="G407" s="336"/>
      <c r="H407" s="336"/>
      <c r="I407" s="336">
        <f t="shared" si="40"/>
        <v>0</v>
      </c>
      <c r="L407" s="344"/>
    </row>
    <row r="408" spans="1:12">
      <c r="A408" s="337"/>
      <c r="B408" s="338" t="s">
        <v>472</v>
      </c>
      <c r="C408" s="339">
        <v>1</v>
      </c>
      <c r="D408" s="339"/>
      <c r="E408" s="339">
        <v>4</v>
      </c>
      <c r="F408" s="336"/>
      <c r="G408" s="336"/>
      <c r="H408" s="336"/>
      <c r="I408" s="336">
        <f t="shared" si="40"/>
        <v>4</v>
      </c>
      <c r="L408" s="344"/>
    </row>
    <row r="409" spans="1:12">
      <c r="A409" s="337"/>
      <c r="B409" s="338" t="s">
        <v>479</v>
      </c>
      <c r="C409" s="339">
        <v>1</v>
      </c>
      <c r="D409" s="339"/>
      <c r="E409" s="339">
        <v>4</v>
      </c>
      <c r="F409" s="336"/>
      <c r="G409" s="336"/>
      <c r="H409" s="336"/>
      <c r="I409" s="336">
        <f t="shared" si="40"/>
        <v>4</v>
      </c>
      <c r="L409" s="344"/>
    </row>
    <row r="410" spans="1:12">
      <c r="A410" s="337"/>
      <c r="B410" s="338" t="s">
        <v>480</v>
      </c>
      <c r="C410" s="339">
        <v>1</v>
      </c>
      <c r="D410" s="339"/>
      <c r="E410" s="339">
        <v>2</v>
      </c>
      <c r="F410" s="336"/>
      <c r="G410" s="336"/>
      <c r="H410" s="336"/>
      <c r="I410" s="336">
        <f t="shared" si="40"/>
        <v>2</v>
      </c>
      <c r="L410" s="344"/>
    </row>
    <row r="411" spans="1:12">
      <c r="A411" s="337"/>
      <c r="B411" s="338" t="s">
        <v>475</v>
      </c>
      <c r="C411" s="339">
        <v>2</v>
      </c>
      <c r="D411" s="339"/>
      <c r="E411" s="339">
        <v>16</v>
      </c>
      <c r="F411" s="336"/>
      <c r="G411" s="336"/>
      <c r="H411" s="336"/>
      <c r="I411" s="336">
        <f t="shared" si="40"/>
        <v>32</v>
      </c>
      <c r="L411" s="344"/>
    </row>
    <row r="412" spans="1:12">
      <c r="A412" s="337"/>
      <c r="B412" s="341" t="s">
        <v>482</v>
      </c>
      <c r="C412" s="339"/>
      <c r="D412" s="339"/>
      <c r="E412" s="339"/>
      <c r="F412" s="336"/>
      <c r="G412" s="336"/>
      <c r="H412" s="336"/>
      <c r="I412" s="336"/>
      <c r="L412" s="344"/>
    </row>
    <row r="413" spans="1:12">
      <c r="A413" s="337"/>
      <c r="B413" s="338" t="s">
        <v>472</v>
      </c>
      <c r="C413" s="339">
        <v>1</v>
      </c>
      <c r="D413" s="339"/>
      <c r="E413" s="339">
        <v>4</v>
      </c>
      <c r="F413" s="336"/>
      <c r="G413" s="336"/>
      <c r="H413" s="336"/>
      <c r="I413" s="336">
        <f t="shared" ref="I413:I416" si="41">PRODUCT(C413:H413)</f>
        <v>4</v>
      </c>
      <c r="L413" s="344"/>
    </row>
    <row r="414" spans="1:12">
      <c r="A414" s="337"/>
      <c r="B414" s="338" t="s">
        <v>611</v>
      </c>
      <c r="C414" s="339">
        <v>1</v>
      </c>
      <c r="D414" s="339"/>
      <c r="E414" s="339">
        <v>4</v>
      </c>
      <c r="F414" s="336"/>
      <c r="G414" s="336"/>
      <c r="H414" s="336"/>
      <c r="I414" s="336">
        <f t="shared" si="41"/>
        <v>4</v>
      </c>
      <c r="L414" s="344"/>
    </row>
    <row r="415" spans="1:12">
      <c r="A415" s="337"/>
      <c r="B415" s="338" t="s">
        <v>612</v>
      </c>
      <c r="C415" s="339">
        <v>1</v>
      </c>
      <c r="D415" s="339"/>
      <c r="E415" s="339">
        <v>2</v>
      </c>
      <c r="F415" s="336"/>
      <c r="G415" s="336"/>
      <c r="H415" s="336"/>
      <c r="I415" s="336">
        <f t="shared" si="41"/>
        <v>2</v>
      </c>
      <c r="L415" s="344"/>
    </row>
    <row r="416" spans="1:12">
      <c r="A416" s="337"/>
      <c r="B416" s="338" t="s">
        <v>475</v>
      </c>
      <c r="C416" s="339">
        <v>2</v>
      </c>
      <c r="D416" s="339"/>
      <c r="E416" s="339">
        <v>16</v>
      </c>
      <c r="F416" s="336"/>
      <c r="G416" s="336"/>
      <c r="H416" s="336"/>
      <c r="I416" s="336">
        <f t="shared" si="41"/>
        <v>32</v>
      </c>
      <c r="L416" s="344"/>
    </row>
    <row r="417" spans="1:12">
      <c r="A417" s="337"/>
      <c r="B417" s="338"/>
      <c r="C417" s="339"/>
      <c r="D417" s="339"/>
      <c r="E417" s="339"/>
      <c r="F417" s="336"/>
      <c r="G417" s="336"/>
      <c r="H417" s="336"/>
      <c r="I417" s="345">
        <f>SUM(I402:I416)</f>
        <v>132</v>
      </c>
      <c r="J417" s="346" t="s">
        <v>18</v>
      </c>
      <c r="L417" s="344"/>
    </row>
    <row r="418" spans="1:12">
      <c r="A418" s="337"/>
      <c r="B418" s="338"/>
      <c r="C418" s="339"/>
      <c r="D418" s="339"/>
      <c r="E418" s="339"/>
      <c r="F418" s="336"/>
      <c r="G418" s="336"/>
      <c r="H418" s="336"/>
      <c r="I418" s="336"/>
      <c r="L418" s="344"/>
    </row>
    <row r="419" spans="1:12" ht="31.5">
      <c r="A419" s="337">
        <v>33</v>
      </c>
      <c r="B419" s="338" t="s">
        <v>614</v>
      </c>
      <c r="C419" s="339"/>
      <c r="D419" s="339"/>
      <c r="E419" s="339"/>
      <c r="F419" s="336"/>
      <c r="G419" s="336"/>
      <c r="H419" s="336"/>
      <c r="I419" s="336"/>
      <c r="L419" s="344"/>
    </row>
    <row r="420" spans="1:12">
      <c r="A420" s="337"/>
      <c r="B420" s="338" t="s">
        <v>615</v>
      </c>
      <c r="C420" s="339"/>
      <c r="D420" s="339"/>
      <c r="E420" s="339"/>
      <c r="F420" s="336"/>
      <c r="G420" s="336"/>
      <c r="H420" s="336"/>
      <c r="I420" s="336"/>
      <c r="L420" s="344"/>
    </row>
    <row r="421" spans="1:12">
      <c r="A421" s="337"/>
      <c r="B421" s="338" t="s">
        <v>616</v>
      </c>
      <c r="C421" s="339"/>
      <c r="D421" s="339"/>
      <c r="E421" s="339"/>
      <c r="F421" s="336"/>
      <c r="G421" s="336"/>
      <c r="H421" s="336"/>
      <c r="I421" s="336"/>
      <c r="L421" s="344"/>
    </row>
    <row r="422" spans="1:12">
      <c r="A422" s="337"/>
      <c r="B422" s="338" t="s">
        <v>617</v>
      </c>
      <c r="C422" s="339">
        <v>3</v>
      </c>
      <c r="D422" s="339"/>
      <c r="E422" s="339">
        <v>4</v>
      </c>
      <c r="F422" s="336"/>
      <c r="G422" s="336"/>
      <c r="H422" s="336"/>
      <c r="I422" s="336">
        <f t="shared" ref="I422:I423" si="42">PRODUCT(C422:H422)</f>
        <v>12</v>
      </c>
      <c r="L422" s="344"/>
    </row>
    <row r="423" spans="1:12">
      <c r="A423" s="337"/>
      <c r="B423" s="338" t="s">
        <v>485</v>
      </c>
      <c r="C423" s="339">
        <v>1</v>
      </c>
      <c r="D423" s="339"/>
      <c r="E423" s="339">
        <v>1</v>
      </c>
      <c r="F423" s="336"/>
      <c r="G423" s="336"/>
      <c r="H423" s="336"/>
      <c r="I423" s="336">
        <f t="shared" si="42"/>
        <v>1</v>
      </c>
      <c r="L423" s="344"/>
    </row>
    <row r="424" spans="1:12">
      <c r="A424" s="337"/>
      <c r="B424" s="338"/>
      <c r="C424" s="339"/>
      <c r="D424" s="339"/>
      <c r="E424" s="339"/>
      <c r="F424" s="336"/>
      <c r="G424" s="336"/>
      <c r="H424" s="336"/>
      <c r="I424" s="345">
        <f>SUM(I422:I423)</f>
        <v>13</v>
      </c>
      <c r="J424" s="346" t="s">
        <v>18</v>
      </c>
    </row>
    <row r="425" spans="1:12">
      <c r="A425" s="337"/>
      <c r="B425" s="338"/>
      <c r="C425" s="339"/>
      <c r="D425" s="339"/>
      <c r="E425" s="339"/>
      <c r="F425" s="336"/>
      <c r="G425" s="336"/>
      <c r="H425" s="336"/>
      <c r="I425" s="336"/>
    </row>
    <row r="426" spans="1:12">
      <c r="A426" s="337"/>
      <c r="B426" s="338" t="s">
        <v>618</v>
      </c>
      <c r="C426" s="339"/>
      <c r="D426" s="339"/>
      <c r="E426" s="339"/>
      <c r="F426" s="336"/>
      <c r="G426" s="336"/>
      <c r="H426" s="336"/>
      <c r="I426" s="336"/>
    </row>
    <row r="427" spans="1:12">
      <c r="A427" s="337"/>
      <c r="B427" s="338" t="s">
        <v>470</v>
      </c>
      <c r="C427" s="339"/>
      <c r="D427" s="339"/>
      <c r="E427" s="339"/>
      <c r="F427" s="336"/>
      <c r="G427" s="336"/>
      <c r="H427" s="336"/>
      <c r="I427" s="336"/>
    </row>
    <row r="428" spans="1:12">
      <c r="A428" s="337"/>
      <c r="B428" s="338" t="s">
        <v>619</v>
      </c>
      <c r="C428" s="339">
        <v>3</v>
      </c>
      <c r="D428" s="339"/>
      <c r="E428" s="339">
        <v>16</v>
      </c>
      <c r="F428" s="336"/>
      <c r="G428" s="336"/>
      <c r="H428" s="336"/>
      <c r="I428" s="336">
        <f t="shared" ref="I428" si="43">PRODUCT(C428:H428)</f>
        <v>48</v>
      </c>
    </row>
    <row r="429" spans="1:12">
      <c r="A429" s="337"/>
      <c r="B429" s="338"/>
      <c r="C429" s="339"/>
      <c r="D429" s="339"/>
      <c r="E429" s="339"/>
      <c r="F429" s="336"/>
      <c r="G429" s="336"/>
      <c r="H429" s="336"/>
      <c r="I429" s="345">
        <f>SUM(I428:I428)</f>
        <v>48</v>
      </c>
      <c r="J429" s="346" t="s">
        <v>18</v>
      </c>
    </row>
    <row r="430" spans="1:12">
      <c r="A430" s="337"/>
      <c r="B430" s="338"/>
      <c r="C430" s="339"/>
      <c r="D430" s="339"/>
      <c r="E430" s="339"/>
      <c r="F430" s="336"/>
      <c r="G430" s="336"/>
      <c r="H430" s="336"/>
      <c r="I430" s="336"/>
    </row>
    <row r="431" spans="1:12" ht="47.25">
      <c r="A431" s="337">
        <v>34</v>
      </c>
      <c r="B431" s="338" t="s">
        <v>620</v>
      </c>
      <c r="C431" s="339"/>
      <c r="D431" s="339"/>
      <c r="E431" s="339"/>
      <c r="F431" s="336"/>
      <c r="G431" s="336"/>
      <c r="H431" s="336"/>
      <c r="I431" s="336"/>
    </row>
    <row r="432" spans="1:12">
      <c r="A432" s="337"/>
      <c r="B432" s="338" t="s">
        <v>616</v>
      </c>
      <c r="C432" s="339"/>
      <c r="D432" s="339"/>
      <c r="E432" s="339"/>
      <c r="F432" s="336"/>
      <c r="G432" s="336"/>
      <c r="H432" s="336"/>
      <c r="I432" s="336"/>
    </row>
    <row r="433" spans="1:10">
      <c r="A433" s="337"/>
      <c r="B433" s="338" t="s">
        <v>617</v>
      </c>
      <c r="C433" s="339">
        <v>3</v>
      </c>
      <c r="D433" s="339"/>
      <c r="E433" s="339">
        <v>4</v>
      </c>
      <c r="F433" s="336"/>
      <c r="G433" s="336"/>
      <c r="H433" s="336"/>
      <c r="I433" s="336">
        <f t="shared" ref="I433:I435" si="44">PRODUCT(C433:H433)</f>
        <v>12</v>
      </c>
    </row>
    <row r="434" spans="1:10">
      <c r="A434" s="337"/>
      <c r="B434" s="338" t="s">
        <v>485</v>
      </c>
      <c r="C434" s="339">
        <v>1</v>
      </c>
      <c r="D434" s="339"/>
      <c r="E434" s="339">
        <v>1</v>
      </c>
      <c r="F434" s="336"/>
      <c r="G434" s="336"/>
      <c r="H434" s="336"/>
      <c r="I434" s="336">
        <f t="shared" si="44"/>
        <v>1</v>
      </c>
    </row>
    <row r="435" spans="1:10">
      <c r="A435" s="337"/>
      <c r="B435" s="338" t="s">
        <v>619</v>
      </c>
      <c r="C435" s="339">
        <v>3</v>
      </c>
      <c r="D435" s="339"/>
      <c r="E435" s="339">
        <v>16</v>
      </c>
      <c r="F435" s="336"/>
      <c r="G435" s="336"/>
      <c r="H435" s="336"/>
      <c r="I435" s="336">
        <f t="shared" si="44"/>
        <v>48</v>
      </c>
    </row>
    <row r="436" spans="1:10">
      <c r="A436" s="337"/>
      <c r="B436" s="338"/>
      <c r="C436" s="339"/>
      <c r="D436" s="339"/>
      <c r="E436" s="339"/>
      <c r="F436" s="336"/>
      <c r="G436" s="336"/>
      <c r="H436" s="336"/>
      <c r="I436" s="345">
        <f>SUM(I433:I435)</f>
        <v>61</v>
      </c>
      <c r="J436" s="346" t="s">
        <v>18</v>
      </c>
    </row>
    <row r="437" spans="1:10">
      <c r="A437" s="337"/>
      <c r="B437" s="338"/>
      <c r="C437" s="339"/>
      <c r="D437" s="339"/>
      <c r="E437" s="339"/>
      <c r="F437" s="336"/>
      <c r="G437" s="336"/>
      <c r="H437" s="336"/>
      <c r="I437" s="345"/>
      <c r="J437" s="346"/>
    </row>
    <row r="438" spans="1:10" ht="141.75">
      <c r="A438" s="337">
        <v>35</v>
      </c>
      <c r="B438" s="338" t="s">
        <v>434</v>
      </c>
      <c r="C438" s="339"/>
      <c r="D438" s="339"/>
      <c r="E438" s="339"/>
      <c r="F438" s="336"/>
      <c r="G438" s="336"/>
      <c r="H438" s="336"/>
      <c r="I438" s="345"/>
      <c r="J438" s="346"/>
    </row>
    <row r="439" spans="1:10">
      <c r="A439" s="337"/>
      <c r="B439" s="338" t="s">
        <v>621</v>
      </c>
      <c r="C439" s="339">
        <v>2</v>
      </c>
      <c r="D439" s="339"/>
      <c r="E439" s="339">
        <v>3</v>
      </c>
      <c r="F439" s="336">
        <v>6</v>
      </c>
      <c r="G439" s="336"/>
      <c r="H439" s="336"/>
      <c r="I439" s="336">
        <f t="shared" ref="I439" si="45">PRODUCT(C439:H439)</f>
        <v>36</v>
      </c>
      <c r="J439" s="346"/>
    </row>
    <row r="440" spans="1:10">
      <c r="A440" s="337"/>
      <c r="B440" s="338"/>
      <c r="C440" s="339"/>
      <c r="D440" s="339"/>
      <c r="E440" s="339"/>
      <c r="F440" s="336"/>
      <c r="G440" s="336"/>
      <c r="H440" s="336"/>
      <c r="I440" s="345">
        <f>I439</f>
        <v>36</v>
      </c>
      <c r="J440" s="346" t="s">
        <v>138</v>
      </c>
    </row>
    <row r="441" spans="1:10">
      <c r="A441" s="337"/>
      <c r="B441" s="338"/>
      <c r="C441" s="339"/>
      <c r="D441" s="339"/>
      <c r="E441" s="339"/>
      <c r="F441" s="336"/>
      <c r="G441" s="336"/>
      <c r="H441" s="336"/>
      <c r="I441" s="345"/>
      <c r="J441" s="346"/>
    </row>
    <row r="442" spans="1:10" ht="141.75">
      <c r="A442" s="337">
        <v>36</v>
      </c>
      <c r="B442" s="338" t="s">
        <v>622</v>
      </c>
      <c r="C442" s="339"/>
      <c r="D442" s="339"/>
      <c r="E442" s="339"/>
      <c r="F442" s="336"/>
      <c r="G442" s="336"/>
      <c r="H442" s="336"/>
      <c r="I442" s="345"/>
      <c r="J442" s="346"/>
    </row>
    <row r="443" spans="1:10">
      <c r="A443" s="337"/>
      <c r="B443" s="338" t="s">
        <v>623</v>
      </c>
      <c r="C443" s="339">
        <v>1</v>
      </c>
      <c r="D443" s="339"/>
      <c r="E443" s="339">
        <v>1</v>
      </c>
      <c r="F443" s="336">
        <v>9</v>
      </c>
      <c r="G443" s="336"/>
      <c r="H443" s="336"/>
      <c r="I443" s="336">
        <f t="shared" ref="I443:I444" si="46">PRODUCT(C443:H443)</f>
        <v>9</v>
      </c>
      <c r="J443" s="346"/>
    </row>
    <row r="444" spans="1:10">
      <c r="A444" s="337"/>
      <c r="B444" s="338"/>
      <c r="C444" s="339">
        <v>1</v>
      </c>
      <c r="D444" s="339"/>
      <c r="E444" s="339">
        <v>1</v>
      </c>
      <c r="F444" s="336">
        <v>15</v>
      </c>
      <c r="G444" s="336"/>
      <c r="H444" s="336"/>
      <c r="I444" s="336">
        <f t="shared" si="46"/>
        <v>15</v>
      </c>
      <c r="J444" s="346"/>
    </row>
    <row r="445" spans="1:10">
      <c r="A445" s="337"/>
      <c r="B445" s="338"/>
      <c r="C445" s="339"/>
      <c r="D445" s="339"/>
      <c r="E445" s="339"/>
      <c r="F445" s="336"/>
      <c r="G445" s="336"/>
      <c r="H445" s="336"/>
      <c r="I445" s="345">
        <f>SUM(I443:I444)</f>
        <v>24</v>
      </c>
      <c r="J445" s="346" t="s">
        <v>15</v>
      </c>
    </row>
    <row r="446" spans="1:10">
      <c r="A446" s="337"/>
      <c r="B446" s="338"/>
      <c r="C446" s="339"/>
      <c r="D446" s="339"/>
      <c r="E446" s="339"/>
      <c r="F446" s="336"/>
      <c r="G446" s="336"/>
      <c r="H446" s="336"/>
      <c r="I446" s="345"/>
      <c r="J446" s="346"/>
    </row>
    <row r="447" spans="1:10" ht="153" customHeight="1">
      <c r="A447" s="337">
        <v>37</v>
      </c>
      <c r="B447" s="338" t="s">
        <v>624</v>
      </c>
      <c r="C447" s="339"/>
      <c r="D447" s="339"/>
      <c r="E447" s="339"/>
      <c r="F447" s="336"/>
      <c r="G447" s="336"/>
      <c r="H447" s="336"/>
      <c r="I447" s="345"/>
      <c r="J447" s="346"/>
    </row>
    <row r="448" spans="1:10">
      <c r="A448" s="337"/>
      <c r="B448" s="338" t="s">
        <v>625</v>
      </c>
      <c r="C448" s="339">
        <v>1</v>
      </c>
      <c r="D448" s="339"/>
      <c r="E448" s="339">
        <v>5</v>
      </c>
      <c r="F448" s="336"/>
      <c r="G448" s="336"/>
      <c r="H448" s="336"/>
      <c r="I448" s="345">
        <f t="shared" ref="I448" si="47">PRODUCT(C448:H448)</f>
        <v>5</v>
      </c>
      <c r="J448" s="346" t="s">
        <v>18</v>
      </c>
    </row>
    <row r="449" spans="1:10">
      <c r="A449" s="337"/>
      <c r="B449" s="338"/>
      <c r="C449" s="339"/>
      <c r="D449" s="339"/>
      <c r="E449" s="339"/>
      <c r="F449" s="336"/>
      <c r="G449" s="336"/>
      <c r="H449" s="336"/>
      <c r="I449" s="345"/>
      <c r="J449" s="346"/>
    </row>
    <row r="450" spans="1:10" ht="85.5" customHeight="1">
      <c r="A450" s="337">
        <v>38</v>
      </c>
      <c r="B450" s="338" t="s">
        <v>626</v>
      </c>
      <c r="C450" s="339"/>
      <c r="D450" s="339"/>
      <c r="E450" s="339"/>
      <c r="F450" s="336"/>
      <c r="G450" s="336"/>
      <c r="H450" s="336"/>
      <c r="I450" s="345"/>
      <c r="J450" s="346"/>
    </row>
    <row r="451" spans="1:10">
      <c r="A451" s="337"/>
      <c r="B451" s="338" t="s">
        <v>627</v>
      </c>
      <c r="C451" s="339">
        <v>1</v>
      </c>
      <c r="D451" s="339"/>
      <c r="E451" s="339">
        <v>2</v>
      </c>
      <c r="F451" s="336"/>
      <c r="G451" s="336"/>
      <c r="H451" s="336"/>
      <c r="I451" s="345">
        <f t="shared" ref="I451" si="48">PRODUCT(C451:H451)</f>
        <v>2</v>
      </c>
      <c r="J451" s="346" t="s">
        <v>18</v>
      </c>
    </row>
    <row r="452" spans="1:10">
      <c r="A452" s="337"/>
      <c r="B452" s="338"/>
      <c r="C452" s="339"/>
      <c r="D452" s="339"/>
      <c r="E452" s="339"/>
      <c r="F452" s="336"/>
      <c r="G452" s="336"/>
      <c r="H452" s="336"/>
      <c r="I452" s="345"/>
      <c r="J452" s="346"/>
    </row>
    <row r="453" spans="1:10">
      <c r="A453" s="337"/>
      <c r="B453" s="338"/>
      <c r="C453" s="339"/>
      <c r="D453" s="339"/>
      <c r="E453" s="339"/>
      <c r="F453" s="336"/>
      <c r="G453" s="336"/>
      <c r="H453" s="336"/>
      <c r="I453" s="345"/>
      <c r="J453" s="346"/>
    </row>
    <row r="454" spans="1:10">
      <c r="A454" s="337"/>
      <c r="B454" s="338" t="s">
        <v>216</v>
      </c>
      <c r="C454" s="339" t="s">
        <v>38</v>
      </c>
      <c r="D454" s="339"/>
      <c r="E454" s="339"/>
      <c r="F454" s="336"/>
      <c r="G454" s="336"/>
      <c r="H454" s="336"/>
      <c r="I454" s="336"/>
    </row>
    <row r="455" spans="1:10">
      <c r="A455" s="337"/>
      <c r="B455" s="338" t="s">
        <v>628</v>
      </c>
      <c r="C455" s="339" t="s">
        <v>38</v>
      </c>
      <c r="D455" s="339"/>
      <c r="E455" s="339"/>
      <c r="F455" s="336"/>
      <c r="G455" s="336"/>
      <c r="H455" s="336"/>
      <c r="I455" s="336"/>
    </row>
    <row r="456" spans="1:10">
      <c r="A456" s="337"/>
      <c r="B456" s="338" t="s">
        <v>629</v>
      </c>
      <c r="C456" s="339" t="s">
        <v>38</v>
      </c>
      <c r="D456" s="339"/>
      <c r="E456" s="339"/>
      <c r="F456" s="336"/>
      <c r="G456" s="336"/>
      <c r="H456" s="336"/>
      <c r="I456" s="382"/>
    </row>
    <row r="457" spans="1:10">
      <c r="A457" s="337"/>
      <c r="B457" s="338" t="s">
        <v>293</v>
      </c>
      <c r="C457" s="339" t="s">
        <v>38</v>
      </c>
      <c r="D457" s="339"/>
      <c r="E457" s="339"/>
      <c r="F457" s="336"/>
      <c r="G457" s="336"/>
      <c r="H457" s="336"/>
      <c r="I457" s="382"/>
    </row>
    <row r="458" spans="1:10" ht="24" customHeight="1">
      <c r="J458" s="328"/>
    </row>
    <row r="459" spans="1:10">
      <c r="J459" s="328"/>
    </row>
    <row r="460" spans="1:10">
      <c r="A460" s="385"/>
      <c r="B460" s="385"/>
      <c r="C460" s="385"/>
      <c r="D460" s="385"/>
      <c r="E460" s="385"/>
      <c r="F460" s="385"/>
      <c r="G460" s="385"/>
      <c r="H460" s="385"/>
      <c r="I460" s="385"/>
      <c r="J460" s="385"/>
    </row>
    <row r="461" spans="1:10">
      <c r="B461" s="386"/>
      <c r="F461" s="387"/>
      <c r="G461" s="387"/>
      <c r="H461" s="388"/>
      <c r="I461" s="388"/>
      <c r="J461" s="388"/>
    </row>
    <row r="462" spans="1:10">
      <c r="J462" s="328"/>
    </row>
    <row r="463" spans="1:10">
      <c r="J463" s="328"/>
    </row>
    <row r="464" spans="1:10">
      <c r="J464" s="328"/>
    </row>
    <row r="465" spans="10:10">
      <c r="J465" s="328"/>
    </row>
  </sheetData>
  <mergeCells count="13">
    <mergeCell ref="O45:Q45"/>
    <mergeCell ref="A460:J460"/>
    <mergeCell ref="H461:J461"/>
    <mergeCell ref="A1:J1"/>
    <mergeCell ref="A2:J2"/>
    <mergeCell ref="A3:J3"/>
    <mergeCell ref="A4:J4"/>
    <mergeCell ref="A5:J5"/>
    <mergeCell ref="A6:A7"/>
    <mergeCell ref="B6:B7"/>
    <mergeCell ref="C6:E7"/>
    <mergeCell ref="F6:H6"/>
    <mergeCell ref="I6:J7"/>
  </mergeCells>
  <printOptions horizontalCentered="1"/>
  <pageMargins left="0.62992125984251968" right="0.27559055118110237" top="0.34" bottom="0.24" header="0.35433070866141736" footer="0.19685039370078741"/>
  <pageSetup paperSize="9" scale="85" orientation="portrait" r:id="rId1"/>
  <headerFooter differentOddEven="1">
    <oddHeader>&amp;C&amp;"+,Italic"V &amp; AC @ Alandur</oddHeader>
    <oddFooter>&amp;C&amp;"+,Italic"&amp;P</oddFooter>
  </headerFooter>
  <rowBreaks count="3" manualBreakCount="3">
    <brk id="119" max="9" man="1"/>
    <brk id="176" max="9" man="1"/>
    <brk id="214" max="9" man="1"/>
  </rowBreaks>
</worksheet>
</file>

<file path=xl/worksheets/sheet14.xml><?xml version="1.0" encoding="utf-8"?>
<worksheet xmlns="http://schemas.openxmlformats.org/spreadsheetml/2006/main" xmlns:r="http://schemas.openxmlformats.org/officeDocument/2006/relationships">
  <sheetPr>
    <tabColor rgb="FFFF0000"/>
  </sheetPr>
  <dimension ref="A1:J141"/>
  <sheetViews>
    <sheetView view="pageBreakPreview" topLeftCell="A7" zoomScaleNormal="70" zoomScaleSheetLayoutView="100" workbookViewId="0">
      <selection activeCell="F13" sqref="F13"/>
    </sheetView>
  </sheetViews>
  <sheetFormatPr defaultColWidth="11.42578125" defaultRowHeight="15.75"/>
  <cols>
    <col min="1" max="1" width="7.85546875" style="308" customWidth="1"/>
    <col min="2" max="2" width="10" style="412" customWidth="1"/>
    <col min="3" max="3" width="58.140625" style="413" customWidth="1"/>
    <col min="4" max="4" width="13.85546875" style="308" bestFit="1" customWidth="1"/>
    <col min="5" max="5" width="6.28515625" style="308" customWidth="1"/>
    <col min="6" max="6" width="13.85546875" style="308" bestFit="1" customWidth="1"/>
    <col min="7" max="7" width="13.28515625" style="261" bestFit="1" customWidth="1"/>
    <col min="8" max="8" width="11.42578125" style="261" bestFit="1" customWidth="1"/>
    <col min="9" max="9" width="13.85546875" style="261" bestFit="1" customWidth="1"/>
    <col min="10" max="10" width="12.42578125" style="261" bestFit="1" customWidth="1"/>
    <col min="11" max="256" width="11.42578125" style="261"/>
    <col min="257" max="257" width="7.85546875" style="261" customWidth="1"/>
    <col min="258" max="258" width="10" style="261" customWidth="1"/>
    <col min="259" max="259" width="58.140625" style="261" customWidth="1"/>
    <col min="260" max="260" width="13.85546875" style="261" bestFit="1" customWidth="1"/>
    <col min="261" max="261" width="6.28515625" style="261" customWidth="1"/>
    <col min="262" max="262" width="13.85546875" style="261" bestFit="1" customWidth="1"/>
    <col min="263" max="263" width="13.28515625" style="261" bestFit="1" customWidth="1"/>
    <col min="264" max="264" width="11.42578125" style="261"/>
    <col min="265" max="265" width="13.85546875" style="261" bestFit="1" customWidth="1"/>
    <col min="266" max="266" width="12.42578125" style="261" bestFit="1" customWidth="1"/>
    <col min="267" max="512" width="11.42578125" style="261"/>
    <col min="513" max="513" width="7.85546875" style="261" customWidth="1"/>
    <col min="514" max="514" width="10" style="261" customWidth="1"/>
    <col min="515" max="515" width="58.140625" style="261" customWidth="1"/>
    <col min="516" max="516" width="13.85546875" style="261" bestFit="1" customWidth="1"/>
    <col min="517" max="517" width="6.28515625" style="261" customWidth="1"/>
    <col min="518" max="518" width="13.85546875" style="261" bestFit="1" customWidth="1"/>
    <col min="519" max="519" width="13.28515625" style="261" bestFit="1" customWidth="1"/>
    <col min="520" max="520" width="11.42578125" style="261"/>
    <col min="521" max="521" width="13.85546875" style="261" bestFit="1" customWidth="1"/>
    <col min="522" max="522" width="12.42578125" style="261" bestFit="1" customWidth="1"/>
    <col min="523" max="768" width="11.42578125" style="261"/>
    <col min="769" max="769" width="7.85546875" style="261" customWidth="1"/>
    <col min="770" max="770" width="10" style="261" customWidth="1"/>
    <col min="771" max="771" width="58.140625" style="261" customWidth="1"/>
    <col min="772" max="772" width="13.85546875" style="261" bestFit="1" customWidth="1"/>
    <col min="773" max="773" width="6.28515625" style="261" customWidth="1"/>
    <col min="774" max="774" width="13.85546875" style="261" bestFit="1" customWidth="1"/>
    <col min="775" max="775" width="13.28515625" style="261" bestFit="1" customWidth="1"/>
    <col min="776" max="776" width="11.42578125" style="261"/>
    <col min="777" max="777" width="13.85546875" style="261" bestFit="1" customWidth="1"/>
    <col min="778" max="778" width="12.42578125" style="261" bestFit="1" customWidth="1"/>
    <col min="779" max="1024" width="11.42578125" style="261"/>
    <col min="1025" max="1025" width="7.85546875" style="261" customWidth="1"/>
    <col min="1026" max="1026" width="10" style="261" customWidth="1"/>
    <col min="1027" max="1027" width="58.140625" style="261" customWidth="1"/>
    <col min="1028" max="1028" width="13.85546875" style="261" bestFit="1" customWidth="1"/>
    <col min="1029" max="1029" width="6.28515625" style="261" customWidth="1"/>
    <col min="1030" max="1030" width="13.85546875" style="261" bestFit="1" customWidth="1"/>
    <col min="1031" max="1031" width="13.28515625" style="261" bestFit="1" customWidth="1"/>
    <col min="1032" max="1032" width="11.42578125" style="261"/>
    <col min="1033" max="1033" width="13.85546875" style="261" bestFit="1" customWidth="1"/>
    <col min="1034" max="1034" width="12.42578125" style="261" bestFit="1" customWidth="1"/>
    <col min="1035" max="1280" width="11.42578125" style="261"/>
    <col min="1281" max="1281" width="7.85546875" style="261" customWidth="1"/>
    <col min="1282" max="1282" width="10" style="261" customWidth="1"/>
    <col min="1283" max="1283" width="58.140625" style="261" customWidth="1"/>
    <col min="1284" max="1284" width="13.85546875" style="261" bestFit="1" customWidth="1"/>
    <col min="1285" max="1285" width="6.28515625" style="261" customWidth="1"/>
    <col min="1286" max="1286" width="13.85546875" style="261" bestFit="1" customWidth="1"/>
    <col min="1287" max="1287" width="13.28515625" style="261" bestFit="1" customWidth="1"/>
    <col min="1288" max="1288" width="11.42578125" style="261"/>
    <col min="1289" max="1289" width="13.85546875" style="261" bestFit="1" customWidth="1"/>
    <col min="1290" max="1290" width="12.42578125" style="261" bestFit="1" customWidth="1"/>
    <col min="1291" max="1536" width="11.42578125" style="261"/>
    <col min="1537" max="1537" width="7.85546875" style="261" customWidth="1"/>
    <col min="1538" max="1538" width="10" style="261" customWidth="1"/>
    <col min="1539" max="1539" width="58.140625" style="261" customWidth="1"/>
    <col min="1540" max="1540" width="13.85546875" style="261" bestFit="1" customWidth="1"/>
    <col min="1541" max="1541" width="6.28515625" style="261" customWidth="1"/>
    <col min="1542" max="1542" width="13.85546875" style="261" bestFit="1" customWidth="1"/>
    <col min="1543" max="1543" width="13.28515625" style="261" bestFit="1" customWidth="1"/>
    <col min="1544" max="1544" width="11.42578125" style="261"/>
    <col min="1545" max="1545" width="13.85546875" style="261" bestFit="1" customWidth="1"/>
    <col min="1546" max="1546" width="12.42578125" style="261" bestFit="1" customWidth="1"/>
    <col min="1547" max="1792" width="11.42578125" style="261"/>
    <col min="1793" max="1793" width="7.85546875" style="261" customWidth="1"/>
    <col min="1794" max="1794" width="10" style="261" customWidth="1"/>
    <col min="1795" max="1795" width="58.140625" style="261" customWidth="1"/>
    <col min="1796" max="1796" width="13.85546875" style="261" bestFit="1" customWidth="1"/>
    <col min="1797" max="1797" width="6.28515625" style="261" customWidth="1"/>
    <col min="1798" max="1798" width="13.85546875" style="261" bestFit="1" customWidth="1"/>
    <col min="1799" max="1799" width="13.28515625" style="261" bestFit="1" customWidth="1"/>
    <col min="1800" max="1800" width="11.42578125" style="261"/>
    <col min="1801" max="1801" width="13.85546875" style="261" bestFit="1" customWidth="1"/>
    <col min="1802" max="1802" width="12.42578125" style="261" bestFit="1" customWidth="1"/>
    <col min="1803" max="2048" width="11.42578125" style="261"/>
    <col min="2049" max="2049" width="7.85546875" style="261" customWidth="1"/>
    <col min="2050" max="2050" width="10" style="261" customWidth="1"/>
    <col min="2051" max="2051" width="58.140625" style="261" customWidth="1"/>
    <col min="2052" max="2052" width="13.85546875" style="261" bestFit="1" customWidth="1"/>
    <col min="2053" max="2053" width="6.28515625" style="261" customWidth="1"/>
    <col min="2054" max="2054" width="13.85546875" style="261" bestFit="1" customWidth="1"/>
    <col min="2055" max="2055" width="13.28515625" style="261" bestFit="1" customWidth="1"/>
    <col min="2056" max="2056" width="11.42578125" style="261"/>
    <col min="2057" max="2057" width="13.85546875" style="261" bestFit="1" customWidth="1"/>
    <col min="2058" max="2058" width="12.42578125" style="261" bestFit="1" customWidth="1"/>
    <col min="2059" max="2304" width="11.42578125" style="261"/>
    <col min="2305" max="2305" width="7.85546875" style="261" customWidth="1"/>
    <col min="2306" max="2306" width="10" style="261" customWidth="1"/>
    <col min="2307" max="2307" width="58.140625" style="261" customWidth="1"/>
    <col min="2308" max="2308" width="13.85546875" style="261" bestFit="1" customWidth="1"/>
    <col min="2309" max="2309" width="6.28515625" style="261" customWidth="1"/>
    <col min="2310" max="2310" width="13.85546875" style="261" bestFit="1" customWidth="1"/>
    <col min="2311" max="2311" width="13.28515625" style="261" bestFit="1" customWidth="1"/>
    <col min="2312" max="2312" width="11.42578125" style="261"/>
    <col min="2313" max="2313" width="13.85546875" style="261" bestFit="1" customWidth="1"/>
    <col min="2314" max="2314" width="12.42578125" style="261" bestFit="1" customWidth="1"/>
    <col min="2315" max="2560" width="11.42578125" style="261"/>
    <col min="2561" max="2561" width="7.85546875" style="261" customWidth="1"/>
    <col min="2562" max="2562" width="10" style="261" customWidth="1"/>
    <col min="2563" max="2563" width="58.140625" style="261" customWidth="1"/>
    <col min="2564" max="2564" width="13.85546875" style="261" bestFit="1" customWidth="1"/>
    <col min="2565" max="2565" width="6.28515625" style="261" customWidth="1"/>
    <col min="2566" max="2566" width="13.85546875" style="261" bestFit="1" customWidth="1"/>
    <col min="2567" max="2567" width="13.28515625" style="261" bestFit="1" customWidth="1"/>
    <col min="2568" max="2568" width="11.42578125" style="261"/>
    <col min="2569" max="2569" width="13.85546875" style="261" bestFit="1" customWidth="1"/>
    <col min="2570" max="2570" width="12.42578125" style="261" bestFit="1" customWidth="1"/>
    <col min="2571" max="2816" width="11.42578125" style="261"/>
    <col min="2817" max="2817" width="7.85546875" style="261" customWidth="1"/>
    <col min="2818" max="2818" width="10" style="261" customWidth="1"/>
    <col min="2819" max="2819" width="58.140625" style="261" customWidth="1"/>
    <col min="2820" max="2820" width="13.85546875" style="261" bestFit="1" customWidth="1"/>
    <col min="2821" max="2821" width="6.28515625" style="261" customWidth="1"/>
    <col min="2822" max="2822" width="13.85546875" style="261" bestFit="1" customWidth="1"/>
    <col min="2823" max="2823" width="13.28515625" style="261" bestFit="1" customWidth="1"/>
    <col min="2824" max="2824" width="11.42578125" style="261"/>
    <col min="2825" max="2825" width="13.85546875" style="261" bestFit="1" customWidth="1"/>
    <col min="2826" max="2826" width="12.42578125" style="261" bestFit="1" customWidth="1"/>
    <col min="2827" max="3072" width="11.42578125" style="261"/>
    <col min="3073" max="3073" width="7.85546875" style="261" customWidth="1"/>
    <col min="3074" max="3074" width="10" style="261" customWidth="1"/>
    <col min="3075" max="3075" width="58.140625" style="261" customWidth="1"/>
    <col min="3076" max="3076" width="13.85546875" style="261" bestFit="1" customWidth="1"/>
    <col min="3077" max="3077" width="6.28515625" style="261" customWidth="1"/>
    <col min="3078" max="3078" width="13.85546875" style="261" bestFit="1" customWidth="1"/>
    <col min="3079" max="3079" width="13.28515625" style="261" bestFit="1" customWidth="1"/>
    <col min="3080" max="3080" width="11.42578125" style="261"/>
    <col min="3081" max="3081" width="13.85546875" style="261" bestFit="1" customWidth="1"/>
    <col min="3082" max="3082" width="12.42578125" style="261" bestFit="1" customWidth="1"/>
    <col min="3083" max="3328" width="11.42578125" style="261"/>
    <col min="3329" max="3329" width="7.85546875" style="261" customWidth="1"/>
    <col min="3330" max="3330" width="10" style="261" customWidth="1"/>
    <col min="3331" max="3331" width="58.140625" style="261" customWidth="1"/>
    <col min="3332" max="3332" width="13.85546875" style="261" bestFit="1" customWidth="1"/>
    <col min="3333" max="3333" width="6.28515625" style="261" customWidth="1"/>
    <col min="3334" max="3334" width="13.85546875" style="261" bestFit="1" customWidth="1"/>
    <col min="3335" max="3335" width="13.28515625" style="261" bestFit="1" customWidth="1"/>
    <col min="3336" max="3336" width="11.42578125" style="261"/>
    <col min="3337" max="3337" width="13.85546875" style="261" bestFit="1" customWidth="1"/>
    <col min="3338" max="3338" width="12.42578125" style="261" bestFit="1" customWidth="1"/>
    <col min="3339" max="3584" width="11.42578125" style="261"/>
    <col min="3585" max="3585" width="7.85546875" style="261" customWidth="1"/>
    <col min="3586" max="3586" width="10" style="261" customWidth="1"/>
    <col min="3587" max="3587" width="58.140625" style="261" customWidth="1"/>
    <col min="3588" max="3588" width="13.85546875" style="261" bestFit="1" customWidth="1"/>
    <col min="3589" max="3589" width="6.28515625" style="261" customWidth="1"/>
    <col min="3590" max="3590" width="13.85546875" style="261" bestFit="1" customWidth="1"/>
    <col min="3591" max="3591" width="13.28515625" style="261" bestFit="1" customWidth="1"/>
    <col min="3592" max="3592" width="11.42578125" style="261"/>
    <col min="3593" max="3593" width="13.85546875" style="261" bestFit="1" customWidth="1"/>
    <col min="3594" max="3594" width="12.42578125" style="261" bestFit="1" customWidth="1"/>
    <col min="3595" max="3840" width="11.42578125" style="261"/>
    <col min="3841" max="3841" width="7.85546875" style="261" customWidth="1"/>
    <col min="3842" max="3842" width="10" style="261" customWidth="1"/>
    <col min="3843" max="3843" width="58.140625" style="261" customWidth="1"/>
    <col min="3844" max="3844" width="13.85546875" style="261" bestFit="1" customWidth="1"/>
    <col min="3845" max="3845" width="6.28515625" style="261" customWidth="1"/>
    <col min="3846" max="3846" width="13.85546875" style="261" bestFit="1" customWidth="1"/>
    <col min="3847" max="3847" width="13.28515625" style="261" bestFit="1" customWidth="1"/>
    <col min="3848" max="3848" width="11.42578125" style="261"/>
    <col min="3849" max="3849" width="13.85546875" style="261" bestFit="1" customWidth="1"/>
    <col min="3850" max="3850" width="12.42578125" style="261" bestFit="1" customWidth="1"/>
    <col min="3851" max="4096" width="11.42578125" style="261"/>
    <col min="4097" max="4097" width="7.85546875" style="261" customWidth="1"/>
    <col min="4098" max="4098" width="10" style="261" customWidth="1"/>
    <col min="4099" max="4099" width="58.140625" style="261" customWidth="1"/>
    <col min="4100" max="4100" width="13.85546875" style="261" bestFit="1" customWidth="1"/>
    <col min="4101" max="4101" width="6.28515625" style="261" customWidth="1"/>
    <col min="4102" max="4102" width="13.85546875" style="261" bestFit="1" customWidth="1"/>
    <col min="4103" max="4103" width="13.28515625" style="261" bestFit="1" customWidth="1"/>
    <col min="4104" max="4104" width="11.42578125" style="261"/>
    <col min="4105" max="4105" width="13.85546875" style="261" bestFit="1" customWidth="1"/>
    <col min="4106" max="4106" width="12.42578125" style="261" bestFit="1" customWidth="1"/>
    <col min="4107" max="4352" width="11.42578125" style="261"/>
    <col min="4353" max="4353" width="7.85546875" style="261" customWidth="1"/>
    <col min="4354" max="4354" width="10" style="261" customWidth="1"/>
    <col min="4355" max="4355" width="58.140625" style="261" customWidth="1"/>
    <col min="4356" max="4356" width="13.85546875" style="261" bestFit="1" customWidth="1"/>
    <col min="4357" max="4357" width="6.28515625" style="261" customWidth="1"/>
    <col min="4358" max="4358" width="13.85546875" style="261" bestFit="1" customWidth="1"/>
    <col min="4359" max="4359" width="13.28515625" style="261" bestFit="1" customWidth="1"/>
    <col min="4360" max="4360" width="11.42578125" style="261"/>
    <col min="4361" max="4361" width="13.85546875" style="261" bestFit="1" customWidth="1"/>
    <col min="4362" max="4362" width="12.42578125" style="261" bestFit="1" customWidth="1"/>
    <col min="4363" max="4608" width="11.42578125" style="261"/>
    <col min="4609" max="4609" width="7.85546875" style="261" customWidth="1"/>
    <col min="4610" max="4610" width="10" style="261" customWidth="1"/>
    <col min="4611" max="4611" width="58.140625" style="261" customWidth="1"/>
    <col min="4612" max="4612" width="13.85546875" style="261" bestFit="1" customWidth="1"/>
    <col min="4613" max="4613" width="6.28515625" style="261" customWidth="1"/>
    <col min="4614" max="4614" width="13.85546875" style="261" bestFit="1" customWidth="1"/>
    <col min="4615" max="4615" width="13.28515625" style="261" bestFit="1" customWidth="1"/>
    <col min="4616" max="4616" width="11.42578125" style="261"/>
    <col min="4617" max="4617" width="13.85546875" style="261" bestFit="1" customWidth="1"/>
    <col min="4618" max="4618" width="12.42578125" style="261" bestFit="1" customWidth="1"/>
    <col min="4619" max="4864" width="11.42578125" style="261"/>
    <col min="4865" max="4865" width="7.85546875" style="261" customWidth="1"/>
    <col min="4866" max="4866" width="10" style="261" customWidth="1"/>
    <col min="4867" max="4867" width="58.140625" style="261" customWidth="1"/>
    <col min="4868" max="4868" width="13.85546875" style="261" bestFit="1" customWidth="1"/>
    <col min="4869" max="4869" width="6.28515625" style="261" customWidth="1"/>
    <col min="4870" max="4870" width="13.85546875" style="261" bestFit="1" customWidth="1"/>
    <col min="4871" max="4871" width="13.28515625" style="261" bestFit="1" customWidth="1"/>
    <col min="4872" max="4872" width="11.42578125" style="261"/>
    <col min="4873" max="4873" width="13.85546875" style="261" bestFit="1" customWidth="1"/>
    <col min="4874" max="4874" width="12.42578125" style="261" bestFit="1" customWidth="1"/>
    <col min="4875" max="5120" width="11.42578125" style="261"/>
    <col min="5121" max="5121" width="7.85546875" style="261" customWidth="1"/>
    <col min="5122" max="5122" width="10" style="261" customWidth="1"/>
    <col min="5123" max="5123" width="58.140625" style="261" customWidth="1"/>
    <col min="5124" max="5124" width="13.85546875" style="261" bestFit="1" customWidth="1"/>
    <col min="5125" max="5125" width="6.28515625" style="261" customWidth="1"/>
    <col min="5126" max="5126" width="13.85546875" style="261" bestFit="1" customWidth="1"/>
    <col min="5127" max="5127" width="13.28515625" style="261" bestFit="1" customWidth="1"/>
    <col min="5128" max="5128" width="11.42578125" style="261"/>
    <col min="5129" max="5129" width="13.85546875" style="261" bestFit="1" customWidth="1"/>
    <col min="5130" max="5130" width="12.42578125" style="261" bestFit="1" customWidth="1"/>
    <col min="5131" max="5376" width="11.42578125" style="261"/>
    <col min="5377" max="5377" width="7.85546875" style="261" customWidth="1"/>
    <col min="5378" max="5378" width="10" style="261" customWidth="1"/>
    <col min="5379" max="5379" width="58.140625" style="261" customWidth="1"/>
    <col min="5380" max="5380" width="13.85546875" style="261" bestFit="1" customWidth="1"/>
    <col min="5381" max="5381" width="6.28515625" style="261" customWidth="1"/>
    <col min="5382" max="5382" width="13.85546875" style="261" bestFit="1" customWidth="1"/>
    <col min="5383" max="5383" width="13.28515625" style="261" bestFit="1" customWidth="1"/>
    <col min="5384" max="5384" width="11.42578125" style="261"/>
    <col min="5385" max="5385" width="13.85546875" style="261" bestFit="1" customWidth="1"/>
    <col min="5386" max="5386" width="12.42578125" style="261" bestFit="1" customWidth="1"/>
    <col min="5387" max="5632" width="11.42578125" style="261"/>
    <col min="5633" max="5633" width="7.85546875" style="261" customWidth="1"/>
    <col min="5634" max="5634" width="10" style="261" customWidth="1"/>
    <col min="5635" max="5635" width="58.140625" style="261" customWidth="1"/>
    <col min="5636" max="5636" width="13.85546875" style="261" bestFit="1" customWidth="1"/>
    <col min="5637" max="5637" width="6.28515625" style="261" customWidth="1"/>
    <col min="5638" max="5638" width="13.85546875" style="261" bestFit="1" customWidth="1"/>
    <col min="5639" max="5639" width="13.28515625" style="261" bestFit="1" customWidth="1"/>
    <col min="5640" max="5640" width="11.42578125" style="261"/>
    <col min="5641" max="5641" width="13.85546875" style="261" bestFit="1" customWidth="1"/>
    <col min="5642" max="5642" width="12.42578125" style="261" bestFit="1" customWidth="1"/>
    <col min="5643" max="5888" width="11.42578125" style="261"/>
    <col min="5889" max="5889" width="7.85546875" style="261" customWidth="1"/>
    <col min="5890" max="5890" width="10" style="261" customWidth="1"/>
    <col min="5891" max="5891" width="58.140625" style="261" customWidth="1"/>
    <col min="5892" max="5892" width="13.85546875" style="261" bestFit="1" customWidth="1"/>
    <col min="5893" max="5893" width="6.28515625" style="261" customWidth="1"/>
    <col min="5894" max="5894" width="13.85546875" style="261" bestFit="1" customWidth="1"/>
    <col min="5895" max="5895" width="13.28515625" style="261" bestFit="1" customWidth="1"/>
    <col min="5896" max="5896" width="11.42578125" style="261"/>
    <col min="5897" max="5897" width="13.85546875" style="261" bestFit="1" customWidth="1"/>
    <col min="5898" max="5898" width="12.42578125" style="261" bestFit="1" customWidth="1"/>
    <col min="5899" max="6144" width="11.42578125" style="261"/>
    <col min="6145" max="6145" width="7.85546875" style="261" customWidth="1"/>
    <col min="6146" max="6146" width="10" style="261" customWidth="1"/>
    <col min="6147" max="6147" width="58.140625" style="261" customWidth="1"/>
    <col min="6148" max="6148" width="13.85546875" style="261" bestFit="1" customWidth="1"/>
    <col min="6149" max="6149" width="6.28515625" style="261" customWidth="1"/>
    <col min="6150" max="6150" width="13.85546875" style="261" bestFit="1" customWidth="1"/>
    <col min="6151" max="6151" width="13.28515625" style="261" bestFit="1" customWidth="1"/>
    <col min="6152" max="6152" width="11.42578125" style="261"/>
    <col min="6153" max="6153" width="13.85546875" style="261" bestFit="1" customWidth="1"/>
    <col min="6154" max="6154" width="12.42578125" style="261" bestFit="1" customWidth="1"/>
    <col min="6155" max="6400" width="11.42578125" style="261"/>
    <col min="6401" max="6401" width="7.85546875" style="261" customWidth="1"/>
    <col min="6402" max="6402" width="10" style="261" customWidth="1"/>
    <col min="6403" max="6403" width="58.140625" style="261" customWidth="1"/>
    <col min="6404" max="6404" width="13.85546875" style="261" bestFit="1" customWidth="1"/>
    <col min="6405" max="6405" width="6.28515625" style="261" customWidth="1"/>
    <col min="6406" max="6406" width="13.85546875" style="261" bestFit="1" customWidth="1"/>
    <col min="6407" max="6407" width="13.28515625" style="261" bestFit="1" customWidth="1"/>
    <col min="6408" max="6408" width="11.42578125" style="261"/>
    <col min="6409" max="6409" width="13.85546875" style="261" bestFit="1" customWidth="1"/>
    <col min="6410" max="6410" width="12.42578125" style="261" bestFit="1" customWidth="1"/>
    <col min="6411" max="6656" width="11.42578125" style="261"/>
    <col min="6657" max="6657" width="7.85546875" style="261" customWidth="1"/>
    <col min="6658" max="6658" width="10" style="261" customWidth="1"/>
    <col min="6659" max="6659" width="58.140625" style="261" customWidth="1"/>
    <col min="6660" max="6660" width="13.85546875" style="261" bestFit="1" customWidth="1"/>
    <col min="6661" max="6661" width="6.28515625" style="261" customWidth="1"/>
    <col min="6662" max="6662" width="13.85546875" style="261" bestFit="1" customWidth="1"/>
    <col min="6663" max="6663" width="13.28515625" style="261" bestFit="1" customWidth="1"/>
    <col min="6664" max="6664" width="11.42578125" style="261"/>
    <col min="6665" max="6665" width="13.85546875" style="261" bestFit="1" customWidth="1"/>
    <col min="6666" max="6666" width="12.42578125" style="261" bestFit="1" customWidth="1"/>
    <col min="6667" max="6912" width="11.42578125" style="261"/>
    <col min="6913" max="6913" width="7.85546875" style="261" customWidth="1"/>
    <col min="6914" max="6914" width="10" style="261" customWidth="1"/>
    <col min="6915" max="6915" width="58.140625" style="261" customWidth="1"/>
    <col min="6916" max="6916" width="13.85546875" style="261" bestFit="1" customWidth="1"/>
    <col min="6917" max="6917" width="6.28515625" style="261" customWidth="1"/>
    <col min="6918" max="6918" width="13.85546875" style="261" bestFit="1" customWidth="1"/>
    <col min="6919" max="6919" width="13.28515625" style="261" bestFit="1" customWidth="1"/>
    <col min="6920" max="6920" width="11.42578125" style="261"/>
    <col min="6921" max="6921" width="13.85546875" style="261" bestFit="1" customWidth="1"/>
    <col min="6922" max="6922" width="12.42578125" style="261" bestFit="1" customWidth="1"/>
    <col min="6923" max="7168" width="11.42578125" style="261"/>
    <col min="7169" max="7169" width="7.85546875" style="261" customWidth="1"/>
    <col min="7170" max="7170" width="10" style="261" customWidth="1"/>
    <col min="7171" max="7171" width="58.140625" style="261" customWidth="1"/>
    <col min="7172" max="7172" width="13.85546875" style="261" bestFit="1" customWidth="1"/>
    <col min="7173" max="7173" width="6.28515625" style="261" customWidth="1"/>
    <col min="7174" max="7174" width="13.85546875" style="261" bestFit="1" customWidth="1"/>
    <col min="7175" max="7175" width="13.28515625" style="261" bestFit="1" customWidth="1"/>
    <col min="7176" max="7176" width="11.42578125" style="261"/>
    <col min="7177" max="7177" width="13.85546875" style="261" bestFit="1" customWidth="1"/>
    <col min="7178" max="7178" width="12.42578125" style="261" bestFit="1" customWidth="1"/>
    <col min="7179" max="7424" width="11.42578125" style="261"/>
    <col min="7425" max="7425" width="7.85546875" style="261" customWidth="1"/>
    <col min="7426" max="7426" width="10" style="261" customWidth="1"/>
    <col min="7427" max="7427" width="58.140625" style="261" customWidth="1"/>
    <col min="7428" max="7428" width="13.85546875" style="261" bestFit="1" customWidth="1"/>
    <col min="7429" max="7429" width="6.28515625" style="261" customWidth="1"/>
    <col min="7430" max="7430" width="13.85546875" style="261" bestFit="1" customWidth="1"/>
    <col min="7431" max="7431" width="13.28515625" style="261" bestFit="1" customWidth="1"/>
    <col min="7432" max="7432" width="11.42578125" style="261"/>
    <col min="7433" max="7433" width="13.85546875" style="261" bestFit="1" customWidth="1"/>
    <col min="7434" max="7434" width="12.42578125" style="261" bestFit="1" customWidth="1"/>
    <col min="7435" max="7680" width="11.42578125" style="261"/>
    <col min="7681" max="7681" width="7.85546875" style="261" customWidth="1"/>
    <col min="7682" max="7682" width="10" style="261" customWidth="1"/>
    <col min="7683" max="7683" width="58.140625" style="261" customWidth="1"/>
    <col min="7684" max="7684" width="13.85546875" style="261" bestFit="1" customWidth="1"/>
    <col min="7685" max="7685" width="6.28515625" style="261" customWidth="1"/>
    <col min="7686" max="7686" width="13.85546875" style="261" bestFit="1" customWidth="1"/>
    <col min="7687" max="7687" width="13.28515625" style="261" bestFit="1" customWidth="1"/>
    <col min="7688" max="7688" width="11.42578125" style="261"/>
    <col min="7689" max="7689" width="13.85546875" style="261" bestFit="1" customWidth="1"/>
    <col min="7690" max="7690" width="12.42578125" style="261" bestFit="1" customWidth="1"/>
    <col min="7691" max="7936" width="11.42578125" style="261"/>
    <col min="7937" max="7937" width="7.85546875" style="261" customWidth="1"/>
    <col min="7938" max="7938" width="10" style="261" customWidth="1"/>
    <col min="7939" max="7939" width="58.140625" style="261" customWidth="1"/>
    <col min="7940" max="7940" width="13.85546875" style="261" bestFit="1" customWidth="1"/>
    <col min="7941" max="7941" width="6.28515625" style="261" customWidth="1"/>
    <col min="7942" max="7942" width="13.85546875" style="261" bestFit="1" customWidth="1"/>
    <col min="7943" max="7943" width="13.28515625" style="261" bestFit="1" customWidth="1"/>
    <col min="7944" max="7944" width="11.42578125" style="261"/>
    <col min="7945" max="7945" width="13.85546875" style="261" bestFit="1" customWidth="1"/>
    <col min="7946" max="7946" width="12.42578125" style="261" bestFit="1" customWidth="1"/>
    <col min="7947" max="8192" width="11.42578125" style="261"/>
    <col min="8193" max="8193" width="7.85546875" style="261" customWidth="1"/>
    <col min="8194" max="8194" width="10" style="261" customWidth="1"/>
    <col min="8195" max="8195" width="58.140625" style="261" customWidth="1"/>
    <col min="8196" max="8196" width="13.85546875" style="261" bestFit="1" customWidth="1"/>
    <col min="8197" max="8197" width="6.28515625" style="261" customWidth="1"/>
    <col min="8198" max="8198" width="13.85546875" style="261" bestFit="1" customWidth="1"/>
    <col min="8199" max="8199" width="13.28515625" style="261" bestFit="1" customWidth="1"/>
    <col min="8200" max="8200" width="11.42578125" style="261"/>
    <col min="8201" max="8201" width="13.85546875" style="261" bestFit="1" customWidth="1"/>
    <col min="8202" max="8202" width="12.42578125" style="261" bestFit="1" customWidth="1"/>
    <col min="8203" max="8448" width="11.42578125" style="261"/>
    <col min="8449" max="8449" width="7.85546875" style="261" customWidth="1"/>
    <col min="8450" max="8450" width="10" style="261" customWidth="1"/>
    <col min="8451" max="8451" width="58.140625" style="261" customWidth="1"/>
    <col min="8452" max="8452" width="13.85546875" style="261" bestFit="1" customWidth="1"/>
    <col min="8453" max="8453" width="6.28515625" style="261" customWidth="1"/>
    <col min="8454" max="8454" width="13.85546875" style="261" bestFit="1" customWidth="1"/>
    <col min="8455" max="8455" width="13.28515625" style="261" bestFit="1" customWidth="1"/>
    <col min="8456" max="8456" width="11.42578125" style="261"/>
    <col min="8457" max="8457" width="13.85546875" style="261" bestFit="1" customWidth="1"/>
    <col min="8458" max="8458" width="12.42578125" style="261" bestFit="1" customWidth="1"/>
    <col min="8459" max="8704" width="11.42578125" style="261"/>
    <col min="8705" max="8705" width="7.85546875" style="261" customWidth="1"/>
    <col min="8706" max="8706" width="10" style="261" customWidth="1"/>
    <col min="8707" max="8707" width="58.140625" style="261" customWidth="1"/>
    <col min="8708" max="8708" width="13.85546875" style="261" bestFit="1" customWidth="1"/>
    <col min="8709" max="8709" width="6.28515625" style="261" customWidth="1"/>
    <col min="8710" max="8710" width="13.85546875" style="261" bestFit="1" customWidth="1"/>
    <col min="8711" max="8711" width="13.28515625" style="261" bestFit="1" customWidth="1"/>
    <col min="8712" max="8712" width="11.42578125" style="261"/>
    <col min="8713" max="8713" width="13.85546875" style="261" bestFit="1" customWidth="1"/>
    <col min="8714" max="8714" width="12.42578125" style="261" bestFit="1" customWidth="1"/>
    <col min="8715" max="8960" width="11.42578125" style="261"/>
    <col min="8961" max="8961" width="7.85546875" style="261" customWidth="1"/>
    <col min="8962" max="8962" width="10" style="261" customWidth="1"/>
    <col min="8963" max="8963" width="58.140625" style="261" customWidth="1"/>
    <col min="8964" max="8964" width="13.85546875" style="261" bestFit="1" customWidth="1"/>
    <col min="8965" max="8965" width="6.28515625" style="261" customWidth="1"/>
    <col min="8966" max="8966" width="13.85546875" style="261" bestFit="1" customWidth="1"/>
    <col min="8967" max="8967" width="13.28515625" style="261" bestFit="1" customWidth="1"/>
    <col min="8968" max="8968" width="11.42578125" style="261"/>
    <col min="8969" max="8969" width="13.85546875" style="261" bestFit="1" customWidth="1"/>
    <col min="8970" max="8970" width="12.42578125" style="261" bestFit="1" customWidth="1"/>
    <col min="8971" max="9216" width="11.42578125" style="261"/>
    <col min="9217" max="9217" width="7.85546875" style="261" customWidth="1"/>
    <col min="9218" max="9218" width="10" style="261" customWidth="1"/>
    <col min="9219" max="9219" width="58.140625" style="261" customWidth="1"/>
    <col min="9220" max="9220" width="13.85546875" style="261" bestFit="1" customWidth="1"/>
    <col min="9221" max="9221" width="6.28515625" style="261" customWidth="1"/>
    <col min="9222" max="9222" width="13.85546875" style="261" bestFit="1" customWidth="1"/>
    <col min="9223" max="9223" width="13.28515625" style="261" bestFit="1" customWidth="1"/>
    <col min="9224" max="9224" width="11.42578125" style="261"/>
    <col min="9225" max="9225" width="13.85546875" style="261" bestFit="1" customWidth="1"/>
    <col min="9226" max="9226" width="12.42578125" style="261" bestFit="1" customWidth="1"/>
    <col min="9227" max="9472" width="11.42578125" style="261"/>
    <col min="9473" max="9473" width="7.85546875" style="261" customWidth="1"/>
    <col min="9474" max="9474" width="10" style="261" customWidth="1"/>
    <col min="9475" max="9475" width="58.140625" style="261" customWidth="1"/>
    <col min="9476" max="9476" width="13.85546875" style="261" bestFit="1" customWidth="1"/>
    <col min="9477" max="9477" width="6.28515625" style="261" customWidth="1"/>
    <col min="9478" max="9478" width="13.85546875" style="261" bestFit="1" customWidth="1"/>
    <col min="9479" max="9479" width="13.28515625" style="261" bestFit="1" customWidth="1"/>
    <col min="9480" max="9480" width="11.42578125" style="261"/>
    <col min="9481" max="9481" width="13.85546875" style="261" bestFit="1" customWidth="1"/>
    <col min="9482" max="9482" width="12.42578125" style="261" bestFit="1" customWidth="1"/>
    <col min="9483" max="9728" width="11.42578125" style="261"/>
    <col min="9729" max="9729" width="7.85546875" style="261" customWidth="1"/>
    <col min="9730" max="9730" width="10" style="261" customWidth="1"/>
    <col min="9731" max="9731" width="58.140625" style="261" customWidth="1"/>
    <col min="9732" max="9732" width="13.85546875" style="261" bestFit="1" customWidth="1"/>
    <col min="9733" max="9733" width="6.28515625" style="261" customWidth="1"/>
    <col min="9734" max="9734" width="13.85546875" style="261" bestFit="1" customWidth="1"/>
    <col min="9735" max="9735" width="13.28515625" style="261" bestFit="1" customWidth="1"/>
    <col min="9736" max="9736" width="11.42578125" style="261"/>
    <col min="9737" max="9737" width="13.85546875" style="261" bestFit="1" customWidth="1"/>
    <col min="9738" max="9738" width="12.42578125" style="261" bestFit="1" customWidth="1"/>
    <col min="9739" max="9984" width="11.42578125" style="261"/>
    <col min="9985" max="9985" width="7.85546875" style="261" customWidth="1"/>
    <col min="9986" max="9986" width="10" style="261" customWidth="1"/>
    <col min="9987" max="9987" width="58.140625" style="261" customWidth="1"/>
    <col min="9988" max="9988" width="13.85546875" style="261" bestFit="1" customWidth="1"/>
    <col min="9989" max="9989" width="6.28515625" style="261" customWidth="1"/>
    <col min="9990" max="9990" width="13.85546875" style="261" bestFit="1" customWidth="1"/>
    <col min="9991" max="9991" width="13.28515625" style="261" bestFit="1" customWidth="1"/>
    <col min="9992" max="9992" width="11.42578125" style="261"/>
    <col min="9993" max="9993" width="13.85546875" style="261" bestFit="1" customWidth="1"/>
    <col min="9994" max="9994" width="12.42578125" style="261" bestFit="1" customWidth="1"/>
    <col min="9995" max="10240" width="11.42578125" style="261"/>
    <col min="10241" max="10241" width="7.85546875" style="261" customWidth="1"/>
    <col min="10242" max="10242" width="10" style="261" customWidth="1"/>
    <col min="10243" max="10243" width="58.140625" style="261" customWidth="1"/>
    <col min="10244" max="10244" width="13.85546875" style="261" bestFit="1" customWidth="1"/>
    <col min="10245" max="10245" width="6.28515625" style="261" customWidth="1"/>
    <col min="10246" max="10246" width="13.85546875" style="261" bestFit="1" customWidth="1"/>
    <col min="10247" max="10247" width="13.28515625" style="261" bestFit="1" customWidth="1"/>
    <col min="10248" max="10248" width="11.42578125" style="261"/>
    <col min="10249" max="10249" width="13.85546875" style="261" bestFit="1" customWidth="1"/>
    <col min="10250" max="10250" width="12.42578125" style="261" bestFit="1" customWidth="1"/>
    <col min="10251" max="10496" width="11.42578125" style="261"/>
    <col min="10497" max="10497" width="7.85546875" style="261" customWidth="1"/>
    <col min="10498" max="10498" width="10" style="261" customWidth="1"/>
    <col min="10499" max="10499" width="58.140625" style="261" customWidth="1"/>
    <col min="10500" max="10500" width="13.85546875" style="261" bestFit="1" customWidth="1"/>
    <col min="10501" max="10501" width="6.28515625" style="261" customWidth="1"/>
    <col min="10502" max="10502" width="13.85546875" style="261" bestFit="1" customWidth="1"/>
    <col min="10503" max="10503" width="13.28515625" style="261" bestFit="1" customWidth="1"/>
    <col min="10504" max="10504" width="11.42578125" style="261"/>
    <col min="10505" max="10505" width="13.85546875" style="261" bestFit="1" customWidth="1"/>
    <col min="10506" max="10506" width="12.42578125" style="261" bestFit="1" customWidth="1"/>
    <col min="10507" max="10752" width="11.42578125" style="261"/>
    <col min="10753" max="10753" width="7.85546875" style="261" customWidth="1"/>
    <col min="10754" max="10754" width="10" style="261" customWidth="1"/>
    <col min="10755" max="10755" width="58.140625" style="261" customWidth="1"/>
    <col min="10756" max="10756" width="13.85546875" style="261" bestFit="1" customWidth="1"/>
    <col min="10757" max="10757" width="6.28515625" style="261" customWidth="1"/>
    <col min="10758" max="10758" width="13.85546875" style="261" bestFit="1" customWidth="1"/>
    <col min="10759" max="10759" width="13.28515625" style="261" bestFit="1" customWidth="1"/>
    <col min="10760" max="10760" width="11.42578125" style="261"/>
    <col min="10761" max="10761" width="13.85546875" style="261" bestFit="1" customWidth="1"/>
    <col min="10762" max="10762" width="12.42578125" style="261" bestFit="1" customWidth="1"/>
    <col min="10763" max="11008" width="11.42578125" style="261"/>
    <col min="11009" max="11009" width="7.85546875" style="261" customWidth="1"/>
    <col min="11010" max="11010" width="10" style="261" customWidth="1"/>
    <col min="11011" max="11011" width="58.140625" style="261" customWidth="1"/>
    <col min="11012" max="11012" width="13.85546875" style="261" bestFit="1" customWidth="1"/>
    <col min="11013" max="11013" width="6.28515625" style="261" customWidth="1"/>
    <col min="11014" max="11014" width="13.85546875" style="261" bestFit="1" customWidth="1"/>
    <col min="11015" max="11015" width="13.28515625" style="261" bestFit="1" customWidth="1"/>
    <col min="11016" max="11016" width="11.42578125" style="261"/>
    <col min="11017" max="11017" width="13.85546875" style="261" bestFit="1" customWidth="1"/>
    <col min="11018" max="11018" width="12.42578125" style="261" bestFit="1" customWidth="1"/>
    <col min="11019" max="11264" width="11.42578125" style="261"/>
    <col min="11265" max="11265" width="7.85546875" style="261" customWidth="1"/>
    <col min="11266" max="11266" width="10" style="261" customWidth="1"/>
    <col min="11267" max="11267" width="58.140625" style="261" customWidth="1"/>
    <col min="11268" max="11268" width="13.85546875" style="261" bestFit="1" customWidth="1"/>
    <col min="11269" max="11269" width="6.28515625" style="261" customWidth="1"/>
    <col min="11270" max="11270" width="13.85546875" style="261" bestFit="1" customWidth="1"/>
    <col min="11271" max="11271" width="13.28515625" style="261" bestFit="1" customWidth="1"/>
    <col min="11272" max="11272" width="11.42578125" style="261"/>
    <col min="11273" max="11273" width="13.85546875" style="261" bestFit="1" customWidth="1"/>
    <col min="11274" max="11274" width="12.42578125" style="261" bestFit="1" customWidth="1"/>
    <col min="11275" max="11520" width="11.42578125" style="261"/>
    <col min="11521" max="11521" width="7.85546875" style="261" customWidth="1"/>
    <col min="11522" max="11522" width="10" style="261" customWidth="1"/>
    <col min="11523" max="11523" width="58.140625" style="261" customWidth="1"/>
    <col min="11524" max="11524" width="13.85546875" style="261" bestFit="1" customWidth="1"/>
    <col min="11525" max="11525" width="6.28515625" style="261" customWidth="1"/>
    <col min="11526" max="11526" width="13.85546875" style="261" bestFit="1" customWidth="1"/>
    <col min="11527" max="11527" width="13.28515625" style="261" bestFit="1" customWidth="1"/>
    <col min="11528" max="11528" width="11.42578125" style="261"/>
    <col min="11529" max="11529" width="13.85546875" style="261" bestFit="1" customWidth="1"/>
    <col min="11530" max="11530" width="12.42578125" style="261" bestFit="1" customWidth="1"/>
    <col min="11531" max="11776" width="11.42578125" style="261"/>
    <col min="11777" max="11777" width="7.85546875" style="261" customWidth="1"/>
    <col min="11778" max="11778" width="10" style="261" customWidth="1"/>
    <col min="11779" max="11779" width="58.140625" style="261" customWidth="1"/>
    <col min="11780" max="11780" width="13.85546875" style="261" bestFit="1" customWidth="1"/>
    <col min="11781" max="11781" width="6.28515625" style="261" customWidth="1"/>
    <col min="11782" max="11782" width="13.85546875" style="261" bestFit="1" customWidth="1"/>
    <col min="11783" max="11783" width="13.28515625" style="261" bestFit="1" customWidth="1"/>
    <col min="11784" max="11784" width="11.42578125" style="261"/>
    <col min="11785" max="11785" width="13.85546875" style="261" bestFit="1" customWidth="1"/>
    <col min="11786" max="11786" width="12.42578125" style="261" bestFit="1" customWidth="1"/>
    <col min="11787" max="12032" width="11.42578125" style="261"/>
    <col min="12033" max="12033" width="7.85546875" style="261" customWidth="1"/>
    <col min="12034" max="12034" width="10" style="261" customWidth="1"/>
    <col min="12035" max="12035" width="58.140625" style="261" customWidth="1"/>
    <col min="12036" max="12036" width="13.85546875" style="261" bestFit="1" customWidth="1"/>
    <col min="12037" max="12037" width="6.28515625" style="261" customWidth="1"/>
    <col min="12038" max="12038" width="13.85546875" style="261" bestFit="1" customWidth="1"/>
    <col min="12039" max="12039" width="13.28515625" style="261" bestFit="1" customWidth="1"/>
    <col min="12040" max="12040" width="11.42578125" style="261"/>
    <col min="12041" max="12041" width="13.85546875" style="261" bestFit="1" customWidth="1"/>
    <col min="12042" max="12042" width="12.42578125" style="261" bestFit="1" customWidth="1"/>
    <col min="12043" max="12288" width="11.42578125" style="261"/>
    <col min="12289" max="12289" width="7.85546875" style="261" customWidth="1"/>
    <col min="12290" max="12290" width="10" style="261" customWidth="1"/>
    <col min="12291" max="12291" width="58.140625" style="261" customWidth="1"/>
    <col min="12292" max="12292" width="13.85546875" style="261" bestFit="1" customWidth="1"/>
    <col min="12293" max="12293" width="6.28515625" style="261" customWidth="1"/>
    <col min="12294" max="12294" width="13.85546875" style="261" bestFit="1" customWidth="1"/>
    <col min="12295" max="12295" width="13.28515625" style="261" bestFit="1" customWidth="1"/>
    <col min="12296" max="12296" width="11.42578125" style="261"/>
    <col min="12297" max="12297" width="13.85546875" style="261" bestFit="1" customWidth="1"/>
    <col min="12298" max="12298" width="12.42578125" style="261" bestFit="1" customWidth="1"/>
    <col min="12299" max="12544" width="11.42578125" style="261"/>
    <col min="12545" max="12545" width="7.85546875" style="261" customWidth="1"/>
    <col min="12546" max="12546" width="10" style="261" customWidth="1"/>
    <col min="12547" max="12547" width="58.140625" style="261" customWidth="1"/>
    <col min="12548" max="12548" width="13.85546875" style="261" bestFit="1" customWidth="1"/>
    <col min="12549" max="12549" width="6.28515625" style="261" customWidth="1"/>
    <col min="12550" max="12550" width="13.85546875" style="261" bestFit="1" customWidth="1"/>
    <col min="12551" max="12551" width="13.28515625" style="261" bestFit="1" customWidth="1"/>
    <col min="12552" max="12552" width="11.42578125" style="261"/>
    <col min="12553" max="12553" width="13.85546875" style="261" bestFit="1" customWidth="1"/>
    <col min="12554" max="12554" width="12.42578125" style="261" bestFit="1" customWidth="1"/>
    <col min="12555" max="12800" width="11.42578125" style="261"/>
    <col min="12801" max="12801" width="7.85546875" style="261" customWidth="1"/>
    <col min="12802" max="12802" width="10" style="261" customWidth="1"/>
    <col min="12803" max="12803" width="58.140625" style="261" customWidth="1"/>
    <col min="12804" max="12804" width="13.85546875" style="261" bestFit="1" customWidth="1"/>
    <col min="12805" max="12805" width="6.28515625" style="261" customWidth="1"/>
    <col min="12806" max="12806" width="13.85546875" style="261" bestFit="1" customWidth="1"/>
    <col min="12807" max="12807" width="13.28515625" style="261" bestFit="1" customWidth="1"/>
    <col min="12808" max="12808" width="11.42578125" style="261"/>
    <col min="12809" max="12809" width="13.85546875" style="261" bestFit="1" customWidth="1"/>
    <col min="12810" max="12810" width="12.42578125" style="261" bestFit="1" customWidth="1"/>
    <col min="12811" max="13056" width="11.42578125" style="261"/>
    <col min="13057" max="13057" width="7.85546875" style="261" customWidth="1"/>
    <col min="13058" max="13058" width="10" style="261" customWidth="1"/>
    <col min="13059" max="13059" width="58.140625" style="261" customWidth="1"/>
    <col min="13060" max="13060" width="13.85546875" style="261" bestFit="1" customWidth="1"/>
    <col min="13061" max="13061" width="6.28515625" style="261" customWidth="1"/>
    <col min="13062" max="13062" width="13.85546875" style="261" bestFit="1" customWidth="1"/>
    <col min="13063" max="13063" width="13.28515625" style="261" bestFit="1" customWidth="1"/>
    <col min="13064" max="13064" width="11.42578125" style="261"/>
    <col min="13065" max="13065" width="13.85546875" style="261" bestFit="1" customWidth="1"/>
    <col min="13066" max="13066" width="12.42578125" style="261" bestFit="1" customWidth="1"/>
    <col min="13067" max="13312" width="11.42578125" style="261"/>
    <col min="13313" max="13313" width="7.85546875" style="261" customWidth="1"/>
    <col min="13314" max="13314" width="10" style="261" customWidth="1"/>
    <col min="13315" max="13315" width="58.140625" style="261" customWidth="1"/>
    <col min="13316" max="13316" width="13.85546875" style="261" bestFit="1" customWidth="1"/>
    <col min="13317" max="13317" width="6.28515625" style="261" customWidth="1"/>
    <col min="13318" max="13318" width="13.85546875" style="261" bestFit="1" customWidth="1"/>
    <col min="13319" max="13319" width="13.28515625" style="261" bestFit="1" customWidth="1"/>
    <col min="13320" max="13320" width="11.42578125" style="261"/>
    <col min="13321" max="13321" width="13.85546875" style="261" bestFit="1" customWidth="1"/>
    <col min="13322" max="13322" width="12.42578125" style="261" bestFit="1" customWidth="1"/>
    <col min="13323" max="13568" width="11.42578125" style="261"/>
    <col min="13569" max="13569" width="7.85546875" style="261" customWidth="1"/>
    <col min="13570" max="13570" width="10" style="261" customWidth="1"/>
    <col min="13571" max="13571" width="58.140625" style="261" customWidth="1"/>
    <col min="13572" max="13572" width="13.85546875" style="261" bestFit="1" customWidth="1"/>
    <col min="13573" max="13573" width="6.28515625" style="261" customWidth="1"/>
    <col min="13574" max="13574" width="13.85546875" style="261" bestFit="1" customWidth="1"/>
    <col min="13575" max="13575" width="13.28515625" style="261" bestFit="1" customWidth="1"/>
    <col min="13576" max="13576" width="11.42578125" style="261"/>
    <col min="13577" max="13577" width="13.85546875" style="261" bestFit="1" customWidth="1"/>
    <col min="13578" max="13578" width="12.42578125" style="261" bestFit="1" customWidth="1"/>
    <col min="13579" max="13824" width="11.42578125" style="261"/>
    <col min="13825" max="13825" width="7.85546875" style="261" customWidth="1"/>
    <col min="13826" max="13826" width="10" style="261" customWidth="1"/>
    <col min="13827" max="13827" width="58.140625" style="261" customWidth="1"/>
    <col min="13828" max="13828" width="13.85546875" style="261" bestFit="1" customWidth="1"/>
    <col min="13829" max="13829" width="6.28515625" style="261" customWidth="1"/>
    <col min="13830" max="13830" width="13.85546875" style="261" bestFit="1" customWidth="1"/>
    <col min="13831" max="13831" width="13.28515625" style="261" bestFit="1" customWidth="1"/>
    <col min="13832" max="13832" width="11.42578125" style="261"/>
    <col min="13833" max="13833" width="13.85546875" style="261" bestFit="1" customWidth="1"/>
    <col min="13834" max="13834" width="12.42578125" style="261" bestFit="1" customWidth="1"/>
    <col min="13835" max="14080" width="11.42578125" style="261"/>
    <col min="14081" max="14081" width="7.85546875" style="261" customWidth="1"/>
    <col min="14082" max="14082" width="10" style="261" customWidth="1"/>
    <col min="14083" max="14083" width="58.140625" style="261" customWidth="1"/>
    <col min="14084" max="14084" width="13.85546875" style="261" bestFit="1" customWidth="1"/>
    <col min="14085" max="14085" width="6.28515625" style="261" customWidth="1"/>
    <col min="14086" max="14086" width="13.85546875" style="261" bestFit="1" customWidth="1"/>
    <col min="14087" max="14087" width="13.28515625" style="261" bestFit="1" customWidth="1"/>
    <col min="14088" max="14088" width="11.42578125" style="261"/>
    <col min="14089" max="14089" width="13.85546875" style="261" bestFit="1" customWidth="1"/>
    <col min="14090" max="14090" width="12.42578125" style="261" bestFit="1" customWidth="1"/>
    <col min="14091" max="14336" width="11.42578125" style="261"/>
    <col min="14337" max="14337" width="7.85546875" style="261" customWidth="1"/>
    <col min="14338" max="14338" width="10" style="261" customWidth="1"/>
    <col min="14339" max="14339" width="58.140625" style="261" customWidth="1"/>
    <col min="14340" max="14340" width="13.85546875" style="261" bestFit="1" customWidth="1"/>
    <col min="14341" max="14341" width="6.28515625" style="261" customWidth="1"/>
    <col min="14342" max="14342" width="13.85546875" style="261" bestFit="1" customWidth="1"/>
    <col min="14343" max="14343" width="13.28515625" style="261" bestFit="1" customWidth="1"/>
    <col min="14344" max="14344" width="11.42578125" style="261"/>
    <col min="14345" max="14345" width="13.85546875" style="261" bestFit="1" customWidth="1"/>
    <col min="14346" max="14346" width="12.42578125" style="261" bestFit="1" customWidth="1"/>
    <col min="14347" max="14592" width="11.42578125" style="261"/>
    <col min="14593" max="14593" width="7.85546875" style="261" customWidth="1"/>
    <col min="14594" max="14594" width="10" style="261" customWidth="1"/>
    <col min="14595" max="14595" width="58.140625" style="261" customWidth="1"/>
    <col min="14596" max="14596" width="13.85546875" style="261" bestFit="1" customWidth="1"/>
    <col min="14597" max="14597" width="6.28515625" style="261" customWidth="1"/>
    <col min="14598" max="14598" width="13.85546875" style="261" bestFit="1" customWidth="1"/>
    <col min="14599" max="14599" width="13.28515625" style="261" bestFit="1" customWidth="1"/>
    <col min="14600" max="14600" width="11.42578125" style="261"/>
    <col min="14601" max="14601" width="13.85546875" style="261" bestFit="1" customWidth="1"/>
    <col min="14602" max="14602" width="12.42578125" style="261" bestFit="1" customWidth="1"/>
    <col min="14603" max="14848" width="11.42578125" style="261"/>
    <col min="14849" max="14849" width="7.85546875" style="261" customWidth="1"/>
    <col min="14850" max="14850" width="10" style="261" customWidth="1"/>
    <col min="14851" max="14851" width="58.140625" style="261" customWidth="1"/>
    <col min="14852" max="14852" width="13.85546875" style="261" bestFit="1" customWidth="1"/>
    <col min="14853" max="14853" width="6.28515625" style="261" customWidth="1"/>
    <col min="14854" max="14854" width="13.85546875" style="261" bestFit="1" customWidth="1"/>
    <col min="14855" max="14855" width="13.28515625" style="261" bestFit="1" customWidth="1"/>
    <col min="14856" max="14856" width="11.42578125" style="261"/>
    <col min="14857" max="14857" width="13.85546875" style="261" bestFit="1" customWidth="1"/>
    <col min="14858" max="14858" width="12.42578125" style="261" bestFit="1" customWidth="1"/>
    <col min="14859" max="15104" width="11.42578125" style="261"/>
    <col min="15105" max="15105" width="7.85546875" style="261" customWidth="1"/>
    <col min="15106" max="15106" width="10" style="261" customWidth="1"/>
    <col min="15107" max="15107" width="58.140625" style="261" customWidth="1"/>
    <col min="15108" max="15108" width="13.85546875" style="261" bestFit="1" customWidth="1"/>
    <col min="15109" max="15109" width="6.28515625" style="261" customWidth="1"/>
    <col min="15110" max="15110" width="13.85546875" style="261" bestFit="1" customWidth="1"/>
    <col min="15111" max="15111" width="13.28515625" style="261" bestFit="1" customWidth="1"/>
    <col min="15112" max="15112" width="11.42578125" style="261"/>
    <col min="15113" max="15113" width="13.85546875" style="261" bestFit="1" customWidth="1"/>
    <col min="15114" max="15114" width="12.42578125" style="261" bestFit="1" customWidth="1"/>
    <col min="15115" max="15360" width="11.42578125" style="261"/>
    <col min="15361" max="15361" width="7.85546875" style="261" customWidth="1"/>
    <col min="15362" max="15362" width="10" style="261" customWidth="1"/>
    <col min="15363" max="15363" width="58.140625" style="261" customWidth="1"/>
    <col min="15364" max="15364" width="13.85546875" style="261" bestFit="1" customWidth="1"/>
    <col min="15365" max="15365" width="6.28515625" style="261" customWidth="1"/>
    <col min="15366" max="15366" width="13.85546875" style="261" bestFit="1" customWidth="1"/>
    <col min="15367" max="15367" width="13.28515625" style="261" bestFit="1" customWidth="1"/>
    <col min="15368" max="15368" width="11.42578125" style="261"/>
    <col min="15369" max="15369" width="13.85546875" style="261" bestFit="1" customWidth="1"/>
    <col min="15370" max="15370" width="12.42578125" style="261" bestFit="1" customWidth="1"/>
    <col min="15371" max="15616" width="11.42578125" style="261"/>
    <col min="15617" max="15617" width="7.85546875" style="261" customWidth="1"/>
    <col min="15618" max="15618" width="10" style="261" customWidth="1"/>
    <col min="15619" max="15619" width="58.140625" style="261" customWidth="1"/>
    <col min="15620" max="15620" width="13.85546875" style="261" bestFit="1" customWidth="1"/>
    <col min="15621" max="15621" width="6.28515625" style="261" customWidth="1"/>
    <col min="15622" max="15622" width="13.85546875" style="261" bestFit="1" customWidth="1"/>
    <col min="15623" max="15623" width="13.28515625" style="261" bestFit="1" customWidth="1"/>
    <col min="15624" max="15624" width="11.42578125" style="261"/>
    <col min="15625" max="15625" width="13.85546875" style="261" bestFit="1" customWidth="1"/>
    <col min="15626" max="15626" width="12.42578125" style="261" bestFit="1" customWidth="1"/>
    <col min="15627" max="15872" width="11.42578125" style="261"/>
    <col min="15873" max="15873" width="7.85546875" style="261" customWidth="1"/>
    <col min="15874" max="15874" width="10" style="261" customWidth="1"/>
    <col min="15875" max="15875" width="58.140625" style="261" customWidth="1"/>
    <col min="15876" max="15876" width="13.85546875" style="261" bestFit="1" customWidth="1"/>
    <col min="15877" max="15877" width="6.28515625" style="261" customWidth="1"/>
    <col min="15878" max="15878" width="13.85546875" style="261" bestFit="1" customWidth="1"/>
    <col min="15879" max="15879" width="13.28515625" style="261" bestFit="1" customWidth="1"/>
    <col min="15880" max="15880" width="11.42578125" style="261"/>
    <col min="15881" max="15881" width="13.85546875" style="261" bestFit="1" customWidth="1"/>
    <col min="15882" max="15882" width="12.42578125" style="261" bestFit="1" customWidth="1"/>
    <col min="15883" max="16128" width="11.42578125" style="261"/>
    <col min="16129" max="16129" width="7.85546875" style="261" customWidth="1"/>
    <col min="16130" max="16130" width="10" style="261" customWidth="1"/>
    <col min="16131" max="16131" width="58.140625" style="261" customWidth="1"/>
    <col min="16132" max="16132" width="13.85546875" style="261" bestFit="1" customWidth="1"/>
    <col min="16133" max="16133" width="6.28515625" style="261" customWidth="1"/>
    <col min="16134" max="16134" width="13.85546875" style="261" bestFit="1" customWidth="1"/>
    <col min="16135" max="16135" width="13.28515625" style="261" bestFit="1" customWidth="1"/>
    <col min="16136" max="16136" width="11.42578125" style="261"/>
    <col min="16137" max="16137" width="13.85546875" style="261" bestFit="1" customWidth="1"/>
    <col min="16138" max="16138" width="12.42578125" style="261" bestFit="1" customWidth="1"/>
    <col min="16139" max="16384" width="11.42578125" style="261"/>
  </cols>
  <sheetData>
    <row r="1" spans="1:10" ht="18">
      <c r="A1" s="260" t="s">
        <v>200</v>
      </c>
      <c r="B1" s="260"/>
      <c r="C1" s="260"/>
      <c r="D1" s="260"/>
      <c r="E1" s="260"/>
      <c r="F1" s="260"/>
    </row>
    <row r="2" spans="1:10" ht="18">
      <c r="A2" s="262" t="s">
        <v>201</v>
      </c>
      <c r="B2" s="263"/>
      <c r="C2" s="263"/>
      <c r="D2" s="263"/>
      <c r="E2" s="263"/>
      <c r="F2" s="264"/>
      <c r="G2" s="265"/>
      <c r="H2" s="265"/>
      <c r="I2" s="265"/>
      <c r="J2" s="265"/>
    </row>
    <row r="3" spans="1:10" ht="18">
      <c r="A3" s="262" t="s">
        <v>202</v>
      </c>
      <c r="B3" s="263"/>
      <c r="C3" s="263"/>
      <c r="D3" s="263"/>
      <c r="E3" s="263"/>
      <c r="F3" s="264"/>
      <c r="G3" s="265"/>
      <c r="H3" s="265"/>
      <c r="I3" s="265"/>
      <c r="J3" s="265"/>
    </row>
    <row r="4" spans="1:10">
      <c r="A4" s="266" t="s">
        <v>294</v>
      </c>
      <c r="B4" s="266"/>
      <c r="C4" s="266"/>
      <c r="D4" s="266"/>
      <c r="E4" s="266"/>
      <c r="F4" s="266"/>
      <c r="G4" s="267"/>
    </row>
    <row r="5" spans="1:10" ht="40.5" customHeight="1">
      <c r="A5" s="389" t="str">
        <f>'[5]Renovation Barracks Det'!A5</f>
        <v>Name of work : Repair Works to Existing Barracks building at Othivakkam Shooting Range in Chennai City.</v>
      </c>
      <c r="B5" s="389"/>
      <c r="C5" s="389"/>
      <c r="D5" s="389"/>
      <c r="E5" s="389"/>
      <c r="F5" s="389"/>
      <c r="G5" s="271"/>
      <c r="H5" s="271"/>
      <c r="I5" s="271"/>
    </row>
    <row r="6" spans="1:10">
      <c r="A6" s="266" t="s">
        <v>296</v>
      </c>
      <c r="B6" s="390" t="s">
        <v>189</v>
      </c>
      <c r="C6" s="391" t="s">
        <v>205</v>
      </c>
      <c r="D6" s="266" t="s">
        <v>190</v>
      </c>
      <c r="E6" s="266" t="s">
        <v>297</v>
      </c>
      <c r="F6" s="266" t="s">
        <v>191</v>
      </c>
    </row>
    <row r="7" spans="1:10">
      <c r="A7" s="266"/>
      <c r="B7" s="390"/>
      <c r="C7" s="391"/>
      <c r="D7" s="266"/>
      <c r="E7" s="266"/>
      <c r="F7" s="266"/>
    </row>
    <row r="8" spans="1:10" ht="36.75" customHeight="1">
      <c r="A8" s="392">
        <v>1</v>
      </c>
      <c r="B8" s="393">
        <f>'[5]Renovation Barracks Det'!I44</f>
        <v>1170</v>
      </c>
      <c r="C8" s="394" t="s">
        <v>630</v>
      </c>
      <c r="D8" s="281">
        <f>[5]Data!R384</f>
        <v>21.89</v>
      </c>
      <c r="E8" s="278" t="s">
        <v>289</v>
      </c>
      <c r="F8" s="278">
        <f t="shared" ref="F8:F52" si="0">(B8*D8)</f>
        <v>25611.3</v>
      </c>
      <c r="G8" s="279"/>
      <c r="H8" s="279"/>
      <c r="I8" s="280"/>
    </row>
    <row r="9" spans="1:10" ht="33" customHeight="1">
      <c r="A9" s="392">
        <v>2</v>
      </c>
      <c r="B9" s="393">
        <f>'[5]Renovation Barracks Det'!I183</f>
        <v>5000</v>
      </c>
      <c r="C9" s="394" t="s">
        <v>492</v>
      </c>
      <c r="D9" s="282">
        <f>'[5]Renovation Barracks Data'!F104</f>
        <v>123.02</v>
      </c>
      <c r="E9" s="278" t="s">
        <v>289</v>
      </c>
      <c r="F9" s="278">
        <f t="shared" si="0"/>
        <v>615100</v>
      </c>
      <c r="G9" s="279"/>
      <c r="H9" s="279"/>
      <c r="I9" s="280"/>
    </row>
    <row r="10" spans="1:10" ht="33.75" customHeight="1">
      <c r="A10" s="392">
        <v>3</v>
      </c>
      <c r="B10" s="393">
        <f>'[5]Renovation Barracks Det'!I196</f>
        <v>1529</v>
      </c>
      <c r="C10" s="394" t="s">
        <v>631</v>
      </c>
      <c r="D10" s="282">
        <f>[5]Data!K3358</f>
        <v>158.94999999999999</v>
      </c>
      <c r="E10" s="278" t="s">
        <v>289</v>
      </c>
      <c r="F10" s="278">
        <f t="shared" si="0"/>
        <v>243034.55</v>
      </c>
      <c r="G10" s="279"/>
      <c r="H10" s="279"/>
      <c r="I10" s="280"/>
    </row>
    <row r="11" spans="1:10" ht="35.25" customHeight="1">
      <c r="A11" s="392">
        <v>4</v>
      </c>
      <c r="B11" s="393">
        <f>'[5]Renovation Barracks Det'!I200</f>
        <v>7.56</v>
      </c>
      <c r="C11" s="395" t="str">
        <f>'[5]Renovation Barracks Det'!B198</f>
        <v>Providing wooden MELAMEN DOOR POLISH for Main Door</v>
      </c>
      <c r="D11" s="281">
        <f>[5]Data!R2416</f>
        <v>1386.8</v>
      </c>
      <c r="E11" s="278" t="s">
        <v>289</v>
      </c>
      <c r="F11" s="278">
        <f t="shared" si="0"/>
        <v>10484.207999999999</v>
      </c>
      <c r="G11" s="279"/>
      <c r="H11" s="279"/>
      <c r="I11" s="280"/>
    </row>
    <row r="12" spans="1:10" ht="43.5" customHeight="1">
      <c r="A12" s="392">
        <v>5</v>
      </c>
      <c r="B12" s="393">
        <f>'[5]Renovation Barracks Det'!I212</f>
        <v>105.5</v>
      </c>
      <c r="C12" s="394" t="str">
        <f>'[5]Renovation Barracks Det'!B202</f>
        <v>Supply and repairing of window glass panels of 4mm thick for steel window and ventilaters.</v>
      </c>
      <c r="D12" s="283">
        <f>[5]Data!K1185</f>
        <v>726.7</v>
      </c>
      <c r="E12" s="278" t="s">
        <v>289</v>
      </c>
      <c r="F12" s="278">
        <f t="shared" si="0"/>
        <v>76666.850000000006</v>
      </c>
      <c r="G12" s="279"/>
      <c r="H12" s="279"/>
      <c r="I12" s="280"/>
    </row>
    <row r="13" spans="1:10" ht="145.5" customHeight="1">
      <c r="A13" s="392">
        <v>6</v>
      </c>
      <c r="B13" s="393">
        <f>'[5]Renovation Barracks Det'!I215</f>
        <v>3</v>
      </c>
      <c r="C13" s="394" t="str">
        <f>'[5]Renovation Barracks Det'!B214</f>
        <v>Supply and fixing of horizontal type 4 Way TPDB 63A / Way with Fuse &amp; Neutral Link in sheet steel enclosure single door of single door type with metal door with IP43 protection with 63 Amps 30 MA - RCCB / ELCB (FOUR POLE) as incoming and 12 Nos. 6A to 32A SP MCB as outgoing in flush with wall and making good of the TW Board 40 cm x 30cm x 6.3 cm (MR) with earth connection. The MCB DB and MCB's should be with the ISI mark (like standard make)</v>
      </c>
      <c r="D13" s="283">
        <f>'[5]Renovation Barracks Data'!F169</f>
        <v>12748.78</v>
      </c>
      <c r="E13" s="278" t="s">
        <v>18</v>
      </c>
      <c r="F13" s="278">
        <f t="shared" si="0"/>
        <v>38246.340000000004</v>
      </c>
      <c r="G13" s="279"/>
      <c r="H13" s="279"/>
      <c r="I13" s="280"/>
    </row>
    <row r="14" spans="1:10" ht="183.75" customHeight="1">
      <c r="A14" s="392">
        <v>7</v>
      </c>
      <c r="B14" s="393">
        <f>'[5]Renovation Barracks Det'!I222</f>
        <v>81.900000000000006</v>
      </c>
      <c r="C14" s="396" t="str">
        <f>'[5]Renovation Barracks Det'!B217</f>
        <v>Solid PVC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 SOR 2021-2022 Pg.No: 43</v>
      </c>
      <c r="D14" s="282">
        <v>3167</v>
      </c>
      <c r="E14" s="278" t="s">
        <v>289</v>
      </c>
      <c r="F14" s="278">
        <f t="shared" si="0"/>
        <v>259377.30000000002</v>
      </c>
      <c r="G14" s="279"/>
      <c r="H14" s="279"/>
      <c r="I14" s="280"/>
    </row>
    <row r="15" spans="1:10" ht="45.75" customHeight="1">
      <c r="A15" s="392">
        <v>8</v>
      </c>
      <c r="B15" s="393">
        <f>'[5]Renovation Barracks Det'!I226</f>
        <v>48</v>
      </c>
      <c r="C15" s="396" t="str">
        <f>'[5]Renovation Barracks Det'!B224</f>
        <v>Plastering In CM 1:3 - 12mm Thick mixed with water proof compound</v>
      </c>
      <c r="D15" s="282">
        <f>[5]Data!K1442</f>
        <v>252.14</v>
      </c>
      <c r="E15" s="278" t="s">
        <v>289</v>
      </c>
      <c r="F15" s="278">
        <f t="shared" si="0"/>
        <v>12102.72</v>
      </c>
      <c r="G15" s="279"/>
      <c r="H15" s="279"/>
      <c r="I15" s="280"/>
    </row>
    <row r="16" spans="1:10" ht="22.5" customHeight="1">
      <c r="A16" s="392">
        <v>9</v>
      </c>
      <c r="B16" s="393">
        <f>'[5]Renovation Barracks Det'!I231</f>
        <v>13.92</v>
      </c>
      <c r="C16" s="395" t="str">
        <f>'[5]Renovation Barracks Det'!B229</f>
        <v xml:space="preserve">Plastering in CM 1:3 - 10mm thick </v>
      </c>
      <c r="D16" s="282">
        <f>[5]Data!K1426</f>
        <v>265.68</v>
      </c>
      <c r="E16" s="278" t="s">
        <v>289</v>
      </c>
      <c r="F16" s="278">
        <f t="shared" si="0"/>
        <v>3698.2656000000002</v>
      </c>
      <c r="G16" s="279"/>
      <c r="H16" s="279"/>
      <c r="I16" s="280"/>
    </row>
    <row r="17" spans="1:9" ht="27" customHeight="1">
      <c r="A17" s="397">
        <v>10</v>
      </c>
      <c r="B17" s="398">
        <f>'[5]Renovation Barracks Det'!I237</f>
        <v>23.3</v>
      </c>
      <c r="C17" s="399" t="str">
        <f>'[5]Renovation Barracks Det'!B233</f>
        <v>Plastering in CM 1:5 - 12mm Thick</v>
      </c>
      <c r="D17" s="400">
        <f>[5]Data!K1400</f>
        <v>227.66</v>
      </c>
      <c r="E17" s="401" t="s">
        <v>289</v>
      </c>
      <c r="F17" s="278">
        <f t="shared" si="0"/>
        <v>5304.4780000000001</v>
      </c>
      <c r="G17" s="279"/>
      <c r="H17" s="279"/>
      <c r="I17" s="280"/>
    </row>
    <row r="18" spans="1:9" ht="38.25" customHeight="1">
      <c r="A18" s="392">
        <v>11</v>
      </c>
      <c r="B18" s="393">
        <f>'[5]Renovation Barracks Det'!I245</f>
        <v>394</v>
      </c>
      <c r="C18" s="402" t="str">
        <f>'[5]Renovation Barracks Det'!B239</f>
        <v>Scrapping and Pointing with CM (1:3) for PRESSED TILES including water proof compound</v>
      </c>
      <c r="D18" s="282">
        <f>'[5]Renovation Barracks Data'!F393</f>
        <v>306.88</v>
      </c>
      <c r="E18" s="278" t="s">
        <v>289</v>
      </c>
      <c r="F18" s="278">
        <f t="shared" si="0"/>
        <v>120910.72</v>
      </c>
      <c r="G18" s="279"/>
      <c r="H18" s="279"/>
      <c r="I18" s="280"/>
    </row>
    <row r="19" spans="1:9" ht="42" customHeight="1">
      <c r="A19" s="392">
        <v>12</v>
      </c>
      <c r="B19" s="393">
        <f>'[5]Renovation Barracks Det'!I251</f>
        <v>140</v>
      </c>
      <c r="C19" s="403" t="str">
        <f>'[5]Renovation Barracks Det'!B247</f>
        <v>Painting Two coats over the old wood work with synthetic Enamel Paint</v>
      </c>
      <c r="D19" s="282">
        <f>[5]Data!K3231</f>
        <v>153.36000000000001</v>
      </c>
      <c r="E19" s="278" t="s">
        <v>289</v>
      </c>
      <c r="F19" s="278">
        <f t="shared" si="0"/>
        <v>21470.400000000001</v>
      </c>
      <c r="G19" s="279"/>
      <c r="H19" s="279"/>
      <c r="I19" s="280"/>
    </row>
    <row r="20" spans="1:9" ht="43.5" customHeight="1">
      <c r="A20" s="392">
        <v>13</v>
      </c>
      <c r="B20" s="393">
        <f>'[5]Renovation Barracks Det'!I270</f>
        <v>351.3</v>
      </c>
      <c r="C20" s="404" t="str">
        <f>'[5]Renovation Barracks Det'!B253</f>
        <v>Painting Two coats over the old Iron work with synthetic Enamel Paint</v>
      </c>
      <c r="D20" s="282">
        <f>[5]Data!K3247</f>
        <v>134.72999999999999</v>
      </c>
      <c r="E20" s="278" t="s">
        <v>289</v>
      </c>
      <c r="F20" s="278">
        <f t="shared" si="0"/>
        <v>47330.648999999998</v>
      </c>
      <c r="G20" s="279"/>
      <c r="H20" s="279"/>
      <c r="I20" s="280"/>
    </row>
    <row r="21" spans="1:9" ht="73.5" customHeight="1">
      <c r="A21" s="392">
        <v>14</v>
      </c>
      <c r="B21" s="393">
        <f>'[5]Renovation Barracks Det'!I279</f>
        <v>175.1</v>
      </c>
      <c r="C21" s="404" t="str">
        <f>'[5]Renovation Barracks Det'!B272</f>
        <v>Dismantling Floor finish and dadooing walls in cement mortar with
Mosaic Tiles / Glazed Tiles / Cuddapah Slabs. PWD SR 2021-2022 Pg.no-22.</v>
      </c>
      <c r="D21" s="282">
        <v>47.8</v>
      </c>
      <c r="E21" s="278" t="s">
        <v>289</v>
      </c>
      <c r="F21" s="278">
        <f t="shared" si="0"/>
        <v>8369.7799999999988</v>
      </c>
      <c r="G21" s="279"/>
      <c r="H21" s="279"/>
      <c r="I21" s="280"/>
    </row>
    <row r="22" spans="1:9" ht="45" customHeight="1">
      <c r="A22" s="392">
        <v>15</v>
      </c>
      <c r="B22" s="393">
        <f>'[5]Renovation Barracks Det'!I285</f>
        <v>32.5</v>
      </c>
      <c r="C22" s="404" t="str">
        <f>'[5]Renovation Barracks Det'!B281</f>
        <v>Dismantling Pressed Tiles &amp; Weathering Course. PWD SR 2021-2022 Pg.no-22.</v>
      </c>
      <c r="D22" s="282">
        <v>36.1</v>
      </c>
      <c r="E22" s="278" t="s">
        <v>289</v>
      </c>
      <c r="F22" s="278">
        <f t="shared" si="0"/>
        <v>1173.25</v>
      </c>
      <c r="G22" s="279"/>
      <c r="H22" s="279"/>
      <c r="I22" s="280"/>
    </row>
    <row r="23" spans="1:9" ht="33" customHeight="1">
      <c r="A23" s="392">
        <v>16</v>
      </c>
      <c r="B23" s="393">
        <f>'[5]Renovation Barracks Det'!I291</f>
        <v>9.1</v>
      </c>
      <c r="C23" s="404" t="str">
        <f>'[5]Renovation Barracks Det'!B287</f>
        <v>Providing Weathering course with brick jelly lime in ratio 32/121/2  by volume well watering consolidate with wooden beater to required slop</v>
      </c>
      <c r="D23" s="282">
        <f>[5]Data!K1330</f>
        <v>3792.98</v>
      </c>
      <c r="E23" s="278" t="s">
        <v>289</v>
      </c>
      <c r="F23" s="278">
        <f t="shared" si="0"/>
        <v>34516.118000000002</v>
      </c>
      <c r="G23" s="279"/>
      <c r="H23" s="279"/>
      <c r="I23" s="280"/>
    </row>
    <row r="24" spans="1:9" ht="48.75" customHeight="1">
      <c r="A24" s="392">
        <v>17</v>
      </c>
      <c r="B24" s="393">
        <f>'[5]Renovation Barracks Det'!I299</f>
        <v>137.30000000000001</v>
      </c>
      <c r="C24" s="402" t="str">
        <f>'[5]Renovation Barracks Det'!B293</f>
        <v>Providing White/Color ceramic floor tiles (Anti-skid) of any size 0f 6mm T.K including pointing etc., as directed by the Dept.Officers.</v>
      </c>
      <c r="D24" s="282">
        <f>[5]Data!K1278</f>
        <v>1305.26</v>
      </c>
      <c r="E24" s="278" t="s">
        <v>289</v>
      </c>
      <c r="F24" s="278">
        <f t="shared" si="0"/>
        <v>179212.198</v>
      </c>
      <c r="G24" s="279"/>
      <c r="H24" s="279"/>
      <c r="I24" s="280"/>
    </row>
    <row r="25" spans="1:9" ht="44.25" customHeight="1">
      <c r="A25" s="392">
        <v>18</v>
      </c>
      <c r="B25" s="393">
        <f>'[5]Renovation Barracks Det'!I303</f>
        <v>37.799999999999997</v>
      </c>
      <c r="C25" s="402" t="str">
        <f>'[5]Renovation Barracks Det'!B301</f>
        <v xml:space="preserve">Suppling and laying White/Plain colour Glazed tiles in C.M(1:2) </v>
      </c>
      <c r="D25" s="282">
        <f>[5]Data!K1264</f>
        <v>1138.92</v>
      </c>
      <c r="E25" s="278" t="s">
        <v>289</v>
      </c>
      <c r="F25" s="278">
        <f t="shared" si="0"/>
        <v>43051.175999999999</v>
      </c>
      <c r="G25" s="279"/>
      <c r="H25" s="279"/>
      <c r="I25" s="280"/>
    </row>
    <row r="26" spans="1:9" ht="32.25" customHeight="1">
      <c r="A26" s="392">
        <v>19</v>
      </c>
      <c r="B26" s="393">
        <f>'[5]Renovation Barracks Det'!I312</f>
        <v>11</v>
      </c>
      <c r="C26" s="402" t="str">
        <f>'[5]Renovation Barracks Det'!B305</f>
        <v>Supply and laying of Designer tile flooring</v>
      </c>
      <c r="D26" s="282">
        <f>[5]Data!R1230</f>
        <v>1401.76</v>
      </c>
      <c r="E26" s="278" t="s">
        <v>289</v>
      </c>
      <c r="F26" s="278">
        <f t="shared" si="0"/>
        <v>15419.36</v>
      </c>
      <c r="G26" s="279"/>
      <c r="H26" s="279"/>
      <c r="I26" s="280"/>
    </row>
    <row r="27" spans="1:9" ht="32.25" customHeight="1">
      <c r="A27" s="392">
        <v>20</v>
      </c>
      <c r="B27" s="393">
        <f>'[5]Renovation Barracks Det'!I319</f>
        <v>13.8</v>
      </c>
      <c r="C27" s="402" t="str">
        <f>'[5]Renovation Barracks Det'!B314</f>
        <v>Finishing top  of roof with one course of pressed tiles over a bed of CM (1:3) 12mm thick, mixed with water proof compound</v>
      </c>
      <c r="D27" s="282">
        <f>'[5]Renovation Barracks Data'!F430</f>
        <v>1135.83</v>
      </c>
      <c r="E27" s="278" t="s">
        <v>289</v>
      </c>
      <c r="F27" s="278">
        <f t="shared" si="0"/>
        <v>15674.454</v>
      </c>
      <c r="G27" s="279"/>
      <c r="H27" s="279"/>
      <c r="I27" s="280"/>
    </row>
    <row r="28" spans="1:9" ht="36.75" customHeight="1">
      <c r="A28" s="392">
        <v>21</v>
      </c>
      <c r="B28" s="393"/>
      <c r="C28" s="402" t="str">
        <f>'[5]Renovation Barracks Det'!B322</f>
        <v>Supply and laying of Following ASTM Pipe including necessary specials</v>
      </c>
      <c r="D28" s="282"/>
      <c r="E28" s="278"/>
      <c r="F28" s="278"/>
      <c r="G28" s="279"/>
      <c r="H28" s="279"/>
      <c r="I28" s="280"/>
    </row>
    <row r="29" spans="1:9" ht="25.5" customHeight="1">
      <c r="A29" s="392"/>
      <c r="B29" s="393">
        <f>'[5]Renovation Barracks Det'!I324</f>
        <v>84</v>
      </c>
      <c r="C29" s="402" t="s">
        <v>583</v>
      </c>
      <c r="D29" s="282">
        <f>[5]Data!K1874</f>
        <v>218.47</v>
      </c>
      <c r="E29" s="278" t="s">
        <v>15</v>
      </c>
      <c r="F29" s="278">
        <f t="shared" si="0"/>
        <v>18351.48</v>
      </c>
      <c r="G29" s="279"/>
      <c r="H29" s="279">
        <v>110</v>
      </c>
      <c r="I29" s="280"/>
    </row>
    <row r="30" spans="1:9" ht="22.5" customHeight="1">
      <c r="A30" s="392"/>
      <c r="B30" s="393">
        <f>'[5]Renovation Barracks Det'!I330</f>
        <v>60</v>
      </c>
      <c r="C30" s="402" t="s">
        <v>585</v>
      </c>
      <c r="D30" s="282">
        <f>[5]Data!K1882</f>
        <v>223.26</v>
      </c>
      <c r="E30" s="278" t="s">
        <v>15</v>
      </c>
      <c r="F30" s="278">
        <f t="shared" si="0"/>
        <v>13395.599999999999</v>
      </c>
      <c r="G30" s="279"/>
      <c r="H30" s="279">
        <v>75</v>
      </c>
      <c r="I30" s="280"/>
    </row>
    <row r="31" spans="1:9" ht="26.25" customHeight="1">
      <c r="A31" s="392"/>
      <c r="B31" s="393">
        <f>'[5]Renovation Barracks Det'!I333</f>
        <v>13.5</v>
      </c>
      <c r="C31" s="402" t="s">
        <v>632</v>
      </c>
      <c r="D31" s="282">
        <f>[5]Data!K1899</f>
        <v>294.01</v>
      </c>
      <c r="E31" s="278" t="s">
        <v>15</v>
      </c>
      <c r="F31" s="278">
        <f t="shared" si="0"/>
        <v>3969.1349999999998</v>
      </c>
      <c r="G31" s="279"/>
      <c r="H31" s="279"/>
      <c r="I31" s="280"/>
    </row>
    <row r="32" spans="1:9" ht="32.25" customHeight="1">
      <c r="A32" s="392">
        <v>22</v>
      </c>
      <c r="B32" s="393"/>
      <c r="C32" s="402" t="str">
        <f>'[5]Renovation Barracks Det'!B335</f>
        <v>Supply and fixing of PVC Soil Pipes and specials of following dia</v>
      </c>
      <c r="D32" s="282"/>
      <c r="E32" s="278"/>
      <c r="F32" s="278"/>
      <c r="G32" s="279"/>
      <c r="H32" s="279"/>
      <c r="I32" s="280"/>
    </row>
    <row r="33" spans="1:9" ht="24" customHeight="1">
      <c r="A33" s="392"/>
      <c r="B33" s="393">
        <f>'[5]Renovation Barracks Det'!I338</f>
        <v>27</v>
      </c>
      <c r="C33" s="402" t="str">
        <f>'[5]Renovation Barracks Det'!B336</f>
        <v>a) 110mm pipe</v>
      </c>
      <c r="D33" s="282">
        <f>[5]Data!K2063</f>
        <v>692.5</v>
      </c>
      <c r="E33" s="278" t="s">
        <v>15</v>
      </c>
      <c r="F33" s="278">
        <f t="shared" si="0"/>
        <v>18697.5</v>
      </c>
      <c r="G33" s="279"/>
      <c r="H33" s="279"/>
      <c r="I33" s="280"/>
    </row>
    <row r="34" spans="1:9" ht="22.5" customHeight="1">
      <c r="A34" s="392"/>
      <c r="B34" s="393">
        <f>'[5]Renovation Barracks Det'!I342</f>
        <v>21.6</v>
      </c>
      <c r="C34" s="402" t="str">
        <f>'[5]Renovation Barracks Det'!B340</f>
        <v>a) 75mm pipe</v>
      </c>
      <c r="D34" s="282">
        <f>[5]Data!K2087</f>
        <v>576.63</v>
      </c>
      <c r="E34" s="278" t="s">
        <v>15</v>
      </c>
      <c r="F34" s="278">
        <f t="shared" si="0"/>
        <v>12455.208000000001</v>
      </c>
      <c r="G34" s="279"/>
      <c r="H34" s="279"/>
      <c r="I34" s="280"/>
    </row>
    <row r="35" spans="1:9" ht="28.5" customHeight="1">
      <c r="A35" s="392">
        <v>23</v>
      </c>
      <c r="B35" s="393">
        <f>'[5]Renovation Barracks Det'!I344</f>
        <v>96</v>
      </c>
      <c r="C35" s="402" t="str">
        <f>'[5]Renovation Barracks Det'!B344</f>
        <v>15mm dia half turn CP Long Body Tap</v>
      </c>
      <c r="D35" s="282">
        <f>[5]Data!AG3115</f>
        <v>480</v>
      </c>
      <c r="E35" s="278" t="s">
        <v>18</v>
      </c>
      <c r="F35" s="278">
        <f t="shared" si="0"/>
        <v>46080</v>
      </c>
      <c r="G35" s="279"/>
      <c r="H35" s="279"/>
      <c r="I35" s="280"/>
    </row>
    <row r="36" spans="1:9" ht="30" customHeight="1">
      <c r="A36" s="392">
        <v>24</v>
      </c>
      <c r="B36" s="393">
        <f>'[5]Renovation Barracks Det'!I347</f>
        <v>63</v>
      </c>
      <c r="C36" s="402" t="str">
        <f>'[5]Renovation Barracks Det'!B346</f>
        <v>Supply and Fixing PVC 4 way Nahani Trap</v>
      </c>
      <c r="D36" s="282">
        <f>[5]Data!K2119</f>
        <v>152.6</v>
      </c>
      <c r="E36" s="278" t="s">
        <v>18</v>
      </c>
      <c r="F36" s="278">
        <f t="shared" si="0"/>
        <v>9613.7999999999993</v>
      </c>
      <c r="G36" s="279"/>
      <c r="H36" s="279"/>
      <c r="I36" s="280"/>
    </row>
    <row r="37" spans="1:9" ht="27.75" customHeight="1">
      <c r="A37" s="392">
        <v>25</v>
      </c>
      <c r="B37" s="393">
        <f>'[5]Renovation Barracks Det'!I353</f>
        <v>10</v>
      </c>
      <c r="C37" s="402" t="str">
        <f>'[5]Renovation Barracks Det'!B349</f>
        <v>Supply and Fixing of EWC 18" SIZE</v>
      </c>
      <c r="D37" s="282">
        <f>[5]Data!K2015</f>
        <v>6878.25</v>
      </c>
      <c r="E37" s="278" t="s">
        <v>15</v>
      </c>
      <c r="F37" s="278">
        <f t="shared" si="0"/>
        <v>68782.5</v>
      </c>
      <c r="G37" s="279"/>
      <c r="H37" s="279"/>
      <c r="I37" s="280"/>
    </row>
    <row r="38" spans="1:9" ht="72" customHeight="1">
      <c r="A38" s="392">
        <v>26</v>
      </c>
      <c r="B38" s="393">
        <f>'[5]Renovation Barracks Det'!I359</f>
        <v>53.1</v>
      </c>
      <c r="C38" s="402" t="str">
        <f>'[5]Renovation Barracks Det'!B355</f>
        <v>Supplying, fabricating, erecting and fixing Hilux (or) Equivalent Board False Ceiling upto a ceiling height of 4.5m from floor level. Using Perforated Sheets (10mm thick). PWD SOR 2021-2022 Pg.no. 53</v>
      </c>
      <c r="D38" s="282">
        <v>985</v>
      </c>
      <c r="E38" s="278" t="s">
        <v>289</v>
      </c>
      <c r="F38" s="278">
        <f t="shared" si="0"/>
        <v>52303.5</v>
      </c>
      <c r="G38" s="279"/>
      <c r="H38" s="279"/>
      <c r="I38" s="280"/>
    </row>
    <row r="39" spans="1:9" ht="52.5" customHeight="1">
      <c r="A39" s="392">
        <v>27</v>
      </c>
      <c r="B39" s="393">
        <f>'[5]Renovation Barracks Det'!I362</f>
        <v>1</v>
      </c>
      <c r="C39" s="402" t="str">
        <f>'[5]Renovation Barracks Det'!B361</f>
        <v>Supply and Installation of Air Conditioner with copper coil  1.5 TR Split Type AC Unit (5 star) PWD SOR 2021-2022 Pg.no: 142</v>
      </c>
      <c r="D39" s="282">
        <v>43400</v>
      </c>
      <c r="E39" s="278" t="s">
        <v>18</v>
      </c>
      <c r="F39" s="278">
        <f t="shared" si="0"/>
        <v>43400</v>
      </c>
      <c r="G39" s="279"/>
      <c r="H39" s="279"/>
      <c r="I39" s="280"/>
    </row>
    <row r="40" spans="1:9" ht="54" customHeight="1">
      <c r="A40" s="392">
        <v>28</v>
      </c>
      <c r="B40" s="393">
        <f>'[5]Renovation Barracks Det'!I365</f>
        <v>1</v>
      </c>
      <c r="C40" s="402" t="str">
        <f>'[5]Renovation Barracks Det'!B364</f>
        <v>Supply and Installation of Air Conditioner with copper coil  2.0 TR Split Type AC Unit (5 star) PWD SOR 2021-2022 Pg.no: 142</v>
      </c>
      <c r="D40" s="282">
        <v>55400</v>
      </c>
      <c r="E40" s="278" t="s">
        <v>18</v>
      </c>
      <c r="F40" s="278">
        <f t="shared" si="0"/>
        <v>55400</v>
      </c>
      <c r="G40" s="279"/>
      <c r="H40" s="279"/>
      <c r="I40" s="280"/>
    </row>
    <row r="41" spans="1:9" ht="52.5" customHeight="1">
      <c r="A41" s="392">
        <v>29</v>
      </c>
      <c r="B41" s="393">
        <f>'[5]Renovation Barracks Det'!I368</f>
        <v>2</v>
      </c>
      <c r="C41" s="402" t="str">
        <f>'[5]Renovation Barracks Det'!B367</f>
        <v>Supply and installation of 5 KVA capacity Automatic Voltage Stabilizer with time delay relay. PWD SOR 2021-2022 Pg.no: 143</v>
      </c>
      <c r="D41" s="282">
        <v>4855</v>
      </c>
      <c r="E41" s="278" t="s">
        <v>18</v>
      </c>
      <c r="F41" s="278">
        <f t="shared" si="0"/>
        <v>9710</v>
      </c>
      <c r="G41" s="279"/>
      <c r="H41" s="279"/>
      <c r="I41" s="280"/>
    </row>
    <row r="42" spans="1:9" ht="63" customHeight="1">
      <c r="A42" s="392">
        <v>30</v>
      </c>
      <c r="B42" s="393">
        <f>'[5]Renovation Barracks Det'!I371</f>
        <v>2</v>
      </c>
      <c r="C42" s="402" t="str">
        <f>'[5]Renovation Barracks Det'!B370</f>
        <v>Supply and fixing of MS stand for fixing outdoor unit. PWD SOR 2021-2022 Pg.no: 143</v>
      </c>
      <c r="D42" s="282">
        <v>1070</v>
      </c>
      <c r="E42" s="278" t="s">
        <v>18</v>
      </c>
      <c r="F42" s="278">
        <f t="shared" si="0"/>
        <v>2140</v>
      </c>
      <c r="G42" s="279"/>
      <c r="H42" s="279"/>
      <c r="I42" s="280"/>
    </row>
    <row r="43" spans="1:9" ht="43.5" customHeight="1">
      <c r="A43" s="392">
        <v>31</v>
      </c>
      <c r="B43" s="393">
        <f>'[5]Renovation Barracks Det'!I398</f>
        <v>408</v>
      </c>
      <c r="C43" s="402" t="str">
        <f>'[5]Renovation Barracks Det'!B374</f>
        <v>Supply and fixing of Modular Switches (6A) - 6A Switch 1W - 1 Module pg.no 121 SOR 2021-2022</v>
      </c>
      <c r="D43" s="282">
        <v>77.400000000000006</v>
      </c>
      <c r="E43" s="278" t="s">
        <v>18</v>
      </c>
      <c r="F43" s="278">
        <f t="shared" si="0"/>
        <v>31579.200000000001</v>
      </c>
      <c r="G43" s="279"/>
      <c r="H43" s="279"/>
      <c r="I43" s="280"/>
    </row>
    <row r="44" spans="1:9" ht="52.5" customHeight="1">
      <c r="A44" s="392">
        <v>32</v>
      </c>
      <c r="B44" s="393">
        <f>'[5]Renovation Barracks Det'!I417</f>
        <v>132</v>
      </c>
      <c r="C44" s="402" t="str">
        <f>'[5]Renovation Barracks Det'!B400</f>
        <v>supply and fixing Stepped Electronic 300W / 450W Square Type Fan Regulator. PWD SR 2021-2022 Pg.no: 117</v>
      </c>
      <c r="D44" s="282">
        <v>215.4</v>
      </c>
      <c r="E44" s="278" t="s">
        <v>18</v>
      </c>
      <c r="F44" s="278">
        <f t="shared" si="0"/>
        <v>28432.799999999999</v>
      </c>
      <c r="G44" s="279"/>
      <c r="H44" s="279"/>
      <c r="I44" s="280"/>
    </row>
    <row r="45" spans="1:9" ht="42.75" customHeight="1">
      <c r="A45" s="392">
        <v>33</v>
      </c>
      <c r="B45" s="393"/>
      <c r="C45" s="402" t="str">
        <f>'[5]Renovation Barracks Det'!B419</f>
        <v>supply and fixing of COMBINED PLATES (PLASTIC) - SOR 2021-2022 - Pg.no : 123</v>
      </c>
      <c r="D45" s="282"/>
      <c r="E45" s="278"/>
      <c r="F45" s="278"/>
      <c r="G45" s="279"/>
      <c r="H45" s="279"/>
      <c r="I45" s="280"/>
    </row>
    <row r="46" spans="1:9" ht="25.5" customHeight="1">
      <c r="A46" s="392"/>
      <c r="B46" s="393">
        <f>'[5]Renovation Barracks Det'!I424</f>
        <v>13</v>
      </c>
      <c r="C46" s="402" t="str">
        <f>'[5]Renovation Barracks Det'!B420</f>
        <v>a) 8 Module Cover Plate (H)</v>
      </c>
      <c r="D46" s="282">
        <v>160.69999999999999</v>
      </c>
      <c r="E46" s="278" t="s">
        <v>18</v>
      </c>
      <c r="F46" s="278">
        <f t="shared" si="0"/>
        <v>2089.1</v>
      </c>
      <c r="G46" s="279"/>
      <c r="H46" s="279"/>
      <c r="I46" s="280"/>
    </row>
    <row r="47" spans="1:9" ht="25.5" customHeight="1">
      <c r="A47" s="392"/>
      <c r="B47" s="393">
        <f>'[5]Renovation Barracks Det'!I429</f>
        <v>48</v>
      </c>
      <c r="C47" s="402" t="str">
        <f>'[5]Renovation Barracks Det'!B426</f>
        <v xml:space="preserve">b) 12 Module Cover Plate </v>
      </c>
      <c r="D47" s="282">
        <v>200.2</v>
      </c>
      <c r="E47" s="278" t="s">
        <v>18</v>
      </c>
      <c r="F47" s="278">
        <f t="shared" si="0"/>
        <v>9609.5999999999985</v>
      </c>
      <c r="G47" s="279"/>
      <c r="H47" s="279"/>
      <c r="I47" s="280"/>
    </row>
    <row r="48" spans="1:9" ht="42" customHeight="1">
      <c r="A48" s="392">
        <v>34</v>
      </c>
      <c r="B48" s="393">
        <f>'[5]Renovation Barracks Det'!I436</f>
        <v>61</v>
      </c>
      <c r="C48" s="402" t="str">
        <f>'[5]Renovation Barracks Det'!B431</f>
        <v>Supply and fixing of SOCKET - 230V 6/16A Socket - 3 Module - SOR 2021-2022 Pg.no: 123</v>
      </c>
      <c r="D48" s="282">
        <v>216.1</v>
      </c>
      <c r="E48" s="278" t="s">
        <v>18</v>
      </c>
      <c r="F48" s="278">
        <f t="shared" si="0"/>
        <v>13182.1</v>
      </c>
      <c r="G48" s="279"/>
      <c r="H48" s="279"/>
      <c r="I48" s="280"/>
    </row>
    <row r="49" spans="1:9" ht="116.25" customHeight="1">
      <c r="A49" s="392">
        <v>35</v>
      </c>
      <c r="B49" s="393">
        <f>'[5]Renovation Barracks Det'!I440</f>
        <v>36</v>
      </c>
      <c r="C49" s="402" t="str">
        <f>'[5]Renovation Barracks Det'!B438</f>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
      <c r="D49" s="282">
        <f>[5]Elec.Data!K3963</f>
        <v>136.43</v>
      </c>
      <c r="E49" s="278" t="s">
        <v>15</v>
      </c>
      <c r="F49" s="278">
        <f t="shared" si="0"/>
        <v>4911.4800000000005</v>
      </c>
      <c r="G49" s="279"/>
      <c r="H49" s="279"/>
      <c r="I49" s="280"/>
    </row>
    <row r="50" spans="1:9" ht="105.75" customHeight="1">
      <c r="A50" s="392">
        <v>36</v>
      </c>
      <c r="B50" s="393">
        <f>'[5]Renovation Barracks Det'!I445</f>
        <v>24</v>
      </c>
      <c r="C50" s="405" t="str">
        <f>'[5]Renovation Barracks Det'!B442</f>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
      <c r="D50" s="282">
        <f>[5]Elec.Data!K3976</f>
        <v>164.83</v>
      </c>
      <c r="E50" s="278" t="s">
        <v>15</v>
      </c>
      <c r="F50" s="278">
        <f t="shared" si="0"/>
        <v>3955.92</v>
      </c>
      <c r="G50" s="279"/>
      <c r="H50" s="279"/>
      <c r="I50" s="280"/>
    </row>
    <row r="51" spans="1:9" ht="117" customHeight="1">
      <c r="A51" s="392">
        <v>37</v>
      </c>
      <c r="B51" s="393">
        <f>'[5]Renovation Barracks Det'!I448</f>
        <v>5</v>
      </c>
      <c r="C51" s="405" t="str">
        <f>'[5]Renovation Barracks Det'!B447</f>
        <v>Supply and  Fixing of 48 w LED street light fitting including GI pipe B class of 50 mm dia with Back clamps with bolts and nuts, 15 Amps 500 V fuse unit in TW plank for fixing the fuse unit of 150 x 100 x 20 mm, 2.5 Sqmm PVC insulated unsheathed copper cable and Labour charges for fixing the street light fitting with the required accessories in the E.B pole including connection etc., complete.</v>
      </c>
      <c r="D51" s="282">
        <f>'[5]Renovation Barracks Data'!F344</f>
        <v>7119.4</v>
      </c>
      <c r="E51" s="278" t="s">
        <v>18</v>
      </c>
      <c r="F51" s="278">
        <f t="shared" si="0"/>
        <v>35597</v>
      </c>
      <c r="G51" s="279"/>
      <c r="H51" s="279"/>
      <c r="I51" s="280"/>
    </row>
    <row r="52" spans="1:9" ht="55.5" customHeight="1">
      <c r="A52" s="392">
        <v>38</v>
      </c>
      <c r="B52" s="393">
        <f>'[5]Renovation Barracks Det'!I451</f>
        <v>2</v>
      </c>
      <c r="C52" s="405" t="str">
        <f>'[5]Renovation Barracks Det'!B450</f>
        <v>Supply and fixing of 20A DP plug and socket in sheet enclosure with 32A DP MCB in flush with wall with earth connection (For AC Plug) - Electrical SR - SD 140 - 2021 - 2022</v>
      </c>
      <c r="D52" s="282">
        <v>1879</v>
      </c>
      <c r="E52" s="278" t="s">
        <v>18</v>
      </c>
      <c r="F52" s="278">
        <f t="shared" si="0"/>
        <v>3758</v>
      </c>
      <c r="G52" s="279"/>
      <c r="H52" s="279"/>
      <c r="I52" s="280"/>
    </row>
    <row r="53" spans="1:9">
      <c r="A53" s="392"/>
      <c r="B53" s="393"/>
      <c r="C53" s="405"/>
      <c r="D53" s="282"/>
      <c r="E53" s="278"/>
      <c r="F53" s="278"/>
      <c r="G53" s="279"/>
      <c r="H53" s="279"/>
      <c r="I53" s="280"/>
    </row>
    <row r="54" spans="1:9">
      <c r="A54" s="392"/>
      <c r="B54" s="393"/>
      <c r="C54" s="406" t="s">
        <v>306</v>
      </c>
      <c r="D54" s="282"/>
      <c r="E54" s="278" t="s">
        <v>26</v>
      </c>
      <c r="F54" s="288">
        <f>SUM(F8:F53)</f>
        <v>2264168.0396000003</v>
      </c>
      <c r="G54" s="279"/>
      <c r="H54" s="279"/>
      <c r="I54" s="280"/>
    </row>
    <row r="55" spans="1:9">
      <c r="A55" s="392">
        <v>39</v>
      </c>
      <c r="B55" s="393"/>
      <c r="C55" s="406" t="s">
        <v>216</v>
      </c>
      <c r="D55" s="282"/>
      <c r="E55" s="278" t="s">
        <v>26</v>
      </c>
      <c r="F55" s="288">
        <f>F54*18%</f>
        <v>407550.24712800002</v>
      </c>
      <c r="G55" s="279"/>
      <c r="H55" s="279"/>
      <c r="I55" s="280"/>
    </row>
    <row r="56" spans="1:9">
      <c r="A56" s="392"/>
      <c r="B56" s="393"/>
      <c r="C56" s="406" t="s">
        <v>307</v>
      </c>
      <c r="D56" s="282"/>
      <c r="E56" s="278" t="s">
        <v>26</v>
      </c>
      <c r="F56" s="288">
        <f>SUM(F54:F55)</f>
        <v>2671718.2867280003</v>
      </c>
      <c r="G56" s="279"/>
      <c r="H56" s="279"/>
      <c r="I56" s="280"/>
    </row>
    <row r="57" spans="1:9">
      <c r="A57" s="392">
        <v>40</v>
      </c>
      <c r="B57" s="393" t="s">
        <v>38</v>
      </c>
      <c r="C57" s="394" t="s">
        <v>217</v>
      </c>
      <c r="D57" s="407"/>
      <c r="E57" s="278" t="s">
        <v>26</v>
      </c>
      <c r="F57" s="278">
        <f>F56*1%</f>
        <v>26717.182867280004</v>
      </c>
      <c r="G57" s="279"/>
      <c r="H57" s="279"/>
      <c r="I57" s="280"/>
    </row>
    <row r="58" spans="1:9">
      <c r="A58" s="392">
        <v>41</v>
      </c>
      <c r="B58" s="393" t="s">
        <v>38</v>
      </c>
      <c r="C58" s="394" t="s">
        <v>218</v>
      </c>
      <c r="D58" s="407"/>
      <c r="E58" s="278" t="s">
        <v>26</v>
      </c>
      <c r="F58" s="278">
        <f>F56*2.5%</f>
        <v>66792.95716820001</v>
      </c>
      <c r="G58" s="279"/>
      <c r="H58" s="279"/>
      <c r="I58" s="280"/>
    </row>
    <row r="59" spans="1:9">
      <c r="A59" s="392">
        <v>42</v>
      </c>
      <c r="B59" s="393" t="s">
        <v>38</v>
      </c>
      <c r="C59" s="394" t="s">
        <v>219</v>
      </c>
      <c r="D59" s="407"/>
      <c r="E59" s="278" t="s">
        <v>26</v>
      </c>
      <c r="F59" s="278">
        <f>F56*7.5%</f>
        <v>200378.87150460001</v>
      </c>
      <c r="G59" s="279"/>
      <c r="H59" s="279"/>
      <c r="I59" s="280"/>
    </row>
    <row r="60" spans="1:9">
      <c r="A60" s="392"/>
      <c r="B60" s="393"/>
      <c r="C60" s="406" t="s">
        <v>308</v>
      </c>
      <c r="D60" s="282"/>
      <c r="E60" s="278" t="s">
        <v>26</v>
      </c>
      <c r="F60" s="289">
        <f>SUM(F56:F59)</f>
        <v>2965607.2982680807</v>
      </c>
      <c r="G60" s="290"/>
      <c r="H60" s="279"/>
      <c r="I60" s="280"/>
    </row>
    <row r="61" spans="1:9">
      <c r="A61" s="392"/>
      <c r="B61" s="393"/>
      <c r="C61" s="406"/>
      <c r="D61" s="291" t="s">
        <v>25</v>
      </c>
      <c r="E61" s="278" t="s">
        <v>26</v>
      </c>
      <c r="F61" s="289">
        <f>CEILING(F60,100)</f>
        <v>2965700</v>
      </c>
      <c r="G61" s="292"/>
      <c r="H61" s="292"/>
    </row>
    <row r="62" spans="1:9">
      <c r="A62" s="296"/>
      <c r="B62" s="297"/>
      <c r="C62" s="408"/>
      <c r="D62" s="296"/>
      <c r="E62" s="296"/>
      <c r="F62" s="296"/>
    </row>
    <row r="63" spans="1:9">
      <c r="A63" s="296"/>
      <c r="B63" s="297"/>
      <c r="C63" s="408"/>
      <c r="D63" s="297"/>
      <c r="E63" s="296"/>
      <c r="F63" s="296"/>
    </row>
    <row r="64" spans="1:9">
      <c r="A64" s="296"/>
      <c r="B64" s="297"/>
      <c r="C64" s="408"/>
      <c r="D64" s="296"/>
      <c r="E64" s="296"/>
      <c r="F64" s="296"/>
    </row>
    <row r="65" spans="1:10" s="300" customFormat="1" ht="18" customHeight="1">
      <c r="A65" s="298"/>
      <c r="B65" s="298"/>
      <c r="C65" s="298"/>
      <c r="D65" s="298"/>
      <c r="E65" s="298"/>
      <c r="F65" s="298"/>
      <c r="G65" s="299"/>
      <c r="H65" s="299"/>
      <c r="I65" s="299"/>
      <c r="J65" s="299"/>
    </row>
    <row r="66" spans="1:10" s="300" customFormat="1" ht="18" customHeight="1">
      <c r="A66" s="409"/>
      <c r="B66" s="409"/>
      <c r="C66" s="410"/>
      <c r="D66" s="298"/>
      <c r="E66" s="298"/>
      <c r="F66" s="298"/>
      <c r="G66" s="299"/>
      <c r="H66" s="302"/>
      <c r="I66" s="302"/>
      <c r="J66" s="302"/>
    </row>
    <row r="67" spans="1:10">
      <c r="A67" s="305"/>
      <c r="B67" s="411"/>
      <c r="C67" s="280"/>
      <c r="D67" s="305"/>
      <c r="E67" s="305"/>
      <c r="F67" s="305"/>
    </row>
    <row r="68" spans="1:10">
      <c r="A68" s="305"/>
      <c r="B68" s="411"/>
      <c r="C68" s="280"/>
      <c r="D68" s="305"/>
      <c r="E68" s="305"/>
      <c r="F68" s="305"/>
    </row>
    <row r="69" spans="1:10">
      <c r="A69" s="305"/>
      <c r="B69" s="411"/>
      <c r="C69" s="280"/>
      <c r="D69" s="305"/>
      <c r="E69" s="305"/>
      <c r="F69" s="305"/>
    </row>
    <row r="70" spans="1:10">
      <c r="A70" s="305"/>
      <c r="B70" s="411"/>
      <c r="C70" s="280"/>
      <c r="D70" s="305"/>
      <c r="E70" s="305"/>
      <c r="F70" s="305"/>
    </row>
    <row r="71" spans="1:10">
      <c r="A71" s="305"/>
      <c r="B71" s="411"/>
      <c r="C71" s="280"/>
      <c r="D71" s="305"/>
      <c r="E71" s="305"/>
      <c r="F71" s="305"/>
    </row>
    <row r="72" spans="1:10">
      <c r="A72" s="305"/>
      <c r="B72" s="411"/>
      <c r="C72" s="280"/>
      <c r="D72" s="305"/>
      <c r="E72" s="305"/>
      <c r="F72" s="305"/>
    </row>
    <row r="73" spans="1:10">
      <c r="A73" s="305"/>
      <c r="B73" s="411"/>
      <c r="C73" s="280"/>
      <c r="D73" s="305"/>
      <c r="E73" s="305"/>
      <c r="F73" s="305"/>
    </row>
    <row r="74" spans="1:10">
      <c r="A74" s="305"/>
      <c r="B74" s="411"/>
      <c r="C74" s="280"/>
      <c r="D74" s="305"/>
      <c r="E74" s="305"/>
      <c r="F74" s="305"/>
    </row>
    <row r="75" spans="1:10">
      <c r="A75" s="305"/>
      <c r="B75" s="411"/>
      <c r="C75" s="280"/>
      <c r="D75" s="305"/>
      <c r="E75" s="305"/>
      <c r="F75" s="305"/>
    </row>
    <row r="76" spans="1:10">
      <c r="A76" s="305"/>
      <c r="B76" s="411"/>
      <c r="C76" s="280"/>
      <c r="D76" s="305"/>
      <c r="E76" s="305"/>
      <c r="F76" s="305"/>
    </row>
    <row r="77" spans="1:10">
      <c r="A77" s="305"/>
      <c r="B77" s="411"/>
      <c r="C77" s="280"/>
      <c r="D77" s="305"/>
      <c r="E77" s="305"/>
      <c r="F77" s="305"/>
    </row>
    <row r="78" spans="1:10">
      <c r="A78" s="305"/>
      <c r="B78" s="411"/>
      <c r="C78" s="280"/>
      <c r="D78" s="305"/>
      <c r="E78" s="305"/>
      <c r="F78" s="305"/>
    </row>
    <row r="79" spans="1:10">
      <c r="A79" s="305"/>
      <c r="B79" s="411"/>
      <c r="C79" s="280"/>
      <c r="D79" s="305"/>
      <c r="E79" s="305"/>
      <c r="F79" s="305"/>
    </row>
    <row r="80" spans="1:10">
      <c r="A80" s="305"/>
      <c r="B80" s="411"/>
      <c r="C80" s="280"/>
      <c r="D80" s="305"/>
      <c r="E80" s="305"/>
      <c r="F80" s="305"/>
    </row>
    <row r="81" spans="1:6">
      <c r="A81" s="305"/>
      <c r="B81" s="411"/>
      <c r="C81" s="280"/>
      <c r="D81" s="305"/>
      <c r="E81" s="305"/>
      <c r="F81" s="305"/>
    </row>
    <row r="82" spans="1:6">
      <c r="A82" s="305"/>
      <c r="B82" s="411"/>
      <c r="C82" s="280"/>
      <c r="D82" s="305"/>
      <c r="E82" s="305"/>
      <c r="F82" s="305"/>
    </row>
    <row r="83" spans="1:6">
      <c r="A83" s="305"/>
      <c r="B83" s="411"/>
      <c r="C83" s="280"/>
      <c r="D83" s="305"/>
      <c r="E83" s="305"/>
      <c r="F83" s="305"/>
    </row>
    <row r="84" spans="1:6">
      <c r="A84" s="305"/>
      <c r="B84" s="411"/>
      <c r="C84" s="280"/>
      <c r="D84" s="305"/>
      <c r="E84" s="305"/>
      <c r="F84" s="305"/>
    </row>
    <row r="85" spans="1:6">
      <c r="A85" s="305"/>
      <c r="B85" s="411"/>
      <c r="C85" s="280"/>
      <c r="D85" s="305"/>
      <c r="E85" s="305"/>
      <c r="F85" s="305"/>
    </row>
    <row r="86" spans="1:6">
      <c r="A86" s="305"/>
      <c r="B86" s="411"/>
      <c r="C86" s="280"/>
      <c r="D86" s="305"/>
      <c r="E86" s="305"/>
      <c r="F86" s="305"/>
    </row>
    <row r="87" spans="1:6">
      <c r="A87" s="305"/>
      <c r="B87" s="411"/>
      <c r="C87" s="280"/>
      <c r="D87" s="305"/>
      <c r="E87" s="305"/>
      <c r="F87" s="305"/>
    </row>
    <row r="88" spans="1:6">
      <c r="A88" s="305"/>
      <c r="B88" s="411"/>
      <c r="C88" s="280"/>
      <c r="D88" s="305"/>
      <c r="E88" s="305"/>
      <c r="F88" s="305"/>
    </row>
    <row r="89" spans="1:6">
      <c r="A89" s="305"/>
      <c r="B89" s="411"/>
      <c r="C89" s="280"/>
      <c r="D89" s="305"/>
      <c r="E89" s="305"/>
      <c r="F89" s="305"/>
    </row>
    <row r="90" spans="1:6">
      <c r="A90" s="305"/>
      <c r="B90" s="411"/>
      <c r="C90" s="280"/>
      <c r="D90" s="305"/>
      <c r="E90" s="305"/>
      <c r="F90" s="305"/>
    </row>
    <row r="91" spans="1:6">
      <c r="A91" s="305"/>
      <c r="B91" s="411"/>
      <c r="C91" s="280"/>
      <c r="D91" s="305"/>
      <c r="E91" s="305"/>
      <c r="F91" s="305"/>
    </row>
    <row r="92" spans="1:6">
      <c r="A92" s="305"/>
      <c r="B92" s="411"/>
      <c r="C92" s="280"/>
      <c r="D92" s="305"/>
      <c r="E92" s="305"/>
      <c r="F92" s="305"/>
    </row>
    <row r="93" spans="1:6">
      <c r="A93" s="305"/>
      <c r="B93" s="411"/>
      <c r="C93" s="280"/>
      <c r="D93" s="305"/>
      <c r="E93" s="305"/>
      <c r="F93" s="305"/>
    </row>
    <row r="94" spans="1:6">
      <c r="A94" s="305"/>
      <c r="B94" s="411"/>
      <c r="C94" s="280"/>
      <c r="D94" s="305"/>
      <c r="E94" s="305"/>
      <c r="F94" s="305"/>
    </row>
    <row r="95" spans="1:6">
      <c r="A95" s="305"/>
      <c r="B95" s="411"/>
      <c r="C95" s="280"/>
      <c r="D95" s="305"/>
      <c r="E95" s="305"/>
      <c r="F95" s="305"/>
    </row>
    <row r="96" spans="1:6">
      <c r="A96" s="305"/>
      <c r="B96" s="411"/>
      <c r="C96" s="280"/>
      <c r="D96" s="305"/>
      <c r="E96" s="305"/>
      <c r="F96" s="305"/>
    </row>
    <row r="97" spans="1:6">
      <c r="A97" s="305"/>
      <c r="B97" s="411"/>
      <c r="C97" s="280"/>
      <c r="D97" s="305"/>
      <c r="E97" s="305"/>
      <c r="F97" s="305"/>
    </row>
    <row r="98" spans="1:6">
      <c r="A98" s="305"/>
      <c r="B98" s="411"/>
      <c r="C98" s="280"/>
      <c r="D98" s="305"/>
      <c r="E98" s="305"/>
      <c r="F98" s="305"/>
    </row>
    <row r="99" spans="1:6">
      <c r="A99" s="305"/>
      <c r="B99" s="411"/>
      <c r="C99" s="280"/>
      <c r="D99" s="305"/>
      <c r="E99" s="305"/>
      <c r="F99" s="305"/>
    </row>
    <row r="100" spans="1:6">
      <c r="C100" s="280"/>
      <c r="D100" s="305"/>
      <c r="E100" s="305"/>
      <c r="F100" s="305"/>
    </row>
    <row r="101" spans="1:6">
      <c r="C101" s="280"/>
      <c r="D101" s="305"/>
      <c r="E101" s="305"/>
      <c r="F101" s="305"/>
    </row>
    <row r="102" spans="1:6">
      <c r="C102" s="280"/>
      <c r="D102" s="305"/>
      <c r="E102" s="305"/>
      <c r="F102" s="305"/>
    </row>
    <row r="103" spans="1:6">
      <c r="C103" s="280"/>
      <c r="D103" s="305"/>
      <c r="E103" s="305"/>
      <c r="F103" s="305"/>
    </row>
    <row r="104" spans="1:6">
      <c r="C104" s="280"/>
      <c r="D104" s="305"/>
      <c r="E104" s="305"/>
      <c r="F104" s="305"/>
    </row>
    <row r="105" spans="1:6">
      <c r="C105" s="280"/>
      <c r="D105" s="305"/>
      <c r="E105" s="305"/>
      <c r="F105" s="305"/>
    </row>
    <row r="106" spans="1:6">
      <c r="C106" s="280"/>
      <c r="D106" s="305"/>
      <c r="E106" s="305"/>
      <c r="F106" s="305"/>
    </row>
    <row r="107" spans="1:6">
      <c r="C107" s="280"/>
      <c r="D107" s="305"/>
      <c r="E107" s="305"/>
      <c r="F107" s="305"/>
    </row>
    <row r="108" spans="1:6">
      <c r="C108" s="280"/>
      <c r="D108" s="305"/>
      <c r="E108" s="305"/>
      <c r="F108" s="305"/>
    </row>
    <row r="109" spans="1:6">
      <c r="C109" s="280"/>
      <c r="D109" s="305"/>
      <c r="E109" s="305"/>
      <c r="F109" s="305"/>
    </row>
    <row r="110" spans="1:6">
      <c r="C110" s="280"/>
      <c r="D110" s="305"/>
      <c r="E110" s="305"/>
      <c r="F110" s="305"/>
    </row>
    <row r="111" spans="1:6">
      <c r="C111" s="280"/>
      <c r="D111" s="305"/>
      <c r="E111" s="305"/>
      <c r="F111" s="305"/>
    </row>
    <row r="112" spans="1:6">
      <c r="C112" s="280"/>
      <c r="D112" s="305"/>
      <c r="E112" s="305"/>
      <c r="F112" s="305"/>
    </row>
    <row r="113" spans="3:6">
      <c r="C113" s="280"/>
      <c r="D113" s="305"/>
      <c r="E113" s="305"/>
      <c r="F113" s="305"/>
    </row>
    <row r="114" spans="3:6">
      <c r="C114" s="280"/>
      <c r="D114" s="305"/>
      <c r="E114" s="305"/>
      <c r="F114" s="305"/>
    </row>
    <row r="115" spans="3:6">
      <c r="C115" s="280"/>
      <c r="D115" s="305"/>
      <c r="E115" s="305"/>
      <c r="F115" s="305"/>
    </row>
    <row r="116" spans="3:6">
      <c r="C116" s="280"/>
      <c r="D116" s="305"/>
      <c r="E116" s="305"/>
      <c r="F116" s="305"/>
    </row>
    <row r="117" spans="3:6">
      <c r="C117" s="280"/>
      <c r="D117" s="305"/>
      <c r="E117" s="305"/>
      <c r="F117" s="305"/>
    </row>
    <row r="118" spans="3:6">
      <c r="C118" s="280"/>
      <c r="D118" s="305"/>
      <c r="E118" s="305"/>
      <c r="F118" s="305"/>
    </row>
    <row r="119" spans="3:6">
      <c r="C119" s="280"/>
      <c r="D119" s="305"/>
      <c r="E119" s="305"/>
      <c r="F119" s="305"/>
    </row>
    <row r="120" spans="3:6">
      <c r="C120" s="280"/>
      <c r="D120" s="305"/>
      <c r="E120" s="305"/>
      <c r="F120" s="305"/>
    </row>
    <row r="121" spans="3:6">
      <c r="C121" s="280"/>
      <c r="D121" s="305"/>
      <c r="E121" s="305"/>
      <c r="F121" s="305"/>
    </row>
    <row r="122" spans="3:6">
      <c r="C122" s="280"/>
      <c r="D122" s="305"/>
      <c r="E122" s="305"/>
      <c r="F122" s="305"/>
    </row>
    <row r="123" spans="3:6">
      <c r="C123" s="280"/>
      <c r="D123" s="305"/>
      <c r="E123" s="305"/>
      <c r="F123" s="305"/>
    </row>
    <row r="124" spans="3:6">
      <c r="C124" s="280"/>
      <c r="D124" s="305"/>
      <c r="E124" s="305"/>
      <c r="F124" s="305"/>
    </row>
    <row r="125" spans="3:6">
      <c r="C125" s="280"/>
      <c r="D125" s="305"/>
      <c r="E125" s="305"/>
      <c r="F125" s="305"/>
    </row>
    <row r="126" spans="3:6">
      <c r="C126" s="280"/>
      <c r="D126" s="305"/>
      <c r="E126" s="305"/>
      <c r="F126" s="305"/>
    </row>
    <row r="127" spans="3:6">
      <c r="C127" s="280"/>
      <c r="D127" s="305"/>
      <c r="E127" s="305"/>
      <c r="F127" s="305"/>
    </row>
    <row r="128" spans="3:6">
      <c r="C128" s="280"/>
      <c r="D128" s="305"/>
      <c r="E128" s="305"/>
      <c r="F128" s="305"/>
    </row>
    <row r="129" spans="3:6">
      <c r="C129" s="280"/>
      <c r="D129" s="305"/>
      <c r="E129" s="305"/>
      <c r="F129" s="305"/>
    </row>
    <row r="130" spans="3:6">
      <c r="C130" s="280"/>
      <c r="D130" s="305"/>
      <c r="E130" s="305"/>
      <c r="F130" s="305"/>
    </row>
    <row r="131" spans="3:6">
      <c r="C131" s="280"/>
      <c r="D131" s="305"/>
      <c r="E131" s="305"/>
      <c r="F131" s="305"/>
    </row>
    <row r="132" spans="3:6">
      <c r="C132" s="280"/>
      <c r="D132" s="305"/>
      <c r="E132" s="305"/>
      <c r="F132" s="305"/>
    </row>
    <row r="133" spans="3:6">
      <c r="C133" s="280"/>
      <c r="D133" s="305"/>
      <c r="E133" s="305"/>
      <c r="F133" s="305"/>
    </row>
    <row r="134" spans="3:6">
      <c r="C134" s="280"/>
      <c r="D134" s="305"/>
      <c r="E134" s="305"/>
      <c r="F134" s="305"/>
    </row>
    <row r="135" spans="3:6">
      <c r="C135" s="280"/>
      <c r="D135" s="305"/>
      <c r="E135" s="305"/>
      <c r="F135" s="305"/>
    </row>
    <row r="136" spans="3:6">
      <c r="C136" s="280"/>
      <c r="D136" s="305"/>
      <c r="E136" s="305"/>
      <c r="F136" s="305"/>
    </row>
    <row r="137" spans="3:6">
      <c r="C137" s="280"/>
      <c r="D137" s="305"/>
      <c r="E137" s="305"/>
      <c r="F137" s="305"/>
    </row>
    <row r="138" spans="3:6">
      <c r="C138" s="280"/>
      <c r="D138" s="305"/>
      <c r="E138" s="305"/>
      <c r="F138" s="305"/>
    </row>
    <row r="139" spans="3:6">
      <c r="C139" s="280"/>
      <c r="D139" s="305"/>
      <c r="E139" s="305"/>
      <c r="F139" s="305"/>
    </row>
    <row r="140" spans="3:6">
      <c r="C140" s="280"/>
      <c r="D140" s="305"/>
      <c r="E140" s="305"/>
      <c r="F140" s="305"/>
    </row>
    <row r="141" spans="3:6">
      <c r="C141" s="280"/>
      <c r="D141" s="305"/>
      <c r="E141" s="305"/>
      <c r="F141" s="305"/>
    </row>
  </sheetData>
  <mergeCells count="14">
    <mergeCell ref="F6:F7"/>
    <mergeCell ref="A65:F65"/>
    <mergeCell ref="D66:F66"/>
    <mergeCell ref="H66:J66"/>
    <mergeCell ref="A1:F1"/>
    <mergeCell ref="A2:F2"/>
    <mergeCell ref="A3:F3"/>
    <mergeCell ref="A4:F4"/>
    <mergeCell ref="A5:F5"/>
    <mergeCell ref="A6:A7"/>
    <mergeCell ref="B6:B7"/>
    <mergeCell ref="C6:C7"/>
    <mergeCell ref="D6:D7"/>
    <mergeCell ref="E6:E7"/>
  </mergeCells>
  <printOptions horizontalCentered="1"/>
  <pageMargins left="0.39370078740157483" right="0.27559055118110237" top="0.27559055118110237" bottom="0.26" header="0.31496062992125984" footer="0.19685039370078741"/>
  <pageSetup paperSize="9" scale="85" orientation="portrait" r:id="rId1"/>
  <headerFooter alignWithMargins="0">
    <oddFooter>Page &amp;P of &amp;N</oddFooter>
  </headerFooter>
</worksheet>
</file>

<file path=xl/worksheets/sheet15.xml><?xml version="1.0" encoding="utf-8"?>
<worksheet xmlns="http://schemas.openxmlformats.org/spreadsheetml/2006/main" xmlns:r="http://schemas.openxmlformats.org/officeDocument/2006/relationships">
  <sheetPr>
    <tabColor rgb="FFFF0000"/>
  </sheetPr>
  <dimension ref="A1:J96"/>
  <sheetViews>
    <sheetView view="pageBreakPreview" zoomScaleNormal="70" zoomScaleSheetLayoutView="100" workbookViewId="0">
      <selection activeCell="C8" sqref="C8"/>
    </sheetView>
  </sheetViews>
  <sheetFormatPr defaultColWidth="11.42578125" defaultRowHeight="15.75"/>
  <cols>
    <col min="1" max="1" width="7.85546875" style="308" customWidth="1"/>
    <col min="2" max="2" width="10" style="412" customWidth="1"/>
    <col min="3" max="3" width="58.140625" style="413" customWidth="1"/>
    <col min="4" max="4" width="13.85546875" style="308" bestFit="1" customWidth="1"/>
    <col min="5" max="5" width="6.28515625" style="308" customWidth="1"/>
    <col min="6" max="6" width="13.85546875" style="308" bestFit="1" customWidth="1"/>
    <col min="7" max="7" width="13.28515625" style="261" bestFit="1" customWidth="1"/>
    <col min="8" max="8" width="11.42578125" style="261" bestFit="1" customWidth="1"/>
    <col min="9" max="9" width="13.85546875" style="261" bestFit="1" customWidth="1"/>
    <col min="10" max="10" width="12.42578125" style="261" bestFit="1" customWidth="1"/>
    <col min="11" max="256" width="11.42578125" style="261"/>
    <col min="257" max="257" width="7.85546875" style="261" customWidth="1"/>
    <col min="258" max="258" width="10" style="261" customWidth="1"/>
    <col min="259" max="259" width="58.140625" style="261" customWidth="1"/>
    <col min="260" max="260" width="13.85546875" style="261" bestFit="1" customWidth="1"/>
    <col min="261" max="261" width="6.28515625" style="261" customWidth="1"/>
    <col min="262" max="262" width="13.85546875" style="261" bestFit="1" customWidth="1"/>
    <col min="263" max="263" width="13.28515625" style="261" bestFit="1" customWidth="1"/>
    <col min="264" max="264" width="11.42578125" style="261"/>
    <col min="265" max="265" width="13.85546875" style="261" bestFit="1" customWidth="1"/>
    <col min="266" max="266" width="12.42578125" style="261" bestFit="1" customWidth="1"/>
    <col min="267" max="512" width="11.42578125" style="261"/>
    <col min="513" max="513" width="7.85546875" style="261" customWidth="1"/>
    <col min="514" max="514" width="10" style="261" customWidth="1"/>
    <col min="515" max="515" width="58.140625" style="261" customWidth="1"/>
    <col min="516" max="516" width="13.85546875" style="261" bestFit="1" customWidth="1"/>
    <col min="517" max="517" width="6.28515625" style="261" customWidth="1"/>
    <col min="518" max="518" width="13.85546875" style="261" bestFit="1" customWidth="1"/>
    <col min="519" max="519" width="13.28515625" style="261" bestFit="1" customWidth="1"/>
    <col min="520" max="520" width="11.42578125" style="261"/>
    <col min="521" max="521" width="13.85546875" style="261" bestFit="1" customWidth="1"/>
    <col min="522" max="522" width="12.42578125" style="261" bestFit="1" customWidth="1"/>
    <col min="523" max="768" width="11.42578125" style="261"/>
    <col min="769" max="769" width="7.85546875" style="261" customWidth="1"/>
    <col min="770" max="770" width="10" style="261" customWidth="1"/>
    <col min="771" max="771" width="58.140625" style="261" customWidth="1"/>
    <col min="772" max="772" width="13.85546875" style="261" bestFit="1" customWidth="1"/>
    <col min="773" max="773" width="6.28515625" style="261" customWidth="1"/>
    <col min="774" max="774" width="13.85546875" style="261" bestFit="1" customWidth="1"/>
    <col min="775" max="775" width="13.28515625" style="261" bestFit="1" customWidth="1"/>
    <col min="776" max="776" width="11.42578125" style="261"/>
    <col min="777" max="777" width="13.85546875" style="261" bestFit="1" customWidth="1"/>
    <col min="778" max="778" width="12.42578125" style="261" bestFit="1" customWidth="1"/>
    <col min="779" max="1024" width="11.42578125" style="261"/>
    <col min="1025" max="1025" width="7.85546875" style="261" customWidth="1"/>
    <col min="1026" max="1026" width="10" style="261" customWidth="1"/>
    <col min="1027" max="1027" width="58.140625" style="261" customWidth="1"/>
    <col min="1028" max="1028" width="13.85546875" style="261" bestFit="1" customWidth="1"/>
    <col min="1029" max="1029" width="6.28515625" style="261" customWidth="1"/>
    <col min="1030" max="1030" width="13.85546875" style="261" bestFit="1" customWidth="1"/>
    <col min="1031" max="1031" width="13.28515625" style="261" bestFit="1" customWidth="1"/>
    <col min="1032" max="1032" width="11.42578125" style="261"/>
    <col min="1033" max="1033" width="13.85546875" style="261" bestFit="1" customWidth="1"/>
    <col min="1034" max="1034" width="12.42578125" style="261" bestFit="1" customWidth="1"/>
    <col min="1035" max="1280" width="11.42578125" style="261"/>
    <col min="1281" max="1281" width="7.85546875" style="261" customWidth="1"/>
    <col min="1282" max="1282" width="10" style="261" customWidth="1"/>
    <col min="1283" max="1283" width="58.140625" style="261" customWidth="1"/>
    <col min="1284" max="1284" width="13.85546875" style="261" bestFit="1" customWidth="1"/>
    <col min="1285" max="1285" width="6.28515625" style="261" customWidth="1"/>
    <col min="1286" max="1286" width="13.85546875" style="261" bestFit="1" customWidth="1"/>
    <col min="1287" max="1287" width="13.28515625" style="261" bestFit="1" customWidth="1"/>
    <col min="1288" max="1288" width="11.42578125" style="261"/>
    <col min="1289" max="1289" width="13.85546875" style="261" bestFit="1" customWidth="1"/>
    <col min="1290" max="1290" width="12.42578125" style="261" bestFit="1" customWidth="1"/>
    <col min="1291" max="1536" width="11.42578125" style="261"/>
    <col min="1537" max="1537" width="7.85546875" style="261" customWidth="1"/>
    <col min="1538" max="1538" width="10" style="261" customWidth="1"/>
    <col min="1539" max="1539" width="58.140625" style="261" customWidth="1"/>
    <col min="1540" max="1540" width="13.85546875" style="261" bestFit="1" customWidth="1"/>
    <col min="1541" max="1541" width="6.28515625" style="261" customWidth="1"/>
    <col min="1542" max="1542" width="13.85546875" style="261" bestFit="1" customWidth="1"/>
    <col min="1543" max="1543" width="13.28515625" style="261" bestFit="1" customWidth="1"/>
    <col min="1544" max="1544" width="11.42578125" style="261"/>
    <col min="1545" max="1545" width="13.85546875" style="261" bestFit="1" customWidth="1"/>
    <col min="1546" max="1546" width="12.42578125" style="261" bestFit="1" customWidth="1"/>
    <col min="1547" max="1792" width="11.42578125" style="261"/>
    <col min="1793" max="1793" width="7.85546875" style="261" customWidth="1"/>
    <col min="1794" max="1794" width="10" style="261" customWidth="1"/>
    <col min="1795" max="1795" width="58.140625" style="261" customWidth="1"/>
    <col min="1796" max="1796" width="13.85546875" style="261" bestFit="1" customWidth="1"/>
    <col min="1797" max="1797" width="6.28515625" style="261" customWidth="1"/>
    <col min="1798" max="1798" width="13.85546875" style="261" bestFit="1" customWidth="1"/>
    <col min="1799" max="1799" width="13.28515625" style="261" bestFit="1" customWidth="1"/>
    <col min="1800" max="1800" width="11.42578125" style="261"/>
    <col min="1801" max="1801" width="13.85546875" style="261" bestFit="1" customWidth="1"/>
    <col min="1802" max="1802" width="12.42578125" style="261" bestFit="1" customWidth="1"/>
    <col min="1803" max="2048" width="11.42578125" style="261"/>
    <col min="2049" max="2049" width="7.85546875" style="261" customWidth="1"/>
    <col min="2050" max="2050" width="10" style="261" customWidth="1"/>
    <col min="2051" max="2051" width="58.140625" style="261" customWidth="1"/>
    <col min="2052" max="2052" width="13.85546875" style="261" bestFit="1" customWidth="1"/>
    <col min="2053" max="2053" width="6.28515625" style="261" customWidth="1"/>
    <col min="2054" max="2054" width="13.85546875" style="261" bestFit="1" customWidth="1"/>
    <col min="2055" max="2055" width="13.28515625" style="261" bestFit="1" customWidth="1"/>
    <col min="2056" max="2056" width="11.42578125" style="261"/>
    <col min="2057" max="2057" width="13.85546875" style="261" bestFit="1" customWidth="1"/>
    <col min="2058" max="2058" width="12.42578125" style="261" bestFit="1" customWidth="1"/>
    <col min="2059" max="2304" width="11.42578125" style="261"/>
    <col min="2305" max="2305" width="7.85546875" style="261" customWidth="1"/>
    <col min="2306" max="2306" width="10" style="261" customWidth="1"/>
    <col min="2307" max="2307" width="58.140625" style="261" customWidth="1"/>
    <col min="2308" max="2308" width="13.85546875" style="261" bestFit="1" customWidth="1"/>
    <col min="2309" max="2309" width="6.28515625" style="261" customWidth="1"/>
    <col min="2310" max="2310" width="13.85546875" style="261" bestFit="1" customWidth="1"/>
    <col min="2311" max="2311" width="13.28515625" style="261" bestFit="1" customWidth="1"/>
    <col min="2312" max="2312" width="11.42578125" style="261"/>
    <col min="2313" max="2313" width="13.85546875" style="261" bestFit="1" customWidth="1"/>
    <col min="2314" max="2314" width="12.42578125" style="261" bestFit="1" customWidth="1"/>
    <col min="2315" max="2560" width="11.42578125" style="261"/>
    <col min="2561" max="2561" width="7.85546875" style="261" customWidth="1"/>
    <col min="2562" max="2562" width="10" style="261" customWidth="1"/>
    <col min="2563" max="2563" width="58.140625" style="261" customWidth="1"/>
    <col min="2564" max="2564" width="13.85546875" style="261" bestFit="1" customWidth="1"/>
    <col min="2565" max="2565" width="6.28515625" style="261" customWidth="1"/>
    <col min="2566" max="2566" width="13.85546875" style="261" bestFit="1" customWidth="1"/>
    <col min="2567" max="2567" width="13.28515625" style="261" bestFit="1" customWidth="1"/>
    <col min="2568" max="2568" width="11.42578125" style="261"/>
    <col min="2569" max="2569" width="13.85546875" style="261" bestFit="1" customWidth="1"/>
    <col min="2570" max="2570" width="12.42578125" style="261" bestFit="1" customWidth="1"/>
    <col min="2571" max="2816" width="11.42578125" style="261"/>
    <col min="2817" max="2817" width="7.85546875" style="261" customWidth="1"/>
    <col min="2818" max="2818" width="10" style="261" customWidth="1"/>
    <col min="2819" max="2819" width="58.140625" style="261" customWidth="1"/>
    <col min="2820" max="2820" width="13.85546875" style="261" bestFit="1" customWidth="1"/>
    <col min="2821" max="2821" width="6.28515625" style="261" customWidth="1"/>
    <col min="2822" max="2822" width="13.85546875" style="261" bestFit="1" customWidth="1"/>
    <col min="2823" max="2823" width="13.28515625" style="261" bestFit="1" customWidth="1"/>
    <col min="2824" max="2824" width="11.42578125" style="261"/>
    <col min="2825" max="2825" width="13.85546875" style="261" bestFit="1" customWidth="1"/>
    <col min="2826" max="2826" width="12.42578125" style="261" bestFit="1" customWidth="1"/>
    <col min="2827" max="3072" width="11.42578125" style="261"/>
    <col min="3073" max="3073" width="7.85546875" style="261" customWidth="1"/>
    <col min="3074" max="3074" width="10" style="261" customWidth="1"/>
    <col min="3075" max="3075" width="58.140625" style="261" customWidth="1"/>
    <col min="3076" max="3076" width="13.85546875" style="261" bestFit="1" customWidth="1"/>
    <col min="3077" max="3077" width="6.28515625" style="261" customWidth="1"/>
    <col min="3078" max="3078" width="13.85546875" style="261" bestFit="1" customWidth="1"/>
    <col min="3079" max="3079" width="13.28515625" style="261" bestFit="1" customWidth="1"/>
    <col min="3080" max="3080" width="11.42578125" style="261"/>
    <col min="3081" max="3081" width="13.85546875" style="261" bestFit="1" customWidth="1"/>
    <col min="3082" max="3082" width="12.42578125" style="261" bestFit="1" customWidth="1"/>
    <col min="3083" max="3328" width="11.42578125" style="261"/>
    <col min="3329" max="3329" width="7.85546875" style="261" customWidth="1"/>
    <col min="3330" max="3330" width="10" style="261" customWidth="1"/>
    <col min="3331" max="3331" width="58.140625" style="261" customWidth="1"/>
    <col min="3332" max="3332" width="13.85546875" style="261" bestFit="1" customWidth="1"/>
    <col min="3333" max="3333" width="6.28515625" style="261" customWidth="1"/>
    <col min="3334" max="3334" width="13.85546875" style="261" bestFit="1" customWidth="1"/>
    <col min="3335" max="3335" width="13.28515625" style="261" bestFit="1" customWidth="1"/>
    <col min="3336" max="3336" width="11.42578125" style="261"/>
    <col min="3337" max="3337" width="13.85546875" style="261" bestFit="1" customWidth="1"/>
    <col min="3338" max="3338" width="12.42578125" style="261" bestFit="1" customWidth="1"/>
    <col min="3339" max="3584" width="11.42578125" style="261"/>
    <col min="3585" max="3585" width="7.85546875" style="261" customWidth="1"/>
    <col min="3586" max="3586" width="10" style="261" customWidth="1"/>
    <col min="3587" max="3587" width="58.140625" style="261" customWidth="1"/>
    <col min="3588" max="3588" width="13.85546875" style="261" bestFit="1" customWidth="1"/>
    <col min="3589" max="3589" width="6.28515625" style="261" customWidth="1"/>
    <col min="3590" max="3590" width="13.85546875" style="261" bestFit="1" customWidth="1"/>
    <col min="3591" max="3591" width="13.28515625" style="261" bestFit="1" customWidth="1"/>
    <col min="3592" max="3592" width="11.42578125" style="261"/>
    <col min="3593" max="3593" width="13.85546875" style="261" bestFit="1" customWidth="1"/>
    <col min="3594" max="3594" width="12.42578125" style="261" bestFit="1" customWidth="1"/>
    <col min="3595" max="3840" width="11.42578125" style="261"/>
    <col min="3841" max="3841" width="7.85546875" style="261" customWidth="1"/>
    <col min="3842" max="3842" width="10" style="261" customWidth="1"/>
    <col min="3843" max="3843" width="58.140625" style="261" customWidth="1"/>
    <col min="3844" max="3844" width="13.85546875" style="261" bestFit="1" customWidth="1"/>
    <col min="3845" max="3845" width="6.28515625" style="261" customWidth="1"/>
    <col min="3846" max="3846" width="13.85546875" style="261" bestFit="1" customWidth="1"/>
    <col min="3847" max="3847" width="13.28515625" style="261" bestFit="1" customWidth="1"/>
    <col min="3848" max="3848" width="11.42578125" style="261"/>
    <col min="3849" max="3849" width="13.85546875" style="261" bestFit="1" customWidth="1"/>
    <col min="3850" max="3850" width="12.42578125" style="261" bestFit="1" customWidth="1"/>
    <col min="3851" max="4096" width="11.42578125" style="261"/>
    <col min="4097" max="4097" width="7.85546875" style="261" customWidth="1"/>
    <col min="4098" max="4098" width="10" style="261" customWidth="1"/>
    <col min="4099" max="4099" width="58.140625" style="261" customWidth="1"/>
    <col min="4100" max="4100" width="13.85546875" style="261" bestFit="1" customWidth="1"/>
    <col min="4101" max="4101" width="6.28515625" style="261" customWidth="1"/>
    <col min="4102" max="4102" width="13.85546875" style="261" bestFit="1" customWidth="1"/>
    <col min="4103" max="4103" width="13.28515625" style="261" bestFit="1" customWidth="1"/>
    <col min="4104" max="4104" width="11.42578125" style="261"/>
    <col min="4105" max="4105" width="13.85546875" style="261" bestFit="1" customWidth="1"/>
    <col min="4106" max="4106" width="12.42578125" style="261" bestFit="1" customWidth="1"/>
    <col min="4107" max="4352" width="11.42578125" style="261"/>
    <col min="4353" max="4353" width="7.85546875" style="261" customWidth="1"/>
    <col min="4354" max="4354" width="10" style="261" customWidth="1"/>
    <col min="4355" max="4355" width="58.140625" style="261" customWidth="1"/>
    <col min="4356" max="4356" width="13.85546875" style="261" bestFit="1" customWidth="1"/>
    <col min="4357" max="4357" width="6.28515625" style="261" customWidth="1"/>
    <col min="4358" max="4358" width="13.85546875" style="261" bestFit="1" customWidth="1"/>
    <col min="4359" max="4359" width="13.28515625" style="261" bestFit="1" customWidth="1"/>
    <col min="4360" max="4360" width="11.42578125" style="261"/>
    <col min="4361" max="4361" width="13.85546875" style="261" bestFit="1" customWidth="1"/>
    <col min="4362" max="4362" width="12.42578125" style="261" bestFit="1" customWidth="1"/>
    <col min="4363" max="4608" width="11.42578125" style="261"/>
    <col min="4609" max="4609" width="7.85546875" style="261" customWidth="1"/>
    <col min="4610" max="4610" width="10" style="261" customWidth="1"/>
    <col min="4611" max="4611" width="58.140625" style="261" customWidth="1"/>
    <col min="4612" max="4612" width="13.85546875" style="261" bestFit="1" customWidth="1"/>
    <col min="4613" max="4613" width="6.28515625" style="261" customWidth="1"/>
    <col min="4614" max="4614" width="13.85546875" style="261" bestFit="1" customWidth="1"/>
    <col min="4615" max="4615" width="13.28515625" style="261" bestFit="1" customWidth="1"/>
    <col min="4616" max="4616" width="11.42578125" style="261"/>
    <col min="4617" max="4617" width="13.85546875" style="261" bestFit="1" customWidth="1"/>
    <col min="4618" max="4618" width="12.42578125" style="261" bestFit="1" customWidth="1"/>
    <col min="4619" max="4864" width="11.42578125" style="261"/>
    <col min="4865" max="4865" width="7.85546875" style="261" customWidth="1"/>
    <col min="4866" max="4866" width="10" style="261" customWidth="1"/>
    <col min="4867" max="4867" width="58.140625" style="261" customWidth="1"/>
    <col min="4868" max="4868" width="13.85546875" style="261" bestFit="1" customWidth="1"/>
    <col min="4869" max="4869" width="6.28515625" style="261" customWidth="1"/>
    <col min="4870" max="4870" width="13.85546875" style="261" bestFit="1" customWidth="1"/>
    <col min="4871" max="4871" width="13.28515625" style="261" bestFit="1" customWidth="1"/>
    <col min="4872" max="4872" width="11.42578125" style="261"/>
    <col min="4873" max="4873" width="13.85546875" style="261" bestFit="1" customWidth="1"/>
    <col min="4874" max="4874" width="12.42578125" style="261" bestFit="1" customWidth="1"/>
    <col min="4875" max="5120" width="11.42578125" style="261"/>
    <col min="5121" max="5121" width="7.85546875" style="261" customWidth="1"/>
    <col min="5122" max="5122" width="10" style="261" customWidth="1"/>
    <col min="5123" max="5123" width="58.140625" style="261" customWidth="1"/>
    <col min="5124" max="5124" width="13.85546875" style="261" bestFit="1" customWidth="1"/>
    <col min="5125" max="5125" width="6.28515625" style="261" customWidth="1"/>
    <col min="5126" max="5126" width="13.85546875" style="261" bestFit="1" customWidth="1"/>
    <col min="5127" max="5127" width="13.28515625" style="261" bestFit="1" customWidth="1"/>
    <col min="5128" max="5128" width="11.42578125" style="261"/>
    <col min="5129" max="5129" width="13.85546875" style="261" bestFit="1" customWidth="1"/>
    <col min="5130" max="5130" width="12.42578125" style="261" bestFit="1" customWidth="1"/>
    <col min="5131" max="5376" width="11.42578125" style="261"/>
    <col min="5377" max="5377" width="7.85546875" style="261" customWidth="1"/>
    <col min="5378" max="5378" width="10" style="261" customWidth="1"/>
    <col min="5379" max="5379" width="58.140625" style="261" customWidth="1"/>
    <col min="5380" max="5380" width="13.85546875" style="261" bestFit="1" customWidth="1"/>
    <col min="5381" max="5381" width="6.28515625" style="261" customWidth="1"/>
    <col min="5382" max="5382" width="13.85546875" style="261" bestFit="1" customWidth="1"/>
    <col min="5383" max="5383" width="13.28515625" style="261" bestFit="1" customWidth="1"/>
    <col min="5384" max="5384" width="11.42578125" style="261"/>
    <col min="5385" max="5385" width="13.85546875" style="261" bestFit="1" customWidth="1"/>
    <col min="5386" max="5386" width="12.42578125" style="261" bestFit="1" customWidth="1"/>
    <col min="5387" max="5632" width="11.42578125" style="261"/>
    <col min="5633" max="5633" width="7.85546875" style="261" customWidth="1"/>
    <col min="5634" max="5634" width="10" style="261" customWidth="1"/>
    <col min="5635" max="5635" width="58.140625" style="261" customWidth="1"/>
    <col min="5636" max="5636" width="13.85546875" style="261" bestFit="1" customWidth="1"/>
    <col min="5637" max="5637" width="6.28515625" style="261" customWidth="1"/>
    <col min="5638" max="5638" width="13.85546875" style="261" bestFit="1" customWidth="1"/>
    <col min="5639" max="5639" width="13.28515625" style="261" bestFit="1" customWidth="1"/>
    <col min="5640" max="5640" width="11.42578125" style="261"/>
    <col min="5641" max="5641" width="13.85546875" style="261" bestFit="1" customWidth="1"/>
    <col min="5642" max="5642" width="12.42578125" style="261" bestFit="1" customWidth="1"/>
    <col min="5643" max="5888" width="11.42578125" style="261"/>
    <col min="5889" max="5889" width="7.85546875" style="261" customWidth="1"/>
    <col min="5890" max="5890" width="10" style="261" customWidth="1"/>
    <col min="5891" max="5891" width="58.140625" style="261" customWidth="1"/>
    <col min="5892" max="5892" width="13.85546875" style="261" bestFit="1" customWidth="1"/>
    <col min="5893" max="5893" width="6.28515625" style="261" customWidth="1"/>
    <col min="5894" max="5894" width="13.85546875" style="261" bestFit="1" customWidth="1"/>
    <col min="5895" max="5895" width="13.28515625" style="261" bestFit="1" customWidth="1"/>
    <col min="5896" max="5896" width="11.42578125" style="261"/>
    <col min="5897" max="5897" width="13.85546875" style="261" bestFit="1" customWidth="1"/>
    <col min="5898" max="5898" width="12.42578125" style="261" bestFit="1" customWidth="1"/>
    <col min="5899" max="6144" width="11.42578125" style="261"/>
    <col min="6145" max="6145" width="7.85546875" style="261" customWidth="1"/>
    <col min="6146" max="6146" width="10" style="261" customWidth="1"/>
    <col min="6147" max="6147" width="58.140625" style="261" customWidth="1"/>
    <col min="6148" max="6148" width="13.85546875" style="261" bestFit="1" customWidth="1"/>
    <col min="6149" max="6149" width="6.28515625" style="261" customWidth="1"/>
    <col min="6150" max="6150" width="13.85546875" style="261" bestFit="1" customWidth="1"/>
    <col min="6151" max="6151" width="13.28515625" style="261" bestFit="1" customWidth="1"/>
    <col min="6152" max="6152" width="11.42578125" style="261"/>
    <col min="6153" max="6153" width="13.85546875" style="261" bestFit="1" customWidth="1"/>
    <col min="6154" max="6154" width="12.42578125" style="261" bestFit="1" customWidth="1"/>
    <col min="6155" max="6400" width="11.42578125" style="261"/>
    <col min="6401" max="6401" width="7.85546875" style="261" customWidth="1"/>
    <col min="6402" max="6402" width="10" style="261" customWidth="1"/>
    <col min="6403" max="6403" width="58.140625" style="261" customWidth="1"/>
    <col min="6404" max="6404" width="13.85546875" style="261" bestFit="1" customWidth="1"/>
    <col min="6405" max="6405" width="6.28515625" style="261" customWidth="1"/>
    <col min="6406" max="6406" width="13.85546875" style="261" bestFit="1" customWidth="1"/>
    <col min="6407" max="6407" width="13.28515625" style="261" bestFit="1" customWidth="1"/>
    <col min="6408" max="6408" width="11.42578125" style="261"/>
    <col min="6409" max="6409" width="13.85546875" style="261" bestFit="1" customWidth="1"/>
    <col min="6410" max="6410" width="12.42578125" style="261" bestFit="1" customWidth="1"/>
    <col min="6411" max="6656" width="11.42578125" style="261"/>
    <col min="6657" max="6657" width="7.85546875" style="261" customWidth="1"/>
    <col min="6658" max="6658" width="10" style="261" customWidth="1"/>
    <col min="6659" max="6659" width="58.140625" style="261" customWidth="1"/>
    <col min="6660" max="6660" width="13.85546875" style="261" bestFit="1" customWidth="1"/>
    <col min="6661" max="6661" width="6.28515625" style="261" customWidth="1"/>
    <col min="6662" max="6662" width="13.85546875" style="261" bestFit="1" customWidth="1"/>
    <col min="6663" max="6663" width="13.28515625" style="261" bestFit="1" customWidth="1"/>
    <col min="6664" max="6664" width="11.42578125" style="261"/>
    <col min="6665" max="6665" width="13.85546875" style="261" bestFit="1" customWidth="1"/>
    <col min="6666" max="6666" width="12.42578125" style="261" bestFit="1" customWidth="1"/>
    <col min="6667" max="6912" width="11.42578125" style="261"/>
    <col min="6913" max="6913" width="7.85546875" style="261" customWidth="1"/>
    <col min="6914" max="6914" width="10" style="261" customWidth="1"/>
    <col min="6915" max="6915" width="58.140625" style="261" customWidth="1"/>
    <col min="6916" max="6916" width="13.85546875" style="261" bestFit="1" customWidth="1"/>
    <col min="6917" max="6917" width="6.28515625" style="261" customWidth="1"/>
    <col min="6918" max="6918" width="13.85546875" style="261" bestFit="1" customWidth="1"/>
    <col min="6919" max="6919" width="13.28515625" style="261" bestFit="1" customWidth="1"/>
    <col min="6920" max="6920" width="11.42578125" style="261"/>
    <col min="6921" max="6921" width="13.85546875" style="261" bestFit="1" customWidth="1"/>
    <col min="6922" max="6922" width="12.42578125" style="261" bestFit="1" customWidth="1"/>
    <col min="6923" max="7168" width="11.42578125" style="261"/>
    <col min="7169" max="7169" width="7.85546875" style="261" customWidth="1"/>
    <col min="7170" max="7170" width="10" style="261" customWidth="1"/>
    <col min="7171" max="7171" width="58.140625" style="261" customWidth="1"/>
    <col min="7172" max="7172" width="13.85546875" style="261" bestFit="1" customWidth="1"/>
    <col min="7173" max="7173" width="6.28515625" style="261" customWidth="1"/>
    <col min="7174" max="7174" width="13.85546875" style="261" bestFit="1" customWidth="1"/>
    <col min="7175" max="7175" width="13.28515625" style="261" bestFit="1" customWidth="1"/>
    <col min="7176" max="7176" width="11.42578125" style="261"/>
    <col min="7177" max="7177" width="13.85546875" style="261" bestFit="1" customWidth="1"/>
    <col min="7178" max="7178" width="12.42578125" style="261" bestFit="1" customWidth="1"/>
    <col min="7179" max="7424" width="11.42578125" style="261"/>
    <col min="7425" max="7425" width="7.85546875" style="261" customWidth="1"/>
    <col min="7426" max="7426" width="10" style="261" customWidth="1"/>
    <col min="7427" max="7427" width="58.140625" style="261" customWidth="1"/>
    <col min="7428" max="7428" width="13.85546875" style="261" bestFit="1" customWidth="1"/>
    <col min="7429" max="7429" width="6.28515625" style="261" customWidth="1"/>
    <col min="7430" max="7430" width="13.85546875" style="261" bestFit="1" customWidth="1"/>
    <col min="7431" max="7431" width="13.28515625" style="261" bestFit="1" customWidth="1"/>
    <col min="7432" max="7432" width="11.42578125" style="261"/>
    <col min="7433" max="7433" width="13.85546875" style="261" bestFit="1" customWidth="1"/>
    <col min="7434" max="7434" width="12.42578125" style="261" bestFit="1" customWidth="1"/>
    <col min="7435" max="7680" width="11.42578125" style="261"/>
    <col min="7681" max="7681" width="7.85546875" style="261" customWidth="1"/>
    <col min="7682" max="7682" width="10" style="261" customWidth="1"/>
    <col min="7683" max="7683" width="58.140625" style="261" customWidth="1"/>
    <col min="7684" max="7684" width="13.85546875" style="261" bestFit="1" customWidth="1"/>
    <col min="7685" max="7685" width="6.28515625" style="261" customWidth="1"/>
    <col min="7686" max="7686" width="13.85546875" style="261" bestFit="1" customWidth="1"/>
    <col min="7687" max="7687" width="13.28515625" style="261" bestFit="1" customWidth="1"/>
    <col min="7688" max="7688" width="11.42578125" style="261"/>
    <col min="7689" max="7689" width="13.85546875" style="261" bestFit="1" customWidth="1"/>
    <col min="7690" max="7690" width="12.42578125" style="261" bestFit="1" customWidth="1"/>
    <col min="7691" max="7936" width="11.42578125" style="261"/>
    <col min="7937" max="7937" width="7.85546875" style="261" customWidth="1"/>
    <col min="7938" max="7938" width="10" style="261" customWidth="1"/>
    <col min="7939" max="7939" width="58.140625" style="261" customWidth="1"/>
    <col min="7940" max="7940" width="13.85546875" style="261" bestFit="1" customWidth="1"/>
    <col min="7941" max="7941" width="6.28515625" style="261" customWidth="1"/>
    <col min="7942" max="7942" width="13.85546875" style="261" bestFit="1" customWidth="1"/>
    <col min="7943" max="7943" width="13.28515625" style="261" bestFit="1" customWidth="1"/>
    <col min="7944" max="7944" width="11.42578125" style="261"/>
    <col min="7945" max="7945" width="13.85546875" style="261" bestFit="1" customWidth="1"/>
    <col min="7946" max="7946" width="12.42578125" style="261" bestFit="1" customWidth="1"/>
    <col min="7947" max="8192" width="11.42578125" style="261"/>
    <col min="8193" max="8193" width="7.85546875" style="261" customWidth="1"/>
    <col min="8194" max="8194" width="10" style="261" customWidth="1"/>
    <col min="8195" max="8195" width="58.140625" style="261" customWidth="1"/>
    <col min="8196" max="8196" width="13.85546875" style="261" bestFit="1" customWidth="1"/>
    <col min="8197" max="8197" width="6.28515625" style="261" customWidth="1"/>
    <col min="8198" max="8198" width="13.85546875" style="261" bestFit="1" customWidth="1"/>
    <col min="8199" max="8199" width="13.28515625" style="261" bestFit="1" customWidth="1"/>
    <col min="8200" max="8200" width="11.42578125" style="261"/>
    <col min="8201" max="8201" width="13.85546875" style="261" bestFit="1" customWidth="1"/>
    <col min="8202" max="8202" width="12.42578125" style="261" bestFit="1" customWidth="1"/>
    <col min="8203" max="8448" width="11.42578125" style="261"/>
    <col min="8449" max="8449" width="7.85546875" style="261" customWidth="1"/>
    <col min="8450" max="8450" width="10" style="261" customWidth="1"/>
    <col min="8451" max="8451" width="58.140625" style="261" customWidth="1"/>
    <col min="8452" max="8452" width="13.85546875" style="261" bestFit="1" customWidth="1"/>
    <col min="8453" max="8453" width="6.28515625" style="261" customWidth="1"/>
    <col min="8454" max="8454" width="13.85546875" style="261" bestFit="1" customWidth="1"/>
    <col min="8455" max="8455" width="13.28515625" style="261" bestFit="1" customWidth="1"/>
    <col min="8456" max="8456" width="11.42578125" style="261"/>
    <col min="8457" max="8457" width="13.85546875" style="261" bestFit="1" customWidth="1"/>
    <col min="8458" max="8458" width="12.42578125" style="261" bestFit="1" customWidth="1"/>
    <col min="8459" max="8704" width="11.42578125" style="261"/>
    <col min="8705" max="8705" width="7.85546875" style="261" customWidth="1"/>
    <col min="8706" max="8706" width="10" style="261" customWidth="1"/>
    <col min="8707" max="8707" width="58.140625" style="261" customWidth="1"/>
    <col min="8708" max="8708" width="13.85546875" style="261" bestFit="1" customWidth="1"/>
    <col min="8709" max="8709" width="6.28515625" style="261" customWidth="1"/>
    <col min="8710" max="8710" width="13.85546875" style="261" bestFit="1" customWidth="1"/>
    <col min="8711" max="8711" width="13.28515625" style="261" bestFit="1" customWidth="1"/>
    <col min="8712" max="8712" width="11.42578125" style="261"/>
    <col min="8713" max="8713" width="13.85546875" style="261" bestFit="1" customWidth="1"/>
    <col min="8714" max="8714" width="12.42578125" style="261" bestFit="1" customWidth="1"/>
    <col min="8715" max="8960" width="11.42578125" style="261"/>
    <col min="8961" max="8961" width="7.85546875" style="261" customWidth="1"/>
    <col min="8962" max="8962" width="10" style="261" customWidth="1"/>
    <col min="8963" max="8963" width="58.140625" style="261" customWidth="1"/>
    <col min="8964" max="8964" width="13.85546875" style="261" bestFit="1" customWidth="1"/>
    <col min="8965" max="8965" width="6.28515625" style="261" customWidth="1"/>
    <col min="8966" max="8966" width="13.85546875" style="261" bestFit="1" customWidth="1"/>
    <col min="8967" max="8967" width="13.28515625" style="261" bestFit="1" customWidth="1"/>
    <col min="8968" max="8968" width="11.42578125" style="261"/>
    <col min="8969" max="8969" width="13.85546875" style="261" bestFit="1" customWidth="1"/>
    <col min="8970" max="8970" width="12.42578125" style="261" bestFit="1" customWidth="1"/>
    <col min="8971" max="9216" width="11.42578125" style="261"/>
    <col min="9217" max="9217" width="7.85546875" style="261" customWidth="1"/>
    <col min="9218" max="9218" width="10" style="261" customWidth="1"/>
    <col min="9219" max="9219" width="58.140625" style="261" customWidth="1"/>
    <col min="9220" max="9220" width="13.85546875" style="261" bestFit="1" customWidth="1"/>
    <col min="9221" max="9221" width="6.28515625" style="261" customWidth="1"/>
    <col min="9222" max="9222" width="13.85546875" style="261" bestFit="1" customWidth="1"/>
    <col min="9223" max="9223" width="13.28515625" style="261" bestFit="1" customWidth="1"/>
    <col min="9224" max="9224" width="11.42578125" style="261"/>
    <col min="9225" max="9225" width="13.85546875" style="261" bestFit="1" customWidth="1"/>
    <col min="9226" max="9226" width="12.42578125" style="261" bestFit="1" customWidth="1"/>
    <col min="9227" max="9472" width="11.42578125" style="261"/>
    <col min="9473" max="9473" width="7.85546875" style="261" customWidth="1"/>
    <col min="9474" max="9474" width="10" style="261" customWidth="1"/>
    <col min="9475" max="9475" width="58.140625" style="261" customWidth="1"/>
    <col min="9476" max="9476" width="13.85546875" style="261" bestFit="1" customWidth="1"/>
    <col min="9477" max="9477" width="6.28515625" style="261" customWidth="1"/>
    <col min="9478" max="9478" width="13.85546875" style="261" bestFit="1" customWidth="1"/>
    <col min="9479" max="9479" width="13.28515625" style="261" bestFit="1" customWidth="1"/>
    <col min="9480" max="9480" width="11.42578125" style="261"/>
    <col min="9481" max="9481" width="13.85546875" style="261" bestFit="1" customWidth="1"/>
    <col min="9482" max="9482" width="12.42578125" style="261" bestFit="1" customWidth="1"/>
    <col min="9483" max="9728" width="11.42578125" style="261"/>
    <col min="9729" max="9729" width="7.85546875" style="261" customWidth="1"/>
    <col min="9730" max="9730" width="10" style="261" customWidth="1"/>
    <col min="9731" max="9731" width="58.140625" style="261" customWidth="1"/>
    <col min="9732" max="9732" width="13.85546875" style="261" bestFit="1" customWidth="1"/>
    <col min="9733" max="9733" width="6.28515625" style="261" customWidth="1"/>
    <col min="9734" max="9734" width="13.85546875" style="261" bestFit="1" customWidth="1"/>
    <col min="9735" max="9735" width="13.28515625" style="261" bestFit="1" customWidth="1"/>
    <col min="9736" max="9736" width="11.42578125" style="261"/>
    <col min="9737" max="9737" width="13.85546875" style="261" bestFit="1" customWidth="1"/>
    <col min="9738" max="9738" width="12.42578125" style="261" bestFit="1" customWidth="1"/>
    <col min="9739" max="9984" width="11.42578125" style="261"/>
    <col min="9985" max="9985" width="7.85546875" style="261" customWidth="1"/>
    <col min="9986" max="9986" width="10" style="261" customWidth="1"/>
    <col min="9987" max="9987" width="58.140625" style="261" customWidth="1"/>
    <col min="9988" max="9988" width="13.85546875" style="261" bestFit="1" customWidth="1"/>
    <col min="9989" max="9989" width="6.28515625" style="261" customWidth="1"/>
    <col min="9990" max="9990" width="13.85546875" style="261" bestFit="1" customWidth="1"/>
    <col min="9991" max="9991" width="13.28515625" style="261" bestFit="1" customWidth="1"/>
    <col min="9992" max="9992" width="11.42578125" style="261"/>
    <col min="9993" max="9993" width="13.85546875" style="261" bestFit="1" customWidth="1"/>
    <col min="9994" max="9994" width="12.42578125" style="261" bestFit="1" customWidth="1"/>
    <col min="9995" max="10240" width="11.42578125" style="261"/>
    <col min="10241" max="10241" width="7.85546875" style="261" customWidth="1"/>
    <col min="10242" max="10242" width="10" style="261" customWidth="1"/>
    <col min="10243" max="10243" width="58.140625" style="261" customWidth="1"/>
    <col min="10244" max="10244" width="13.85546875" style="261" bestFit="1" customWidth="1"/>
    <col min="10245" max="10245" width="6.28515625" style="261" customWidth="1"/>
    <col min="10246" max="10246" width="13.85546875" style="261" bestFit="1" customWidth="1"/>
    <col min="10247" max="10247" width="13.28515625" style="261" bestFit="1" customWidth="1"/>
    <col min="10248" max="10248" width="11.42578125" style="261"/>
    <col min="10249" max="10249" width="13.85546875" style="261" bestFit="1" customWidth="1"/>
    <col min="10250" max="10250" width="12.42578125" style="261" bestFit="1" customWidth="1"/>
    <col min="10251" max="10496" width="11.42578125" style="261"/>
    <col min="10497" max="10497" width="7.85546875" style="261" customWidth="1"/>
    <col min="10498" max="10498" width="10" style="261" customWidth="1"/>
    <col min="10499" max="10499" width="58.140625" style="261" customWidth="1"/>
    <col min="10500" max="10500" width="13.85546875" style="261" bestFit="1" customWidth="1"/>
    <col min="10501" max="10501" width="6.28515625" style="261" customWidth="1"/>
    <col min="10502" max="10502" width="13.85546875" style="261" bestFit="1" customWidth="1"/>
    <col min="10503" max="10503" width="13.28515625" style="261" bestFit="1" customWidth="1"/>
    <col min="10504" max="10504" width="11.42578125" style="261"/>
    <col min="10505" max="10505" width="13.85546875" style="261" bestFit="1" customWidth="1"/>
    <col min="10506" max="10506" width="12.42578125" style="261" bestFit="1" customWidth="1"/>
    <col min="10507" max="10752" width="11.42578125" style="261"/>
    <col min="10753" max="10753" width="7.85546875" style="261" customWidth="1"/>
    <col min="10754" max="10754" width="10" style="261" customWidth="1"/>
    <col min="10755" max="10755" width="58.140625" style="261" customWidth="1"/>
    <col min="10756" max="10756" width="13.85546875" style="261" bestFit="1" customWidth="1"/>
    <col min="10757" max="10757" width="6.28515625" style="261" customWidth="1"/>
    <col min="10758" max="10758" width="13.85546875" style="261" bestFit="1" customWidth="1"/>
    <col min="10759" max="10759" width="13.28515625" style="261" bestFit="1" customWidth="1"/>
    <col min="10760" max="10760" width="11.42578125" style="261"/>
    <col min="10761" max="10761" width="13.85546875" style="261" bestFit="1" customWidth="1"/>
    <col min="10762" max="10762" width="12.42578125" style="261" bestFit="1" customWidth="1"/>
    <col min="10763" max="11008" width="11.42578125" style="261"/>
    <col min="11009" max="11009" width="7.85546875" style="261" customWidth="1"/>
    <col min="11010" max="11010" width="10" style="261" customWidth="1"/>
    <col min="11011" max="11011" width="58.140625" style="261" customWidth="1"/>
    <col min="11012" max="11012" width="13.85546875" style="261" bestFit="1" customWidth="1"/>
    <col min="11013" max="11013" width="6.28515625" style="261" customWidth="1"/>
    <col min="11014" max="11014" width="13.85546875" style="261" bestFit="1" customWidth="1"/>
    <col min="11015" max="11015" width="13.28515625" style="261" bestFit="1" customWidth="1"/>
    <col min="11016" max="11016" width="11.42578125" style="261"/>
    <col min="11017" max="11017" width="13.85546875" style="261" bestFit="1" customWidth="1"/>
    <col min="11018" max="11018" width="12.42578125" style="261" bestFit="1" customWidth="1"/>
    <col min="11019" max="11264" width="11.42578125" style="261"/>
    <col min="11265" max="11265" width="7.85546875" style="261" customWidth="1"/>
    <col min="11266" max="11266" width="10" style="261" customWidth="1"/>
    <col min="11267" max="11267" width="58.140625" style="261" customWidth="1"/>
    <col min="11268" max="11268" width="13.85546875" style="261" bestFit="1" customWidth="1"/>
    <col min="11269" max="11269" width="6.28515625" style="261" customWidth="1"/>
    <col min="11270" max="11270" width="13.85546875" style="261" bestFit="1" customWidth="1"/>
    <col min="11271" max="11271" width="13.28515625" style="261" bestFit="1" customWidth="1"/>
    <col min="11272" max="11272" width="11.42578125" style="261"/>
    <col min="11273" max="11273" width="13.85546875" style="261" bestFit="1" customWidth="1"/>
    <col min="11274" max="11274" width="12.42578125" style="261" bestFit="1" customWidth="1"/>
    <col min="11275" max="11520" width="11.42578125" style="261"/>
    <col min="11521" max="11521" width="7.85546875" style="261" customWidth="1"/>
    <col min="11522" max="11522" width="10" style="261" customWidth="1"/>
    <col min="11523" max="11523" width="58.140625" style="261" customWidth="1"/>
    <col min="11524" max="11524" width="13.85546875" style="261" bestFit="1" customWidth="1"/>
    <col min="11525" max="11525" width="6.28515625" style="261" customWidth="1"/>
    <col min="11526" max="11526" width="13.85546875" style="261" bestFit="1" customWidth="1"/>
    <col min="11527" max="11527" width="13.28515625" style="261" bestFit="1" customWidth="1"/>
    <col min="11528" max="11528" width="11.42578125" style="261"/>
    <col min="11529" max="11529" width="13.85546875" style="261" bestFit="1" customWidth="1"/>
    <col min="11530" max="11530" width="12.42578125" style="261" bestFit="1" customWidth="1"/>
    <col min="11531" max="11776" width="11.42578125" style="261"/>
    <col min="11777" max="11777" width="7.85546875" style="261" customWidth="1"/>
    <col min="11778" max="11778" width="10" style="261" customWidth="1"/>
    <col min="11779" max="11779" width="58.140625" style="261" customWidth="1"/>
    <col min="11780" max="11780" width="13.85546875" style="261" bestFit="1" customWidth="1"/>
    <col min="11781" max="11781" width="6.28515625" style="261" customWidth="1"/>
    <col min="11782" max="11782" width="13.85546875" style="261" bestFit="1" customWidth="1"/>
    <col min="11783" max="11783" width="13.28515625" style="261" bestFit="1" customWidth="1"/>
    <col min="11784" max="11784" width="11.42578125" style="261"/>
    <col min="11785" max="11785" width="13.85546875" style="261" bestFit="1" customWidth="1"/>
    <col min="11786" max="11786" width="12.42578125" style="261" bestFit="1" customWidth="1"/>
    <col min="11787" max="12032" width="11.42578125" style="261"/>
    <col min="12033" max="12033" width="7.85546875" style="261" customWidth="1"/>
    <col min="12034" max="12034" width="10" style="261" customWidth="1"/>
    <col min="12035" max="12035" width="58.140625" style="261" customWidth="1"/>
    <col min="12036" max="12036" width="13.85546875" style="261" bestFit="1" customWidth="1"/>
    <col min="12037" max="12037" width="6.28515625" style="261" customWidth="1"/>
    <col min="12038" max="12038" width="13.85546875" style="261" bestFit="1" customWidth="1"/>
    <col min="12039" max="12039" width="13.28515625" style="261" bestFit="1" customWidth="1"/>
    <col min="12040" max="12040" width="11.42578125" style="261"/>
    <col min="12041" max="12041" width="13.85546875" style="261" bestFit="1" customWidth="1"/>
    <col min="12042" max="12042" width="12.42578125" style="261" bestFit="1" customWidth="1"/>
    <col min="12043" max="12288" width="11.42578125" style="261"/>
    <col min="12289" max="12289" width="7.85546875" style="261" customWidth="1"/>
    <col min="12290" max="12290" width="10" style="261" customWidth="1"/>
    <col min="12291" max="12291" width="58.140625" style="261" customWidth="1"/>
    <col min="12292" max="12292" width="13.85546875" style="261" bestFit="1" customWidth="1"/>
    <col min="12293" max="12293" width="6.28515625" style="261" customWidth="1"/>
    <col min="12294" max="12294" width="13.85546875" style="261" bestFit="1" customWidth="1"/>
    <col min="12295" max="12295" width="13.28515625" style="261" bestFit="1" customWidth="1"/>
    <col min="12296" max="12296" width="11.42578125" style="261"/>
    <col min="12297" max="12297" width="13.85546875" style="261" bestFit="1" customWidth="1"/>
    <col min="12298" max="12298" width="12.42578125" style="261" bestFit="1" customWidth="1"/>
    <col min="12299" max="12544" width="11.42578125" style="261"/>
    <col min="12545" max="12545" width="7.85546875" style="261" customWidth="1"/>
    <col min="12546" max="12546" width="10" style="261" customWidth="1"/>
    <col min="12547" max="12547" width="58.140625" style="261" customWidth="1"/>
    <col min="12548" max="12548" width="13.85546875" style="261" bestFit="1" customWidth="1"/>
    <col min="12549" max="12549" width="6.28515625" style="261" customWidth="1"/>
    <col min="12550" max="12550" width="13.85546875" style="261" bestFit="1" customWidth="1"/>
    <col min="12551" max="12551" width="13.28515625" style="261" bestFit="1" customWidth="1"/>
    <col min="12552" max="12552" width="11.42578125" style="261"/>
    <col min="12553" max="12553" width="13.85546875" style="261" bestFit="1" customWidth="1"/>
    <col min="12554" max="12554" width="12.42578125" style="261" bestFit="1" customWidth="1"/>
    <col min="12555" max="12800" width="11.42578125" style="261"/>
    <col min="12801" max="12801" width="7.85546875" style="261" customWidth="1"/>
    <col min="12802" max="12802" width="10" style="261" customWidth="1"/>
    <col min="12803" max="12803" width="58.140625" style="261" customWidth="1"/>
    <col min="12804" max="12804" width="13.85546875" style="261" bestFit="1" customWidth="1"/>
    <col min="12805" max="12805" width="6.28515625" style="261" customWidth="1"/>
    <col min="12806" max="12806" width="13.85546875" style="261" bestFit="1" customWidth="1"/>
    <col min="12807" max="12807" width="13.28515625" style="261" bestFit="1" customWidth="1"/>
    <col min="12808" max="12808" width="11.42578125" style="261"/>
    <col min="12809" max="12809" width="13.85546875" style="261" bestFit="1" customWidth="1"/>
    <col min="12810" max="12810" width="12.42578125" style="261" bestFit="1" customWidth="1"/>
    <col min="12811" max="13056" width="11.42578125" style="261"/>
    <col min="13057" max="13057" width="7.85546875" style="261" customWidth="1"/>
    <col min="13058" max="13058" width="10" style="261" customWidth="1"/>
    <col min="13059" max="13059" width="58.140625" style="261" customWidth="1"/>
    <col min="13060" max="13060" width="13.85546875" style="261" bestFit="1" customWidth="1"/>
    <col min="13061" max="13061" width="6.28515625" style="261" customWidth="1"/>
    <col min="13062" max="13062" width="13.85546875" style="261" bestFit="1" customWidth="1"/>
    <col min="13063" max="13063" width="13.28515625" style="261" bestFit="1" customWidth="1"/>
    <col min="13064" max="13064" width="11.42578125" style="261"/>
    <col min="13065" max="13065" width="13.85546875" style="261" bestFit="1" customWidth="1"/>
    <col min="13066" max="13066" width="12.42578125" style="261" bestFit="1" customWidth="1"/>
    <col min="13067" max="13312" width="11.42578125" style="261"/>
    <col min="13313" max="13313" width="7.85546875" style="261" customWidth="1"/>
    <col min="13314" max="13314" width="10" style="261" customWidth="1"/>
    <col min="13315" max="13315" width="58.140625" style="261" customWidth="1"/>
    <col min="13316" max="13316" width="13.85546875" style="261" bestFit="1" customWidth="1"/>
    <col min="13317" max="13317" width="6.28515625" style="261" customWidth="1"/>
    <col min="13318" max="13318" width="13.85546875" style="261" bestFit="1" customWidth="1"/>
    <col min="13319" max="13319" width="13.28515625" style="261" bestFit="1" customWidth="1"/>
    <col min="13320" max="13320" width="11.42578125" style="261"/>
    <col min="13321" max="13321" width="13.85546875" style="261" bestFit="1" customWidth="1"/>
    <col min="13322" max="13322" width="12.42578125" style="261" bestFit="1" customWidth="1"/>
    <col min="13323" max="13568" width="11.42578125" style="261"/>
    <col min="13569" max="13569" width="7.85546875" style="261" customWidth="1"/>
    <col min="13570" max="13570" width="10" style="261" customWidth="1"/>
    <col min="13571" max="13571" width="58.140625" style="261" customWidth="1"/>
    <col min="13572" max="13572" width="13.85546875" style="261" bestFit="1" customWidth="1"/>
    <col min="13573" max="13573" width="6.28515625" style="261" customWidth="1"/>
    <col min="13574" max="13574" width="13.85546875" style="261" bestFit="1" customWidth="1"/>
    <col min="13575" max="13575" width="13.28515625" style="261" bestFit="1" customWidth="1"/>
    <col min="13576" max="13576" width="11.42578125" style="261"/>
    <col min="13577" max="13577" width="13.85546875" style="261" bestFit="1" customWidth="1"/>
    <col min="13578" max="13578" width="12.42578125" style="261" bestFit="1" customWidth="1"/>
    <col min="13579" max="13824" width="11.42578125" style="261"/>
    <col min="13825" max="13825" width="7.85546875" style="261" customWidth="1"/>
    <col min="13826" max="13826" width="10" style="261" customWidth="1"/>
    <col min="13827" max="13827" width="58.140625" style="261" customWidth="1"/>
    <col min="13828" max="13828" width="13.85546875" style="261" bestFit="1" customWidth="1"/>
    <col min="13829" max="13829" width="6.28515625" style="261" customWidth="1"/>
    <col min="13830" max="13830" width="13.85546875" style="261" bestFit="1" customWidth="1"/>
    <col min="13831" max="13831" width="13.28515625" style="261" bestFit="1" customWidth="1"/>
    <col min="13832" max="13832" width="11.42578125" style="261"/>
    <col min="13833" max="13833" width="13.85546875" style="261" bestFit="1" customWidth="1"/>
    <col min="13834" max="13834" width="12.42578125" style="261" bestFit="1" customWidth="1"/>
    <col min="13835" max="14080" width="11.42578125" style="261"/>
    <col min="14081" max="14081" width="7.85546875" style="261" customWidth="1"/>
    <col min="14082" max="14082" width="10" style="261" customWidth="1"/>
    <col min="14083" max="14083" width="58.140625" style="261" customWidth="1"/>
    <col min="14084" max="14084" width="13.85546875" style="261" bestFit="1" customWidth="1"/>
    <col min="14085" max="14085" width="6.28515625" style="261" customWidth="1"/>
    <col min="14086" max="14086" width="13.85546875" style="261" bestFit="1" customWidth="1"/>
    <col min="14087" max="14087" width="13.28515625" style="261" bestFit="1" customWidth="1"/>
    <col min="14088" max="14088" width="11.42578125" style="261"/>
    <col min="14089" max="14089" width="13.85546875" style="261" bestFit="1" customWidth="1"/>
    <col min="14090" max="14090" width="12.42578125" style="261" bestFit="1" customWidth="1"/>
    <col min="14091" max="14336" width="11.42578125" style="261"/>
    <col min="14337" max="14337" width="7.85546875" style="261" customWidth="1"/>
    <col min="14338" max="14338" width="10" style="261" customWidth="1"/>
    <col min="14339" max="14339" width="58.140625" style="261" customWidth="1"/>
    <col min="14340" max="14340" width="13.85546875" style="261" bestFit="1" customWidth="1"/>
    <col min="14341" max="14341" width="6.28515625" style="261" customWidth="1"/>
    <col min="14342" max="14342" width="13.85546875" style="261" bestFit="1" customWidth="1"/>
    <col min="14343" max="14343" width="13.28515625" style="261" bestFit="1" customWidth="1"/>
    <col min="14344" max="14344" width="11.42578125" style="261"/>
    <col min="14345" max="14345" width="13.85546875" style="261" bestFit="1" customWidth="1"/>
    <col min="14346" max="14346" width="12.42578125" style="261" bestFit="1" customWidth="1"/>
    <col min="14347" max="14592" width="11.42578125" style="261"/>
    <col min="14593" max="14593" width="7.85546875" style="261" customWidth="1"/>
    <col min="14594" max="14594" width="10" style="261" customWidth="1"/>
    <col min="14595" max="14595" width="58.140625" style="261" customWidth="1"/>
    <col min="14596" max="14596" width="13.85546875" style="261" bestFit="1" customWidth="1"/>
    <col min="14597" max="14597" width="6.28515625" style="261" customWidth="1"/>
    <col min="14598" max="14598" width="13.85546875" style="261" bestFit="1" customWidth="1"/>
    <col min="14599" max="14599" width="13.28515625" style="261" bestFit="1" customWidth="1"/>
    <col min="14600" max="14600" width="11.42578125" style="261"/>
    <col min="14601" max="14601" width="13.85546875" style="261" bestFit="1" customWidth="1"/>
    <col min="14602" max="14602" width="12.42578125" style="261" bestFit="1" customWidth="1"/>
    <col min="14603" max="14848" width="11.42578125" style="261"/>
    <col min="14849" max="14849" width="7.85546875" style="261" customWidth="1"/>
    <col min="14850" max="14850" width="10" style="261" customWidth="1"/>
    <col min="14851" max="14851" width="58.140625" style="261" customWidth="1"/>
    <col min="14852" max="14852" width="13.85546875" style="261" bestFit="1" customWidth="1"/>
    <col min="14853" max="14853" width="6.28515625" style="261" customWidth="1"/>
    <col min="14854" max="14854" width="13.85546875" style="261" bestFit="1" customWidth="1"/>
    <col min="14855" max="14855" width="13.28515625" style="261" bestFit="1" customWidth="1"/>
    <col min="14856" max="14856" width="11.42578125" style="261"/>
    <col min="14857" max="14857" width="13.85546875" style="261" bestFit="1" customWidth="1"/>
    <col min="14858" max="14858" width="12.42578125" style="261" bestFit="1" customWidth="1"/>
    <col min="14859" max="15104" width="11.42578125" style="261"/>
    <col min="15105" max="15105" width="7.85546875" style="261" customWidth="1"/>
    <col min="15106" max="15106" width="10" style="261" customWidth="1"/>
    <col min="15107" max="15107" width="58.140625" style="261" customWidth="1"/>
    <col min="15108" max="15108" width="13.85546875" style="261" bestFit="1" customWidth="1"/>
    <col min="15109" max="15109" width="6.28515625" style="261" customWidth="1"/>
    <col min="15110" max="15110" width="13.85546875" style="261" bestFit="1" customWidth="1"/>
    <col min="15111" max="15111" width="13.28515625" style="261" bestFit="1" customWidth="1"/>
    <col min="15112" max="15112" width="11.42578125" style="261"/>
    <col min="15113" max="15113" width="13.85546875" style="261" bestFit="1" customWidth="1"/>
    <col min="15114" max="15114" width="12.42578125" style="261" bestFit="1" customWidth="1"/>
    <col min="15115" max="15360" width="11.42578125" style="261"/>
    <col min="15361" max="15361" width="7.85546875" style="261" customWidth="1"/>
    <col min="15362" max="15362" width="10" style="261" customWidth="1"/>
    <col min="15363" max="15363" width="58.140625" style="261" customWidth="1"/>
    <col min="15364" max="15364" width="13.85546875" style="261" bestFit="1" customWidth="1"/>
    <col min="15365" max="15365" width="6.28515625" style="261" customWidth="1"/>
    <col min="15366" max="15366" width="13.85546875" style="261" bestFit="1" customWidth="1"/>
    <col min="15367" max="15367" width="13.28515625" style="261" bestFit="1" customWidth="1"/>
    <col min="15368" max="15368" width="11.42578125" style="261"/>
    <col min="15369" max="15369" width="13.85546875" style="261" bestFit="1" customWidth="1"/>
    <col min="15370" max="15370" width="12.42578125" style="261" bestFit="1" customWidth="1"/>
    <col min="15371" max="15616" width="11.42578125" style="261"/>
    <col min="15617" max="15617" width="7.85546875" style="261" customWidth="1"/>
    <col min="15618" max="15618" width="10" style="261" customWidth="1"/>
    <col min="15619" max="15619" width="58.140625" style="261" customWidth="1"/>
    <col min="15620" max="15620" width="13.85546875" style="261" bestFit="1" customWidth="1"/>
    <col min="15621" max="15621" width="6.28515625" style="261" customWidth="1"/>
    <col min="15622" max="15622" width="13.85546875" style="261" bestFit="1" customWidth="1"/>
    <col min="15623" max="15623" width="13.28515625" style="261" bestFit="1" customWidth="1"/>
    <col min="15624" max="15624" width="11.42578125" style="261"/>
    <col min="15625" max="15625" width="13.85546875" style="261" bestFit="1" customWidth="1"/>
    <col min="15626" max="15626" width="12.42578125" style="261" bestFit="1" customWidth="1"/>
    <col min="15627" max="15872" width="11.42578125" style="261"/>
    <col min="15873" max="15873" width="7.85546875" style="261" customWidth="1"/>
    <col min="15874" max="15874" width="10" style="261" customWidth="1"/>
    <col min="15875" max="15875" width="58.140625" style="261" customWidth="1"/>
    <col min="15876" max="15876" width="13.85546875" style="261" bestFit="1" customWidth="1"/>
    <col min="15877" max="15877" width="6.28515625" style="261" customWidth="1"/>
    <col min="15878" max="15878" width="13.85546875" style="261" bestFit="1" customWidth="1"/>
    <col min="15879" max="15879" width="13.28515625" style="261" bestFit="1" customWidth="1"/>
    <col min="15880" max="15880" width="11.42578125" style="261"/>
    <col min="15881" max="15881" width="13.85546875" style="261" bestFit="1" customWidth="1"/>
    <col min="15882" max="15882" width="12.42578125" style="261" bestFit="1" customWidth="1"/>
    <col min="15883" max="16128" width="11.42578125" style="261"/>
    <col min="16129" max="16129" width="7.85546875" style="261" customWidth="1"/>
    <col min="16130" max="16130" width="10" style="261" customWidth="1"/>
    <col min="16131" max="16131" width="58.140625" style="261" customWidth="1"/>
    <col min="16132" max="16132" width="13.85546875" style="261" bestFit="1" customWidth="1"/>
    <col min="16133" max="16133" width="6.28515625" style="261" customWidth="1"/>
    <col min="16134" max="16134" width="13.85546875" style="261" bestFit="1" customWidth="1"/>
    <col min="16135" max="16135" width="13.28515625" style="261" bestFit="1" customWidth="1"/>
    <col min="16136" max="16136" width="11.42578125" style="261"/>
    <col min="16137" max="16137" width="13.85546875" style="261" bestFit="1" customWidth="1"/>
    <col min="16138" max="16138" width="12.42578125" style="261" bestFit="1" customWidth="1"/>
    <col min="16139" max="16384" width="11.42578125" style="261"/>
  </cols>
  <sheetData>
    <row r="1" spans="1:10" ht="24" customHeight="1">
      <c r="A1" s="260" t="s">
        <v>200</v>
      </c>
      <c r="B1" s="260"/>
      <c r="C1" s="260"/>
      <c r="D1" s="260"/>
      <c r="E1" s="260"/>
      <c r="F1" s="260"/>
      <c r="G1" s="414"/>
      <c r="H1" s="414"/>
      <c r="I1" s="414"/>
      <c r="J1" s="414"/>
    </row>
    <row r="2" spans="1:10" ht="23.25" customHeight="1">
      <c r="A2" s="415" t="s">
        <v>201</v>
      </c>
      <c r="B2" s="415"/>
      <c r="C2" s="415"/>
      <c r="D2" s="415"/>
      <c r="E2" s="415"/>
      <c r="F2" s="415"/>
      <c r="G2" s="416"/>
      <c r="H2" s="416"/>
      <c r="I2" s="416"/>
      <c r="J2" s="416"/>
    </row>
    <row r="3" spans="1:10" ht="21.75" customHeight="1">
      <c r="A3" s="415" t="s">
        <v>202</v>
      </c>
      <c r="B3" s="415"/>
      <c r="C3" s="415"/>
      <c r="D3" s="415"/>
      <c r="E3" s="415"/>
      <c r="F3" s="415"/>
      <c r="G3" s="416"/>
      <c r="H3" s="416"/>
      <c r="I3" s="416"/>
      <c r="J3" s="416"/>
    </row>
    <row r="4" spans="1:10" ht="20.25" customHeight="1">
      <c r="A4" s="266" t="s">
        <v>294</v>
      </c>
      <c r="B4" s="266"/>
      <c r="C4" s="266"/>
      <c r="D4" s="266"/>
      <c r="E4" s="266"/>
      <c r="F4" s="266"/>
      <c r="G4" s="417"/>
      <c r="H4" s="414"/>
      <c r="I4" s="414"/>
      <c r="J4" s="414"/>
    </row>
    <row r="5" spans="1:10" ht="51" customHeight="1">
      <c r="A5" s="389" t="str">
        <f>'[6]Renovation admin Det'!A5</f>
        <v>Name of work : Repairs /Renovation work for Existing Admin building at Othivakkam in Chennai City.</v>
      </c>
      <c r="B5" s="389"/>
      <c r="C5" s="389"/>
      <c r="D5" s="389"/>
      <c r="E5" s="389"/>
      <c r="F5" s="389"/>
      <c r="G5" s="271"/>
      <c r="H5" s="271"/>
      <c r="I5" s="271"/>
    </row>
    <row r="6" spans="1:10">
      <c r="A6" s="266" t="s">
        <v>296</v>
      </c>
      <c r="B6" s="390" t="s">
        <v>189</v>
      </c>
      <c r="C6" s="266" t="s">
        <v>205</v>
      </c>
      <c r="D6" s="266" t="s">
        <v>190</v>
      </c>
      <c r="E6" s="266" t="s">
        <v>297</v>
      </c>
      <c r="F6" s="266" t="s">
        <v>191</v>
      </c>
    </row>
    <row r="7" spans="1:10">
      <c r="A7" s="266"/>
      <c r="B7" s="390"/>
      <c r="C7" s="266"/>
      <c r="D7" s="266"/>
      <c r="E7" s="266"/>
      <c r="F7" s="266"/>
    </row>
    <row r="8" spans="1:10" ht="45" customHeight="1">
      <c r="A8" s="392">
        <v>1</v>
      </c>
      <c r="B8" s="393">
        <f>'[6]Bund detail'!I12</f>
        <v>300</v>
      </c>
      <c r="C8" s="395" t="str">
        <f>'[6]Bund detail'!B8</f>
        <v>Supplying and Filling with sand of 150mm thick</v>
      </c>
      <c r="D8" s="281">
        <f>'[6]Bund Data '!F86</f>
        <v>833.55</v>
      </c>
      <c r="E8" s="278" t="s">
        <v>289</v>
      </c>
      <c r="F8" s="278">
        <f t="shared" ref="F8" si="0">(B8*D8)</f>
        <v>250065</v>
      </c>
      <c r="G8" s="279"/>
      <c r="H8" s="279"/>
      <c r="I8" s="280"/>
    </row>
    <row r="9" spans="1:10" ht="27.75" customHeight="1">
      <c r="A9" s="392"/>
      <c r="B9" s="393"/>
      <c r="C9" s="406" t="s">
        <v>306</v>
      </c>
      <c r="D9" s="282"/>
      <c r="E9" s="278" t="s">
        <v>26</v>
      </c>
      <c r="F9" s="288">
        <f>SUM(F8:F8)</f>
        <v>250065</v>
      </c>
      <c r="G9" s="279"/>
      <c r="H9" s="279"/>
      <c r="I9" s="280"/>
    </row>
    <row r="10" spans="1:10" ht="24.75" customHeight="1">
      <c r="A10" s="392">
        <v>43</v>
      </c>
      <c r="B10" s="393"/>
      <c r="C10" s="406" t="s">
        <v>216</v>
      </c>
      <c r="D10" s="282"/>
      <c r="E10" s="278" t="s">
        <v>26</v>
      </c>
      <c r="F10" s="288">
        <f>F9*18%</f>
        <v>45011.7</v>
      </c>
      <c r="G10" s="279"/>
      <c r="H10" s="279"/>
      <c r="I10" s="280"/>
    </row>
    <row r="11" spans="1:10" ht="25.5" customHeight="1">
      <c r="A11" s="392"/>
      <c r="B11" s="393"/>
      <c r="C11" s="406" t="s">
        <v>307</v>
      </c>
      <c r="D11" s="282"/>
      <c r="E11" s="278" t="s">
        <v>26</v>
      </c>
      <c r="F11" s="288">
        <f>SUM(F9:F10)</f>
        <v>295076.7</v>
      </c>
      <c r="G11" s="279"/>
      <c r="H11" s="279"/>
      <c r="I11" s="280"/>
    </row>
    <row r="12" spans="1:10" ht="23.25" customHeight="1">
      <c r="A12" s="392">
        <v>44</v>
      </c>
      <c r="B12" s="393" t="s">
        <v>38</v>
      </c>
      <c r="C12" s="394" t="s">
        <v>217</v>
      </c>
      <c r="D12" s="407"/>
      <c r="E12" s="278" t="s">
        <v>26</v>
      </c>
      <c r="F12" s="278">
        <f>F11*1%</f>
        <v>2950.7670000000003</v>
      </c>
      <c r="G12" s="279"/>
      <c r="H12" s="279"/>
      <c r="I12" s="280"/>
    </row>
    <row r="13" spans="1:10" ht="24.75" customHeight="1">
      <c r="A13" s="392">
        <v>45</v>
      </c>
      <c r="B13" s="393" t="s">
        <v>38</v>
      </c>
      <c r="C13" s="394" t="s">
        <v>218</v>
      </c>
      <c r="D13" s="407"/>
      <c r="E13" s="278" t="s">
        <v>26</v>
      </c>
      <c r="F13" s="278">
        <f>F11*2.5%</f>
        <v>7376.9175000000005</v>
      </c>
      <c r="G13" s="279"/>
      <c r="H13" s="279"/>
      <c r="I13" s="280"/>
    </row>
    <row r="14" spans="1:10" ht="29.25" customHeight="1">
      <c r="A14" s="392">
        <v>46</v>
      </c>
      <c r="B14" s="393" t="s">
        <v>38</v>
      </c>
      <c r="C14" s="394" t="s">
        <v>219</v>
      </c>
      <c r="D14" s="407"/>
      <c r="E14" s="278" t="s">
        <v>26</v>
      </c>
      <c r="F14" s="278">
        <f>F11*7.5%</f>
        <v>22130.752499999999</v>
      </c>
      <c r="G14" s="279"/>
      <c r="H14" s="279"/>
      <c r="I14" s="280"/>
    </row>
    <row r="15" spans="1:10" ht="25.5" customHeight="1">
      <c r="A15" s="392"/>
      <c r="B15" s="393"/>
      <c r="C15" s="406" t="s">
        <v>308</v>
      </c>
      <c r="D15" s="282"/>
      <c r="E15" s="278" t="s">
        <v>26</v>
      </c>
      <c r="F15" s="288">
        <f>SUM(F11:F14)</f>
        <v>327535.13699999999</v>
      </c>
      <c r="G15" s="290"/>
      <c r="H15" s="279"/>
      <c r="I15" s="280"/>
    </row>
    <row r="16" spans="1:10" ht="28.5" customHeight="1">
      <c r="A16" s="392"/>
      <c r="B16" s="393"/>
      <c r="C16" s="406"/>
      <c r="D16" s="291" t="s">
        <v>25</v>
      </c>
      <c r="E16" s="278" t="s">
        <v>26</v>
      </c>
      <c r="F16" s="288" t="s">
        <v>633</v>
      </c>
      <c r="G16" s="292"/>
      <c r="H16" s="292"/>
    </row>
    <row r="17" spans="1:10">
      <c r="A17" s="296"/>
      <c r="B17" s="297"/>
      <c r="C17" s="408"/>
      <c r="D17" s="296"/>
      <c r="E17" s="296"/>
      <c r="F17" s="296"/>
    </row>
    <row r="18" spans="1:10">
      <c r="A18" s="296"/>
      <c r="B18" s="297"/>
      <c r="C18" s="408"/>
      <c r="D18" s="297"/>
      <c r="E18" s="296"/>
      <c r="F18" s="296"/>
    </row>
    <row r="19" spans="1:10">
      <c r="A19" s="296"/>
      <c r="B19" s="297"/>
      <c r="C19" s="408"/>
      <c r="D19" s="296"/>
      <c r="E19" s="296"/>
      <c r="F19" s="296"/>
    </row>
    <row r="20" spans="1:10" s="300" customFormat="1" ht="18" customHeight="1">
      <c r="A20" s="298"/>
      <c r="B20" s="298"/>
      <c r="C20" s="298"/>
      <c r="D20" s="298"/>
      <c r="E20" s="298"/>
      <c r="F20" s="298"/>
      <c r="G20" s="299"/>
      <c r="H20" s="299"/>
      <c r="I20" s="299"/>
      <c r="J20" s="299"/>
    </row>
    <row r="21" spans="1:10" s="300" customFormat="1" ht="18" customHeight="1">
      <c r="A21" s="409"/>
      <c r="B21" s="409"/>
      <c r="C21" s="410"/>
      <c r="D21" s="298"/>
      <c r="E21" s="298"/>
      <c r="F21" s="298"/>
      <c r="G21" s="299"/>
      <c r="H21" s="302"/>
      <c r="I21" s="302"/>
      <c r="J21" s="302"/>
    </row>
    <row r="22" spans="1:10">
      <c r="A22" s="305"/>
      <c r="B22" s="411"/>
      <c r="C22" s="280"/>
      <c r="D22" s="305"/>
      <c r="E22" s="305"/>
      <c r="F22" s="305"/>
    </row>
    <row r="23" spans="1:10">
      <c r="A23" s="305"/>
      <c r="B23" s="411"/>
      <c r="C23" s="280"/>
      <c r="D23" s="305"/>
      <c r="E23" s="305"/>
      <c r="F23" s="305"/>
    </row>
    <row r="24" spans="1:10">
      <c r="A24" s="305"/>
      <c r="B24" s="411"/>
      <c r="C24" s="280"/>
      <c r="D24" s="305"/>
      <c r="E24" s="305"/>
      <c r="F24" s="305"/>
    </row>
    <row r="25" spans="1:10">
      <c r="A25" s="305"/>
      <c r="B25" s="411"/>
      <c r="C25" s="280"/>
      <c r="D25" s="305"/>
      <c r="E25" s="305"/>
      <c r="F25" s="305"/>
    </row>
    <row r="26" spans="1:10">
      <c r="A26" s="305"/>
      <c r="B26" s="411"/>
      <c r="C26" s="280"/>
      <c r="D26" s="305"/>
      <c r="E26" s="305"/>
      <c r="F26" s="305"/>
    </row>
    <row r="27" spans="1:10">
      <c r="A27" s="305"/>
      <c r="B27" s="411"/>
      <c r="C27" s="280"/>
      <c r="D27" s="305"/>
      <c r="E27" s="305"/>
      <c r="F27" s="305"/>
    </row>
    <row r="28" spans="1:10">
      <c r="A28" s="305"/>
      <c r="B28" s="411"/>
      <c r="C28" s="280"/>
      <c r="D28" s="305"/>
      <c r="E28" s="305"/>
      <c r="F28" s="305"/>
    </row>
    <row r="29" spans="1:10">
      <c r="A29" s="305"/>
      <c r="B29" s="411"/>
      <c r="C29" s="280"/>
      <c r="D29" s="305"/>
      <c r="E29" s="305"/>
      <c r="F29" s="305"/>
    </row>
    <row r="30" spans="1:10">
      <c r="A30" s="305"/>
      <c r="B30" s="411"/>
      <c r="C30" s="280"/>
      <c r="D30" s="305"/>
      <c r="E30" s="305"/>
      <c r="F30" s="305"/>
    </row>
    <row r="31" spans="1:10">
      <c r="A31" s="305"/>
      <c r="B31" s="411"/>
      <c r="C31" s="280"/>
      <c r="D31" s="305"/>
      <c r="E31" s="305"/>
      <c r="F31" s="305"/>
    </row>
    <row r="32" spans="1:10">
      <c r="A32" s="305"/>
      <c r="B32" s="411"/>
      <c r="C32" s="280"/>
      <c r="D32" s="305"/>
      <c r="E32" s="305"/>
      <c r="F32" s="305"/>
    </row>
    <row r="33" spans="1:6">
      <c r="A33" s="305"/>
      <c r="B33" s="411"/>
      <c r="C33" s="280"/>
      <c r="D33" s="305"/>
      <c r="E33" s="305"/>
      <c r="F33" s="305"/>
    </row>
    <row r="34" spans="1:6">
      <c r="A34" s="305"/>
      <c r="B34" s="411"/>
      <c r="C34" s="280"/>
      <c r="D34" s="305"/>
      <c r="E34" s="305"/>
      <c r="F34" s="305"/>
    </row>
    <row r="35" spans="1:6">
      <c r="A35" s="305"/>
      <c r="B35" s="411"/>
      <c r="C35" s="280"/>
      <c r="D35" s="305"/>
      <c r="E35" s="305"/>
      <c r="F35" s="305"/>
    </row>
    <row r="36" spans="1:6">
      <c r="A36" s="305"/>
      <c r="B36" s="411"/>
      <c r="C36" s="280"/>
      <c r="D36" s="305"/>
      <c r="E36" s="305"/>
      <c r="F36" s="305"/>
    </row>
    <row r="37" spans="1:6">
      <c r="A37" s="305"/>
      <c r="B37" s="411"/>
      <c r="C37" s="280"/>
      <c r="D37" s="305"/>
      <c r="E37" s="305"/>
      <c r="F37" s="305"/>
    </row>
    <row r="38" spans="1:6">
      <c r="A38" s="305"/>
      <c r="B38" s="411"/>
      <c r="C38" s="280"/>
      <c r="D38" s="305"/>
      <c r="E38" s="305"/>
      <c r="F38" s="305"/>
    </row>
    <row r="39" spans="1:6">
      <c r="A39" s="305"/>
      <c r="B39" s="411"/>
      <c r="C39" s="280"/>
      <c r="D39" s="305"/>
      <c r="E39" s="305"/>
      <c r="F39" s="305"/>
    </row>
    <row r="40" spans="1:6">
      <c r="A40" s="305"/>
      <c r="B40" s="411"/>
      <c r="C40" s="280"/>
      <c r="D40" s="305"/>
      <c r="E40" s="305"/>
      <c r="F40" s="305"/>
    </row>
    <row r="41" spans="1:6">
      <c r="A41" s="305"/>
      <c r="B41" s="411"/>
      <c r="C41" s="280"/>
      <c r="D41" s="305"/>
      <c r="E41" s="305"/>
      <c r="F41" s="305"/>
    </row>
    <row r="42" spans="1:6">
      <c r="A42" s="305"/>
      <c r="B42" s="411"/>
      <c r="C42" s="280"/>
      <c r="D42" s="305"/>
      <c r="E42" s="305"/>
      <c r="F42" s="305"/>
    </row>
    <row r="43" spans="1:6">
      <c r="A43" s="305"/>
      <c r="B43" s="411"/>
      <c r="C43" s="280"/>
      <c r="D43" s="305"/>
      <c r="E43" s="305"/>
      <c r="F43" s="305"/>
    </row>
    <row r="44" spans="1:6">
      <c r="A44" s="305"/>
      <c r="B44" s="411"/>
      <c r="C44" s="280"/>
      <c r="D44" s="305"/>
      <c r="E44" s="305"/>
      <c r="F44" s="305"/>
    </row>
    <row r="45" spans="1:6">
      <c r="A45" s="305"/>
      <c r="B45" s="411"/>
      <c r="C45" s="280"/>
      <c r="D45" s="305"/>
      <c r="E45" s="305"/>
      <c r="F45" s="305"/>
    </row>
    <row r="46" spans="1:6">
      <c r="A46" s="305"/>
      <c r="B46" s="411"/>
      <c r="C46" s="280"/>
      <c r="D46" s="305"/>
      <c r="E46" s="305"/>
      <c r="F46" s="305"/>
    </row>
    <row r="47" spans="1:6">
      <c r="A47" s="305"/>
      <c r="B47" s="411"/>
      <c r="C47" s="280"/>
      <c r="D47" s="305"/>
      <c r="E47" s="305"/>
      <c r="F47" s="305"/>
    </row>
    <row r="48" spans="1:6">
      <c r="A48" s="305"/>
      <c r="B48" s="411"/>
      <c r="C48" s="280"/>
      <c r="D48" s="305"/>
      <c r="E48" s="305"/>
      <c r="F48" s="305"/>
    </row>
    <row r="49" spans="1:6">
      <c r="A49" s="305"/>
      <c r="B49" s="411"/>
      <c r="C49" s="280"/>
      <c r="D49" s="305"/>
      <c r="E49" s="305"/>
      <c r="F49" s="305"/>
    </row>
    <row r="50" spans="1:6">
      <c r="A50" s="305"/>
      <c r="B50" s="411"/>
      <c r="C50" s="280"/>
      <c r="D50" s="305"/>
      <c r="E50" s="305"/>
      <c r="F50" s="305"/>
    </row>
    <row r="51" spans="1:6">
      <c r="A51" s="305"/>
      <c r="B51" s="411"/>
      <c r="C51" s="280"/>
      <c r="D51" s="305"/>
      <c r="E51" s="305"/>
      <c r="F51" s="305"/>
    </row>
    <row r="52" spans="1:6">
      <c r="A52" s="305"/>
      <c r="B52" s="411"/>
      <c r="C52" s="280"/>
      <c r="D52" s="305"/>
      <c r="E52" s="305"/>
      <c r="F52" s="305"/>
    </row>
    <row r="53" spans="1:6">
      <c r="A53" s="305"/>
      <c r="B53" s="411"/>
      <c r="C53" s="280"/>
      <c r="D53" s="305"/>
      <c r="E53" s="305"/>
      <c r="F53" s="305"/>
    </row>
    <row r="54" spans="1:6">
      <c r="A54" s="305"/>
      <c r="B54" s="411"/>
      <c r="C54" s="280"/>
      <c r="D54" s="305"/>
      <c r="E54" s="305"/>
      <c r="F54" s="305"/>
    </row>
    <row r="55" spans="1:6">
      <c r="C55" s="280"/>
      <c r="D55" s="305"/>
      <c r="E55" s="305"/>
      <c r="F55" s="305"/>
    </row>
    <row r="56" spans="1:6">
      <c r="C56" s="280"/>
      <c r="D56" s="305"/>
      <c r="E56" s="305"/>
      <c r="F56" s="305"/>
    </row>
    <row r="57" spans="1:6">
      <c r="C57" s="280"/>
      <c r="D57" s="305"/>
      <c r="E57" s="305"/>
      <c r="F57" s="305"/>
    </row>
    <row r="58" spans="1:6">
      <c r="C58" s="280"/>
      <c r="D58" s="305"/>
      <c r="E58" s="305"/>
      <c r="F58" s="305"/>
    </row>
    <row r="59" spans="1:6">
      <c r="C59" s="280"/>
      <c r="D59" s="305"/>
      <c r="E59" s="305"/>
      <c r="F59" s="305"/>
    </row>
    <row r="60" spans="1:6">
      <c r="C60" s="280"/>
      <c r="D60" s="305"/>
      <c r="E60" s="305"/>
      <c r="F60" s="305"/>
    </row>
    <row r="61" spans="1:6">
      <c r="C61" s="280"/>
      <c r="D61" s="305"/>
      <c r="E61" s="305"/>
      <c r="F61" s="305"/>
    </row>
    <row r="62" spans="1:6">
      <c r="C62" s="280"/>
      <c r="D62" s="305"/>
      <c r="E62" s="305"/>
      <c r="F62" s="305"/>
    </row>
    <row r="63" spans="1:6">
      <c r="C63" s="280"/>
      <c r="D63" s="305"/>
      <c r="E63" s="305"/>
      <c r="F63" s="305"/>
    </row>
    <row r="64" spans="1:6">
      <c r="C64" s="280"/>
      <c r="D64" s="305"/>
      <c r="E64" s="305"/>
      <c r="F64" s="305"/>
    </row>
    <row r="65" spans="3:6">
      <c r="C65" s="280"/>
      <c r="D65" s="305"/>
      <c r="E65" s="305"/>
      <c r="F65" s="305"/>
    </row>
    <row r="66" spans="3:6">
      <c r="C66" s="280"/>
      <c r="D66" s="305"/>
      <c r="E66" s="305"/>
      <c r="F66" s="305"/>
    </row>
    <row r="67" spans="3:6">
      <c r="C67" s="280"/>
      <c r="D67" s="305"/>
      <c r="E67" s="305"/>
      <c r="F67" s="305"/>
    </row>
    <row r="68" spans="3:6">
      <c r="C68" s="280"/>
      <c r="D68" s="305"/>
      <c r="E68" s="305"/>
      <c r="F68" s="305"/>
    </row>
    <row r="69" spans="3:6">
      <c r="C69" s="280"/>
      <c r="D69" s="305"/>
      <c r="E69" s="305"/>
      <c r="F69" s="305"/>
    </row>
    <row r="70" spans="3:6">
      <c r="C70" s="280"/>
      <c r="D70" s="305"/>
      <c r="E70" s="305"/>
      <c r="F70" s="305"/>
    </row>
    <row r="71" spans="3:6">
      <c r="C71" s="280"/>
      <c r="D71" s="305"/>
      <c r="E71" s="305"/>
      <c r="F71" s="305"/>
    </row>
    <row r="72" spans="3:6">
      <c r="C72" s="280"/>
      <c r="D72" s="305"/>
      <c r="E72" s="305"/>
      <c r="F72" s="305"/>
    </row>
    <row r="73" spans="3:6">
      <c r="C73" s="280"/>
      <c r="D73" s="305"/>
      <c r="E73" s="305"/>
      <c r="F73" s="305"/>
    </row>
    <row r="74" spans="3:6">
      <c r="C74" s="280"/>
      <c r="D74" s="305"/>
      <c r="E74" s="305"/>
      <c r="F74" s="305"/>
    </row>
    <row r="75" spans="3:6">
      <c r="C75" s="280"/>
      <c r="D75" s="305"/>
      <c r="E75" s="305"/>
      <c r="F75" s="305"/>
    </row>
    <row r="76" spans="3:6">
      <c r="C76" s="280"/>
      <c r="D76" s="305"/>
      <c r="E76" s="305"/>
      <c r="F76" s="305"/>
    </row>
    <row r="77" spans="3:6">
      <c r="C77" s="280"/>
      <c r="D77" s="305"/>
      <c r="E77" s="305"/>
      <c r="F77" s="305"/>
    </row>
    <row r="78" spans="3:6">
      <c r="C78" s="280"/>
      <c r="D78" s="305"/>
      <c r="E78" s="305"/>
      <c r="F78" s="305"/>
    </row>
    <row r="79" spans="3:6">
      <c r="C79" s="280"/>
      <c r="D79" s="305"/>
      <c r="E79" s="305"/>
      <c r="F79" s="305"/>
    </row>
    <row r="80" spans="3:6">
      <c r="C80" s="280"/>
      <c r="D80" s="305"/>
      <c r="E80" s="305"/>
      <c r="F80" s="305"/>
    </row>
    <row r="81" spans="3:6">
      <c r="C81" s="280"/>
      <c r="D81" s="305"/>
      <c r="E81" s="305"/>
      <c r="F81" s="305"/>
    </row>
    <row r="82" spans="3:6">
      <c r="C82" s="280"/>
      <c r="D82" s="305"/>
      <c r="E82" s="305"/>
      <c r="F82" s="305"/>
    </row>
    <row r="83" spans="3:6">
      <c r="C83" s="280"/>
      <c r="D83" s="305"/>
      <c r="E83" s="305"/>
      <c r="F83" s="305"/>
    </row>
    <row r="84" spans="3:6">
      <c r="C84" s="280"/>
      <c r="D84" s="305"/>
      <c r="E84" s="305"/>
      <c r="F84" s="305"/>
    </row>
    <row r="85" spans="3:6">
      <c r="C85" s="280"/>
      <c r="D85" s="305"/>
      <c r="E85" s="305"/>
      <c r="F85" s="305"/>
    </row>
    <row r="86" spans="3:6">
      <c r="C86" s="280"/>
      <c r="D86" s="305"/>
      <c r="E86" s="305"/>
      <c r="F86" s="305"/>
    </row>
    <row r="87" spans="3:6">
      <c r="C87" s="280"/>
      <c r="D87" s="305"/>
      <c r="E87" s="305"/>
      <c r="F87" s="305"/>
    </row>
    <row r="88" spans="3:6">
      <c r="C88" s="280"/>
      <c r="D88" s="305"/>
      <c r="E88" s="305"/>
      <c r="F88" s="305"/>
    </row>
    <row r="89" spans="3:6">
      <c r="C89" s="280"/>
      <c r="D89" s="305"/>
      <c r="E89" s="305"/>
      <c r="F89" s="305"/>
    </row>
    <row r="90" spans="3:6">
      <c r="C90" s="280"/>
      <c r="D90" s="305"/>
      <c r="E90" s="305"/>
      <c r="F90" s="305"/>
    </row>
    <row r="91" spans="3:6">
      <c r="C91" s="280"/>
      <c r="D91" s="305"/>
      <c r="E91" s="305"/>
      <c r="F91" s="305"/>
    </row>
    <row r="92" spans="3:6">
      <c r="C92" s="280"/>
      <c r="D92" s="305"/>
      <c r="E92" s="305"/>
      <c r="F92" s="305"/>
    </row>
    <row r="93" spans="3:6">
      <c r="C93" s="280"/>
      <c r="D93" s="305"/>
      <c r="E93" s="305"/>
      <c r="F93" s="305"/>
    </row>
    <row r="94" spans="3:6">
      <c r="C94" s="280"/>
      <c r="D94" s="305"/>
      <c r="E94" s="305"/>
      <c r="F94" s="305"/>
    </row>
    <row r="95" spans="3:6">
      <c r="C95" s="280"/>
      <c r="D95" s="305"/>
      <c r="E95" s="305"/>
      <c r="F95" s="305"/>
    </row>
    <row r="96" spans="3:6">
      <c r="C96" s="280"/>
      <c r="D96" s="305"/>
      <c r="E96" s="305"/>
      <c r="F96" s="305"/>
    </row>
  </sheetData>
  <mergeCells count="14">
    <mergeCell ref="F6:F7"/>
    <mergeCell ref="A20:F20"/>
    <mergeCell ref="D21:F21"/>
    <mergeCell ref="H21:J21"/>
    <mergeCell ref="A1:F1"/>
    <mergeCell ref="A2:F2"/>
    <mergeCell ref="A3:F3"/>
    <mergeCell ref="A4:F4"/>
    <mergeCell ref="A5:F5"/>
    <mergeCell ref="A6:A7"/>
    <mergeCell ref="B6:B7"/>
    <mergeCell ref="C6:C7"/>
    <mergeCell ref="D6:D7"/>
    <mergeCell ref="E6:E7"/>
  </mergeCells>
  <printOptions horizontalCentered="1"/>
  <pageMargins left="0.39370078740157483" right="0.27559055118110237" top="0.26" bottom="0.39370078740157483" header="0.31" footer="0.19685039370078741"/>
  <pageSetup paperSize="9" scale="54" orientation="portrait" r:id="rId1"/>
  <headerFooter alignWithMargins="0">
    <oddFooter>Page &amp;P of &amp;N</oddFooter>
  </headerFooter>
</worksheet>
</file>

<file path=xl/worksheets/sheet16.xml><?xml version="1.0" encoding="utf-8"?>
<worksheet xmlns="http://schemas.openxmlformats.org/spreadsheetml/2006/main" xmlns:r="http://schemas.openxmlformats.org/officeDocument/2006/relationships">
  <sheetPr>
    <tabColor rgb="FFFF0000"/>
  </sheetPr>
  <dimension ref="A1:K24"/>
  <sheetViews>
    <sheetView showZeros="0" view="pageBreakPreview" zoomScaleSheetLayoutView="100" workbookViewId="0">
      <selection activeCell="H12" sqref="H12"/>
    </sheetView>
  </sheetViews>
  <sheetFormatPr defaultColWidth="11.42578125" defaultRowHeight="15.75"/>
  <cols>
    <col min="1" max="1" width="8.28515625" style="383" customWidth="1"/>
    <col min="2" max="2" width="42" style="348" bestFit="1" customWidth="1"/>
    <col min="3" max="5" width="4.28515625" style="384" customWidth="1"/>
    <col min="6" max="6" width="7.7109375" style="350" customWidth="1"/>
    <col min="7" max="7" width="9.42578125" style="350" customWidth="1"/>
    <col min="8" max="8" width="8.140625" style="350" customWidth="1"/>
    <col min="9" max="9" width="9.42578125" style="350" bestFit="1" customWidth="1"/>
    <col min="10" max="10" width="6" style="340" bestFit="1" customWidth="1"/>
    <col min="11" max="11" width="20.140625" style="328" customWidth="1"/>
    <col min="12" max="12" width="9.28515625" style="328" bestFit="1" customWidth="1"/>
    <col min="13" max="13" width="12.42578125" style="328" customWidth="1"/>
    <col min="14" max="14" width="5.42578125" style="328" customWidth="1"/>
    <col min="15" max="15" width="7.42578125" style="328" customWidth="1"/>
    <col min="16" max="16" width="9.5703125" style="328" customWidth="1"/>
    <col min="17" max="256" width="11.42578125" style="328"/>
    <col min="257" max="257" width="8.28515625" style="328" customWidth="1"/>
    <col min="258" max="258" width="42" style="328" bestFit="1" customWidth="1"/>
    <col min="259" max="260" width="2.85546875" style="328" bestFit="1" customWidth="1"/>
    <col min="261" max="261" width="5.28515625" style="328" customWidth="1"/>
    <col min="262" max="262" width="10" style="328" customWidth="1"/>
    <col min="263" max="263" width="4.85546875" style="328" bestFit="1" customWidth="1"/>
    <col min="264" max="264" width="8.140625" style="328" customWidth="1"/>
    <col min="265" max="265" width="9.42578125" style="328" bestFit="1" customWidth="1"/>
    <col min="266" max="266" width="6" style="328" bestFit="1" customWidth="1"/>
    <col min="267" max="267" width="20.140625" style="328" customWidth="1"/>
    <col min="268" max="268" width="9.28515625" style="328" bestFit="1" customWidth="1"/>
    <col min="269" max="269" width="12.42578125" style="328" customWidth="1"/>
    <col min="270" max="270" width="5.42578125" style="328" customWidth="1"/>
    <col min="271" max="271" width="7.42578125" style="328" customWidth="1"/>
    <col min="272" max="272" width="9.5703125" style="328" customWidth="1"/>
    <col min="273" max="512" width="11.42578125" style="328"/>
    <col min="513" max="513" width="8.28515625" style="328" customWidth="1"/>
    <col min="514" max="514" width="42" style="328" bestFit="1" customWidth="1"/>
    <col min="515" max="516" width="2.85546875" style="328" bestFit="1" customWidth="1"/>
    <col min="517" max="517" width="5.28515625" style="328" customWidth="1"/>
    <col min="518" max="518" width="10" style="328" customWidth="1"/>
    <col min="519" max="519" width="4.85546875" style="328" bestFit="1" customWidth="1"/>
    <col min="520" max="520" width="8.140625" style="328" customWidth="1"/>
    <col min="521" max="521" width="9.42578125" style="328" bestFit="1" customWidth="1"/>
    <col min="522" max="522" width="6" style="328" bestFit="1" customWidth="1"/>
    <col min="523" max="523" width="20.140625" style="328" customWidth="1"/>
    <col min="524" max="524" width="9.28515625" style="328" bestFit="1" customWidth="1"/>
    <col min="525" max="525" width="12.42578125" style="328" customWidth="1"/>
    <col min="526" max="526" width="5.42578125" style="328" customWidth="1"/>
    <col min="527" max="527" width="7.42578125" style="328" customWidth="1"/>
    <col min="528" max="528" width="9.5703125" style="328" customWidth="1"/>
    <col min="529" max="768" width="11.42578125" style="328"/>
    <col min="769" max="769" width="8.28515625" style="328" customWidth="1"/>
    <col min="770" max="770" width="42" style="328" bestFit="1" customWidth="1"/>
    <col min="771" max="772" width="2.85546875" style="328" bestFit="1" customWidth="1"/>
    <col min="773" max="773" width="5.28515625" style="328" customWidth="1"/>
    <col min="774" max="774" width="10" style="328" customWidth="1"/>
    <col min="775" max="775" width="4.85546875" style="328" bestFit="1" customWidth="1"/>
    <col min="776" max="776" width="8.140625" style="328" customWidth="1"/>
    <col min="777" max="777" width="9.42578125" style="328" bestFit="1" customWidth="1"/>
    <col min="778" max="778" width="6" style="328" bestFit="1" customWidth="1"/>
    <col min="779" max="779" width="20.140625" style="328" customWidth="1"/>
    <col min="780" max="780" width="9.28515625" style="328" bestFit="1" customWidth="1"/>
    <col min="781" max="781" width="12.42578125" style="328" customWidth="1"/>
    <col min="782" max="782" width="5.42578125" style="328" customWidth="1"/>
    <col min="783" max="783" width="7.42578125" style="328" customWidth="1"/>
    <col min="784" max="784" width="9.5703125" style="328" customWidth="1"/>
    <col min="785" max="1024" width="11.42578125" style="328"/>
    <col min="1025" max="1025" width="8.28515625" style="328" customWidth="1"/>
    <col min="1026" max="1026" width="42" style="328" bestFit="1" customWidth="1"/>
    <col min="1027" max="1028" width="2.85546875" style="328" bestFit="1" customWidth="1"/>
    <col min="1029" max="1029" width="5.28515625" style="328" customWidth="1"/>
    <col min="1030" max="1030" width="10" style="328" customWidth="1"/>
    <col min="1031" max="1031" width="4.85546875" style="328" bestFit="1" customWidth="1"/>
    <col min="1032" max="1032" width="8.140625" style="328" customWidth="1"/>
    <col min="1033" max="1033" width="9.42578125" style="328" bestFit="1" customWidth="1"/>
    <col min="1034" max="1034" width="6" style="328" bestFit="1" customWidth="1"/>
    <col min="1035" max="1035" width="20.140625" style="328" customWidth="1"/>
    <col min="1036" max="1036" width="9.28515625" style="328" bestFit="1" customWidth="1"/>
    <col min="1037" max="1037" width="12.42578125" style="328" customWidth="1"/>
    <col min="1038" max="1038" width="5.42578125" style="328" customWidth="1"/>
    <col min="1039" max="1039" width="7.42578125" style="328" customWidth="1"/>
    <col min="1040" max="1040" width="9.5703125" style="328" customWidth="1"/>
    <col min="1041" max="1280" width="11.42578125" style="328"/>
    <col min="1281" max="1281" width="8.28515625" style="328" customWidth="1"/>
    <col min="1282" max="1282" width="42" style="328" bestFit="1" customWidth="1"/>
    <col min="1283" max="1284" width="2.85546875" style="328" bestFit="1" customWidth="1"/>
    <col min="1285" max="1285" width="5.28515625" style="328" customWidth="1"/>
    <col min="1286" max="1286" width="10" style="328" customWidth="1"/>
    <col min="1287" max="1287" width="4.85546875" style="328" bestFit="1" customWidth="1"/>
    <col min="1288" max="1288" width="8.140625" style="328" customWidth="1"/>
    <col min="1289" max="1289" width="9.42578125" style="328" bestFit="1" customWidth="1"/>
    <col min="1290" max="1290" width="6" style="328" bestFit="1" customWidth="1"/>
    <col min="1291" max="1291" width="20.140625" style="328" customWidth="1"/>
    <col min="1292" max="1292" width="9.28515625" style="328" bestFit="1" customWidth="1"/>
    <col min="1293" max="1293" width="12.42578125" style="328" customWidth="1"/>
    <col min="1294" max="1294" width="5.42578125" style="328" customWidth="1"/>
    <col min="1295" max="1295" width="7.42578125" style="328" customWidth="1"/>
    <col min="1296" max="1296" width="9.5703125" style="328" customWidth="1"/>
    <col min="1297" max="1536" width="11.42578125" style="328"/>
    <col min="1537" max="1537" width="8.28515625" style="328" customWidth="1"/>
    <col min="1538" max="1538" width="42" style="328" bestFit="1" customWidth="1"/>
    <col min="1539" max="1540" width="2.85546875" style="328" bestFit="1" customWidth="1"/>
    <col min="1541" max="1541" width="5.28515625" style="328" customWidth="1"/>
    <col min="1542" max="1542" width="10" style="328" customWidth="1"/>
    <col min="1543" max="1543" width="4.85546875" style="328" bestFit="1" customWidth="1"/>
    <col min="1544" max="1544" width="8.140625" style="328" customWidth="1"/>
    <col min="1545" max="1545" width="9.42578125" style="328" bestFit="1" customWidth="1"/>
    <col min="1546" max="1546" width="6" style="328" bestFit="1" customWidth="1"/>
    <col min="1547" max="1547" width="20.140625" style="328" customWidth="1"/>
    <col min="1548" max="1548" width="9.28515625" style="328" bestFit="1" customWidth="1"/>
    <col min="1549" max="1549" width="12.42578125" style="328" customWidth="1"/>
    <col min="1550" max="1550" width="5.42578125" style="328" customWidth="1"/>
    <col min="1551" max="1551" width="7.42578125" style="328" customWidth="1"/>
    <col min="1552" max="1552" width="9.5703125" style="328" customWidth="1"/>
    <col min="1553" max="1792" width="11.42578125" style="328"/>
    <col min="1793" max="1793" width="8.28515625" style="328" customWidth="1"/>
    <col min="1794" max="1794" width="42" style="328" bestFit="1" customWidth="1"/>
    <col min="1795" max="1796" width="2.85546875" style="328" bestFit="1" customWidth="1"/>
    <col min="1797" max="1797" width="5.28515625" style="328" customWidth="1"/>
    <col min="1798" max="1798" width="10" style="328" customWidth="1"/>
    <col min="1799" max="1799" width="4.85546875" style="328" bestFit="1" customWidth="1"/>
    <col min="1800" max="1800" width="8.140625" style="328" customWidth="1"/>
    <col min="1801" max="1801" width="9.42578125" style="328" bestFit="1" customWidth="1"/>
    <col min="1802" max="1802" width="6" style="328" bestFit="1" customWidth="1"/>
    <col min="1803" max="1803" width="20.140625" style="328" customWidth="1"/>
    <col min="1804" max="1804" width="9.28515625" style="328" bestFit="1" customWidth="1"/>
    <col min="1805" max="1805" width="12.42578125" style="328" customWidth="1"/>
    <col min="1806" max="1806" width="5.42578125" style="328" customWidth="1"/>
    <col min="1807" max="1807" width="7.42578125" style="328" customWidth="1"/>
    <col min="1808" max="1808" width="9.5703125" style="328" customWidth="1"/>
    <col min="1809" max="2048" width="11.42578125" style="328"/>
    <col min="2049" max="2049" width="8.28515625" style="328" customWidth="1"/>
    <col min="2050" max="2050" width="42" style="328" bestFit="1" customWidth="1"/>
    <col min="2051" max="2052" width="2.85546875" style="328" bestFit="1" customWidth="1"/>
    <col min="2053" max="2053" width="5.28515625" style="328" customWidth="1"/>
    <col min="2054" max="2054" width="10" style="328" customWidth="1"/>
    <col min="2055" max="2055" width="4.85546875" style="328" bestFit="1" customWidth="1"/>
    <col min="2056" max="2056" width="8.140625" style="328" customWidth="1"/>
    <col min="2057" max="2057" width="9.42578125" style="328" bestFit="1" customWidth="1"/>
    <col min="2058" max="2058" width="6" style="328" bestFit="1" customWidth="1"/>
    <col min="2059" max="2059" width="20.140625" style="328" customWidth="1"/>
    <col min="2060" max="2060" width="9.28515625" style="328" bestFit="1" customWidth="1"/>
    <col min="2061" max="2061" width="12.42578125" style="328" customWidth="1"/>
    <col min="2062" max="2062" width="5.42578125" style="328" customWidth="1"/>
    <col min="2063" max="2063" width="7.42578125" style="328" customWidth="1"/>
    <col min="2064" max="2064" width="9.5703125" style="328" customWidth="1"/>
    <col min="2065" max="2304" width="11.42578125" style="328"/>
    <col min="2305" max="2305" width="8.28515625" style="328" customWidth="1"/>
    <col min="2306" max="2306" width="42" style="328" bestFit="1" customWidth="1"/>
    <col min="2307" max="2308" width="2.85546875" style="328" bestFit="1" customWidth="1"/>
    <col min="2309" max="2309" width="5.28515625" style="328" customWidth="1"/>
    <col min="2310" max="2310" width="10" style="328" customWidth="1"/>
    <col min="2311" max="2311" width="4.85546875" style="328" bestFit="1" customWidth="1"/>
    <col min="2312" max="2312" width="8.140625" style="328" customWidth="1"/>
    <col min="2313" max="2313" width="9.42578125" style="328" bestFit="1" customWidth="1"/>
    <col min="2314" max="2314" width="6" style="328" bestFit="1" customWidth="1"/>
    <col min="2315" max="2315" width="20.140625" style="328" customWidth="1"/>
    <col min="2316" max="2316" width="9.28515625" style="328" bestFit="1" customWidth="1"/>
    <col min="2317" max="2317" width="12.42578125" style="328" customWidth="1"/>
    <col min="2318" max="2318" width="5.42578125" style="328" customWidth="1"/>
    <col min="2319" max="2319" width="7.42578125" style="328" customWidth="1"/>
    <col min="2320" max="2320" width="9.5703125" style="328" customWidth="1"/>
    <col min="2321" max="2560" width="11.42578125" style="328"/>
    <col min="2561" max="2561" width="8.28515625" style="328" customWidth="1"/>
    <col min="2562" max="2562" width="42" style="328" bestFit="1" customWidth="1"/>
    <col min="2563" max="2564" width="2.85546875" style="328" bestFit="1" customWidth="1"/>
    <col min="2565" max="2565" width="5.28515625" style="328" customWidth="1"/>
    <col min="2566" max="2566" width="10" style="328" customWidth="1"/>
    <col min="2567" max="2567" width="4.85546875" style="328" bestFit="1" customWidth="1"/>
    <col min="2568" max="2568" width="8.140625" style="328" customWidth="1"/>
    <col min="2569" max="2569" width="9.42578125" style="328" bestFit="1" customWidth="1"/>
    <col min="2570" max="2570" width="6" style="328" bestFit="1" customWidth="1"/>
    <col min="2571" max="2571" width="20.140625" style="328" customWidth="1"/>
    <col min="2572" max="2572" width="9.28515625" style="328" bestFit="1" customWidth="1"/>
    <col min="2573" max="2573" width="12.42578125" style="328" customWidth="1"/>
    <col min="2574" max="2574" width="5.42578125" style="328" customWidth="1"/>
    <col min="2575" max="2575" width="7.42578125" style="328" customWidth="1"/>
    <col min="2576" max="2576" width="9.5703125" style="328" customWidth="1"/>
    <col min="2577" max="2816" width="11.42578125" style="328"/>
    <col min="2817" max="2817" width="8.28515625" style="328" customWidth="1"/>
    <col min="2818" max="2818" width="42" style="328" bestFit="1" customWidth="1"/>
    <col min="2819" max="2820" width="2.85546875" style="328" bestFit="1" customWidth="1"/>
    <col min="2821" max="2821" width="5.28515625" style="328" customWidth="1"/>
    <col min="2822" max="2822" width="10" style="328" customWidth="1"/>
    <col min="2823" max="2823" width="4.85546875" style="328" bestFit="1" customWidth="1"/>
    <col min="2824" max="2824" width="8.140625" style="328" customWidth="1"/>
    <col min="2825" max="2825" width="9.42578125" style="328" bestFit="1" customWidth="1"/>
    <col min="2826" max="2826" width="6" style="328" bestFit="1" customWidth="1"/>
    <col min="2827" max="2827" width="20.140625" style="328" customWidth="1"/>
    <col min="2828" max="2828" width="9.28515625" style="328" bestFit="1" customWidth="1"/>
    <col min="2829" max="2829" width="12.42578125" style="328" customWidth="1"/>
    <col min="2830" max="2830" width="5.42578125" style="328" customWidth="1"/>
    <col min="2831" max="2831" width="7.42578125" style="328" customWidth="1"/>
    <col min="2832" max="2832" width="9.5703125" style="328" customWidth="1"/>
    <col min="2833" max="3072" width="11.42578125" style="328"/>
    <col min="3073" max="3073" width="8.28515625" style="328" customWidth="1"/>
    <col min="3074" max="3074" width="42" style="328" bestFit="1" customWidth="1"/>
    <col min="3075" max="3076" width="2.85546875" style="328" bestFit="1" customWidth="1"/>
    <col min="3077" max="3077" width="5.28515625" style="328" customWidth="1"/>
    <col min="3078" max="3078" width="10" style="328" customWidth="1"/>
    <col min="3079" max="3079" width="4.85546875" style="328" bestFit="1" customWidth="1"/>
    <col min="3080" max="3080" width="8.140625" style="328" customWidth="1"/>
    <col min="3081" max="3081" width="9.42578125" style="328" bestFit="1" customWidth="1"/>
    <col min="3082" max="3082" width="6" style="328" bestFit="1" customWidth="1"/>
    <col min="3083" max="3083" width="20.140625" style="328" customWidth="1"/>
    <col min="3084" max="3084" width="9.28515625" style="328" bestFit="1" customWidth="1"/>
    <col min="3085" max="3085" width="12.42578125" style="328" customWidth="1"/>
    <col min="3086" max="3086" width="5.42578125" style="328" customWidth="1"/>
    <col min="3087" max="3087" width="7.42578125" style="328" customWidth="1"/>
    <col min="3088" max="3088" width="9.5703125" style="328" customWidth="1"/>
    <col min="3089" max="3328" width="11.42578125" style="328"/>
    <col min="3329" max="3329" width="8.28515625" style="328" customWidth="1"/>
    <col min="3330" max="3330" width="42" style="328" bestFit="1" customWidth="1"/>
    <col min="3331" max="3332" width="2.85546875" style="328" bestFit="1" customWidth="1"/>
    <col min="3333" max="3333" width="5.28515625" style="328" customWidth="1"/>
    <col min="3334" max="3334" width="10" style="328" customWidth="1"/>
    <col min="3335" max="3335" width="4.85546875" style="328" bestFit="1" customWidth="1"/>
    <col min="3336" max="3336" width="8.140625" style="328" customWidth="1"/>
    <col min="3337" max="3337" width="9.42578125" style="328" bestFit="1" customWidth="1"/>
    <col min="3338" max="3338" width="6" style="328" bestFit="1" customWidth="1"/>
    <col min="3339" max="3339" width="20.140625" style="328" customWidth="1"/>
    <col min="3340" max="3340" width="9.28515625" style="328" bestFit="1" customWidth="1"/>
    <col min="3341" max="3341" width="12.42578125" style="328" customWidth="1"/>
    <col min="3342" max="3342" width="5.42578125" style="328" customWidth="1"/>
    <col min="3343" max="3343" width="7.42578125" style="328" customWidth="1"/>
    <col min="3344" max="3344" width="9.5703125" style="328" customWidth="1"/>
    <col min="3345" max="3584" width="11.42578125" style="328"/>
    <col min="3585" max="3585" width="8.28515625" style="328" customWidth="1"/>
    <col min="3586" max="3586" width="42" style="328" bestFit="1" customWidth="1"/>
    <col min="3587" max="3588" width="2.85546875" style="328" bestFit="1" customWidth="1"/>
    <col min="3589" max="3589" width="5.28515625" style="328" customWidth="1"/>
    <col min="3590" max="3590" width="10" style="328" customWidth="1"/>
    <col min="3591" max="3591" width="4.85546875" style="328" bestFit="1" customWidth="1"/>
    <col min="3592" max="3592" width="8.140625" style="328" customWidth="1"/>
    <col min="3593" max="3593" width="9.42578125" style="328" bestFit="1" customWidth="1"/>
    <col min="3594" max="3594" width="6" style="328" bestFit="1" customWidth="1"/>
    <col min="3595" max="3595" width="20.140625" style="328" customWidth="1"/>
    <col min="3596" max="3596" width="9.28515625" style="328" bestFit="1" customWidth="1"/>
    <col min="3597" max="3597" width="12.42578125" style="328" customWidth="1"/>
    <col min="3598" max="3598" width="5.42578125" style="328" customWidth="1"/>
    <col min="3599" max="3599" width="7.42578125" style="328" customWidth="1"/>
    <col min="3600" max="3600" width="9.5703125" style="328" customWidth="1"/>
    <col min="3601" max="3840" width="11.42578125" style="328"/>
    <col min="3841" max="3841" width="8.28515625" style="328" customWidth="1"/>
    <col min="3842" max="3842" width="42" style="328" bestFit="1" customWidth="1"/>
    <col min="3843" max="3844" width="2.85546875" style="328" bestFit="1" customWidth="1"/>
    <col min="3845" max="3845" width="5.28515625" style="328" customWidth="1"/>
    <col min="3846" max="3846" width="10" style="328" customWidth="1"/>
    <col min="3847" max="3847" width="4.85546875" style="328" bestFit="1" customWidth="1"/>
    <col min="3848" max="3848" width="8.140625" style="328" customWidth="1"/>
    <col min="3849" max="3849" width="9.42578125" style="328" bestFit="1" customWidth="1"/>
    <col min="3850" max="3850" width="6" style="328" bestFit="1" customWidth="1"/>
    <col min="3851" max="3851" width="20.140625" style="328" customWidth="1"/>
    <col min="3852" max="3852" width="9.28515625" style="328" bestFit="1" customWidth="1"/>
    <col min="3853" max="3853" width="12.42578125" style="328" customWidth="1"/>
    <col min="3854" max="3854" width="5.42578125" style="328" customWidth="1"/>
    <col min="3855" max="3855" width="7.42578125" style="328" customWidth="1"/>
    <col min="3856" max="3856" width="9.5703125" style="328" customWidth="1"/>
    <col min="3857" max="4096" width="11.42578125" style="328"/>
    <col min="4097" max="4097" width="8.28515625" style="328" customWidth="1"/>
    <col min="4098" max="4098" width="42" style="328" bestFit="1" customWidth="1"/>
    <col min="4099" max="4100" width="2.85546875" style="328" bestFit="1" customWidth="1"/>
    <col min="4101" max="4101" width="5.28515625" style="328" customWidth="1"/>
    <col min="4102" max="4102" width="10" style="328" customWidth="1"/>
    <col min="4103" max="4103" width="4.85546875" style="328" bestFit="1" customWidth="1"/>
    <col min="4104" max="4104" width="8.140625" style="328" customWidth="1"/>
    <col min="4105" max="4105" width="9.42578125" style="328" bestFit="1" customWidth="1"/>
    <col min="4106" max="4106" width="6" style="328" bestFit="1" customWidth="1"/>
    <col min="4107" max="4107" width="20.140625" style="328" customWidth="1"/>
    <col min="4108" max="4108" width="9.28515625" style="328" bestFit="1" customWidth="1"/>
    <col min="4109" max="4109" width="12.42578125" style="328" customWidth="1"/>
    <col min="4110" max="4110" width="5.42578125" style="328" customWidth="1"/>
    <col min="4111" max="4111" width="7.42578125" style="328" customWidth="1"/>
    <col min="4112" max="4112" width="9.5703125" style="328" customWidth="1"/>
    <col min="4113" max="4352" width="11.42578125" style="328"/>
    <col min="4353" max="4353" width="8.28515625" style="328" customWidth="1"/>
    <col min="4354" max="4354" width="42" style="328" bestFit="1" customWidth="1"/>
    <col min="4355" max="4356" width="2.85546875" style="328" bestFit="1" customWidth="1"/>
    <col min="4357" max="4357" width="5.28515625" style="328" customWidth="1"/>
    <col min="4358" max="4358" width="10" style="328" customWidth="1"/>
    <col min="4359" max="4359" width="4.85546875" style="328" bestFit="1" customWidth="1"/>
    <col min="4360" max="4360" width="8.140625" style="328" customWidth="1"/>
    <col min="4361" max="4361" width="9.42578125" style="328" bestFit="1" customWidth="1"/>
    <col min="4362" max="4362" width="6" style="328" bestFit="1" customWidth="1"/>
    <col min="4363" max="4363" width="20.140625" style="328" customWidth="1"/>
    <col min="4364" max="4364" width="9.28515625" style="328" bestFit="1" customWidth="1"/>
    <col min="4365" max="4365" width="12.42578125" style="328" customWidth="1"/>
    <col min="4366" max="4366" width="5.42578125" style="328" customWidth="1"/>
    <col min="4367" max="4367" width="7.42578125" style="328" customWidth="1"/>
    <col min="4368" max="4368" width="9.5703125" style="328" customWidth="1"/>
    <col min="4369" max="4608" width="11.42578125" style="328"/>
    <col min="4609" max="4609" width="8.28515625" style="328" customWidth="1"/>
    <col min="4610" max="4610" width="42" style="328" bestFit="1" customWidth="1"/>
    <col min="4611" max="4612" width="2.85546875" style="328" bestFit="1" customWidth="1"/>
    <col min="4613" max="4613" width="5.28515625" style="328" customWidth="1"/>
    <col min="4614" max="4614" width="10" style="328" customWidth="1"/>
    <col min="4615" max="4615" width="4.85546875" style="328" bestFit="1" customWidth="1"/>
    <col min="4616" max="4616" width="8.140625" style="328" customWidth="1"/>
    <col min="4617" max="4617" width="9.42578125" style="328" bestFit="1" customWidth="1"/>
    <col min="4618" max="4618" width="6" style="328" bestFit="1" customWidth="1"/>
    <col min="4619" max="4619" width="20.140625" style="328" customWidth="1"/>
    <col min="4620" max="4620" width="9.28515625" style="328" bestFit="1" customWidth="1"/>
    <col min="4621" max="4621" width="12.42578125" style="328" customWidth="1"/>
    <col min="4622" max="4622" width="5.42578125" style="328" customWidth="1"/>
    <col min="4623" max="4623" width="7.42578125" style="328" customWidth="1"/>
    <col min="4624" max="4624" width="9.5703125" style="328" customWidth="1"/>
    <col min="4625" max="4864" width="11.42578125" style="328"/>
    <col min="4865" max="4865" width="8.28515625" style="328" customWidth="1"/>
    <col min="4866" max="4866" width="42" style="328" bestFit="1" customWidth="1"/>
    <col min="4867" max="4868" width="2.85546875" style="328" bestFit="1" customWidth="1"/>
    <col min="4869" max="4869" width="5.28515625" style="328" customWidth="1"/>
    <col min="4870" max="4870" width="10" style="328" customWidth="1"/>
    <col min="4871" max="4871" width="4.85546875" style="328" bestFit="1" customWidth="1"/>
    <col min="4872" max="4872" width="8.140625" style="328" customWidth="1"/>
    <col min="4873" max="4873" width="9.42578125" style="328" bestFit="1" customWidth="1"/>
    <col min="4874" max="4874" width="6" style="328" bestFit="1" customWidth="1"/>
    <col min="4875" max="4875" width="20.140625" style="328" customWidth="1"/>
    <col min="4876" max="4876" width="9.28515625" style="328" bestFit="1" customWidth="1"/>
    <col min="4877" max="4877" width="12.42578125" style="328" customWidth="1"/>
    <col min="4878" max="4878" width="5.42578125" style="328" customWidth="1"/>
    <col min="4879" max="4879" width="7.42578125" style="328" customWidth="1"/>
    <col min="4880" max="4880" width="9.5703125" style="328" customWidth="1"/>
    <col min="4881" max="5120" width="11.42578125" style="328"/>
    <col min="5121" max="5121" width="8.28515625" style="328" customWidth="1"/>
    <col min="5122" max="5122" width="42" style="328" bestFit="1" customWidth="1"/>
    <col min="5123" max="5124" width="2.85546875" style="328" bestFit="1" customWidth="1"/>
    <col min="5125" max="5125" width="5.28515625" style="328" customWidth="1"/>
    <col min="5126" max="5126" width="10" style="328" customWidth="1"/>
    <col min="5127" max="5127" width="4.85546875" style="328" bestFit="1" customWidth="1"/>
    <col min="5128" max="5128" width="8.140625" style="328" customWidth="1"/>
    <col min="5129" max="5129" width="9.42578125" style="328" bestFit="1" customWidth="1"/>
    <col min="5130" max="5130" width="6" style="328" bestFit="1" customWidth="1"/>
    <col min="5131" max="5131" width="20.140625" style="328" customWidth="1"/>
    <col min="5132" max="5132" width="9.28515625" style="328" bestFit="1" customWidth="1"/>
    <col min="5133" max="5133" width="12.42578125" style="328" customWidth="1"/>
    <col min="5134" max="5134" width="5.42578125" style="328" customWidth="1"/>
    <col min="5135" max="5135" width="7.42578125" style="328" customWidth="1"/>
    <col min="5136" max="5136" width="9.5703125" style="328" customWidth="1"/>
    <col min="5137" max="5376" width="11.42578125" style="328"/>
    <col min="5377" max="5377" width="8.28515625" style="328" customWidth="1"/>
    <col min="5378" max="5378" width="42" style="328" bestFit="1" customWidth="1"/>
    <col min="5379" max="5380" width="2.85546875" style="328" bestFit="1" customWidth="1"/>
    <col min="5381" max="5381" width="5.28515625" style="328" customWidth="1"/>
    <col min="5382" max="5382" width="10" style="328" customWidth="1"/>
    <col min="5383" max="5383" width="4.85546875" style="328" bestFit="1" customWidth="1"/>
    <col min="5384" max="5384" width="8.140625" style="328" customWidth="1"/>
    <col min="5385" max="5385" width="9.42578125" style="328" bestFit="1" customWidth="1"/>
    <col min="5386" max="5386" width="6" style="328" bestFit="1" customWidth="1"/>
    <col min="5387" max="5387" width="20.140625" style="328" customWidth="1"/>
    <col min="5388" max="5388" width="9.28515625" style="328" bestFit="1" customWidth="1"/>
    <col min="5389" max="5389" width="12.42578125" style="328" customWidth="1"/>
    <col min="5390" max="5390" width="5.42578125" style="328" customWidth="1"/>
    <col min="5391" max="5391" width="7.42578125" style="328" customWidth="1"/>
    <col min="5392" max="5392" width="9.5703125" style="328" customWidth="1"/>
    <col min="5393" max="5632" width="11.42578125" style="328"/>
    <col min="5633" max="5633" width="8.28515625" style="328" customWidth="1"/>
    <col min="5634" max="5634" width="42" style="328" bestFit="1" customWidth="1"/>
    <col min="5635" max="5636" width="2.85546875" style="328" bestFit="1" customWidth="1"/>
    <col min="5637" max="5637" width="5.28515625" style="328" customWidth="1"/>
    <col min="5638" max="5638" width="10" style="328" customWidth="1"/>
    <col min="5639" max="5639" width="4.85546875" style="328" bestFit="1" customWidth="1"/>
    <col min="5640" max="5640" width="8.140625" style="328" customWidth="1"/>
    <col min="5641" max="5641" width="9.42578125" style="328" bestFit="1" customWidth="1"/>
    <col min="5642" max="5642" width="6" style="328" bestFit="1" customWidth="1"/>
    <col min="5643" max="5643" width="20.140625" style="328" customWidth="1"/>
    <col min="5644" max="5644" width="9.28515625" style="328" bestFit="1" customWidth="1"/>
    <col min="5645" max="5645" width="12.42578125" style="328" customWidth="1"/>
    <col min="5646" max="5646" width="5.42578125" style="328" customWidth="1"/>
    <col min="5647" max="5647" width="7.42578125" style="328" customWidth="1"/>
    <col min="5648" max="5648" width="9.5703125" style="328" customWidth="1"/>
    <col min="5649" max="5888" width="11.42578125" style="328"/>
    <col min="5889" max="5889" width="8.28515625" style="328" customWidth="1"/>
    <col min="5890" max="5890" width="42" style="328" bestFit="1" customWidth="1"/>
    <col min="5891" max="5892" width="2.85546875" style="328" bestFit="1" customWidth="1"/>
    <col min="5893" max="5893" width="5.28515625" style="328" customWidth="1"/>
    <col min="5894" max="5894" width="10" style="328" customWidth="1"/>
    <col min="5895" max="5895" width="4.85546875" style="328" bestFit="1" customWidth="1"/>
    <col min="5896" max="5896" width="8.140625" style="328" customWidth="1"/>
    <col min="5897" max="5897" width="9.42578125" style="328" bestFit="1" customWidth="1"/>
    <col min="5898" max="5898" width="6" style="328" bestFit="1" customWidth="1"/>
    <col min="5899" max="5899" width="20.140625" style="328" customWidth="1"/>
    <col min="5900" max="5900" width="9.28515625" style="328" bestFit="1" customWidth="1"/>
    <col min="5901" max="5901" width="12.42578125" style="328" customWidth="1"/>
    <col min="5902" max="5902" width="5.42578125" style="328" customWidth="1"/>
    <col min="5903" max="5903" width="7.42578125" style="328" customWidth="1"/>
    <col min="5904" max="5904" width="9.5703125" style="328" customWidth="1"/>
    <col min="5905" max="6144" width="11.42578125" style="328"/>
    <col min="6145" max="6145" width="8.28515625" style="328" customWidth="1"/>
    <col min="6146" max="6146" width="42" style="328" bestFit="1" customWidth="1"/>
    <col min="6147" max="6148" width="2.85546875" style="328" bestFit="1" customWidth="1"/>
    <col min="6149" max="6149" width="5.28515625" style="328" customWidth="1"/>
    <col min="6150" max="6150" width="10" style="328" customWidth="1"/>
    <col min="6151" max="6151" width="4.85546875" style="328" bestFit="1" customWidth="1"/>
    <col min="6152" max="6152" width="8.140625" style="328" customWidth="1"/>
    <col min="6153" max="6153" width="9.42578125" style="328" bestFit="1" customWidth="1"/>
    <col min="6154" max="6154" width="6" style="328" bestFit="1" customWidth="1"/>
    <col min="6155" max="6155" width="20.140625" style="328" customWidth="1"/>
    <col min="6156" max="6156" width="9.28515625" style="328" bestFit="1" customWidth="1"/>
    <col min="6157" max="6157" width="12.42578125" style="328" customWidth="1"/>
    <col min="6158" max="6158" width="5.42578125" style="328" customWidth="1"/>
    <col min="6159" max="6159" width="7.42578125" style="328" customWidth="1"/>
    <col min="6160" max="6160" width="9.5703125" style="328" customWidth="1"/>
    <col min="6161" max="6400" width="11.42578125" style="328"/>
    <col min="6401" max="6401" width="8.28515625" style="328" customWidth="1"/>
    <col min="6402" max="6402" width="42" style="328" bestFit="1" customWidth="1"/>
    <col min="6403" max="6404" width="2.85546875" style="328" bestFit="1" customWidth="1"/>
    <col min="6405" max="6405" width="5.28515625" style="328" customWidth="1"/>
    <col min="6406" max="6406" width="10" style="328" customWidth="1"/>
    <col min="6407" max="6407" width="4.85546875" style="328" bestFit="1" customWidth="1"/>
    <col min="6408" max="6408" width="8.140625" style="328" customWidth="1"/>
    <col min="6409" max="6409" width="9.42578125" style="328" bestFit="1" customWidth="1"/>
    <col min="6410" max="6410" width="6" style="328" bestFit="1" customWidth="1"/>
    <col min="6411" max="6411" width="20.140625" style="328" customWidth="1"/>
    <col min="6412" max="6412" width="9.28515625" style="328" bestFit="1" customWidth="1"/>
    <col min="6413" max="6413" width="12.42578125" style="328" customWidth="1"/>
    <col min="6414" max="6414" width="5.42578125" style="328" customWidth="1"/>
    <col min="6415" max="6415" width="7.42578125" style="328" customWidth="1"/>
    <col min="6416" max="6416" width="9.5703125" style="328" customWidth="1"/>
    <col min="6417" max="6656" width="11.42578125" style="328"/>
    <col min="6657" max="6657" width="8.28515625" style="328" customWidth="1"/>
    <col min="6658" max="6658" width="42" style="328" bestFit="1" customWidth="1"/>
    <col min="6659" max="6660" width="2.85546875" style="328" bestFit="1" customWidth="1"/>
    <col min="6661" max="6661" width="5.28515625" style="328" customWidth="1"/>
    <col min="6662" max="6662" width="10" style="328" customWidth="1"/>
    <col min="6663" max="6663" width="4.85546875" style="328" bestFit="1" customWidth="1"/>
    <col min="6664" max="6664" width="8.140625" style="328" customWidth="1"/>
    <col min="6665" max="6665" width="9.42578125" style="328" bestFit="1" customWidth="1"/>
    <col min="6666" max="6666" width="6" style="328" bestFit="1" customWidth="1"/>
    <col min="6667" max="6667" width="20.140625" style="328" customWidth="1"/>
    <col min="6668" max="6668" width="9.28515625" style="328" bestFit="1" customWidth="1"/>
    <col min="6669" max="6669" width="12.42578125" style="328" customWidth="1"/>
    <col min="6670" max="6670" width="5.42578125" style="328" customWidth="1"/>
    <col min="6671" max="6671" width="7.42578125" style="328" customWidth="1"/>
    <col min="6672" max="6672" width="9.5703125" style="328" customWidth="1"/>
    <col min="6673" max="6912" width="11.42578125" style="328"/>
    <col min="6913" max="6913" width="8.28515625" style="328" customWidth="1"/>
    <col min="6914" max="6914" width="42" style="328" bestFit="1" customWidth="1"/>
    <col min="6915" max="6916" width="2.85546875" style="328" bestFit="1" customWidth="1"/>
    <col min="6917" max="6917" width="5.28515625" style="328" customWidth="1"/>
    <col min="6918" max="6918" width="10" style="328" customWidth="1"/>
    <col min="6919" max="6919" width="4.85546875" style="328" bestFit="1" customWidth="1"/>
    <col min="6920" max="6920" width="8.140625" style="328" customWidth="1"/>
    <col min="6921" max="6921" width="9.42578125" style="328" bestFit="1" customWidth="1"/>
    <col min="6922" max="6922" width="6" style="328" bestFit="1" customWidth="1"/>
    <col min="6923" max="6923" width="20.140625" style="328" customWidth="1"/>
    <col min="6924" max="6924" width="9.28515625" style="328" bestFit="1" customWidth="1"/>
    <col min="6925" max="6925" width="12.42578125" style="328" customWidth="1"/>
    <col min="6926" max="6926" width="5.42578125" style="328" customWidth="1"/>
    <col min="6927" max="6927" width="7.42578125" style="328" customWidth="1"/>
    <col min="6928" max="6928" width="9.5703125" style="328" customWidth="1"/>
    <col min="6929" max="7168" width="11.42578125" style="328"/>
    <col min="7169" max="7169" width="8.28515625" style="328" customWidth="1"/>
    <col min="7170" max="7170" width="42" style="328" bestFit="1" customWidth="1"/>
    <col min="7171" max="7172" width="2.85546875" style="328" bestFit="1" customWidth="1"/>
    <col min="7173" max="7173" width="5.28515625" style="328" customWidth="1"/>
    <col min="7174" max="7174" width="10" style="328" customWidth="1"/>
    <col min="7175" max="7175" width="4.85546875" style="328" bestFit="1" customWidth="1"/>
    <col min="7176" max="7176" width="8.140625" style="328" customWidth="1"/>
    <col min="7177" max="7177" width="9.42578125" style="328" bestFit="1" customWidth="1"/>
    <col min="7178" max="7178" width="6" style="328" bestFit="1" customWidth="1"/>
    <col min="7179" max="7179" width="20.140625" style="328" customWidth="1"/>
    <col min="7180" max="7180" width="9.28515625" style="328" bestFit="1" customWidth="1"/>
    <col min="7181" max="7181" width="12.42578125" style="328" customWidth="1"/>
    <col min="7182" max="7182" width="5.42578125" style="328" customWidth="1"/>
    <col min="7183" max="7183" width="7.42578125" style="328" customWidth="1"/>
    <col min="7184" max="7184" width="9.5703125" style="328" customWidth="1"/>
    <col min="7185" max="7424" width="11.42578125" style="328"/>
    <col min="7425" max="7425" width="8.28515625" style="328" customWidth="1"/>
    <col min="7426" max="7426" width="42" style="328" bestFit="1" customWidth="1"/>
    <col min="7427" max="7428" width="2.85546875" style="328" bestFit="1" customWidth="1"/>
    <col min="7429" max="7429" width="5.28515625" style="328" customWidth="1"/>
    <col min="7430" max="7430" width="10" style="328" customWidth="1"/>
    <col min="7431" max="7431" width="4.85546875" style="328" bestFit="1" customWidth="1"/>
    <col min="7432" max="7432" width="8.140625" style="328" customWidth="1"/>
    <col min="7433" max="7433" width="9.42578125" style="328" bestFit="1" customWidth="1"/>
    <col min="7434" max="7434" width="6" style="328" bestFit="1" customWidth="1"/>
    <col min="7435" max="7435" width="20.140625" style="328" customWidth="1"/>
    <col min="7436" max="7436" width="9.28515625" style="328" bestFit="1" customWidth="1"/>
    <col min="7437" max="7437" width="12.42578125" style="328" customWidth="1"/>
    <col min="7438" max="7438" width="5.42578125" style="328" customWidth="1"/>
    <col min="7439" max="7439" width="7.42578125" style="328" customWidth="1"/>
    <col min="7440" max="7440" width="9.5703125" style="328" customWidth="1"/>
    <col min="7441" max="7680" width="11.42578125" style="328"/>
    <col min="7681" max="7681" width="8.28515625" style="328" customWidth="1"/>
    <col min="7682" max="7682" width="42" style="328" bestFit="1" customWidth="1"/>
    <col min="7683" max="7684" width="2.85546875" style="328" bestFit="1" customWidth="1"/>
    <col min="7685" max="7685" width="5.28515625" style="328" customWidth="1"/>
    <col min="7686" max="7686" width="10" style="328" customWidth="1"/>
    <col min="7687" max="7687" width="4.85546875" style="328" bestFit="1" customWidth="1"/>
    <col min="7688" max="7688" width="8.140625" style="328" customWidth="1"/>
    <col min="7689" max="7689" width="9.42578125" style="328" bestFit="1" customWidth="1"/>
    <col min="7690" max="7690" width="6" style="328" bestFit="1" customWidth="1"/>
    <col min="7691" max="7691" width="20.140625" style="328" customWidth="1"/>
    <col min="7692" max="7692" width="9.28515625" style="328" bestFit="1" customWidth="1"/>
    <col min="7693" max="7693" width="12.42578125" style="328" customWidth="1"/>
    <col min="7694" max="7694" width="5.42578125" style="328" customWidth="1"/>
    <col min="7695" max="7695" width="7.42578125" style="328" customWidth="1"/>
    <col min="7696" max="7696" width="9.5703125" style="328" customWidth="1"/>
    <col min="7697" max="7936" width="11.42578125" style="328"/>
    <col min="7937" max="7937" width="8.28515625" style="328" customWidth="1"/>
    <col min="7938" max="7938" width="42" style="328" bestFit="1" customWidth="1"/>
    <col min="7939" max="7940" width="2.85546875" style="328" bestFit="1" customWidth="1"/>
    <col min="7941" max="7941" width="5.28515625" style="328" customWidth="1"/>
    <col min="7942" max="7942" width="10" style="328" customWidth="1"/>
    <col min="7943" max="7943" width="4.85546875" style="328" bestFit="1" customWidth="1"/>
    <col min="7944" max="7944" width="8.140625" style="328" customWidth="1"/>
    <col min="7945" max="7945" width="9.42578125" style="328" bestFit="1" customWidth="1"/>
    <col min="7946" max="7946" width="6" style="328" bestFit="1" customWidth="1"/>
    <col min="7947" max="7947" width="20.140625" style="328" customWidth="1"/>
    <col min="7948" max="7948" width="9.28515625" style="328" bestFit="1" customWidth="1"/>
    <col min="7949" max="7949" width="12.42578125" style="328" customWidth="1"/>
    <col min="7950" max="7950" width="5.42578125" style="328" customWidth="1"/>
    <col min="7951" max="7951" width="7.42578125" style="328" customWidth="1"/>
    <col min="7952" max="7952" width="9.5703125" style="328" customWidth="1"/>
    <col min="7953" max="8192" width="11.42578125" style="328"/>
    <col min="8193" max="8193" width="8.28515625" style="328" customWidth="1"/>
    <col min="8194" max="8194" width="42" style="328" bestFit="1" customWidth="1"/>
    <col min="8195" max="8196" width="2.85546875" style="328" bestFit="1" customWidth="1"/>
    <col min="8197" max="8197" width="5.28515625" style="328" customWidth="1"/>
    <col min="8198" max="8198" width="10" style="328" customWidth="1"/>
    <col min="8199" max="8199" width="4.85546875" style="328" bestFit="1" customWidth="1"/>
    <col min="8200" max="8200" width="8.140625" style="328" customWidth="1"/>
    <col min="8201" max="8201" width="9.42578125" style="328" bestFit="1" customWidth="1"/>
    <col min="8202" max="8202" width="6" style="328" bestFit="1" customWidth="1"/>
    <col min="8203" max="8203" width="20.140625" style="328" customWidth="1"/>
    <col min="8204" max="8204" width="9.28515625" style="328" bestFit="1" customWidth="1"/>
    <col min="8205" max="8205" width="12.42578125" style="328" customWidth="1"/>
    <col min="8206" max="8206" width="5.42578125" style="328" customWidth="1"/>
    <col min="8207" max="8207" width="7.42578125" style="328" customWidth="1"/>
    <col min="8208" max="8208" width="9.5703125" style="328" customWidth="1"/>
    <col min="8209" max="8448" width="11.42578125" style="328"/>
    <col min="8449" max="8449" width="8.28515625" style="328" customWidth="1"/>
    <col min="8450" max="8450" width="42" style="328" bestFit="1" customWidth="1"/>
    <col min="8451" max="8452" width="2.85546875" style="328" bestFit="1" customWidth="1"/>
    <col min="8453" max="8453" width="5.28515625" style="328" customWidth="1"/>
    <col min="8454" max="8454" width="10" style="328" customWidth="1"/>
    <col min="8455" max="8455" width="4.85546875" style="328" bestFit="1" customWidth="1"/>
    <col min="8456" max="8456" width="8.140625" style="328" customWidth="1"/>
    <col min="8457" max="8457" width="9.42578125" style="328" bestFit="1" customWidth="1"/>
    <col min="8458" max="8458" width="6" style="328" bestFit="1" customWidth="1"/>
    <col min="8459" max="8459" width="20.140625" style="328" customWidth="1"/>
    <col min="8460" max="8460" width="9.28515625" style="328" bestFit="1" customWidth="1"/>
    <col min="8461" max="8461" width="12.42578125" style="328" customWidth="1"/>
    <col min="8462" max="8462" width="5.42578125" style="328" customWidth="1"/>
    <col min="8463" max="8463" width="7.42578125" style="328" customWidth="1"/>
    <col min="8464" max="8464" width="9.5703125" style="328" customWidth="1"/>
    <col min="8465" max="8704" width="11.42578125" style="328"/>
    <col min="8705" max="8705" width="8.28515625" style="328" customWidth="1"/>
    <col min="8706" max="8706" width="42" style="328" bestFit="1" customWidth="1"/>
    <col min="8707" max="8708" width="2.85546875" style="328" bestFit="1" customWidth="1"/>
    <col min="8709" max="8709" width="5.28515625" style="328" customWidth="1"/>
    <col min="8710" max="8710" width="10" style="328" customWidth="1"/>
    <col min="8711" max="8711" width="4.85546875" style="328" bestFit="1" customWidth="1"/>
    <col min="8712" max="8712" width="8.140625" style="328" customWidth="1"/>
    <col min="8713" max="8713" width="9.42578125" style="328" bestFit="1" customWidth="1"/>
    <col min="8714" max="8714" width="6" style="328" bestFit="1" customWidth="1"/>
    <col min="8715" max="8715" width="20.140625" style="328" customWidth="1"/>
    <col min="8716" max="8716" width="9.28515625" style="328" bestFit="1" customWidth="1"/>
    <col min="8717" max="8717" width="12.42578125" style="328" customWidth="1"/>
    <col min="8718" max="8718" width="5.42578125" style="328" customWidth="1"/>
    <col min="8719" max="8719" width="7.42578125" style="328" customWidth="1"/>
    <col min="8720" max="8720" width="9.5703125" style="328" customWidth="1"/>
    <col min="8721" max="8960" width="11.42578125" style="328"/>
    <col min="8961" max="8961" width="8.28515625" style="328" customWidth="1"/>
    <col min="8962" max="8962" width="42" style="328" bestFit="1" customWidth="1"/>
    <col min="8963" max="8964" width="2.85546875" style="328" bestFit="1" customWidth="1"/>
    <col min="8965" max="8965" width="5.28515625" style="328" customWidth="1"/>
    <col min="8966" max="8966" width="10" style="328" customWidth="1"/>
    <col min="8967" max="8967" width="4.85546875" style="328" bestFit="1" customWidth="1"/>
    <col min="8968" max="8968" width="8.140625" style="328" customWidth="1"/>
    <col min="8969" max="8969" width="9.42578125" style="328" bestFit="1" customWidth="1"/>
    <col min="8970" max="8970" width="6" style="328" bestFit="1" customWidth="1"/>
    <col min="8971" max="8971" width="20.140625" style="328" customWidth="1"/>
    <col min="8972" max="8972" width="9.28515625" style="328" bestFit="1" customWidth="1"/>
    <col min="8973" max="8973" width="12.42578125" style="328" customWidth="1"/>
    <col min="8974" max="8974" width="5.42578125" style="328" customWidth="1"/>
    <col min="8975" max="8975" width="7.42578125" style="328" customWidth="1"/>
    <col min="8976" max="8976" width="9.5703125" style="328" customWidth="1"/>
    <col min="8977" max="9216" width="11.42578125" style="328"/>
    <col min="9217" max="9217" width="8.28515625" style="328" customWidth="1"/>
    <col min="9218" max="9218" width="42" style="328" bestFit="1" customWidth="1"/>
    <col min="9219" max="9220" width="2.85546875" style="328" bestFit="1" customWidth="1"/>
    <col min="9221" max="9221" width="5.28515625" style="328" customWidth="1"/>
    <col min="9222" max="9222" width="10" style="328" customWidth="1"/>
    <col min="9223" max="9223" width="4.85546875" style="328" bestFit="1" customWidth="1"/>
    <col min="9224" max="9224" width="8.140625" style="328" customWidth="1"/>
    <col min="9225" max="9225" width="9.42578125" style="328" bestFit="1" customWidth="1"/>
    <col min="9226" max="9226" width="6" style="328" bestFit="1" customWidth="1"/>
    <col min="9227" max="9227" width="20.140625" style="328" customWidth="1"/>
    <col min="9228" max="9228" width="9.28515625" style="328" bestFit="1" customWidth="1"/>
    <col min="9229" max="9229" width="12.42578125" style="328" customWidth="1"/>
    <col min="9230" max="9230" width="5.42578125" style="328" customWidth="1"/>
    <col min="9231" max="9231" width="7.42578125" style="328" customWidth="1"/>
    <col min="9232" max="9232" width="9.5703125" style="328" customWidth="1"/>
    <col min="9233" max="9472" width="11.42578125" style="328"/>
    <col min="9473" max="9473" width="8.28515625" style="328" customWidth="1"/>
    <col min="9474" max="9474" width="42" style="328" bestFit="1" customWidth="1"/>
    <col min="9475" max="9476" width="2.85546875" style="328" bestFit="1" customWidth="1"/>
    <col min="9477" max="9477" width="5.28515625" style="328" customWidth="1"/>
    <col min="9478" max="9478" width="10" style="328" customWidth="1"/>
    <col min="9479" max="9479" width="4.85546875" style="328" bestFit="1" customWidth="1"/>
    <col min="9480" max="9480" width="8.140625" style="328" customWidth="1"/>
    <col min="9481" max="9481" width="9.42578125" style="328" bestFit="1" customWidth="1"/>
    <col min="9482" max="9482" width="6" style="328" bestFit="1" customWidth="1"/>
    <col min="9483" max="9483" width="20.140625" style="328" customWidth="1"/>
    <col min="9484" max="9484" width="9.28515625" style="328" bestFit="1" customWidth="1"/>
    <col min="9485" max="9485" width="12.42578125" style="328" customWidth="1"/>
    <col min="9486" max="9486" width="5.42578125" style="328" customWidth="1"/>
    <col min="9487" max="9487" width="7.42578125" style="328" customWidth="1"/>
    <col min="9488" max="9488" width="9.5703125" style="328" customWidth="1"/>
    <col min="9489" max="9728" width="11.42578125" style="328"/>
    <col min="9729" max="9729" width="8.28515625" style="328" customWidth="1"/>
    <col min="9730" max="9730" width="42" style="328" bestFit="1" customWidth="1"/>
    <col min="9731" max="9732" width="2.85546875" style="328" bestFit="1" customWidth="1"/>
    <col min="9733" max="9733" width="5.28515625" style="328" customWidth="1"/>
    <col min="9734" max="9734" width="10" style="328" customWidth="1"/>
    <col min="9735" max="9735" width="4.85546875" style="328" bestFit="1" customWidth="1"/>
    <col min="9736" max="9736" width="8.140625" style="328" customWidth="1"/>
    <col min="9737" max="9737" width="9.42578125" style="328" bestFit="1" customWidth="1"/>
    <col min="9738" max="9738" width="6" style="328" bestFit="1" customWidth="1"/>
    <col min="9739" max="9739" width="20.140625" style="328" customWidth="1"/>
    <col min="9740" max="9740" width="9.28515625" style="328" bestFit="1" customWidth="1"/>
    <col min="9741" max="9741" width="12.42578125" style="328" customWidth="1"/>
    <col min="9742" max="9742" width="5.42578125" style="328" customWidth="1"/>
    <col min="9743" max="9743" width="7.42578125" style="328" customWidth="1"/>
    <col min="9744" max="9744" width="9.5703125" style="328" customWidth="1"/>
    <col min="9745" max="9984" width="11.42578125" style="328"/>
    <col min="9985" max="9985" width="8.28515625" style="328" customWidth="1"/>
    <col min="9986" max="9986" width="42" style="328" bestFit="1" customWidth="1"/>
    <col min="9987" max="9988" width="2.85546875" style="328" bestFit="1" customWidth="1"/>
    <col min="9989" max="9989" width="5.28515625" style="328" customWidth="1"/>
    <col min="9990" max="9990" width="10" style="328" customWidth="1"/>
    <col min="9991" max="9991" width="4.85546875" style="328" bestFit="1" customWidth="1"/>
    <col min="9992" max="9992" width="8.140625" style="328" customWidth="1"/>
    <col min="9993" max="9993" width="9.42578125" style="328" bestFit="1" customWidth="1"/>
    <col min="9994" max="9994" width="6" style="328" bestFit="1" customWidth="1"/>
    <col min="9995" max="9995" width="20.140625" style="328" customWidth="1"/>
    <col min="9996" max="9996" width="9.28515625" style="328" bestFit="1" customWidth="1"/>
    <col min="9997" max="9997" width="12.42578125" style="328" customWidth="1"/>
    <col min="9998" max="9998" width="5.42578125" style="328" customWidth="1"/>
    <col min="9999" max="9999" width="7.42578125" style="328" customWidth="1"/>
    <col min="10000" max="10000" width="9.5703125" style="328" customWidth="1"/>
    <col min="10001" max="10240" width="11.42578125" style="328"/>
    <col min="10241" max="10241" width="8.28515625" style="328" customWidth="1"/>
    <col min="10242" max="10242" width="42" style="328" bestFit="1" customWidth="1"/>
    <col min="10243" max="10244" width="2.85546875" style="328" bestFit="1" customWidth="1"/>
    <col min="10245" max="10245" width="5.28515625" style="328" customWidth="1"/>
    <col min="10246" max="10246" width="10" style="328" customWidth="1"/>
    <col min="10247" max="10247" width="4.85546875" style="328" bestFit="1" customWidth="1"/>
    <col min="10248" max="10248" width="8.140625" style="328" customWidth="1"/>
    <col min="10249" max="10249" width="9.42578125" style="328" bestFit="1" customWidth="1"/>
    <col min="10250" max="10250" width="6" style="328" bestFit="1" customWidth="1"/>
    <col min="10251" max="10251" width="20.140625" style="328" customWidth="1"/>
    <col min="10252" max="10252" width="9.28515625" style="328" bestFit="1" customWidth="1"/>
    <col min="10253" max="10253" width="12.42578125" style="328" customWidth="1"/>
    <col min="10254" max="10254" width="5.42578125" style="328" customWidth="1"/>
    <col min="10255" max="10255" width="7.42578125" style="328" customWidth="1"/>
    <col min="10256" max="10256" width="9.5703125" style="328" customWidth="1"/>
    <col min="10257" max="10496" width="11.42578125" style="328"/>
    <col min="10497" max="10497" width="8.28515625" style="328" customWidth="1"/>
    <col min="10498" max="10498" width="42" style="328" bestFit="1" customWidth="1"/>
    <col min="10499" max="10500" width="2.85546875" style="328" bestFit="1" customWidth="1"/>
    <col min="10501" max="10501" width="5.28515625" style="328" customWidth="1"/>
    <col min="10502" max="10502" width="10" style="328" customWidth="1"/>
    <col min="10503" max="10503" width="4.85546875" style="328" bestFit="1" customWidth="1"/>
    <col min="10504" max="10504" width="8.140625" style="328" customWidth="1"/>
    <col min="10505" max="10505" width="9.42578125" style="328" bestFit="1" customWidth="1"/>
    <col min="10506" max="10506" width="6" style="328" bestFit="1" customWidth="1"/>
    <col min="10507" max="10507" width="20.140625" style="328" customWidth="1"/>
    <col min="10508" max="10508" width="9.28515625" style="328" bestFit="1" customWidth="1"/>
    <col min="10509" max="10509" width="12.42578125" style="328" customWidth="1"/>
    <col min="10510" max="10510" width="5.42578125" style="328" customWidth="1"/>
    <col min="10511" max="10511" width="7.42578125" style="328" customWidth="1"/>
    <col min="10512" max="10512" width="9.5703125" style="328" customWidth="1"/>
    <col min="10513" max="10752" width="11.42578125" style="328"/>
    <col min="10753" max="10753" width="8.28515625" style="328" customWidth="1"/>
    <col min="10754" max="10754" width="42" style="328" bestFit="1" customWidth="1"/>
    <col min="10755" max="10756" width="2.85546875" style="328" bestFit="1" customWidth="1"/>
    <col min="10757" max="10757" width="5.28515625" style="328" customWidth="1"/>
    <col min="10758" max="10758" width="10" style="328" customWidth="1"/>
    <col min="10759" max="10759" width="4.85546875" style="328" bestFit="1" customWidth="1"/>
    <col min="10760" max="10760" width="8.140625" style="328" customWidth="1"/>
    <col min="10761" max="10761" width="9.42578125" style="328" bestFit="1" customWidth="1"/>
    <col min="10762" max="10762" width="6" style="328" bestFit="1" customWidth="1"/>
    <col min="10763" max="10763" width="20.140625" style="328" customWidth="1"/>
    <col min="10764" max="10764" width="9.28515625" style="328" bestFit="1" customWidth="1"/>
    <col min="10765" max="10765" width="12.42578125" style="328" customWidth="1"/>
    <col min="10766" max="10766" width="5.42578125" style="328" customWidth="1"/>
    <col min="10767" max="10767" width="7.42578125" style="328" customWidth="1"/>
    <col min="10768" max="10768" width="9.5703125" style="328" customWidth="1"/>
    <col min="10769" max="11008" width="11.42578125" style="328"/>
    <col min="11009" max="11009" width="8.28515625" style="328" customWidth="1"/>
    <col min="11010" max="11010" width="42" style="328" bestFit="1" customWidth="1"/>
    <col min="11011" max="11012" width="2.85546875" style="328" bestFit="1" customWidth="1"/>
    <col min="11013" max="11013" width="5.28515625" style="328" customWidth="1"/>
    <col min="11014" max="11014" width="10" style="328" customWidth="1"/>
    <col min="11015" max="11015" width="4.85546875" style="328" bestFit="1" customWidth="1"/>
    <col min="11016" max="11016" width="8.140625" style="328" customWidth="1"/>
    <col min="11017" max="11017" width="9.42578125" style="328" bestFit="1" customWidth="1"/>
    <col min="11018" max="11018" width="6" style="328" bestFit="1" customWidth="1"/>
    <col min="11019" max="11019" width="20.140625" style="328" customWidth="1"/>
    <col min="11020" max="11020" width="9.28515625" style="328" bestFit="1" customWidth="1"/>
    <col min="11021" max="11021" width="12.42578125" style="328" customWidth="1"/>
    <col min="11022" max="11022" width="5.42578125" style="328" customWidth="1"/>
    <col min="11023" max="11023" width="7.42578125" style="328" customWidth="1"/>
    <col min="11024" max="11024" width="9.5703125" style="328" customWidth="1"/>
    <col min="11025" max="11264" width="11.42578125" style="328"/>
    <col min="11265" max="11265" width="8.28515625" style="328" customWidth="1"/>
    <col min="11266" max="11266" width="42" style="328" bestFit="1" customWidth="1"/>
    <col min="11267" max="11268" width="2.85546875" style="328" bestFit="1" customWidth="1"/>
    <col min="11269" max="11269" width="5.28515625" style="328" customWidth="1"/>
    <col min="11270" max="11270" width="10" style="328" customWidth="1"/>
    <col min="11271" max="11271" width="4.85546875" style="328" bestFit="1" customWidth="1"/>
    <col min="11272" max="11272" width="8.140625" style="328" customWidth="1"/>
    <col min="11273" max="11273" width="9.42578125" style="328" bestFit="1" customWidth="1"/>
    <col min="11274" max="11274" width="6" style="328" bestFit="1" customWidth="1"/>
    <col min="11275" max="11275" width="20.140625" style="328" customWidth="1"/>
    <col min="11276" max="11276" width="9.28515625" style="328" bestFit="1" customWidth="1"/>
    <col min="11277" max="11277" width="12.42578125" style="328" customWidth="1"/>
    <col min="11278" max="11278" width="5.42578125" style="328" customWidth="1"/>
    <col min="11279" max="11279" width="7.42578125" style="328" customWidth="1"/>
    <col min="11280" max="11280" width="9.5703125" style="328" customWidth="1"/>
    <col min="11281" max="11520" width="11.42578125" style="328"/>
    <col min="11521" max="11521" width="8.28515625" style="328" customWidth="1"/>
    <col min="11522" max="11522" width="42" style="328" bestFit="1" customWidth="1"/>
    <col min="11523" max="11524" width="2.85546875" style="328" bestFit="1" customWidth="1"/>
    <col min="11525" max="11525" width="5.28515625" style="328" customWidth="1"/>
    <col min="11526" max="11526" width="10" style="328" customWidth="1"/>
    <col min="11527" max="11527" width="4.85546875" style="328" bestFit="1" customWidth="1"/>
    <col min="11528" max="11528" width="8.140625" style="328" customWidth="1"/>
    <col min="11529" max="11529" width="9.42578125" style="328" bestFit="1" customWidth="1"/>
    <col min="11530" max="11530" width="6" style="328" bestFit="1" customWidth="1"/>
    <col min="11531" max="11531" width="20.140625" style="328" customWidth="1"/>
    <col min="11532" max="11532" width="9.28515625" style="328" bestFit="1" customWidth="1"/>
    <col min="11533" max="11533" width="12.42578125" style="328" customWidth="1"/>
    <col min="11534" max="11534" width="5.42578125" style="328" customWidth="1"/>
    <col min="11535" max="11535" width="7.42578125" style="328" customWidth="1"/>
    <col min="11536" max="11536" width="9.5703125" style="328" customWidth="1"/>
    <col min="11537" max="11776" width="11.42578125" style="328"/>
    <col min="11777" max="11777" width="8.28515625" style="328" customWidth="1"/>
    <col min="11778" max="11778" width="42" style="328" bestFit="1" customWidth="1"/>
    <col min="11779" max="11780" width="2.85546875" style="328" bestFit="1" customWidth="1"/>
    <col min="11781" max="11781" width="5.28515625" style="328" customWidth="1"/>
    <col min="11782" max="11782" width="10" style="328" customWidth="1"/>
    <col min="11783" max="11783" width="4.85546875" style="328" bestFit="1" customWidth="1"/>
    <col min="11784" max="11784" width="8.140625" style="328" customWidth="1"/>
    <col min="11785" max="11785" width="9.42578125" style="328" bestFit="1" customWidth="1"/>
    <col min="11786" max="11786" width="6" style="328" bestFit="1" customWidth="1"/>
    <col min="11787" max="11787" width="20.140625" style="328" customWidth="1"/>
    <col min="11788" max="11788" width="9.28515625" style="328" bestFit="1" customWidth="1"/>
    <col min="11789" max="11789" width="12.42578125" style="328" customWidth="1"/>
    <col min="11790" max="11790" width="5.42578125" style="328" customWidth="1"/>
    <col min="11791" max="11791" width="7.42578125" style="328" customWidth="1"/>
    <col min="11792" max="11792" width="9.5703125" style="328" customWidth="1"/>
    <col min="11793" max="12032" width="11.42578125" style="328"/>
    <col min="12033" max="12033" width="8.28515625" style="328" customWidth="1"/>
    <col min="12034" max="12034" width="42" style="328" bestFit="1" customWidth="1"/>
    <col min="12035" max="12036" width="2.85546875" style="328" bestFit="1" customWidth="1"/>
    <col min="12037" max="12037" width="5.28515625" style="328" customWidth="1"/>
    <col min="12038" max="12038" width="10" style="328" customWidth="1"/>
    <col min="12039" max="12039" width="4.85546875" style="328" bestFit="1" customWidth="1"/>
    <col min="12040" max="12040" width="8.140625" style="328" customWidth="1"/>
    <col min="12041" max="12041" width="9.42578125" style="328" bestFit="1" customWidth="1"/>
    <col min="12042" max="12042" width="6" style="328" bestFit="1" customWidth="1"/>
    <col min="12043" max="12043" width="20.140625" style="328" customWidth="1"/>
    <col min="12044" max="12044" width="9.28515625" style="328" bestFit="1" customWidth="1"/>
    <col min="12045" max="12045" width="12.42578125" style="328" customWidth="1"/>
    <col min="12046" max="12046" width="5.42578125" style="328" customWidth="1"/>
    <col min="12047" max="12047" width="7.42578125" style="328" customWidth="1"/>
    <col min="12048" max="12048" width="9.5703125" style="328" customWidth="1"/>
    <col min="12049" max="12288" width="11.42578125" style="328"/>
    <col min="12289" max="12289" width="8.28515625" style="328" customWidth="1"/>
    <col min="12290" max="12290" width="42" style="328" bestFit="1" customWidth="1"/>
    <col min="12291" max="12292" width="2.85546875" style="328" bestFit="1" customWidth="1"/>
    <col min="12293" max="12293" width="5.28515625" style="328" customWidth="1"/>
    <col min="12294" max="12294" width="10" style="328" customWidth="1"/>
    <col min="12295" max="12295" width="4.85546875" style="328" bestFit="1" customWidth="1"/>
    <col min="12296" max="12296" width="8.140625" style="328" customWidth="1"/>
    <col min="12297" max="12297" width="9.42578125" style="328" bestFit="1" customWidth="1"/>
    <col min="12298" max="12298" width="6" style="328" bestFit="1" customWidth="1"/>
    <col min="12299" max="12299" width="20.140625" style="328" customWidth="1"/>
    <col min="12300" max="12300" width="9.28515625" style="328" bestFit="1" customWidth="1"/>
    <col min="12301" max="12301" width="12.42578125" style="328" customWidth="1"/>
    <col min="12302" max="12302" width="5.42578125" style="328" customWidth="1"/>
    <col min="12303" max="12303" width="7.42578125" style="328" customWidth="1"/>
    <col min="12304" max="12304" width="9.5703125" style="328" customWidth="1"/>
    <col min="12305" max="12544" width="11.42578125" style="328"/>
    <col min="12545" max="12545" width="8.28515625" style="328" customWidth="1"/>
    <col min="12546" max="12546" width="42" style="328" bestFit="1" customWidth="1"/>
    <col min="12547" max="12548" width="2.85546875" style="328" bestFit="1" customWidth="1"/>
    <col min="12549" max="12549" width="5.28515625" style="328" customWidth="1"/>
    <col min="12550" max="12550" width="10" style="328" customWidth="1"/>
    <col min="12551" max="12551" width="4.85546875" style="328" bestFit="1" customWidth="1"/>
    <col min="12552" max="12552" width="8.140625" style="328" customWidth="1"/>
    <col min="12553" max="12553" width="9.42578125" style="328" bestFit="1" customWidth="1"/>
    <col min="12554" max="12554" width="6" style="328" bestFit="1" customWidth="1"/>
    <col min="12555" max="12555" width="20.140625" style="328" customWidth="1"/>
    <col min="12556" max="12556" width="9.28515625" style="328" bestFit="1" customWidth="1"/>
    <col min="12557" max="12557" width="12.42578125" style="328" customWidth="1"/>
    <col min="12558" max="12558" width="5.42578125" style="328" customWidth="1"/>
    <col min="12559" max="12559" width="7.42578125" style="328" customWidth="1"/>
    <col min="12560" max="12560" width="9.5703125" style="328" customWidth="1"/>
    <col min="12561" max="12800" width="11.42578125" style="328"/>
    <col min="12801" max="12801" width="8.28515625" style="328" customWidth="1"/>
    <col min="12802" max="12802" width="42" style="328" bestFit="1" customWidth="1"/>
    <col min="12803" max="12804" width="2.85546875" style="328" bestFit="1" customWidth="1"/>
    <col min="12805" max="12805" width="5.28515625" style="328" customWidth="1"/>
    <col min="12806" max="12806" width="10" style="328" customWidth="1"/>
    <col min="12807" max="12807" width="4.85546875" style="328" bestFit="1" customWidth="1"/>
    <col min="12808" max="12808" width="8.140625" style="328" customWidth="1"/>
    <col min="12809" max="12809" width="9.42578125" style="328" bestFit="1" customWidth="1"/>
    <col min="12810" max="12810" width="6" style="328" bestFit="1" customWidth="1"/>
    <col min="12811" max="12811" width="20.140625" style="328" customWidth="1"/>
    <col min="12812" max="12812" width="9.28515625" style="328" bestFit="1" customWidth="1"/>
    <col min="12813" max="12813" width="12.42578125" style="328" customWidth="1"/>
    <col min="12814" max="12814" width="5.42578125" style="328" customWidth="1"/>
    <col min="12815" max="12815" width="7.42578125" style="328" customWidth="1"/>
    <col min="12816" max="12816" width="9.5703125" style="328" customWidth="1"/>
    <col min="12817" max="13056" width="11.42578125" style="328"/>
    <col min="13057" max="13057" width="8.28515625" style="328" customWidth="1"/>
    <col min="13058" max="13058" width="42" style="328" bestFit="1" customWidth="1"/>
    <col min="13059" max="13060" width="2.85546875" style="328" bestFit="1" customWidth="1"/>
    <col min="13061" max="13061" width="5.28515625" style="328" customWidth="1"/>
    <col min="13062" max="13062" width="10" style="328" customWidth="1"/>
    <col min="13063" max="13063" width="4.85546875" style="328" bestFit="1" customWidth="1"/>
    <col min="13064" max="13064" width="8.140625" style="328" customWidth="1"/>
    <col min="13065" max="13065" width="9.42578125" style="328" bestFit="1" customWidth="1"/>
    <col min="13066" max="13066" width="6" style="328" bestFit="1" customWidth="1"/>
    <col min="13067" max="13067" width="20.140625" style="328" customWidth="1"/>
    <col min="13068" max="13068" width="9.28515625" style="328" bestFit="1" customWidth="1"/>
    <col min="13069" max="13069" width="12.42578125" style="328" customWidth="1"/>
    <col min="13070" max="13070" width="5.42578125" style="328" customWidth="1"/>
    <col min="13071" max="13071" width="7.42578125" style="328" customWidth="1"/>
    <col min="13072" max="13072" width="9.5703125" style="328" customWidth="1"/>
    <col min="13073" max="13312" width="11.42578125" style="328"/>
    <col min="13313" max="13313" width="8.28515625" style="328" customWidth="1"/>
    <col min="13314" max="13314" width="42" style="328" bestFit="1" customWidth="1"/>
    <col min="13315" max="13316" width="2.85546875" style="328" bestFit="1" customWidth="1"/>
    <col min="13317" max="13317" width="5.28515625" style="328" customWidth="1"/>
    <col min="13318" max="13318" width="10" style="328" customWidth="1"/>
    <col min="13319" max="13319" width="4.85546875" style="328" bestFit="1" customWidth="1"/>
    <col min="13320" max="13320" width="8.140625" style="328" customWidth="1"/>
    <col min="13321" max="13321" width="9.42578125" style="328" bestFit="1" customWidth="1"/>
    <col min="13322" max="13322" width="6" style="328" bestFit="1" customWidth="1"/>
    <col min="13323" max="13323" width="20.140625" style="328" customWidth="1"/>
    <col min="13324" max="13324" width="9.28515625" style="328" bestFit="1" customWidth="1"/>
    <col min="13325" max="13325" width="12.42578125" style="328" customWidth="1"/>
    <col min="13326" max="13326" width="5.42578125" style="328" customWidth="1"/>
    <col min="13327" max="13327" width="7.42578125" style="328" customWidth="1"/>
    <col min="13328" max="13328" width="9.5703125" style="328" customWidth="1"/>
    <col min="13329" max="13568" width="11.42578125" style="328"/>
    <col min="13569" max="13569" width="8.28515625" style="328" customWidth="1"/>
    <col min="13570" max="13570" width="42" style="328" bestFit="1" customWidth="1"/>
    <col min="13571" max="13572" width="2.85546875" style="328" bestFit="1" customWidth="1"/>
    <col min="13573" max="13573" width="5.28515625" style="328" customWidth="1"/>
    <col min="13574" max="13574" width="10" style="328" customWidth="1"/>
    <col min="13575" max="13575" width="4.85546875" style="328" bestFit="1" customWidth="1"/>
    <col min="13576" max="13576" width="8.140625" style="328" customWidth="1"/>
    <col min="13577" max="13577" width="9.42578125" style="328" bestFit="1" customWidth="1"/>
    <col min="13578" max="13578" width="6" style="328" bestFit="1" customWidth="1"/>
    <col min="13579" max="13579" width="20.140625" style="328" customWidth="1"/>
    <col min="13580" max="13580" width="9.28515625" style="328" bestFit="1" customWidth="1"/>
    <col min="13581" max="13581" width="12.42578125" style="328" customWidth="1"/>
    <col min="13582" max="13582" width="5.42578125" style="328" customWidth="1"/>
    <col min="13583" max="13583" width="7.42578125" style="328" customWidth="1"/>
    <col min="13584" max="13584" width="9.5703125" style="328" customWidth="1"/>
    <col min="13585" max="13824" width="11.42578125" style="328"/>
    <col min="13825" max="13825" width="8.28515625" style="328" customWidth="1"/>
    <col min="13826" max="13826" width="42" style="328" bestFit="1" customWidth="1"/>
    <col min="13827" max="13828" width="2.85546875" style="328" bestFit="1" customWidth="1"/>
    <col min="13829" max="13829" width="5.28515625" style="328" customWidth="1"/>
    <col min="13830" max="13830" width="10" style="328" customWidth="1"/>
    <col min="13831" max="13831" width="4.85546875" style="328" bestFit="1" customWidth="1"/>
    <col min="13832" max="13832" width="8.140625" style="328" customWidth="1"/>
    <col min="13833" max="13833" width="9.42578125" style="328" bestFit="1" customWidth="1"/>
    <col min="13834" max="13834" width="6" style="328" bestFit="1" customWidth="1"/>
    <col min="13835" max="13835" width="20.140625" style="328" customWidth="1"/>
    <col min="13836" max="13836" width="9.28515625" style="328" bestFit="1" customWidth="1"/>
    <col min="13837" max="13837" width="12.42578125" style="328" customWidth="1"/>
    <col min="13838" max="13838" width="5.42578125" style="328" customWidth="1"/>
    <col min="13839" max="13839" width="7.42578125" style="328" customWidth="1"/>
    <col min="13840" max="13840" width="9.5703125" style="328" customWidth="1"/>
    <col min="13841" max="14080" width="11.42578125" style="328"/>
    <col min="14081" max="14081" width="8.28515625" style="328" customWidth="1"/>
    <col min="14082" max="14082" width="42" style="328" bestFit="1" customWidth="1"/>
    <col min="14083" max="14084" width="2.85546875" style="328" bestFit="1" customWidth="1"/>
    <col min="14085" max="14085" width="5.28515625" style="328" customWidth="1"/>
    <col min="14086" max="14086" width="10" style="328" customWidth="1"/>
    <col min="14087" max="14087" width="4.85546875" style="328" bestFit="1" customWidth="1"/>
    <col min="14088" max="14088" width="8.140625" style="328" customWidth="1"/>
    <col min="14089" max="14089" width="9.42578125" style="328" bestFit="1" customWidth="1"/>
    <col min="14090" max="14090" width="6" style="328" bestFit="1" customWidth="1"/>
    <col min="14091" max="14091" width="20.140625" style="328" customWidth="1"/>
    <col min="14092" max="14092" width="9.28515625" style="328" bestFit="1" customWidth="1"/>
    <col min="14093" max="14093" width="12.42578125" style="328" customWidth="1"/>
    <col min="14094" max="14094" width="5.42578125" style="328" customWidth="1"/>
    <col min="14095" max="14095" width="7.42578125" style="328" customWidth="1"/>
    <col min="14096" max="14096" width="9.5703125" style="328" customWidth="1"/>
    <col min="14097" max="14336" width="11.42578125" style="328"/>
    <col min="14337" max="14337" width="8.28515625" style="328" customWidth="1"/>
    <col min="14338" max="14338" width="42" style="328" bestFit="1" customWidth="1"/>
    <col min="14339" max="14340" width="2.85546875" style="328" bestFit="1" customWidth="1"/>
    <col min="14341" max="14341" width="5.28515625" style="328" customWidth="1"/>
    <col min="14342" max="14342" width="10" style="328" customWidth="1"/>
    <col min="14343" max="14343" width="4.85546875" style="328" bestFit="1" customWidth="1"/>
    <col min="14344" max="14344" width="8.140625" style="328" customWidth="1"/>
    <col min="14345" max="14345" width="9.42578125" style="328" bestFit="1" customWidth="1"/>
    <col min="14346" max="14346" width="6" style="328" bestFit="1" customWidth="1"/>
    <col min="14347" max="14347" width="20.140625" style="328" customWidth="1"/>
    <col min="14348" max="14348" width="9.28515625" style="328" bestFit="1" customWidth="1"/>
    <col min="14349" max="14349" width="12.42578125" style="328" customWidth="1"/>
    <col min="14350" max="14350" width="5.42578125" style="328" customWidth="1"/>
    <col min="14351" max="14351" width="7.42578125" style="328" customWidth="1"/>
    <col min="14352" max="14352" width="9.5703125" style="328" customWidth="1"/>
    <col min="14353" max="14592" width="11.42578125" style="328"/>
    <col min="14593" max="14593" width="8.28515625" style="328" customWidth="1"/>
    <col min="14594" max="14594" width="42" style="328" bestFit="1" customWidth="1"/>
    <col min="14595" max="14596" width="2.85546875" style="328" bestFit="1" customWidth="1"/>
    <col min="14597" max="14597" width="5.28515625" style="328" customWidth="1"/>
    <col min="14598" max="14598" width="10" style="328" customWidth="1"/>
    <col min="14599" max="14599" width="4.85546875" style="328" bestFit="1" customWidth="1"/>
    <col min="14600" max="14600" width="8.140625" style="328" customWidth="1"/>
    <col min="14601" max="14601" width="9.42578125" style="328" bestFit="1" customWidth="1"/>
    <col min="14602" max="14602" width="6" style="328" bestFit="1" customWidth="1"/>
    <col min="14603" max="14603" width="20.140625" style="328" customWidth="1"/>
    <col min="14604" max="14604" width="9.28515625" style="328" bestFit="1" customWidth="1"/>
    <col min="14605" max="14605" width="12.42578125" style="328" customWidth="1"/>
    <col min="14606" max="14606" width="5.42578125" style="328" customWidth="1"/>
    <col min="14607" max="14607" width="7.42578125" style="328" customWidth="1"/>
    <col min="14608" max="14608" width="9.5703125" style="328" customWidth="1"/>
    <col min="14609" max="14848" width="11.42578125" style="328"/>
    <col min="14849" max="14849" width="8.28515625" style="328" customWidth="1"/>
    <col min="14850" max="14850" width="42" style="328" bestFit="1" customWidth="1"/>
    <col min="14851" max="14852" width="2.85546875" style="328" bestFit="1" customWidth="1"/>
    <col min="14853" max="14853" width="5.28515625" style="328" customWidth="1"/>
    <col min="14854" max="14854" width="10" style="328" customWidth="1"/>
    <col min="14855" max="14855" width="4.85546875" style="328" bestFit="1" customWidth="1"/>
    <col min="14856" max="14856" width="8.140625" style="328" customWidth="1"/>
    <col min="14857" max="14857" width="9.42578125" style="328" bestFit="1" customWidth="1"/>
    <col min="14858" max="14858" width="6" style="328" bestFit="1" customWidth="1"/>
    <col min="14859" max="14859" width="20.140625" style="328" customWidth="1"/>
    <col min="14860" max="14860" width="9.28515625" style="328" bestFit="1" customWidth="1"/>
    <col min="14861" max="14861" width="12.42578125" style="328" customWidth="1"/>
    <col min="14862" max="14862" width="5.42578125" style="328" customWidth="1"/>
    <col min="14863" max="14863" width="7.42578125" style="328" customWidth="1"/>
    <col min="14864" max="14864" width="9.5703125" style="328" customWidth="1"/>
    <col min="14865" max="15104" width="11.42578125" style="328"/>
    <col min="15105" max="15105" width="8.28515625" style="328" customWidth="1"/>
    <col min="15106" max="15106" width="42" style="328" bestFit="1" customWidth="1"/>
    <col min="15107" max="15108" width="2.85546875" style="328" bestFit="1" customWidth="1"/>
    <col min="15109" max="15109" width="5.28515625" style="328" customWidth="1"/>
    <col min="15110" max="15110" width="10" style="328" customWidth="1"/>
    <col min="15111" max="15111" width="4.85546875" style="328" bestFit="1" customWidth="1"/>
    <col min="15112" max="15112" width="8.140625" style="328" customWidth="1"/>
    <col min="15113" max="15113" width="9.42578125" style="328" bestFit="1" customWidth="1"/>
    <col min="15114" max="15114" width="6" style="328" bestFit="1" customWidth="1"/>
    <col min="15115" max="15115" width="20.140625" style="328" customWidth="1"/>
    <col min="15116" max="15116" width="9.28515625" style="328" bestFit="1" customWidth="1"/>
    <col min="15117" max="15117" width="12.42578125" style="328" customWidth="1"/>
    <col min="15118" max="15118" width="5.42578125" style="328" customWidth="1"/>
    <col min="15119" max="15119" width="7.42578125" style="328" customWidth="1"/>
    <col min="15120" max="15120" width="9.5703125" style="328" customWidth="1"/>
    <col min="15121" max="15360" width="11.42578125" style="328"/>
    <col min="15361" max="15361" width="8.28515625" style="328" customWidth="1"/>
    <col min="15362" max="15362" width="42" style="328" bestFit="1" customWidth="1"/>
    <col min="15363" max="15364" width="2.85546875" style="328" bestFit="1" customWidth="1"/>
    <col min="15365" max="15365" width="5.28515625" style="328" customWidth="1"/>
    <col min="15366" max="15366" width="10" style="328" customWidth="1"/>
    <col min="15367" max="15367" width="4.85546875" style="328" bestFit="1" customWidth="1"/>
    <col min="15368" max="15368" width="8.140625" style="328" customWidth="1"/>
    <col min="15369" max="15369" width="9.42578125" style="328" bestFit="1" customWidth="1"/>
    <col min="15370" max="15370" width="6" style="328" bestFit="1" customWidth="1"/>
    <col min="15371" max="15371" width="20.140625" style="328" customWidth="1"/>
    <col min="15372" max="15372" width="9.28515625" style="328" bestFit="1" customWidth="1"/>
    <col min="15373" max="15373" width="12.42578125" style="328" customWidth="1"/>
    <col min="15374" max="15374" width="5.42578125" style="328" customWidth="1"/>
    <col min="15375" max="15375" width="7.42578125" style="328" customWidth="1"/>
    <col min="15376" max="15376" width="9.5703125" style="328" customWidth="1"/>
    <col min="15377" max="15616" width="11.42578125" style="328"/>
    <col min="15617" max="15617" width="8.28515625" style="328" customWidth="1"/>
    <col min="15618" max="15618" width="42" style="328" bestFit="1" customWidth="1"/>
    <col min="15619" max="15620" width="2.85546875" style="328" bestFit="1" customWidth="1"/>
    <col min="15621" max="15621" width="5.28515625" style="328" customWidth="1"/>
    <col min="15622" max="15622" width="10" style="328" customWidth="1"/>
    <col min="15623" max="15623" width="4.85546875" style="328" bestFit="1" customWidth="1"/>
    <col min="15624" max="15624" width="8.140625" style="328" customWidth="1"/>
    <col min="15625" max="15625" width="9.42578125" style="328" bestFit="1" customWidth="1"/>
    <col min="15626" max="15626" width="6" style="328" bestFit="1" customWidth="1"/>
    <col min="15627" max="15627" width="20.140625" style="328" customWidth="1"/>
    <col min="15628" max="15628" width="9.28515625" style="328" bestFit="1" customWidth="1"/>
    <col min="15629" max="15629" width="12.42578125" style="328" customWidth="1"/>
    <col min="15630" max="15630" width="5.42578125" style="328" customWidth="1"/>
    <col min="15631" max="15631" width="7.42578125" style="328" customWidth="1"/>
    <col min="15632" max="15632" width="9.5703125" style="328" customWidth="1"/>
    <col min="15633" max="15872" width="11.42578125" style="328"/>
    <col min="15873" max="15873" width="8.28515625" style="328" customWidth="1"/>
    <col min="15874" max="15874" width="42" style="328" bestFit="1" customWidth="1"/>
    <col min="15875" max="15876" width="2.85546875" style="328" bestFit="1" customWidth="1"/>
    <col min="15877" max="15877" width="5.28515625" style="328" customWidth="1"/>
    <col min="15878" max="15878" width="10" style="328" customWidth="1"/>
    <col min="15879" max="15879" width="4.85546875" style="328" bestFit="1" customWidth="1"/>
    <col min="15880" max="15880" width="8.140625" style="328" customWidth="1"/>
    <col min="15881" max="15881" width="9.42578125" style="328" bestFit="1" customWidth="1"/>
    <col min="15882" max="15882" width="6" style="328" bestFit="1" customWidth="1"/>
    <col min="15883" max="15883" width="20.140625" style="328" customWidth="1"/>
    <col min="15884" max="15884" width="9.28515625" style="328" bestFit="1" customWidth="1"/>
    <col min="15885" max="15885" width="12.42578125" style="328" customWidth="1"/>
    <col min="15886" max="15886" width="5.42578125" style="328" customWidth="1"/>
    <col min="15887" max="15887" width="7.42578125" style="328" customWidth="1"/>
    <col min="15888" max="15888" width="9.5703125" style="328" customWidth="1"/>
    <col min="15889" max="16128" width="11.42578125" style="328"/>
    <col min="16129" max="16129" width="8.28515625" style="328" customWidth="1"/>
    <col min="16130" max="16130" width="42" style="328" bestFit="1" customWidth="1"/>
    <col min="16131" max="16132" width="2.85546875" style="328" bestFit="1" customWidth="1"/>
    <col min="16133" max="16133" width="5.28515625" style="328" customWidth="1"/>
    <col min="16134" max="16134" width="10" style="328" customWidth="1"/>
    <col min="16135" max="16135" width="4.85546875" style="328" bestFit="1" customWidth="1"/>
    <col min="16136" max="16136" width="8.140625" style="328" customWidth="1"/>
    <col min="16137" max="16137" width="9.42578125" style="328" bestFit="1" customWidth="1"/>
    <col min="16138" max="16138" width="6" style="328" bestFit="1" customWidth="1"/>
    <col min="16139" max="16139" width="20.140625" style="328" customWidth="1"/>
    <col min="16140" max="16140" width="9.28515625" style="328" bestFit="1" customWidth="1"/>
    <col min="16141" max="16141" width="12.42578125" style="328" customWidth="1"/>
    <col min="16142" max="16142" width="5.42578125" style="328" customWidth="1"/>
    <col min="16143" max="16143" width="7.42578125" style="328" customWidth="1"/>
    <col min="16144" max="16144" width="9.5703125" style="328" customWidth="1"/>
    <col min="16145" max="16384" width="11.42578125" style="328"/>
  </cols>
  <sheetData>
    <row r="1" spans="1:11">
      <c r="A1" s="327" t="s">
        <v>200</v>
      </c>
      <c r="B1" s="327"/>
      <c r="C1" s="327"/>
      <c r="D1" s="327"/>
      <c r="E1" s="327"/>
      <c r="F1" s="327"/>
      <c r="G1" s="327"/>
      <c r="H1" s="327"/>
      <c r="I1" s="327"/>
      <c r="J1" s="327"/>
    </row>
    <row r="2" spans="1:11">
      <c r="A2" s="327" t="s">
        <v>201</v>
      </c>
      <c r="B2" s="327"/>
      <c r="C2" s="327"/>
      <c r="D2" s="327"/>
      <c r="E2" s="327"/>
      <c r="F2" s="327"/>
      <c r="G2" s="327"/>
      <c r="H2" s="327"/>
      <c r="I2" s="327"/>
      <c r="J2" s="327"/>
    </row>
    <row r="3" spans="1:11">
      <c r="A3" s="327" t="s">
        <v>202</v>
      </c>
      <c r="B3" s="327"/>
      <c r="C3" s="327"/>
      <c r="D3" s="327"/>
      <c r="E3" s="327"/>
      <c r="F3" s="327"/>
      <c r="G3" s="327"/>
      <c r="H3" s="327"/>
      <c r="I3" s="327"/>
      <c r="J3" s="327"/>
    </row>
    <row r="4" spans="1:11">
      <c r="A4" s="327" t="s">
        <v>203</v>
      </c>
      <c r="B4" s="327"/>
      <c r="C4" s="327"/>
      <c r="D4" s="327"/>
      <c r="E4" s="327"/>
      <c r="F4" s="327"/>
      <c r="G4" s="327"/>
      <c r="H4" s="327"/>
      <c r="I4" s="327"/>
      <c r="J4" s="327"/>
    </row>
    <row r="5" spans="1:11" ht="48.75" customHeight="1">
      <c r="A5" s="418" t="s">
        <v>634</v>
      </c>
      <c r="B5" s="418"/>
      <c r="C5" s="418"/>
      <c r="D5" s="418"/>
      <c r="E5" s="418"/>
      <c r="F5" s="418"/>
      <c r="G5" s="418"/>
      <c r="H5" s="418"/>
      <c r="I5" s="418"/>
      <c r="J5" s="418"/>
      <c r="K5" s="328" t="s">
        <v>230</v>
      </c>
    </row>
    <row r="6" spans="1:11" s="335" customFormat="1">
      <c r="A6" s="330" t="s">
        <v>204</v>
      </c>
      <c r="B6" s="331" t="s">
        <v>205</v>
      </c>
      <c r="C6" s="332" t="s">
        <v>206</v>
      </c>
      <c r="D6" s="332"/>
      <c r="E6" s="332"/>
      <c r="F6" s="333" t="s">
        <v>207</v>
      </c>
      <c r="G6" s="333"/>
      <c r="H6" s="333"/>
      <c r="I6" s="334" t="s">
        <v>208</v>
      </c>
      <c r="J6" s="334"/>
      <c r="K6" s="328" t="s">
        <v>230</v>
      </c>
    </row>
    <row r="7" spans="1:11">
      <c r="A7" s="330"/>
      <c r="B7" s="331"/>
      <c r="C7" s="332"/>
      <c r="D7" s="332"/>
      <c r="E7" s="332"/>
      <c r="F7" s="336" t="s">
        <v>5</v>
      </c>
      <c r="G7" s="336" t="s">
        <v>6</v>
      </c>
      <c r="H7" s="336" t="s">
        <v>7</v>
      </c>
      <c r="I7" s="334"/>
      <c r="J7" s="334"/>
    </row>
    <row r="8" spans="1:11" ht="42" customHeight="1">
      <c r="A8" s="337">
        <v>1</v>
      </c>
      <c r="B8" s="419" t="s">
        <v>635</v>
      </c>
      <c r="C8" s="339"/>
      <c r="D8" s="339"/>
      <c r="E8" s="339"/>
      <c r="F8" s="336"/>
      <c r="G8" s="336"/>
      <c r="H8" s="336"/>
      <c r="I8" s="336"/>
    </row>
    <row r="9" spans="1:11" ht="20.25" customHeight="1">
      <c r="A9" s="337"/>
      <c r="B9" s="338" t="s">
        <v>636</v>
      </c>
      <c r="C9" s="339">
        <v>1</v>
      </c>
      <c r="D9" s="339"/>
      <c r="E9" s="339">
        <v>1</v>
      </c>
      <c r="F9" s="336">
        <v>70</v>
      </c>
      <c r="G9" s="336">
        <v>10</v>
      </c>
      <c r="H9" s="336">
        <v>0.25</v>
      </c>
      <c r="I9" s="336">
        <f>PRODUCT(C9:H9)</f>
        <v>175</v>
      </c>
    </row>
    <row r="10" spans="1:11">
      <c r="A10" s="337"/>
      <c r="B10" s="338" t="s">
        <v>637</v>
      </c>
      <c r="C10" s="339">
        <v>1</v>
      </c>
      <c r="D10" s="339"/>
      <c r="E10" s="339">
        <v>1</v>
      </c>
      <c r="F10" s="336">
        <v>50</v>
      </c>
      <c r="G10" s="336">
        <v>10</v>
      </c>
      <c r="H10" s="336">
        <v>0.25</v>
      </c>
      <c r="I10" s="336">
        <f>PRODUCT(C10:H10)</f>
        <v>125</v>
      </c>
    </row>
    <row r="11" spans="1:11">
      <c r="A11" s="337"/>
      <c r="B11" s="338"/>
      <c r="C11" s="339"/>
      <c r="D11" s="339"/>
      <c r="E11" s="339"/>
      <c r="F11" s="336"/>
      <c r="G11" s="336"/>
      <c r="H11" s="336" t="s">
        <v>211</v>
      </c>
      <c r="I11" s="336">
        <f>SUM(I9:I10)</f>
        <v>300</v>
      </c>
      <c r="J11" s="346"/>
    </row>
    <row r="12" spans="1:11">
      <c r="A12" s="337"/>
      <c r="B12" s="338"/>
      <c r="C12" s="339"/>
      <c r="D12" s="339"/>
      <c r="E12" s="339"/>
      <c r="F12" s="336"/>
      <c r="G12" s="336"/>
      <c r="H12" s="336" t="s">
        <v>25</v>
      </c>
      <c r="I12" s="345">
        <v>300</v>
      </c>
      <c r="J12" s="346" t="s">
        <v>638</v>
      </c>
    </row>
    <row r="13" spans="1:11">
      <c r="A13" s="337"/>
      <c r="B13" s="338"/>
      <c r="C13" s="339"/>
      <c r="D13" s="339"/>
      <c r="E13" s="339"/>
      <c r="F13" s="336"/>
      <c r="G13" s="336"/>
      <c r="H13" s="336"/>
      <c r="I13" s="345"/>
      <c r="J13" s="346"/>
    </row>
    <row r="14" spans="1:11">
      <c r="A14" s="337">
        <v>2</v>
      </c>
      <c r="B14" s="419" t="s">
        <v>216</v>
      </c>
      <c r="C14" s="339"/>
      <c r="D14" s="339"/>
      <c r="E14" s="339"/>
      <c r="F14" s="336"/>
      <c r="G14" s="336"/>
      <c r="H14" s="336"/>
      <c r="I14" s="382" t="s">
        <v>38</v>
      </c>
      <c r="J14" s="346"/>
    </row>
    <row r="15" spans="1:11" ht="27" customHeight="1">
      <c r="A15" s="337">
        <v>3</v>
      </c>
      <c r="B15" s="419" t="s">
        <v>217</v>
      </c>
      <c r="C15" s="339"/>
      <c r="D15" s="339"/>
      <c r="E15" s="339"/>
      <c r="F15" s="336"/>
      <c r="G15" s="336"/>
      <c r="H15" s="336"/>
      <c r="I15" s="382" t="s">
        <v>38</v>
      </c>
    </row>
    <row r="16" spans="1:11" ht="36" customHeight="1">
      <c r="A16" s="337">
        <v>4</v>
      </c>
      <c r="B16" s="419" t="s">
        <v>218</v>
      </c>
      <c r="C16" s="339"/>
      <c r="D16" s="339"/>
      <c r="E16" s="339"/>
      <c r="F16" s="336"/>
      <c r="G16" s="336"/>
      <c r="H16" s="336"/>
      <c r="I16" s="382" t="s">
        <v>38</v>
      </c>
    </row>
    <row r="17" spans="1:10" ht="30.75" customHeight="1">
      <c r="A17" s="337">
        <v>5</v>
      </c>
      <c r="B17" s="419" t="s">
        <v>219</v>
      </c>
      <c r="C17" s="339"/>
      <c r="D17" s="339"/>
      <c r="E17" s="339"/>
      <c r="F17" s="336"/>
      <c r="G17" s="336"/>
      <c r="H17" s="336"/>
      <c r="I17" s="382" t="s">
        <v>38</v>
      </c>
    </row>
    <row r="18" spans="1:10">
      <c r="J18" s="328"/>
    </row>
    <row r="19" spans="1:10">
      <c r="A19" s="385"/>
      <c r="B19" s="385"/>
      <c r="C19" s="385"/>
      <c r="D19" s="385"/>
      <c r="E19" s="385"/>
      <c r="F19" s="385"/>
      <c r="G19" s="385"/>
      <c r="H19" s="385"/>
      <c r="I19" s="385"/>
      <c r="J19" s="385"/>
    </row>
    <row r="20" spans="1:10">
      <c r="H20" s="420"/>
      <c r="I20" s="420"/>
      <c r="J20" s="420"/>
    </row>
    <row r="21" spans="1:10">
      <c r="J21" s="328"/>
    </row>
    <row r="22" spans="1:10">
      <c r="J22" s="328"/>
    </row>
    <row r="23" spans="1:10">
      <c r="J23" s="328"/>
    </row>
    <row r="24" spans="1:10">
      <c r="J24" s="328"/>
    </row>
  </sheetData>
  <mergeCells count="12">
    <mergeCell ref="A19:J19"/>
    <mergeCell ref="H20:J20"/>
    <mergeCell ref="A1:J1"/>
    <mergeCell ref="A2:J2"/>
    <mergeCell ref="A3:J3"/>
    <mergeCell ref="A4:J4"/>
    <mergeCell ref="A5:J5"/>
    <mergeCell ref="A6:A7"/>
    <mergeCell ref="B6:B7"/>
    <mergeCell ref="C6:E7"/>
    <mergeCell ref="F6:H6"/>
    <mergeCell ref="I6:J7"/>
  </mergeCells>
  <printOptions horizontalCentered="1"/>
  <pageMargins left="0.74803149606299213" right="0.27559055118110237" top="0.35433070866141736" bottom="0.39370078740157483" header="0.35433070866141736" footer="0.19685039370078741"/>
  <pageSetup paperSize="9" scale="90" orientation="portrait" verticalDpi="300" r:id="rId1"/>
  <headerFooter differentOddEven="1">
    <oddHeader>&amp;C&amp;"+,Italic"V &amp; AC @ Alandur</oddHeader>
    <oddFooter>&amp;C&amp;"+,Italic"&amp;P</oddFooter>
  </headerFooter>
</worksheet>
</file>

<file path=xl/worksheets/sheet17.xml><?xml version="1.0" encoding="utf-8"?>
<worksheet xmlns="http://schemas.openxmlformats.org/spreadsheetml/2006/main" xmlns:r="http://schemas.openxmlformats.org/officeDocument/2006/relationships">
  <sheetPr>
    <tabColor rgb="FFFF0000"/>
  </sheetPr>
  <dimension ref="A1:J147"/>
  <sheetViews>
    <sheetView view="pageBreakPreview" topLeftCell="A61" zoomScaleNormal="70" zoomScaleSheetLayoutView="100" workbookViewId="0">
      <selection activeCell="D69" sqref="D69"/>
    </sheetView>
  </sheetViews>
  <sheetFormatPr defaultColWidth="11.42578125" defaultRowHeight="15.75"/>
  <cols>
    <col min="1" max="1" width="7.85546875" style="308" customWidth="1"/>
    <col min="2" max="2" width="10" style="412" customWidth="1"/>
    <col min="3" max="3" width="58.140625" style="413" customWidth="1"/>
    <col min="4" max="4" width="13.85546875" style="308" bestFit="1" customWidth="1"/>
    <col min="5" max="5" width="6.28515625" style="308" customWidth="1"/>
    <col min="6" max="6" width="13.85546875" style="308" bestFit="1" customWidth="1"/>
    <col min="7" max="7" width="13.28515625" style="261" bestFit="1" customWidth="1"/>
    <col min="8" max="8" width="11.42578125" style="261" bestFit="1" customWidth="1"/>
    <col min="9" max="9" width="13.85546875" style="261" bestFit="1" customWidth="1"/>
    <col min="10" max="10" width="12.42578125" style="261" bestFit="1" customWidth="1"/>
    <col min="11" max="256" width="11.42578125" style="261"/>
    <col min="257" max="257" width="7.85546875" style="261" customWidth="1"/>
    <col min="258" max="258" width="10" style="261" customWidth="1"/>
    <col min="259" max="259" width="58.140625" style="261" customWidth="1"/>
    <col min="260" max="260" width="13.85546875" style="261" bestFit="1" customWidth="1"/>
    <col min="261" max="261" width="6.28515625" style="261" customWidth="1"/>
    <col min="262" max="262" width="13.85546875" style="261" bestFit="1" customWidth="1"/>
    <col min="263" max="263" width="13.28515625" style="261" bestFit="1" customWidth="1"/>
    <col min="264" max="264" width="11.42578125" style="261"/>
    <col min="265" max="265" width="13.85546875" style="261" bestFit="1" customWidth="1"/>
    <col min="266" max="266" width="12.42578125" style="261" bestFit="1" customWidth="1"/>
    <col min="267" max="512" width="11.42578125" style="261"/>
    <col min="513" max="513" width="7.85546875" style="261" customWidth="1"/>
    <col min="514" max="514" width="10" style="261" customWidth="1"/>
    <col min="515" max="515" width="58.140625" style="261" customWidth="1"/>
    <col min="516" max="516" width="13.85546875" style="261" bestFit="1" customWidth="1"/>
    <col min="517" max="517" width="6.28515625" style="261" customWidth="1"/>
    <col min="518" max="518" width="13.85546875" style="261" bestFit="1" customWidth="1"/>
    <col min="519" max="519" width="13.28515625" style="261" bestFit="1" customWidth="1"/>
    <col min="520" max="520" width="11.42578125" style="261"/>
    <col min="521" max="521" width="13.85546875" style="261" bestFit="1" customWidth="1"/>
    <col min="522" max="522" width="12.42578125" style="261" bestFit="1" customWidth="1"/>
    <col min="523" max="768" width="11.42578125" style="261"/>
    <col min="769" max="769" width="7.85546875" style="261" customWidth="1"/>
    <col min="770" max="770" width="10" style="261" customWidth="1"/>
    <col min="771" max="771" width="58.140625" style="261" customWidth="1"/>
    <col min="772" max="772" width="13.85546875" style="261" bestFit="1" customWidth="1"/>
    <col min="773" max="773" width="6.28515625" style="261" customWidth="1"/>
    <col min="774" max="774" width="13.85546875" style="261" bestFit="1" customWidth="1"/>
    <col min="775" max="775" width="13.28515625" style="261" bestFit="1" customWidth="1"/>
    <col min="776" max="776" width="11.42578125" style="261"/>
    <col min="777" max="777" width="13.85546875" style="261" bestFit="1" customWidth="1"/>
    <col min="778" max="778" width="12.42578125" style="261" bestFit="1" customWidth="1"/>
    <col min="779" max="1024" width="11.42578125" style="261"/>
    <col min="1025" max="1025" width="7.85546875" style="261" customWidth="1"/>
    <col min="1026" max="1026" width="10" style="261" customWidth="1"/>
    <col min="1027" max="1027" width="58.140625" style="261" customWidth="1"/>
    <col min="1028" max="1028" width="13.85546875" style="261" bestFit="1" customWidth="1"/>
    <col min="1029" max="1029" width="6.28515625" style="261" customWidth="1"/>
    <col min="1030" max="1030" width="13.85546875" style="261" bestFit="1" customWidth="1"/>
    <col min="1031" max="1031" width="13.28515625" style="261" bestFit="1" customWidth="1"/>
    <col min="1032" max="1032" width="11.42578125" style="261"/>
    <col min="1033" max="1033" width="13.85546875" style="261" bestFit="1" customWidth="1"/>
    <col min="1034" max="1034" width="12.42578125" style="261" bestFit="1" customWidth="1"/>
    <col min="1035" max="1280" width="11.42578125" style="261"/>
    <col min="1281" max="1281" width="7.85546875" style="261" customWidth="1"/>
    <col min="1282" max="1282" width="10" style="261" customWidth="1"/>
    <col min="1283" max="1283" width="58.140625" style="261" customWidth="1"/>
    <col min="1284" max="1284" width="13.85546875" style="261" bestFit="1" customWidth="1"/>
    <col min="1285" max="1285" width="6.28515625" style="261" customWidth="1"/>
    <col min="1286" max="1286" width="13.85546875" style="261" bestFit="1" customWidth="1"/>
    <col min="1287" max="1287" width="13.28515625" style="261" bestFit="1" customWidth="1"/>
    <col min="1288" max="1288" width="11.42578125" style="261"/>
    <col min="1289" max="1289" width="13.85546875" style="261" bestFit="1" customWidth="1"/>
    <col min="1290" max="1290" width="12.42578125" style="261" bestFit="1" customWidth="1"/>
    <col min="1291" max="1536" width="11.42578125" style="261"/>
    <col min="1537" max="1537" width="7.85546875" style="261" customWidth="1"/>
    <col min="1538" max="1538" width="10" style="261" customWidth="1"/>
    <col min="1539" max="1539" width="58.140625" style="261" customWidth="1"/>
    <col min="1540" max="1540" width="13.85546875" style="261" bestFit="1" customWidth="1"/>
    <col min="1541" max="1541" width="6.28515625" style="261" customWidth="1"/>
    <col min="1542" max="1542" width="13.85546875" style="261" bestFit="1" customWidth="1"/>
    <col min="1543" max="1543" width="13.28515625" style="261" bestFit="1" customWidth="1"/>
    <col min="1544" max="1544" width="11.42578125" style="261"/>
    <col min="1545" max="1545" width="13.85546875" style="261" bestFit="1" customWidth="1"/>
    <col min="1546" max="1546" width="12.42578125" style="261" bestFit="1" customWidth="1"/>
    <col min="1547" max="1792" width="11.42578125" style="261"/>
    <col min="1793" max="1793" width="7.85546875" style="261" customWidth="1"/>
    <col min="1794" max="1794" width="10" style="261" customWidth="1"/>
    <col min="1795" max="1795" width="58.140625" style="261" customWidth="1"/>
    <col min="1796" max="1796" width="13.85546875" style="261" bestFit="1" customWidth="1"/>
    <col min="1797" max="1797" width="6.28515625" style="261" customWidth="1"/>
    <col min="1798" max="1798" width="13.85546875" style="261" bestFit="1" customWidth="1"/>
    <col min="1799" max="1799" width="13.28515625" style="261" bestFit="1" customWidth="1"/>
    <col min="1800" max="1800" width="11.42578125" style="261"/>
    <col min="1801" max="1801" width="13.85546875" style="261" bestFit="1" customWidth="1"/>
    <col min="1802" max="1802" width="12.42578125" style="261" bestFit="1" customWidth="1"/>
    <col min="1803" max="2048" width="11.42578125" style="261"/>
    <col min="2049" max="2049" width="7.85546875" style="261" customWidth="1"/>
    <col min="2050" max="2050" width="10" style="261" customWidth="1"/>
    <col min="2051" max="2051" width="58.140625" style="261" customWidth="1"/>
    <col min="2052" max="2052" width="13.85546875" style="261" bestFit="1" customWidth="1"/>
    <col min="2053" max="2053" width="6.28515625" style="261" customWidth="1"/>
    <col min="2054" max="2054" width="13.85546875" style="261" bestFit="1" customWidth="1"/>
    <col min="2055" max="2055" width="13.28515625" style="261" bestFit="1" customWidth="1"/>
    <col min="2056" max="2056" width="11.42578125" style="261"/>
    <col min="2057" max="2057" width="13.85546875" style="261" bestFit="1" customWidth="1"/>
    <col min="2058" max="2058" width="12.42578125" style="261" bestFit="1" customWidth="1"/>
    <col min="2059" max="2304" width="11.42578125" style="261"/>
    <col min="2305" max="2305" width="7.85546875" style="261" customWidth="1"/>
    <col min="2306" max="2306" width="10" style="261" customWidth="1"/>
    <col min="2307" max="2307" width="58.140625" style="261" customWidth="1"/>
    <col min="2308" max="2308" width="13.85546875" style="261" bestFit="1" customWidth="1"/>
    <col min="2309" max="2309" width="6.28515625" style="261" customWidth="1"/>
    <col min="2310" max="2310" width="13.85546875" style="261" bestFit="1" customWidth="1"/>
    <col min="2311" max="2311" width="13.28515625" style="261" bestFit="1" customWidth="1"/>
    <col min="2312" max="2312" width="11.42578125" style="261"/>
    <col min="2313" max="2313" width="13.85546875" style="261" bestFit="1" customWidth="1"/>
    <col min="2314" max="2314" width="12.42578125" style="261" bestFit="1" customWidth="1"/>
    <col min="2315" max="2560" width="11.42578125" style="261"/>
    <col min="2561" max="2561" width="7.85546875" style="261" customWidth="1"/>
    <col min="2562" max="2562" width="10" style="261" customWidth="1"/>
    <col min="2563" max="2563" width="58.140625" style="261" customWidth="1"/>
    <col min="2564" max="2564" width="13.85546875" style="261" bestFit="1" customWidth="1"/>
    <col min="2565" max="2565" width="6.28515625" style="261" customWidth="1"/>
    <col min="2566" max="2566" width="13.85546875" style="261" bestFit="1" customWidth="1"/>
    <col min="2567" max="2567" width="13.28515625" style="261" bestFit="1" customWidth="1"/>
    <col min="2568" max="2568" width="11.42578125" style="261"/>
    <col min="2569" max="2569" width="13.85546875" style="261" bestFit="1" customWidth="1"/>
    <col min="2570" max="2570" width="12.42578125" style="261" bestFit="1" customWidth="1"/>
    <col min="2571" max="2816" width="11.42578125" style="261"/>
    <col min="2817" max="2817" width="7.85546875" style="261" customWidth="1"/>
    <col min="2818" max="2818" width="10" style="261" customWidth="1"/>
    <col min="2819" max="2819" width="58.140625" style="261" customWidth="1"/>
    <col min="2820" max="2820" width="13.85546875" style="261" bestFit="1" customWidth="1"/>
    <col min="2821" max="2821" width="6.28515625" style="261" customWidth="1"/>
    <col min="2822" max="2822" width="13.85546875" style="261" bestFit="1" customWidth="1"/>
    <col min="2823" max="2823" width="13.28515625" style="261" bestFit="1" customWidth="1"/>
    <col min="2824" max="2824" width="11.42578125" style="261"/>
    <col min="2825" max="2825" width="13.85546875" style="261" bestFit="1" customWidth="1"/>
    <col min="2826" max="2826" width="12.42578125" style="261" bestFit="1" customWidth="1"/>
    <col min="2827" max="3072" width="11.42578125" style="261"/>
    <col min="3073" max="3073" width="7.85546875" style="261" customWidth="1"/>
    <col min="3074" max="3074" width="10" style="261" customWidth="1"/>
    <col min="3075" max="3075" width="58.140625" style="261" customWidth="1"/>
    <col min="3076" max="3076" width="13.85546875" style="261" bestFit="1" customWidth="1"/>
    <col min="3077" max="3077" width="6.28515625" style="261" customWidth="1"/>
    <col min="3078" max="3078" width="13.85546875" style="261" bestFit="1" customWidth="1"/>
    <col min="3079" max="3079" width="13.28515625" style="261" bestFit="1" customWidth="1"/>
    <col min="3080" max="3080" width="11.42578125" style="261"/>
    <col min="3081" max="3081" width="13.85546875" style="261" bestFit="1" customWidth="1"/>
    <col min="3082" max="3082" width="12.42578125" style="261" bestFit="1" customWidth="1"/>
    <col min="3083" max="3328" width="11.42578125" style="261"/>
    <col min="3329" max="3329" width="7.85546875" style="261" customWidth="1"/>
    <col min="3330" max="3330" width="10" style="261" customWidth="1"/>
    <col min="3331" max="3331" width="58.140625" style="261" customWidth="1"/>
    <col min="3332" max="3332" width="13.85546875" style="261" bestFit="1" customWidth="1"/>
    <col min="3333" max="3333" width="6.28515625" style="261" customWidth="1"/>
    <col min="3334" max="3334" width="13.85546875" style="261" bestFit="1" customWidth="1"/>
    <col min="3335" max="3335" width="13.28515625" style="261" bestFit="1" customWidth="1"/>
    <col min="3336" max="3336" width="11.42578125" style="261"/>
    <col min="3337" max="3337" width="13.85546875" style="261" bestFit="1" customWidth="1"/>
    <col min="3338" max="3338" width="12.42578125" style="261" bestFit="1" customWidth="1"/>
    <col min="3339" max="3584" width="11.42578125" style="261"/>
    <col min="3585" max="3585" width="7.85546875" style="261" customWidth="1"/>
    <col min="3586" max="3586" width="10" style="261" customWidth="1"/>
    <col min="3587" max="3587" width="58.140625" style="261" customWidth="1"/>
    <col min="3588" max="3588" width="13.85546875" style="261" bestFit="1" customWidth="1"/>
    <col min="3589" max="3589" width="6.28515625" style="261" customWidth="1"/>
    <col min="3590" max="3590" width="13.85546875" style="261" bestFit="1" customWidth="1"/>
    <col min="3591" max="3591" width="13.28515625" style="261" bestFit="1" customWidth="1"/>
    <col min="3592" max="3592" width="11.42578125" style="261"/>
    <col min="3593" max="3593" width="13.85546875" style="261" bestFit="1" customWidth="1"/>
    <col min="3594" max="3594" width="12.42578125" style="261" bestFit="1" customWidth="1"/>
    <col min="3595" max="3840" width="11.42578125" style="261"/>
    <col min="3841" max="3841" width="7.85546875" style="261" customWidth="1"/>
    <col min="3842" max="3842" width="10" style="261" customWidth="1"/>
    <col min="3843" max="3843" width="58.140625" style="261" customWidth="1"/>
    <col min="3844" max="3844" width="13.85546875" style="261" bestFit="1" customWidth="1"/>
    <col min="3845" max="3845" width="6.28515625" style="261" customWidth="1"/>
    <col min="3846" max="3846" width="13.85546875" style="261" bestFit="1" customWidth="1"/>
    <col min="3847" max="3847" width="13.28515625" style="261" bestFit="1" customWidth="1"/>
    <col min="3848" max="3848" width="11.42578125" style="261"/>
    <col min="3849" max="3849" width="13.85546875" style="261" bestFit="1" customWidth="1"/>
    <col min="3850" max="3850" width="12.42578125" style="261" bestFit="1" customWidth="1"/>
    <col min="3851" max="4096" width="11.42578125" style="261"/>
    <col min="4097" max="4097" width="7.85546875" style="261" customWidth="1"/>
    <col min="4098" max="4098" width="10" style="261" customWidth="1"/>
    <col min="4099" max="4099" width="58.140625" style="261" customWidth="1"/>
    <col min="4100" max="4100" width="13.85546875" style="261" bestFit="1" customWidth="1"/>
    <col min="4101" max="4101" width="6.28515625" style="261" customWidth="1"/>
    <col min="4102" max="4102" width="13.85546875" style="261" bestFit="1" customWidth="1"/>
    <col min="4103" max="4103" width="13.28515625" style="261" bestFit="1" customWidth="1"/>
    <col min="4104" max="4104" width="11.42578125" style="261"/>
    <col min="4105" max="4105" width="13.85546875" style="261" bestFit="1" customWidth="1"/>
    <col min="4106" max="4106" width="12.42578125" style="261" bestFit="1" customWidth="1"/>
    <col min="4107" max="4352" width="11.42578125" style="261"/>
    <col min="4353" max="4353" width="7.85546875" style="261" customWidth="1"/>
    <col min="4354" max="4354" width="10" style="261" customWidth="1"/>
    <col min="4355" max="4355" width="58.140625" style="261" customWidth="1"/>
    <col min="4356" max="4356" width="13.85546875" style="261" bestFit="1" customWidth="1"/>
    <col min="4357" max="4357" width="6.28515625" style="261" customWidth="1"/>
    <col min="4358" max="4358" width="13.85546875" style="261" bestFit="1" customWidth="1"/>
    <col min="4359" max="4359" width="13.28515625" style="261" bestFit="1" customWidth="1"/>
    <col min="4360" max="4360" width="11.42578125" style="261"/>
    <col min="4361" max="4361" width="13.85546875" style="261" bestFit="1" customWidth="1"/>
    <col min="4362" max="4362" width="12.42578125" style="261" bestFit="1" customWidth="1"/>
    <col min="4363" max="4608" width="11.42578125" style="261"/>
    <col min="4609" max="4609" width="7.85546875" style="261" customWidth="1"/>
    <col min="4610" max="4610" width="10" style="261" customWidth="1"/>
    <col min="4611" max="4611" width="58.140625" style="261" customWidth="1"/>
    <col min="4612" max="4612" width="13.85546875" style="261" bestFit="1" customWidth="1"/>
    <col min="4613" max="4613" width="6.28515625" style="261" customWidth="1"/>
    <col min="4614" max="4614" width="13.85546875" style="261" bestFit="1" customWidth="1"/>
    <col min="4615" max="4615" width="13.28515625" style="261" bestFit="1" customWidth="1"/>
    <col min="4616" max="4616" width="11.42578125" style="261"/>
    <col min="4617" max="4617" width="13.85546875" style="261" bestFit="1" customWidth="1"/>
    <col min="4618" max="4618" width="12.42578125" style="261" bestFit="1" customWidth="1"/>
    <col min="4619" max="4864" width="11.42578125" style="261"/>
    <col min="4865" max="4865" width="7.85546875" style="261" customWidth="1"/>
    <col min="4866" max="4866" width="10" style="261" customWidth="1"/>
    <col min="4867" max="4867" width="58.140625" style="261" customWidth="1"/>
    <col min="4868" max="4868" width="13.85546875" style="261" bestFit="1" customWidth="1"/>
    <col min="4869" max="4869" width="6.28515625" style="261" customWidth="1"/>
    <col min="4870" max="4870" width="13.85546875" style="261" bestFit="1" customWidth="1"/>
    <col min="4871" max="4871" width="13.28515625" style="261" bestFit="1" customWidth="1"/>
    <col min="4872" max="4872" width="11.42578125" style="261"/>
    <col min="4873" max="4873" width="13.85546875" style="261" bestFit="1" customWidth="1"/>
    <col min="4874" max="4874" width="12.42578125" style="261" bestFit="1" customWidth="1"/>
    <col min="4875" max="5120" width="11.42578125" style="261"/>
    <col min="5121" max="5121" width="7.85546875" style="261" customWidth="1"/>
    <col min="5122" max="5122" width="10" style="261" customWidth="1"/>
    <col min="5123" max="5123" width="58.140625" style="261" customWidth="1"/>
    <col min="5124" max="5124" width="13.85546875" style="261" bestFit="1" customWidth="1"/>
    <col min="5125" max="5125" width="6.28515625" style="261" customWidth="1"/>
    <col min="5126" max="5126" width="13.85546875" style="261" bestFit="1" customWidth="1"/>
    <col min="5127" max="5127" width="13.28515625" style="261" bestFit="1" customWidth="1"/>
    <col min="5128" max="5128" width="11.42578125" style="261"/>
    <col min="5129" max="5129" width="13.85546875" style="261" bestFit="1" customWidth="1"/>
    <col min="5130" max="5130" width="12.42578125" style="261" bestFit="1" customWidth="1"/>
    <col min="5131" max="5376" width="11.42578125" style="261"/>
    <col min="5377" max="5377" width="7.85546875" style="261" customWidth="1"/>
    <col min="5378" max="5378" width="10" style="261" customWidth="1"/>
    <col min="5379" max="5379" width="58.140625" style="261" customWidth="1"/>
    <col min="5380" max="5380" width="13.85546875" style="261" bestFit="1" customWidth="1"/>
    <col min="5381" max="5381" width="6.28515625" style="261" customWidth="1"/>
    <col min="5382" max="5382" width="13.85546875" style="261" bestFit="1" customWidth="1"/>
    <col min="5383" max="5383" width="13.28515625" style="261" bestFit="1" customWidth="1"/>
    <col min="5384" max="5384" width="11.42578125" style="261"/>
    <col min="5385" max="5385" width="13.85546875" style="261" bestFit="1" customWidth="1"/>
    <col min="5386" max="5386" width="12.42578125" style="261" bestFit="1" customWidth="1"/>
    <col min="5387" max="5632" width="11.42578125" style="261"/>
    <col min="5633" max="5633" width="7.85546875" style="261" customWidth="1"/>
    <col min="5634" max="5634" width="10" style="261" customWidth="1"/>
    <col min="5635" max="5635" width="58.140625" style="261" customWidth="1"/>
    <col min="5636" max="5636" width="13.85546875" style="261" bestFit="1" customWidth="1"/>
    <col min="5637" max="5637" width="6.28515625" style="261" customWidth="1"/>
    <col min="5638" max="5638" width="13.85546875" style="261" bestFit="1" customWidth="1"/>
    <col min="5639" max="5639" width="13.28515625" style="261" bestFit="1" customWidth="1"/>
    <col min="5640" max="5640" width="11.42578125" style="261"/>
    <col min="5641" max="5641" width="13.85546875" style="261" bestFit="1" customWidth="1"/>
    <col min="5642" max="5642" width="12.42578125" style="261" bestFit="1" customWidth="1"/>
    <col min="5643" max="5888" width="11.42578125" style="261"/>
    <col min="5889" max="5889" width="7.85546875" style="261" customWidth="1"/>
    <col min="5890" max="5890" width="10" style="261" customWidth="1"/>
    <col min="5891" max="5891" width="58.140625" style="261" customWidth="1"/>
    <col min="5892" max="5892" width="13.85546875" style="261" bestFit="1" customWidth="1"/>
    <col min="5893" max="5893" width="6.28515625" style="261" customWidth="1"/>
    <col min="5894" max="5894" width="13.85546875" style="261" bestFit="1" customWidth="1"/>
    <col min="5895" max="5895" width="13.28515625" style="261" bestFit="1" customWidth="1"/>
    <col min="5896" max="5896" width="11.42578125" style="261"/>
    <col min="5897" max="5897" width="13.85546875" style="261" bestFit="1" customWidth="1"/>
    <col min="5898" max="5898" width="12.42578125" style="261" bestFit="1" customWidth="1"/>
    <col min="5899" max="6144" width="11.42578125" style="261"/>
    <col min="6145" max="6145" width="7.85546875" style="261" customWidth="1"/>
    <col min="6146" max="6146" width="10" style="261" customWidth="1"/>
    <col min="6147" max="6147" width="58.140625" style="261" customWidth="1"/>
    <col min="6148" max="6148" width="13.85546875" style="261" bestFit="1" customWidth="1"/>
    <col min="6149" max="6149" width="6.28515625" style="261" customWidth="1"/>
    <col min="6150" max="6150" width="13.85546875" style="261" bestFit="1" customWidth="1"/>
    <col min="6151" max="6151" width="13.28515625" style="261" bestFit="1" customWidth="1"/>
    <col min="6152" max="6152" width="11.42578125" style="261"/>
    <col min="6153" max="6153" width="13.85546875" style="261" bestFit="1" customWidth="1"/>
    <col min="6154" max="6154" width="12.42578125" style="261" bestFit="1" customWidth="1"/>
    <col min="6155" max="6400" width="11.42578125" style="261"/>
    <col min="6401" max="6401" width="7.85546875" style="261" customWidth="1"/>
    <col min="6402" max="6402" width="10" style="261" customWidth="1"/>
    <col min="6403" max="6403" width="58.140625" style="261" customWidth="1"/>
    <col min="6404" max="6404" width="13.85546875" style="261" bestFit="1" customWidth="1"/>
    <col min="6405" max="6405" width="6.28515625" style="261" customWidth="1"/>
    <col min="6406" max="6406" width="13.85546875" style="261" bestFit="1" customWidth="1"/>
    <col min="6407" max="6407" width="13.28515625" style="261" bestFit="1" customWidth="1"/>
    <col min="6408" max="6408" width="11.42578125" style="261"/>
    <col min="6409" max="6409" width="13.85546875" style="261" bestFit="1" customWidth="1"/>
    <col min="6410" max="6410" width="12.42578125" style="261" bestFit="1" customWidth="1"/>
    <col min="6411" max="6656" width="11.42578125" style="261"/>
    <col min="6657" max="6657" width="7.85546875" style="261" customWidth="1"/>
    <col min="6658" max="6658" width="10" style="261" customWidth="1"/>
    <col min="6659" max="6659" width="58.140625" style="261" customWidth="1"/>
    <col min="6660" max="6660" width="13.85546875" style="261" bestFit="1" customWidth="1"/>
    <col min="6661" max="6661" width="6.28515625" style="261" customWidth="1"/>
    <col min="6662" max="6662" width="13.85546875" style="261" bestFit="1" customWidth="1"/>
    <col min="6663" max="6663" width="13.28515625" style="261" bestFit="1" customWidth="1"/>
    <col min="6664" max="6664" width="11.42578125" style="261"/>
    <col min="6665" max="6665" width="13.85546875" style="261" bestFit="1" customWidth="1"/>
    <col min="6666" max="6666" width="12.42578125" style="261" bestFit="1" customWidth="1"/>
    <col min="6667" max="6912" width="11.42578125" style="261"/>
    <col min="6913" max="6913" width="7.85546875" style="261" customWidth="1"/>
    <col min="6914" max="6914" width="10" style="261" customWidth="1"/>
    <col min="6915" max="6915" width="58.140625" style="261" customWidth="1"/>
    <col min="6916" max="6916" width="13.85546875" style="261" bestFit="1" customWidth="1"/>
    <col min="6917" max="6917" width="6.28515625" style="261" customWidth="1"/>
    <col min="6918" max="6918" width="13.85546875" style="261" bestFit="1" customWidth="1"/>
    <col min="6919" max="6919" width="13.28515625" style="261" bestFit="1" customWidth="1"/>
    <col min="6920" max="6920" width="11.42578125" style="261"/>
    <col min="6921" max="6921" width="13.85546875" style="261" bestFit="1" customWidth="1"/>
    <col min="6922" max="6922" width="12.42578125" style="261" bestFit="1" customWidth="1"/>
    <col min="6923" max="7168" width="11.42578125" style="261"/>
    <col min="7169" max="7169" width="7.85546875" style="261" customWidth="1"/>
    <col min="7170" max="7170" width="10" style="261" customWidth="1"/>
    <col min="7171" max="7171" width="58.140625" style="261" customWidth="1"/>
    <col min="7172" max="7172" width="13.85546875" style="261" bestFit="1" customWidth="1"/>
    <col min="7173" max="7173" width="6.28515625" style="261" customWidth="1"/>
    <col min="7174" max="7174" width="13.85546875" style="261" bestFit="1" customWidth="1"/>
    <col min="7175" max="7175" width="13.28515625" style="261" bestFit="1" customWidth="1"/>
    <col min="7176" max="7176" width="11.42578125" style="261"/>
    <col min="7177" max="7177" width="13.85546875" style="261" bestFit="1" customWidth="1"/>
    <col min="7178" max="7178" width="12.42578125" style="261" bestFit="1" customWidth="1"/>
    <col min="7179" max="7424" width="11.42578125" style="261"/>
    <col min="7425" max="7425" width="7.85546875" style="261" customWidth="1"/>
    <col min="7426" max="7426" width="10" style="261" customWidth="1"/>
    <col min="7427" max="7427" width="58.140625" style="261" customWidth="1"/>
    <col min="7428" max="7428" width="13.85546875" style="261" bestFit="1" customWidth="1"/>
    <col min="7429" max="7429" width="6.28515625" style="261" customWidth="1"/>
    <col min="7430" max="7430" width="13.85546875" style="261" bestFit="1" customWidth="1"/>
    <col min="7431" max="7431" width="13.28515625" style="261" bestFit="1" customWidth="1"/>
    <col min="7432" max="7432" width="11.42578125" style="261"/>
    <col min="7433" max="7433" width="13.85546875" style="261" bestFit="1" customWidth="1"/>
    <col min="7434" max="7434" width="12.42578125" style="261" bestFit="1" customWidth="1"/>
    <col min="7435" max="7680" width="11.42578125" style="261"/>
    <col min="7681" max="7681" width="7.85546875" style="261" customWidth="1"/>
    <col min="7682" max="7682" width="10" style="261" customWidth="1"/>
    <col min="7683" max="7683" width="58.140625" style="261" customWidth="1"/>
    <col min="7684" max="7684" width="13.85546875" style="261" bestFit="1" customWidth="1"/>
    <col min="7685" max="7685" width="6.28515625" style="261" customWidth="1"/>
    <col min="7686" max="7686" width="13.85546875" style="261" bestFit="1" customWidth="1"/>
    <col min="7687" max="7687" width="13.28515625" style="261" bestFit="1" customWidth="1"/>
    <col min="7688" max="7688" width="11.42578125" style="261"/>
    <col min="7689" max="7689" width="13.85546875" style="261" bestFit="1" customWidth="1"/>
    <col min="7690" max="7690" width="12.42578125" style="261" bestFit="1" customWidth="1"/>
    <col min="7691" max="7936" width="11.42578125" style="261"/>
    <col min="7937" max="7937" width="7.85546875" style="261" customWidth="1"/>
    <col min="7938" max="7938" width="10" style="261" customWidth="1"/>
    <col min="7939" max="7939" width="58.140625" style="261" customWidth="1"/>
    <col min="7940" max="7940" width="13.85546875" style="261" bestFit="1" customWidth="1"/>
    <col min="7941" max="7941" width="6.28515625" style="261" customWidth="1"/>
    <col min="7942" max="7942" width="13.85546875" style="261" bestFit="1" customWidth="1"/>
    <col min="7943" max="7943" width="13.28515625" style="261" bestFit="1" customWidth="1"/>
    <col min="7944" max="7944" width="11.42578125" style="261"/>
    <col min="7945" max="7945" width="13.85546875" style="261" bestFit="1" customWidth="1"/>
    <col min="7946" max="7946" width="12.42578125" style="261" bestFit="1" customWidth="1"/>
    <col min="7947" max="8192" width="11.42578125" style="261"/>
    <col min="8193" max="8193" width="7.85546875" style="261" customWidth="1"/>
    <col min="8194" max="8194" width="10" style="261" customWidth="1"/>
    <col min="8195" max="8195" width="58.140625" style="261" customWidth="1"/>
    <col min="8196" max="8196" width="13.85546875" style="261" bestFit="1" customWidth="1"/>
    <col min="8197" max="8197" width="6.28515625" style="261" customWidth="1"/>
    <col min="8198" max="8198" width="13.85546875" style="261" bestFit="1" customWidth="1"/>
    <col min="8199" max="8199" width="13.28515625" style="261" bestFit="1" customWidth="1"/>
    <col min="8200" max="8200" width="11.42578125" style="261"/>
    <col min="8201" max="8201" width="13.85546875" style="261" bestFit="1" customWidth="1"/>
    <col min="8202" max="8202" width="12.42578125" style="261" bestFit="1" customWidth="1"/>
    <col min="8203" max="8448" width="11.42578125" style="261"/>
    <col min="8449" max="8449" width="7.85546875" style="261" customWidth="1"/>
    <col min="8450" max="8450" width="10" style="261" customWidth="1"/>
    <col min="8451" max="8451" width="58.140625" style="261" customWidth="1"/>
    <col min="8452" max="8452" width="13.85546875" style="261" bestFit="1" customWidth="1"/>
    <col min="8453" max="8453" width="6.28515625" style="261" customWidth="1"/>
    <col min="8454" max="8454" width="13.85546875" style="261" bestFit="1" customWidth="1"/>
    <col min="8455" max="8455" width="13.28515625" style="261" bestFit="1" customWidth="1"/>
    <col min="8456" max="8456" width="11.42578125" style="261"/>
    <col min="8457" max="8457" width="13.85546875" style="261" bestFit="1" customWidth="1"/>
    <col min="8458" max="8458" width="12.42578125" style="261" bestFit="1" customWidth="1"/>
    <col min="8459" max="8704" width="11.42578125" style="261"/>
    <col min="8705" max="8705" width="7.85546875" style="261" customWidth="1"/>
    <col min="8706" max="8706" width="10" style="261" customWidth="1"/>
    <col min="8707" max="8707" width="58.140625" style="261" customWidth="1"/>
    <col min="8708" max="8708" width="13.85546875" style="261" bestFit="1" customWidth="1"/>
    <col min="8709" max="8709" width="6.28515625" style="261" customWidth="1"/>
    <col min="8710" max="8710" width="13.85546875" style="261" bestFit="1" customWidth="1"/>
    <col min="8711" max="8711" width="13.28515625" style="261" bestFit="1" customWidth="1"/>
    <col min="8712" max="8712" width="11.42578125" style="261"/>
    <col min="8713" max="8713" width="13.85546875" style="261" bestFit="1" customWidth="1"/>
    <col min="8714" max="8714" width="12.42578125" style="261" bestFit="1" customWidth="1"/>
    <col min="8715" max="8960" width="11.42578125" style="261"/>
    <col min="8961" max="8961" width="7.85546875" style="261" customWidth="1"/>
    <col min="8962" max="8962" width="10" style="261" customWidth="1"/>
    <col min="8963" max="8963" width="58.140625" style="261" customWidth="1"/>
    <col min="8964" max="8964" width="13.85546875" style="261" bestFit="1" customWidth="1"/>
    <col min="8965" max="8965" width="6.28515625" style="261" customWidth="1"/>
    <col min="8966" max="8966" width="13.85546875" style="261" bestFit="1" customWidth="1"/>
    <col min="8967" max="8967" width="13.28515625" style="261" bestFit="1" customWidth="1"/>
    <col min="8968" max="8968" width="11.42578125" style="261"/>
    <col min="8969" max="8969" width="13.85546875" style="261" bestFit="1" customWidth="1"/>
    <col min="8970" max="8970" width="12.42578125" style="261" bestFit="1" customWidth="1"/>
    <col min="8971" max="9216" width="11.42578125" style="261"/>
    <col min="9217" max="9217" width="7.85546875" style="261" customWidth="1"/>
    <col min="9218" max="9218" width="10" style="261" customWidth="1"/>
    <col min="9219" max="9219" width="58.140625" style="261" customWidth="1"/>
    <col min="9220" max="9220" width="13.85546875" style="261" bestFit="1" customWidth="1"/>
    <col min="9221" max="9221" width="6.28515625" style="261" customWidth="1"/>
    <col min="9222" max="9222" width="13.85546875" style="261" bestFit="1" customWidth="1"/>
    <col min="9223" max="9223" width="13.28515625" style="261" bestFit="1" customWidth="1"/>
    <col min="9224" max="9224" width="11.42578125" style="261"/>
    <col min="9225" max="9225" width="13.85546875" style="261" bestFit="1" customWidth="1"/>
    <col min="9226" max="9226" width="12.42578125" style="261" bestFit="1" customWidth="1"/>
    <col min="9227" max="9472" width="11.42578125" style="261"/>
    <col min="9473" max="9473" width="7.85546875" style="261" customWidth="1"/>
    <col min="9474" max="9474" width="10" style="261" customWidth="1"/>
    <col min="9475" max="9475" width="58.140625" style="261" customWidth="1"/>
    <col min="9476" max="9476" width="13.85546875" style="261" bestFit="1" customWidth="1"/>
    <col min="9477" max="9477" width="6.28515625" style="261" customWidth="1"/>
    <col min="9478" max="9478" width="13.85546875" style="261" bestFit="1" customWidth="1"/>
    <col min="9479" max="9479" width="13.28515625" style="261" bestFit="1" customWidth="1"/>
    <col min="9480" max="9480" width="11.42578125" style="261"/>
    <col min="9481" max="9481" width="13.85546875" style="261" bestFit="1" customWidth="1"/>
    <col min="9482" max="9482" width="12.42578125" style="261" bestFit="1" customWidth="1"/>
    <col min="9483" max="9728" width="11.42578125" style="261"/>
    <col min="9729" max="9729" width="7.85546875" style="261" customWidth="1"/>
    <col min="9730" max="9730" width="10" style="261" customWidth="1"/>
    <col min="9731" max="9731" width="58.140625" style="261" customWidth="1"/>
    <col min="9732" max="9732" width="13.85546875" style="261" bestFit="1" customWidth="1"/>
    <col min="9733" max="9733" width="6.28515625" style="261" customWidth="1"/>
    <col min="9734" max="9734" width="13.85546875" style="261" bestFit="1" customWidth="1"/>
    <col min="9735" max="9735" width="13.28515625" style="261" bestFit="1" customWidth="1"/>
    <col min="9736" max="9736" width="11.42578125" style="261"/>
    <col min="9737" max="9737" width="13.85546875" style="261" bestFit="1" customWidth="1"/>
    <col min="9738" max="9738" width="12.42578125" style="261" bestFit="1" customWidth="1"/>
    <col min="9739" max="9984" width="11.42578125" style="261"/>
    <col min="9985" max="9985" width="7.85546875" style="261" customWidth="1"/>
    <col min="9986" max="9986" width="10" style="261" customWidth="1"/>
    <col min="9987" max="9987" width="58.140625" style="261" customWidth="1"/>
    <col min="9988" max="9988" width="13.85546875" style="261" bestFit="1" customWidth="1"/>
    <col min="9989" max="9989" width="6.28515625" style="261" customWidth="1"/>
    <col min="9990" max="9990" width="13.85546875" style="261" bestFit="1" customWidth="1"/>
    <col min="9991" max="9991" width="13.28515625" style="261" bestFit="1" customWidth="1"/>
    <col min="9992" max="9992" width="11.42578125" style="261"/>
    <col min="9993" max="9993" width="13.85546875" style="261" bestFit="1" customWidth="1"/>
    <col min="9994" max="9994" width="12.42578125" style="261" bestFit="1" customWidth="1"/>
    <col min="9995" max="10240" width="11.42578125" style="261"/>
    <col min="10241" max="10241" width="7.85546875" style="261" customWidth="1"/>
    <col min="10242" max="10242" width="10" style="261" customWidth="1"/>
    <col min="10243" max="10243" width="58.140625" style="261" customWidth="1"/>
    <col min="10244" max="10244" width="13.85546875" style="261" bestFit="1" customWidth="1"/>
    <col min="10245" max="10245" width="6.28515625" style="261" customWidth="1"/>
    <col min="10246" max="10246" width="13.85546875" style="261" bestFit="1" customWidth="1"/>
    <col min="10247" max="10247" width="13.28515625" style="261" bestFit="1" customWidth="1"/>
    <col min="10248" max="10248" width="11.42578125" style="261"/>
    <col min="10249" max="10249" width="13.85546875" style="261" bestFit="1" customWidth="1"/>
    <col min="10250" max="10250" width="12.42578125" style="261" bestFit="1" customWidth="1"/>
    <col min="10251" max="10496" width="11.42578125" style="261"/>
    <col min="10497" max="10497" width="7.85546875" style="261" customWidth="1"/>
    <col min="10498" max="10498" width="10" style="261" customWidth="1"/>
    <col min="10499" max="10499" width="58.140625" style="261" customWidth="1"/>
    <col min="10500" max="10500" width="13.85546875" style="261" bestFit="1" customWidth="1"/>
    <col min="10501" max="10501" width="6.28515625" style="261" customWidth="1"/>
    <col min="10502" max="10502" width="13.85546875" style="261" bestFit="1" customWidth="1"/>
    <col min="10503" max="10503" width="13.28515625" style="261" bestFit="1" customWidth="1"/>
    <col min="10504" max="10504" width="11.42578125" style="261"/>
    <col min="10505" max="10505" width="13.85546875" style="261" bestFit="1" customWidth="1"/>
    <col min="10506" max="10506" width="12.42578125" style="261" bestFit="1" customWidth="1"/>
    <col min="10507" max="10752" width="11.42578125" style="261"/>
    <col min="10753" max="10753" width="7.85546875" style="261" customWidth="1"/>
    <col min="10754" max="10754" width="10" style="261" customWidth="1"/>
    <col min="10755" max="10755" width="58.140625" style="261" customWidth="1"/>
    <col min="10756" max="10756" width="13.85546875" style="261" bestFit="1" customWidth="1"/>
    <col min="10757" max="10757" width="6.28515625" style="261" customWidth="1"/>
    <col min="10758" max="10758" width="13.85546875" style="261" bestFit="1" customWidth="1"/>
    <col min="10759" max="10759" width="13.28515625" style="261" bestFit="1" customWidth="1"/>
    <col min="10760" max="10760" width="11.42578125" style="261"/>
    <col min="10761" max="10761" width="13.85546875" style="261" bestFit="1" customWidth="1"/>
    <col min="10762" max="10762" width="12.42578125" style="261" bestFit="1" customWidth="1"/>
    <col min="10763" max="11008" width="11.42578125" style="261"/>
    <col min="11009" max="11009" width="7.85546875" style="261" customWidth="1"/>
    <col min="11010" max="11010" width="10" style="261" customWidth="1"/>
    <col min="11011" max="11011" width="58.140625" style="261" customWidth="1"/>
    <col min="11012" max="11012" width="13.85546875" style="261" bestFit="1" customWidth="1"/>
    <col min="11013" max="11013" width="6.28515625" style="261" customWidth="1"/>
    <col min="11014" max="11014" width="13.85546875" style="261" bestFit="1" customWidth="1"/>
    <col min="11015" max="11015" width="13.28515625" style="261" bestFit="1" customWidth="1"/>
    <col min="11016" max="11016" width="11.42578125" style="261"/>
    <col min="11017" max="11017" width="13.85546875" style="261" bestFit="1" customWidth="1"/>
    <col min="11018" max="11018" width="12.42578125" style="261" bestFit="1" customWidth="1"/>
    <col min="11019" max="11264" width="11.42578125" style="261"/>
    <col min="11265" max="11265" width="7.85546875" style="261" customWidth="1"/>
    <col min="11266" max="11266" width="10" style="261" customWidth="1"/>
    <col min="11267" max="11267" width="58.140625" style="261" customWidth="1"/>
    <col min="11268" max="11268" width="13.85546875" style="261" bestFit="1" customWidth="1"/>
    <col min="11269" max="11269" width="6.28515625" style="261" customWidth="1"/>
    <col min="11270" max="11270" width="13.85546875" style="261" bestFit="1" customWidth="1"/>
    <col min="11271" max="11271" width="13.28515625" style="261" bestFit="1" customWidth="1"/>
    <col min="11272" max="11272" width="11.42578125" style="261"/>
    <col min="11273" max="11273" width="13.85546875" style="261" bestFit="1" customWidth="1"/>
    <col min="11274" max="11274" width="12.42578125" style="261" bestFit="1" customWidth="1"/>
    <col min="11275" max="11520" width="11.42578125" style="261"/>
    <col min="11521" max="11521" width="7.85546875" style="261" customWidth="1"/>
    <col min="11522" max="11522" width="10" style="261" customWidth="1"/>
    <col min="11523" max="11523" width="58.140625" style="261" customWidth="1"/>
    <col min="11524" max="11524" width="13.85546875" style="261" bestFit="1" customWidth="1"/>
    <col min="11525" max="11525" width="6.28515625" style="261" customWidth="1"/>
    <col min="11526" max="11526" width="13.85546875" style="261" bestFit="1" customWidth="1"/>
    <col min="11527" max="11527" width="13.28515625" style="261" bestFit="1" customWidth="1"/>
    <col min="11528" max="11528" width="11.42578125" style="261"/>
    <col min="11529" max="11529" width="13.85546875" style="261" bestFit="1" customWidth="1"/>
    <col min="11530" max="11530" width="12.42578125" style="261" bestFit="1" customWidth="1"/>
    <col min="11531" max="11776" width="11.42578125" style="261"/>
    <col min="11777" max="11777" width="7.85546875" style="261" customWidth="1"/>
    <col min="11778" max="11778" width="10" style="261" customWidth="1"/>
    <col min="11779" max="11779" width="58.140625" style="261" customWidth="1"/>
    <col min="11780" max="11780" width="13.85546875" style="261" bestFit="1" customWidth="1"/>
    <col min="11781" max="11781" width="6.28515625" style="261" customWidth="1"/>
    <col min="11782" max="11782" width="13.85546875" style="261" bestFit="1" customWidth="1"/>
    <col min="11783" max="11783" width="13.28515625" style="261" bestFit="1" customWidth="1"/>
    <col min="11784" max="11784" width="11.42578125" style="261"/>
    <col min="11785" max="11785" width="13.85546875" style="261" bestFit="1" customWidth="1"/>
    <col min="11786" max="11786" width="12.42578125" style="261" bestFit="1" customWidth="1"/>
    <col min="11787" max="12032" width="11.42578125" style="261"/>
    <col min="12033" max="12033" width="7.85546875" style="261" customWidth="1"/>
    <col min="12034" max="12034" width="10" style="261" customWidth="1"/>
    <col min="12035" max="12035" width="58.140625" style="261" customWidth="1"/>
    <col min="12036" max="12036" width="13.85546875" style="261" bestFit="1" customWidth="1"/>
    <col min="12037" max="12037" width="6.28515625" style="261" customWidth="1"/>
    <col min="12038" max="12038" width="13.85546875" style="261" bestFit="1" customWidth="1"/>
    <col min="12039" max="12039" width="13.28515625" style="261" bestFit="1" customWidth="1"/>
    <col min="12040" max="12040" width="11.42578125" style="261"/>
    <col min="12041" max="12041" width="13.85546875" style="261" bestFit="1" customWidth="1"/>
    <col min="12042" max="12042" width="12.42578125" style="261" bestFit="1" customWidth="1"/>
    <col min="12043" max="12288" width="11.42578125" style="261"/>
    <col min="12289" max="12289" width="7.85546875" style="261" customWidth="1"/>
    <col min="12290" max="12290" width="10" style="261" customWidth="1"/>
    <col min="12291" max="12291" width="58.140625" style="261" customWidth="1"/>
    <col min="12292" max="12292" width="13.85546875" style="261" bestFit="1" customWidth="1"/>
    <col min="12293" max="12293" width="6.28515625" style="261" customWidth="1"/>
    <col min="12294" max="12294" width="13.85546875" style="261" bestFit="1" customWidth="1"/>
    <col min="12295" max="12295" width="13.28515625" style="261" bestFit="1" customWidth="1"/>
    <col min="12296" max="12296" width="11.42578125" style="261"/>
    <col min="12297" max="12297" width="13.85546875" style="261" bestFit="1" customWidth="1"/>
    <col min="12298" max="12298" width="12.42578125" style="261" bestFit="1" customWidth="1"/>
    <col min="12299" max="12544" width="11.42578125" style="261"/>
    <col min="12545" max="12545" width="7.85546875" style="261" customWidth="1"/>
    <col min="12546" max="12546" width="10" style="261" customWidth="1"/>
    <col min="12547" max="12547" width="58.140625" style="261" customWidth="1"/>
    <col min="12548" max="12548" width="13.85546875" style="261" bestFit="1" customWidth="1"/>
    <col min="12549" max="12549" width="6.28515625" style="261" customWidth="1"/>
    <col min="12550" max="12550" width="13.85546875" style="261" bestFit="1" customWidth="1"/>
    <col min="12551" max="12551" width="13.28515625" style="261" bestFit="1" customWidth="1"/>
    <col min="12552" max="12552" width="11.42578125" style="261"/>
    <col min="12553" max="12553" width="13.85546875" style="261" bestFit="1" customWidth="1"/>
    <col min="12554" max="12554" width="12.42578125" style="261" bestFit="1" customWidth="1"/>
    <col min="12555" max="12800" width="11.42578125" style="261"/>
    <col min="12801" max="12801" width="7.85546875" style="261" customWidth="1"/>
    <col min="12802" max="12802" width="10" style="261" customWidth="1"/>
    <col min="12803" max="12803" width="58.140625" style="261" customWidth="1"/>
    <col min="12804" max="12804" width="13.85546875" style="261" bestFit="1" customWidth="1"/>
    <col min="12805" max="12805" width="6.28515625" style="261" customWidth="1"/>
    <col min="12806" max="12806" width="13.85546875" style="261" bestFit="1" customWidth="1"/>
    <col min="12807" max="12807" width="13.28515625" style="261" bestFit="1" customWidth="1"/>
    <col min="12808" max="12808" width="11.42578125" style="261"/>
    <col min="12809" max="12809" width="13.85546875" style="261" bestFit="1" customWidth="1"/>
    <col min="12810" max="12810" width="12.42578125" style="261" bestFit="1" customWidth="1"/>
    <col min="12811" max="13056" width="11.42578125" style="261"/>
    <col min="13057" max="13057" width="7.85546875" style="261" customWidth="1"/>
    <col min="13058" max="13058" width="10" style="261" customWidth="1"/>
    <col min="13059" max="13059" width="58.140625" style="261" customWidth="1"/>
    <col min="13060" max="13060" width="13.85546875" style="261" bestFit="1" customWidth="1"/>
    <col min="13061" max="13061" width="6.28515625" style="261" customWidth="1"/>
    <col min="13062" max="13062" width="13.85546875" style="261" bestFit="1" customWidth="1"/>
    <col min="13063" max="13063" width="13.28515625" style="261" bestFit="1" customWidth="1"/>
    <col min="13064" max="13064" width="11.42578125" style="261"/>
    <col min="13065" max="13065" width="13.85546875" style="261" bestFit="1" customWidth="1"/>
    <col min="13066" max="13066" width="12.42578125" style="261" bestFit="1" customWidth="1"/>
    <col min="13067" max="13312" width="11.42578125" style="261"/>
    <col min="13313" max="13313" width="7.85546875" style="261" customWidth="1"/>
    <col min="13314" max="13314" width="10" style="261" customWidth="1"/>
    <col min="13315" max="13315" width="58.140625" style="261" customWidth="1"/>
    <col min="13316" max="13316" width="13.85546875" style="261" bestFit="1" customWidth="1"/>
    <col min="13317" max="13317" width="6.28515625" style="261" customWidth="1"/>
    <col min="13318" max="13318" width="13.85546875" style="261" bestFit="1" customWidth="1"/>
    <col min="13319" max="13319" width="13.28515625" style="261" bestFit="1" customWidth="1"/>
    <col min="13320" max="13320" width="11.42578125" style="261"/>
    <col min="13321" max="13321" width="13.85546875" style="261" bestFit="1" customWidth="1"/>
    <col min="13322" max="13322" width="12.42578125" style="261" bestFit="1" customWidth="1"/>
    <col min="13323" max="13568" width="11.42578125" style="261"/>
    <col min="13569" max="13569" width="7.85546875" style="261" customWidth="1"/>
    <col min="13570" max="13570" width="10" style="261" customWidth="1"/>
    <col min="13571" max="13571" width="58.140625" style="261" customWidth="1"/>
    <col min="13572" max="13572" width="13.85546875" style="261" bestFit="1" customWidth="1"/>
    <col min="13573" max="13573" width="6.28515625" style="261" customWidth="1"/>
    <col min="13574" max="13574" width="13.85546875" style="261" bestFit="1" customWidth="1"/>
    <col min="13575" max="13575" width="13.28515625" style="261" bestFit="1" customWidth="1"/>
    <col min="13576" max="13576" width="11.42578125" style="261"/>
    <col min="13577" max="13577" width="13.85546875" style="261" bestFit="1" customWidth="1"/>
    <col min="13578" max="13578" width="12.42578125" style="261" bestFit="1" customWidth="1"/>
    <col min="13579" max="13824" width="11.42578125" style="261"/>
    <col min="13825" max="13825" width="7.85546875" style="261" customWidth="1"/>
    <col min="13826" max="13826" width="10" style="261" customWidth="1"/>
    <col min="13827" max="13827" width="58.140625" style="261" customWidth="1"/>
    <col min="13828" max="13828" width="13.85546875" style="261" bestFit="1" customWidth="1"/>
    <col min="13829" max="13829" width="6.28515625" style="261" customWidth="1"/>
    <col min="13830" max="13830" width="13.85546875" style="261" bestFit="1" customWidth="1"/>
    <col min="13831" max="13831" width="13.28515625" style="261" bestFit="1" customWidth="1"/>
    <col min="13832" max="13832" width="11.42578125" style="261"/>
    <col min="13833" max="13833" width="13.85546875" style="261" bestFit="1" customWidth="1"/>
    <col min="13834" max="13834" width="12.42578125" style="261" bestFit="1" customWidth="1"/>
    <col min="13835" max="14080" width="11.42578125" style="261"/>
    <col min="14081" max="14081" width="7.85546875" style="261" customWidth="1"/>
    <col min="14082" max="14082" width="10" style="261" customWidth="1"/>
    <col min="14083" max="14083" width="58.140625" style="261" customWidth="1"/>
    <col min="14084" max="14084" width="13.85546875" style="261" bestFit="1" customWidth="1"/>
    <col min="14085" max="14085" width="6.28515625" style="261" customWidth="1"/>
    <col min="14086" max="14086" width="13.85546875" style="261" bestFit="1" customWidth="1"/>
    <col min="14087" max="14087" width="13.28515625" style="261" bestFit="1" customWidth="1"/>
    <col min="14088" max="14088" width="11.42578125" style="261"/>
    <col min="14089" max="14089" width="13.85546875" style="261" bestFit="1" customWidth="1"/>
    <col min="14090" max="14090" width="12.42578125" style="261" bestFit="1" customWidth="1"/>
    <col min="14091" max="14336" width="11.42578125" style="261"/>
    <col min="14337" max="14337" width="7.85546875" style="261" customWidth="1"/>
    <col min="14338" max="14338" width="10" style="261" customWidth="1"/>
    <col min="14339" max="14339" width="58.140625" style="261" customWidth="1"/>
    <col min="14340" max="14340" width="13.85546875" style="261" bestFit="1" customWidth="1"/>
    <col min="14341" max="14341" width="6.28515625" style="261" customWidth="1"/>
    <col min="14342" max="14342" width="13.85546875" style="261" bestFit="1" customWidth="1"/>
    <col min="14343" max="14343" width="13.28515625" style="261" bestFit="1" customWidth="1"/>
    <col min="14344" max="14344" width="11.42578125" style="261"/>
    <col min="14345" max="14345" width="13.85546875" style="261" bestFit="1" customWidth="1"/>
    <col min="14346" max="14346" width="12.42578125" style="261" bestFit="1" customWidth="1"/>
    <col min="14347" max="14592" width="11.42578125" style="261"/>
    <col min="14593" max="14593" width="7.85546875" style="261" customWidth="1"/>
    <col min="14594" max="14594" width="10" style="261" customWidth="1"/>
    <col min="14595" max="14595" width="58.140625" style="261" customWidth="1"/>
    <col min="14596" max="14596" width="13.85546875" style="261" bestFit="1" customWidth="1"/>
    <col min="14597" max="14597" width="6.28515625" style="261" customWidth="1"/>
    <col min="14598" max="14598" width="13.85546875" style="261" bestFit="1" customWidth="1"/>
    <col min="14599" max="14599" width="13.28515625" style="261" bestFit="1" customWidth="1"/>
    <col min="14600" max="14600" width="11.42578125" style="261"/>
    <col min="14601" max="14601" width="13.85546875" style="261" bestFit="1" customWidth="1"/>
    <col min="14602" max="14602" width="12.42578125" style="261" bestFit="1" customWidth="1"/>
    <col min="14603" max="14848" width="11.42578125" style="261"/>
    <col min="14849" max="14849" width="7.85546875" style="261" customWidth="1"/>
    <col min="14850" max="14850" width="10" style="261" customWidth="1"/>
    <col min="14851" max="14851" width="58.140625" style="261" customWidth="1"/>
    <col min="14852" max="14852" width="13.85546875" style="261" bestFit="1" customWidth="1"/>
    <col min="14853" max="14853" width="6.28515625" style="261" customWidth="1"/>
    <col min="14854" max="14854" width="13.85546875" style="261" bestFit="1" customWidth="1"/>
    <col min="14855" max="14855" width="13.28515625" style="261" bestFit="1" customWidth="1"/>
    <col min="14856" max="14856" width="11.42578125" style="261"/>
    <col min="14857" max="14857" width="13.85546875" style="261" bestFit="1" customWidth="1"/>
    <col min="14858" max="14858" width="12.42578125" style="261" bestFit="1" customWidth="1"/>
    <col min="14859" max="15104" width="11.42578125" style="261"/>
    <col min="15105" max="15105" width="7.85546875" style="261" customWidth="1"/>
    <col min="15106" max="15106" width="10" style="261" customWidth="1"/>
    <col min="15107" max="15107" width="58.140625" style="261" customWidth="1"/>
    <col min="15108" max="15108" width="13.85546875" style="261" bestFit="1" customWidth="1"/>
    <col min="15109" max="15109" width="6.28515625" style="261" customWidth="1"/>
    <col min="15110" max="15110" width="13.85546875" style="261" bestFit="1" customWidth="1"/>
    <col min="15111" max="15111" width="13.28515625" style="261" bestFit="1" customWidth="1"/>
    <col min="15112" max="15112" width="11.42578125" style="261"/>
    <col min="15113" max="15113" width="13.85546875" style="261" bestFit="1" customWidth="1"/>
    <col min="15114" max="15114" width="12.42578125" style="261" bestFit="1" customWidth="1"/>
    <col min="15115" max="15360" width="11.42578125" style="261"/>
    <col min="15361" max="15361" width="7.85546875" style="261" customWidth="1"/>
    <col min="15362" max="15362" width="10" style="261" customWidth="1"/>
    <col min="15363" max="15363" width="58.140625" style="261" customWidth="1"/>
    <col min="15364" max="15364" width="13.85546875" style="261" bestFit="1" customWidth="1"/>
    <col min="15365" max="15365" width="6.28515625" style="261" customWidth="1"/>
    <col min="15366" max="15366" width="13.85546875" style="261" bestFit="1" customWidth="1"/>
    <col min="15367" max="15367" width="13.28515625" style="261" bestFit="1" customWidth="1"/>
    <col min="15368" max="15368" width="11.42578125" style="261"/>
    <col min="15369" max="15369" width="13.85546875" style="261" bestFit="1" customWidth="1"/>
    <col min="15370" max="15370" width="12.42578125" style="261" bestFit="1" customWidth="1"/>
    <col min="15371" max="15616" width="11.42578125" style="261"/>
    <col min="15617" max="15617" width="7.85546875" style="261" customWidth="1"/>
    <col min="15618" max="15618" width="10" style="261" customWidth="1"/>
    <col min="15619" max="15619" width="58.140625" style="261" customWidth="1"/>
    <col min="15620" max="15620" width="13.85546875" style="261" bestFit="1" customWidth="1"/>
    <col min="15621" max="15621" width="6.28515625" style="261" customWidth="1"/>
    <col min="15622" max="15622" width="13.85546875" style="261" bestFit="1" customWidth="1"/>
    <col min="15623" max="15623" width="13.28515625" style="261" bestFit="1" customWidth="1"/>
    <col min="15624" max="15624" width="11.42578125" style="261"/>
    <col min="15625" max="15625" width="13.85546875" style="261" bestFit="1" customWidth="1"/>
    <col min="15626" max="15626" width="12.42578125" style="261" bestFit="1" customWidth="1"/>
    <col min="15627" max="15872" width="11.42578125" style="261"/>
    <col min="15873" max="15873" width="7.85546875" style="261" customWidth="1"/>
    <col min="15874" max="15874" width="10" style="261" customWidth="1"/>
    <col min="15875" max="15875" width="58.140625" style="261" customWidth="1"/>
    <col min="15876" max="15876" width="13.85546875" style="261" bestFit="1" customWidth="1"/>
    <col min="15877" max="15877" width="6.28515625" style="261" customWidth="1"/>
    <col min="15878" max="15878" width="13.85546875" style="261" bestFit="1" customWidth="1"/>
    <col min="15879" max="15879" width="13.28515625" style="261" bestFit="1" customWidth="1"/>
    <col min="15880" max="15880" width="11.42578125" style="261"/>
    <col min="15881" max="15881" width="13.85546875" style="261" bestFit="1" customWidth="1"/>
    <col min="15882" max="15882" width="12.42578125" style="261" bestFit="1" customWidth="1"/>
    <col min="15883" max="16128" width="11.42578125" style="261"/>
    <col min="16129" max="16129" width="7.85546875" style="261" customWidth="1"/>
    <col min="16130" max="16130" width="10" style="261" customWidth="1"/>
    <col min="16131" max="16131" width="58.140625" style="261" customWidth="1"/>
    <col min="16132" max="16132" width="13.85546875" style="261" bestFit="1" customWidth="1"/>
    <col min="16133" max="16133" width="6.28515625" style="261" customWidth="1"/>
    <col min="16134" max="16134" width="13.85546875" style="261" bestFit="1" customWidth="1"/>
    <col min="16135" max="16135" width="13.28515625" style="261" bestFit="1" customWidth="1"/>
    <col min="16136" max="16136" width="11.42578125" style="261"/>
    <col min="16137" max="16137" width="13.85546875" style="261" bestFit="1" customWidth="1"/>
    <col min="16138" max="16138" width="12.42578125" style="261" bestFit="1" customWidth="1"/>
    <col min="16139" max="16384" width="11.42578125" style="261"/>
  </cols>
  <sheetData>
    <row r="1" spans="1:10" ht="24" customHeight="1">
      <c r="A1" s="260" t="s">
        <v>200</v>
      </c>
      <c r="B1" s="260"/>
      <c r="C1" s="260"/>
      <c r="D1" s="260"/>
      <c r="E1" s="260"/>
      <c r="F1" s="260"/>
      <c r="G1" s="414"/>
      <c r="H1" s="414"/>
      <c r="I1" s="414"/>
      <c r="J1" s="414"/>
    </row>
    <row r="2" spans="1:10" ht="23.25" customHeight="1">
      <c r="A2" s="415" t="s">
        <v>201</v>
      </c>
      <c r="B2" s="415"/>
      <c r="C2" s="415"/>
      <c r="D2" s="415"/>
      <c r="E2" s="415"/>
      <c r="F2" s="415"/>
      <c r="G2" s="416"/>
      <c r="H2" s="416"/>
      <c r="I2" s="416"/>
      <c r="J2" s="416"/>
    </row>
    <row r="3" spans="1:10" ht="21.75" customHeight="1">
      <c r="A3" s="415" t="s">
        <v>202</v>
      </c>
      <c r="B3" s="415"/>
      <c r="C3" s="415"/>
      <c r="D3" s="415"/>
      <c r="E3" s="415"/>
      <c r="F3" s="415"/>
      <c r="G3" s="416"/>
      <c r="H3" s="416"/>
      <c r="I3" s="416"/>
      <c r="J3" s="416"/>
    </row>
    <row r="4" spans="1:10" ht="20.25" customHeight="1">
      <c r="A4" s="266" t="s">
        <v>294</v>
      </c>
      <c r="B4" s="266"/>
      <c r="C4" s="266"/>
      <c r="D4" s="266"/>
      <c r="E4" s="266"/>
      <c r="F4" s="266"/>
      <c r="G4" s="417"/>
      <c r="H4" s="414"/>
      <c r="I4" s="414"/>
      <c r="J4" s="414"/>
    </row>
    <row r="5" spans="1:10" ht="51" customHeight="1">
      <c r="A5" s="389" t="str">
        <f>'[6]Renovation admin Det'!A5</f>
        <v>Name of work : Repairs /Renovation work for Existing Admin building at Othivakkam in Chennai City.</v>
      </c>
      <c r="B5" s="389"/>
      <c r="C5" s="389"/>
      <c r="D5" s="389"/>
      <c r="E5" s="389"/>
      <c r="F5" s="389"/>
      <c r="G5" s="271"/>
      <c r="H5" s="271"/>
      <c r="I5" s="271"/>
    </row>
    <row r="6" spans="1:10">
      <c r="A6" s="266" t="s">
        <v>296</v>
      </c>
      <c r="B6" s="390" t="s">
        <v>189</v>
      </c>
      <c r="C6" s="266" t="s">
        <v>205</v>
      </c>
      <c r="D6" s="266" t="s">
        <v>190</v>
      </c>
      <c r="E6" s="266" t="s">
        <v>297</v>
      </c>
      <c r="F6" s="266" t="s">
        <v>191</v>
      </c>
    </row>
    <row r="7" spans="1:10">
      <c r="A7" s="266"/>
      <c r="B7" s="390"/>
      <c r="C7" s="266"/>
      <c r="D7" s="266"/>
      <c r="E7" s="266"/>
      <c r="F7" s="266"/>
    </row>
    <row r="8" spans="1:10" ht="45" customHeight="1">
      <c r="A8" s="392">
        <v>1</v>
      </c>
      <c r="B8" s="393">
        <f>'[6]Renovation admin Det'!I36</f>
        <v>653</v>
      </c>
      <c r="C8" s="394" t="s">
        <v>639</v>
      </c>
      <c r="D8" s="281">
        <f>'[6]Renovation Admin Data'!F113</f>
        <v>31.88</v>
      </c>
      <c r="E8" s="278" t="s">
        <v>289</v>
      </c>
      <c r="F8" s="278">
        <f t="shared" ref="F8:F59" si="0">(B8*D8)</f>
        <v>20817.64</v>
      </c>
      <c r="G8" s="279"/>
      <c r="H8" s="279"/>
      <c r="I8" s="280"/>
    </row>
    <row r="9" spans="1:10" ht="38.25" customHeight="1">
      <c r="A9" s="392">
        <v>2</v>
      </c>
      <c r="B9" s="393">
        <f>'[6]Renovation admin Det'!I103</f>
        <v>1509</v>
      </c>
      <c r="C9" s="394" t="s">
        <v>640</v>
      </c>
      <c r="D9" s="282">
        <f>'[6]Renovation Admin Data'!F101</f>
        <v>123.02</v>
      </c>
      <c r="E9" s="278" t="s">
        <v>289</v>
      </c>
      <c r="F9" s="278">
        <f t="shared" si="0"/>
        <v>185637.18</v>
      </c>
      <c r="G9" s="279"/>
      <c r="H9" s="279"/>
      <c r="I9" s="280"/>
    </row>
    <row r="10" spans="1:10" ht="38.25" customHeight="1">
      <c r="A10" s="392">
        <v>3</v>
      </c>
      <c r="B10" s="393">
        <f>'[6]Renovation admin Det'!I171</f>
        <v>1232</v>
      </c>
      <c r="C10" s="394" t="s">
        <v>368</v>
      </c>
      <c r="D10" s="282">
        <f>'[6]Renovation Admin Data'!F86</f>
        <v>158.94999999999999</v>
      </c>
      <c r="E10" s="278" t="s">
        <v>289</v>
      </c>
      <c r="F10" s="278">
        <f t="shared" si="0"/>
        <v>195826.4</v>
      </c>
      <c r="G10" s="279"/>
      <c r="H10" s="279"/>
      <c r="I10" s="280"/>
    </row>
    <row r="11" spans="1:10" ht="213.75" customHeight="1">
      <c r="A11" s="392">
        <v>4</v>
      </c>
      <c r="B11" s="393">
        <f>'[6]Renovation admin Det'!I179</f>
        <v>35.5</v>
      </c>
      <c r="C11" s="394" t="str">
        <f>'[6]Renovation admin Det'!B173</f>
        <v>Manufacturing, Supplying and Fixing of Stainless Steel Hand 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complete. SOR 2021-2022 Pg.no. 57</v>
      </c>
      <c r="D11" s="282">
        <v>5482</v>
      </c>
      <c r="E11" s="278" t="s">
        <v>289</v>
      </c>
      <c r="F11" s="278">
        <f t="shared" si="0"/>
        <v>194611</v>
      </c>
      <c r="G11" s="279"/>
      <c r="H11" s="279"/>
      <c r="I11" s="280"/>
    </row>
    <row r="12" spans="1:10" ht="42.75" customHeight="1">
      <c r="A12" s="392">
        <v>5</v>
      </c>
      <c r="B12" s="393">
        <f>'[6]Renovation admin Det'!I183</f>
        <v>3.15</v>
      </c>
      <c r="C12" s="395" t="str">
        <f>'[6]Renovation admin Det'!B181</f>
        <v>Providing wooden MELAMEN DOOR POLISH for Main Door</v>
      </c>
      <c r="D12" s="281">
        <f>[6]Data!R2416</f>
        <v>1386.8</v>
      </c>
      <c r="E12" s="278" t="s">
        <v>289</v>
      </c>
      <c r="F12" s="278">
        <f t="shared" si="0"/>
        <v>4368.42</v>
      </c>
      <c r="G12" s="279"/>
      <c r="H12" s="279"/>
      <c r="I12" s="280"/>
    </row>
    <row r="13" spans="1:10" ht="53.25" customHeight="1">
      <c r="A13" s="392">
        <v>6</v>
      </c>
      <c r="B13" s="393">
        <f>'[6]Renovation admin Det'!I193</f>
        <v>30.6</v>
      </c>
      <c r="C13" s="394" t="str">
        <f>'[6]Renovation admin Det'!B185</f>
        <v>Supply and repairing of window glass panels of 4mm thick for steel window and ventilaters.</v>
      </c>
      <c r="D13" s="283">
        <f>[6]Data!K1185</f>
        <v>726.7</v>
      </c>
      <c r="E13" s="278" t="s">
        <v>289</v>
      </c>
      <c r="F13" s="278">
        <f t="shared" si="0"/>
        <v>22237.020000000004</v>
      </c>
      <c r="G13" s="279"/>
      <c r="H13" s="279"/>
      <c r="I13" s="280"/>
    </row>
    <row r="14" spans="1:10" ht="39" customHeight="1">
      <c r="A14" s="392">
        <v>7</v>
      </c>
      <c r="B14" s="393">
        <f>'[6]Renovation admin Det'!I195</f>
        <v>1</v>
      </c>
      <c r="C14" s="395" t="str">
        <f>'[6]Renovation admin Det'!B194</f>
        <v>EB Panel Borad for 1 services of size 3.3 ft x 3.3 ft x 1 ft</v>
      </c>
      <c r="D14" s="283">
        <f>[6]Elec.Data!K4095</f>
        <v>43630.559999999998</v>
      </c>
      <c r="E14" s="278" t="s">
        <v>18</v>
      </c>
      <c r="F14" s="278">
        <f t="shared" si="0"/>
        <v>43630.559999999998</v>
      </c>
      <c r="G14" s="279"/>
      <c r="H14" s="279"/>
      <c r="I14" s="280"/>
    </row>
    <row r="15" spans="1:10" ht="161.25" customHeight="1">
      <c r="A15" s="392">
        <v>8</v>
      </c>
      <c r="B15" s="393">
        <f>'[6]Renovation admin Det'!I198</f>
        <v>2</v>
      </c>
      <c r="C15" s="394" t="str">
        <f>'[6]Renovation admin Det'!B197</f>
        <v>Supply and fixing of horizontal type 6 Way TPDB 63A / Way with Fuse &amp; Neutral Link in sheet steel enclosure single door of single door type with metal door with IP43 protection with 63 Amps 30 MA - RCCB / ELCB (FOUR POLE) as incoming and 18 Nos. 6A to 32A SP MCB as outgoing in flush with wall and making good of the TW Board 40 cm x 30cm x 6.3 cm (MR) with earth connection. The MCB DB and MCB's should be with the ISI mark (like standard make)</v>
      </c>
      <c r="D15" s="283">
        <f>'[6]Renovation Admin Data'!F240</f>
        <v>15394.33</v>
      </c>
      <c r="E15" s="278" t="s">
        <v>18</v>
      </c>
      <c r="F15" s="278">
        <f t="shared" si="0"/>
        <v>30788.66</v>
      </c>
      <c r="G15" s="279"/>
      <c r="H15" s="279"/>
      <c r="I15" s="280"/>
    </row>
    <row r="16" spans="1:10" ht="41.25" customHeight="1">
      <c r="A16" s="392">
        <v>9</v>
      </c>
      <c r="B16" s="393">
        <f>'[6]Renovation admin Det'!I205</f>
        <v>5.0999999999999996</v>
      </c>
      <c r="C16" s="395" t="str">
        <f>'[6]Renovation admin Det'!B201</f>
        <v>Flush door shutter size 1200x2100 ( Single leaf)</v>
      </c>
      <c r="D16" s="283">
        <f>'[6]Renovation Admin Data'!F256</f>
        <v>2996.07</v>
      </c>
      <c r="E16" s="278" t="s">
        <v>289</v>
      </c>
      <c r="F16" s="278">
        <f t="shared" si="0"/>
        <v>15279.957</v>
      </c>
      <c r="G16" s="279"/>
      <c r="H16" s="279"/>
      <c r="I16" s="280"/>
    </row>
    <row r="17" spans="1:9" ht="42" customHeight="1">
      <c r="A17" s="392">
        <v>10</v>
      </c>
      <c r="B17" s="393">
        <f>'[6]Renovation admin Det'!I211</f>
        <v>25.2</v>
      </c>
      <c r="C17" s="396" t="str">
        <f>'[6]Renovation admin Det'!B207</f>
        <v>Supply and Fixing Soild UPVC door Shutter with frame</v>
      </c>
      <c r="D17" s="282">
        <v>3167</v>
      </c>
      <c r="E17" s="278" t="s">
        <v>289</v>
      </c>
      <c r="F17" s="278">
        <f t="shared" si="0"/>
        <v>79808.399999999994</v>
      </c>
      <c r="G17" s="279"/>
      <c r="H17" s="279"/>
      <c r="I17" s="280"/>
    </row>
    <row r="18" spans="1:9" ht="45.75" customHeight="1">
      <c r="A18" s="392">
        <v>11</v>
      </c>
      <c r="B18" s="393">
        <f>'[6]Renovation admin Det'!I215</f>
        <v>48</v>
      </c>
      <c r="C18" s="396" t="str">
        <f>'[6]Renovation admin Det'!B213</f>
        <v>Plastering In CM 1:3 - 12mm Thick mixed with water proof compound</v>
      </c>
      <c r="D18" s="282">
        <f>[6]Data!K1442</f>
        <v>252.14</v>
      </c>
      <c r="E18" s="278" t="s">
        <v>289</v>
      </c>
      <c r="F18" s="278">
        <f t="shared" si="0"/>
        <v>12102.72</v>
      </c>
      <c r="G18" s="279"/>
      <c r="H18" s="279"/>
      <c r="I18" s="280"/>
    </row>
    <row r="19" spans="1:9" ht="27.75" customHeight="1">
      <c r="A19" s="392">
        <v>12</v>
      </c>
      <c r="B19" s="393">
        <f>'[6]Renovation admin Det'!I220</f>
        <v>12</v>
      </c>
      <c r="C19" s="395" t="str">
        <f>'[6]Renovation admin Det'!B218</f>
        <v xml:space="preserve">Plastering in CM 1:3 - 10mm thick </v>
      </c>
      <c r="D19" s="282">
        <f>[6]Data!K1426</f>
        <v>265.68</v>
      </c>
      <c r="E19" s="278" t="s">
        <v>289</v>
      </c>
      <c r="F19" s="278">
        <f t="shared" si="0"/>
        <v>3188.16</v>
      </c>
      <c r="G19" s="279"/>
      <c r="H19" s="279"/>
      <c r="I19" s="280"/>
    </row>
    <row r="20" spans="1:9" ht="31.5">
      <c r="A20" s="392">
        <v>13</v>
      </c>
      <c r="B20" s="393"/>
      <c r="C20" s="402" t="str">
        <f>'[6]Renovation admin Det'!B222</f>
        <v>B.W IN C.M(1:6) using chamber burnt of size 23x11.4x7.5 cm</v>
      </c>
      <c r="D20" s="282"/>
      <c r="E20" s="278"/>
      <c r="F20" s="278"/>
      <c r="G20" s="279"/>
      <c r="H20" s="279"/>
      <c r="I20" s="280"/>
    </row>
    <row r="21" spans="1:9" ht="31.5" customHeight="1">
      <c r="A21" s="392"/>
      <c r="B21" s="393">
        <f>'[6]Renovation admin Det'!I225</f>
        <v>0.3</v>
      </c>
      <c r="C21" s="402" t="s">
        <v>641</v>
      </c>
      <c r="D21" s="282">
        <f>[6]Data!AG347</f>
        <v>6309.12</v>
      </c>
      <c r="E21" s="278" t="s">
        <v>642</v>
      </c>
      <c r="F21" s="278">
        <f t="shared" si="0"/>
        <v>1892.7359999999999</v>
      </c>
      <c r="G21" s="279"/>
      <c r="H21" s="279"/>
      <c r="I21" s="280"/>
    </row>
    <row r="22" spans="1:9" ht="36.75" customHeight="1">
      <c r="A22" s="392"/>
      <c r="B22" s="393">
        <f>'[6]Renovation admin Det'!I231</f>
        <v>0.5</v>
      </c>
      <c r="C22" s="402" t="s">
        <v>643</v>
      </c>
      <c r="D22" s="282">
        <f>[6]Data!AG349</f>
        <v>6610.96</v>
      </c>
      <c r="E22" s="278" t="s">
        <v>642</v>
      </c>
      <c r="F22" s="278">
        <f t="shared" si="0"/>
        <v>3305.48</v>
      </c>
      <c r="G22" s="279"/>
      <c r="H22" s="279"/>
      <c r="I22" s="280"/>
    </row>
    <row r="23" spans="1:9" ht="32.25" customHeight="1">
      <c r="A23" s="392">
        <v>14</v>
      </c>
      <c r="B23" s="393">
        <f>'[6]Renovation admin Det'!I241</f>
        <v>9.4</v>
      </c>
      <c r="C23" s="421" t="str">
        <f>'[6]Renovation admin Det'!B233</f>
        <v>Plastering in CM 1:5 - 12mm Thick</v>
      </c>
      <c r="D23" s="282">
        <f>[6]Data!K1400</f>
        <v>227.66</v>
      </c>
      <c r="E23" s="278" t="s">
        <v>289</v>
      </c>
      <c r="F23" s="278">
        <f t="shared" si="0"/>
        <v>2140.0039999999999</v>
      </c>
      <c r="G23" s="279"/>
      <c r="H23" s="279"/>
      <c r="I23" s="280"/>
    </row>
    <row r="24" spans="1:9" ht="40.5" customHeight="1">
      <c r="A24" s="392">
        <v>15</v>
      </c>
      <c r="B24" s="393">
        <f>'[6]Renovation admin Det'!I247</f>
        <v>17.399999999999999</v>
      </c>
      <c r="C24" s="402" t="str">
        <f>'[6]Renovation admin Det'!B243</f>
        <v>Painting Two coats over the new wood work with synthetic Enamel Paint</v>
      </c>
      <c r="D24" s="282">
        <f>[6]Data!K1540</f>
        <v>225.31</v>
      </c>
      <c r="E24" s="278" t="s">
        <v>289</v>
      </c>
      <c r="F24" s="278">
        <f t="shared" si="0"/>
        <v>3920.3939999999998</v>
      </c>
      <c r="G24" s="279"/>
      <c r="H24" s="279"/>
      <c r="I24" s="280"/>
    </row>
    <row r="25" spans="1:9" ht="48" customHeight="1">
      <c r="A25" s="392">
        <v>16</v>
      </c>
      <c r="B25" s="393">
        <f>'[6]Renovation admin Det'!I251</f>
        <v>60.5</v>
      </c>
      <c r="C25" s="403" t="str">
        <f>'[6]Renovation admin Det'!B249</f>
        <v>Painting Two coats over the old wood work with synthetic Enamel Paint</v>
      </c>
      <c r="D25" s="282">
        <f>[6]Data!K3231</f>
        <v>153.36000000000001</v>
      </c>
      <c r="E25" s="278" t="s">
        <v>289</v>
      </c>
      <c r="F25" s="278">
        <f t="shared" si="0"/>
        <v>9278.2800000000007</v>
      </c>
      <c r="G25" s="279"/>
      <c r="H25" s="279"/>
      <c r="I25" s="280"/>
    </row>
    <row r="26" spans="1:9" ht="51.75" customHeight="1">
      <c r="A26" s="392">
        <v>17</v>
      </c>
      <c r="B26" s="393">
        <f>'[6]Renovation admin Det'!I261</f>
        <v>78.599999999999994</v>
      </c>
      <c r="C26" s="404" t="str">
        <f>'[6]Renovation admin Det'!B253</f>
        <v>Painting Two coats over the old Iron work with synthetic Enamel Paint</v>
      </c>
      <c r="D26" s="282">
        <f>[6]Data!K3247</f>
        <v>134.72999999999999</v>
      </c>
      <c r="E26" s="278" t="s">
        <v>289</v>
      </c>
      <c r="F26" s="278">
        <f t="shared" si="0"/>
        <v>10589.777999999998</v>
      </c>
      <c r="G26" s="279"/>
      <c r="H26" s="279"/>
      <c r="I26" s="280"/>
    </row>
    <row r="27" spans="1:9" ht="80.25" customHeight="1">
      <c r="A27" s="392">
        <v>18</v>
      </c>
      <c r="B27" s="393">
        <f>'[6]Renovation admin Det'!I267</f>
        <v>14.5</v>
      </c>
      <c r="C27" s="404" t="str">
        <f>'[6]Renovation admin Det'!B263</f>
        <v>Dismantling Floor finish and dadooing walls in cement mortar with
Mosaic Tiles / Glazed Tiles / Cuddapah Slabs. PWD SR 2021-2022 Pg.no-22.</v>
      </c>
      <c r="D27" s="282">
        <v>47.8</v>
      </c>
      <c r="E27" s="278" t="s">
        <v>289</v>
      </c>
      <c r="F27" s="278">
        <f t="shared" si="0"/>
        <v>693.09999999999991</v>
      </c>
      <c r="G27" s="279"/>
      <c r="H27" s="279"/>
      <c r="I27" s="280"/>
    </row>
    <row r="28" spans="1:9" ht="45" customHeight="1">
      <c r="A28" s="392">
        <v>19</v>
      </c>
      <c r="B28" s="393">
        <f>'[6]Renovation admin Det'!I279</f>
        <v>274</v>
      </c>
      <c r="C28" s="404" t="str">
        <f>'[6]Renovation admin Det'!B269</f>
        <v>Dismantling Pressed Tiles &amp; Weathering Course. PWD SR 2021-2022 Pg.no-22.</v>
      </c>
      <c r="D28" s="282">
        <v>36.1</v>
      </c>
      <c r="E28" s="278" t="s">
        <v>289</v>
      </c>
      <c r="F28" s="278">
        <f t="shared" si="0"/>
        <v>9891.4</v>
      </c>
      <c r="G28" s="279"/>
      <c r="H28" s="279"/>
      <c r="I28" s="280"/>
    </row>
    <row r="29" spans="1:9" ht="33" customHeight="1">
      <c r="A29" s="392">
        <v>20</v>
      </c>
      <c r="B29" s="393">
        <f>'[6]Renovation admin Det'!I291</f>
        <v>267</v>
      </c>
      <c r="C29" s="404" t="str">
        <f>'[6]Renovation admin Det'!B281</f>
        <v>Providing cooling tiles over terrace floor</v>
      </c>
      <c r="D29" s="282">
        <f>[6]Data!X1347</f>
        <v>1584.77</v>
      </c>
      <c r="E29" s="278" t="s">
        <v>289</v>
      </c>
      <c r="F29" s="278">
        <f t="shared" si="0"/>
        <v>423133.58999999997</v>
      </c>
      <c r="G29" s="279"/>
      <c r="H29" s="279"/>
      <c r="I29" s="280"/>
    </row>
    <row r="30" spans="1:9" ht="56.25" customHeight="1">
      <c r="A30" s="392">
        <v>21</v>
      </c>
      <c r="B30" s="393">
        <f>'[6]Renovation admin Det'!I303</f>
        <v>82.5</v>
      </c>
      <c r="C30" s="402" t="str">
        <f>'[6]Renovation admin Det'!B293</f>
        <v>Providing White/Color ceramic floor tiles (Anti-skid) of any size 0f 6mm T.K including pointing etc., as directed by the Dept.Officers.</v>
      </c>
      <c r="D30" s="282">
        <f>[6]Data!K1278</f>
        <v>1305.26</v>
      </c>
      <c r="E30" s="278" t="s">
        <v>289</v>
      </c>
      <c r="F30" s="278">
        <f t="shared" si="0"/>
        <v>107683.95</v>
      </c>
      <c r="G30" s="279"/>
      <c r="H30" s="279"/>
      <c r="I30" s="280"/>
    </row>
    <row r="31" spans="1:9" ht="44.25" customHeight="1">
      <c r="A31" s="392">
        <v>22</v>
      </c>
      <c r="B31" s="393">
        <f>'[6]Renovation admin Det'!I319</f>
        <v>282.60000000000002</v>
      </c>
      <c r="C31" s="402" t="str">
        <f>'[6]Renovation admin Det'!B305</f>
        <v xml:space="preserve">Suppling and laying White/Plain colour Glazed tiles in C.M(1:2) </v>
      </c>
      <c r="D31" s="282">
        <f>[6]Data!K1264</f>
        <v>1138.92</v>
      </c>
      <c r="E31" s="278" t="s">
        <v>289</v>
      </c>
      <c r="F31" s="278">
        <f t="shared" si="0"/>
        <v>321858.79200000007</v>
      </c>
      <c r="G31" s="279"/>
      <c r="H31" s="279"/>
      <c r="I31" s="280"/>
    </row>
    <row r="32" spans="1:9" ht="32.25" customHeight="1">
      <c r="A32" s="392">
        <v>23</v>
      </c>
      <c r="B32" s="393">
        <f>'[6]Renovation admin Det'!I349</f>
        <v>401.3</v>
      </c>
      <c r="C32" s="402" t="str">
        <f>'[6]Renovation admin Det'!B321</f>
        <v>Vitrified Tiles flooring (Ivory)</v>
      </c>
      <c r="D32" s="282">
        <f>'[6]Renovation Admin Data'!F586</f>
        <v>1196.8800000000001</v>
      </c>
      <c r="E32" s="278" t="s">
        <v>289</v>
      </c>
      <c r="F32" s="278">
        <f t="shared" si="0"/>
        <v>480307.94400000008</v>
      </c>
      <c r="G32" s="279"/>
      <c r="H32" s="279"/>
      <c r="I32" s="280"/>
    </row>
    <row r="33" spans="1:9" ht="32.25" customHeight="1">
      <c r="A33" s="392">
        <v>24</v>
      </c>
      <c r="B33" s="393">
        <f>'[6]Renovation admin Det'!I359</f>
        <v>152.94999999999999</v>
      </c>
      <c r="C33" s="402" t="str">
        <f>'[6]Renovation admin Det'!B351</f>
        <v>Concrete designer tiles flooring</v>
      </c>
      <c r="D33" s="282">
        <f>'[6]Renovation Admin Data'!F428</f>
        <v>1401.76</v>
      </c>
      <c r="E33" s="278" t="s">
        <v>289</v>
      </c>
      <c r="F33" s="278">
        <f t="shared" si="0"/>
        <v>214399.19199999998</v>
      </c>
      <c r="G33" s="279"/>
      <c r="H33" s="279"/>
      <c r="I33" s="280"/>
    </row>
    <row r="34" spans="1:9" ht="43.5" customHeight="1">
      <c r="A34" s="392">
        <v>25</v>
      </c>
      <c r="B34" s="393">
        <f>'[6]Renovation admin Det'!I370</f>
        <v>9.4</v>
      </c>
      <c r="C34" s="402" t="str">
        <f>'[6]Renovation admin Det'!B362</f>
        <v>Painting two coats over new plastered surface with plastic emulsion paint</v>
      </c>
      <c r="D34" s="282">
        <f>[6]Data!R1326</f>
        <v>222.05</v>
      </c>
      <c r="E34" s="278" t="s">
        <v>289</v>
      </c>
      <c r="F34" s="278">
        <f t="shared" si="0"/>
        <v>2087.27</v>
      </c>
      <c r="G34" s="279"/>
      <c r="H34" s="279"/>
      <c r="I34" s="280"/>
    </row>
    <row r="35" spans="1:9" ht="68.25" customHeight="1">
      <c r="A35" s="392">
        <v>26</v>
      </c>
      <c r="B35" s="393">
        <f>'[6]Renovation admin Det'!I380</f>
        <v>8.3000000000000007</v>
      </c>
      <c r="C35" s="402" t="str">
        <f>'[6]Renovation admin Det'!B372</f>
        <v>Dismantling, clearing away and carefully stacking materials useful for re-use for any thickness of walls of Brick / Stone Masonry in cement mortar walls under 3m high - SOR 2021-2022 Pg.No: 21</v>
      </c>
      <c r="D35" s="282">
        <v>221.9</v>
      </c>
      <c r="E35" s="278" t="s">
        <v>642</v>
      </c>
      <c r="F35" s="278">
        <f t="shared" si="0"/>
        <v>1841.7700000000002</v>
      </c>
      <c r="G35" s="279"/>
      <c r="H35" s="279"/>
      <c r="I35" s="280"/>
    </row>
    <row r="36" spans="1:9" ht="31.5" customHeight="1">
      <c r="A36" s="392">
        <v>27</v>
      </c>
      <c r="B36" s="393">
        <f>'[6]Renovation admin Det'!I383</f>
        <v>8</v>
      </c>
      <c r="C36" s="402" t="str">
        <f>'[6]Renovation admin Det'!B382</f>
        <v>Supply and laying 20mm dia PVC ASTM pipe</v>
      </c>
      <c r="D36" s="282">
        <f>[6]Data!K1874</f>
        <v>218.47</v>
      </c>
      <c r="E36" s="278" t="s">
        <v>15</v>
      </c>
      <c r="F36" s="278">
        <f t="shared" si="0"/>
        <v>1747.76</v>
      </c>
      <c r="G36" s="279"/>
      <c r="H36" s="279"/>
      <c r="I36" s="280"/>
    </row>
    <row r="37" spans="1:9" ht="28.5" customHeight="1">
      <c r="A37" s="392">
        <v>28</v>
      </c>
      <c r="B37" s="393">
        <f>'[6]Renovation admin Det'!I385</f>
        <v>16</v>
      </c>
      <c r="C37" s="402" t="str">
        <f>'[6]Renovation admin Det'!B385</f>
        <v>15mm dia half turn CP Long Body Tap</v>
      </c>
      <c r="D37" s="282">
        <f>[6]Data!AG3115</f>
        <v>480</v>
      </c>
      <c r="E37" s="278" t="s">
        <v>18</v>
      </c>
      <c r="F37" s="278">
        <f t="shared" si="0"/>
        <v>7680</v>
      </c>
      <c r="G37" s="279"/>
      <c r="H37" s="279"/>
      <c r="I37" s="280"/>
    </row>
    <row r="38" spans="1:9" ht="30" customHeight="1">
      <c r="A38" s="392">
        <v>29</v>
      </c>
      <c r="B38" s="393">
        <f>'[6]Renovation admin Det'!I387</f>
        <v>12</v>
      </c>
      <c r="C38" s="402" t="str">
        <f>'[6]Renovation admin Det'!B387</f>
        <v>15mm dia half turn CP short body Tap</v>
      </c>
      <c r="D38" s="282">
        <f>[6]Data!AH3115</f>
        <v>432</v>
      </c>
      <c r="E38" s="278" t="s">
        <v>18</v>
      </c>
      <c r="F38" s="278">
        <f t="shared" si="0"/>
        <v>5184</v>
      </c>
      <c r="G38" s="279"/>
      <c r="H38" s="279"/>
      <c r="I38" s="280"/>
    </row>
    <row r="39" spans="1:9" ht="30" customHeight="1">
      <c r="A39" s="392">
        <v>30</v>
      </c>
      <c r="B39" s="393">
        <f>'[6]Renovation admin Det'!I390</f>
        <v>20</v>
      </c>
      <c r="C39" s="402" t="str">
        <f>'[6]Renovation admin Det'!B389</f>
        <v>Supply and Fixing PVC 4 way Nahani Trap</v>
      </c>
      <c r="D39" s="282">
        <f>[6]Data!K2119</f>
        <v>152.6</v>
      </c>
      <c r="E39" s="278" t="s">
        <v>18</v>
      </c>
      <c r="F39" s="278">
        <f t="shared" si="0"/>
        <v>3052</v>
      </c>
      <c r="G39" s="279"/>
      <c r="H39" s="279"/>
      <c r="I39" s="280"/>
    </row>
    <row r="40" spans="1:9" ht="36" customHeight="1">
      <c r="A40" s="392">
        <v>31</v>
      </c>
      <c r="B40" s="393">
        <f>'[6]Renovation admin Det'!I395</f>
        <v>20</v>
      </c>
      <c r="C40" s="402" t="str">
        <f>'[6]Renovation admin Det'!B392</f>
        <v>Supply and fixing of 50mm dia ASTM PVC Pipe</v>
      </c>
      <c r="D40" s="282">
        <f>[6]Data!K1899</f>
        <v>294.01</v>
      </c>
      <c r="E40" s="278" t="s">
        <v>15</v>
      </c>
      <c r="F40" s="278">
        <f t="shared" si="0"/>
        <v>5880.2</v>
      </c>
      <c r="G40" s="279"/>
      <c r="H40" s="279"/>
      <c r="I40" s="280"/>
    </row>
    <row r="41" spans="1:9" ht="43.5" customHeight="1">
      <c r="A41" s="392">
        <v>32</v>
      </c>
      <c r="B41" s="393">
        <f>'[6]Renovation admin Det'!I414</f>
        <v>166</v>
      </c>
      <c r="C41" s="402" t="str">
        <f>'[6]Renovation admin Det'!B397</f>
        <v>Supply and fixing of Modular Switches (6A) - 6A Switch 1W - 1 Module pg.no 121 SOR 2021-2022</v>
      </c>
      <c r="D41" s="282">
        <v>77.400000000000006</v>
      </c>
      <c r="E41" s="278" t="s">
        <v>18</v>
      </c>
      <c r="F41" s="278">
        <f t="shared" si="0"/>
        <v>12848.400000000001</v>
      </c>
      <c r="G41" s="279"/>
      <c r="H41" s="279"/>
      <c r="I41" s="280"/>
    </row>
    <row r="42" spans="1:9" ht="42.75" customHeight="1">
      <c r="A42" s="392">
        <v>33</v>
      </c>
      <c r="B42" s="393"/>
      <c r="C42" s="402" t="str">
        <f>'[6]Renovation admin Det'!B416</f>
        <v>supply and fixing of COMBINED PLATES (PLASTIC) - SOR 2021-2022 - Pg.no : 123</v>
      </c>
      <c r="D42" s="282"/>
      <c r="E42" s="278"/>
      <c r="F42" s="278"/>
      <c r="G42" s="279"/>
      <c r="H42" s="279"/>
      <c r="I42" s="280"/>
    </row>
    <row r="43" spans="1:9" ht="25.5" customHeight="1">
      <c r="A43" s="392"/>
      <c r="B43" s="393">
        <f>'[6]Renovation admin Det'!I430</f>
        <v>13</v>
      </c>
      <c r="C43" s="402" t="str">
        <f>'[6]Renovation admin Det'!B417</f>
        <v>a) 8 Module Cover Plate (H)</v>
      </c>
      <c r="D43" s="282">
        <v>160.69999999999999</v>
      </c>
      <c r="E43" s="278" t="s">
        <v>18</v>
      </c>
      <c r="F43" s="278">
        <f t="shared" si="0"/>
        <v>2089.1</v>
      </c>
      <c r="G43" s="279"/>
      <c r="H43" s="279"/>
      <c r="I43" s="280"/>
    </row>
    <row r="44" spans="1:9" ht="25.5" customHeight="1">
      <c r="A44" s="392"/>
      <c r="B44" s="393">
        <f>'[6]Renovation admin Det'!I439</f>
        <v>8</v>
      </c>
      <c r="C44" s="402" t="str">
        <f>'[6]Renovation admin Det'!B432</f>
        <v xml:space="preserve">b) 12 Module Cover Plate </v>
      </c>
      <c r="D44" s="282">
        <v>200.2</v>
      </c>
      <c r="E44" s="278" t="s">
        <v>18</v>
      </c>
      <c r="F44" s="278">
        <f t="shared" si="0"/>
        <v>1601.6</v>
      </c>
      <c r="G44" s="279"/>
      <c r="H44" s="279"/>
      <c r="I44" s="280"/>
    </row>
    <row r="45" spans="1:9" ht="42" customHeight="1">
      <c r="A45" s="392">
        <v>34</v>
      </c>
      <c r="B45" s="393">
        <f>'[6]Renovation admin Det'!I458</f>
        <v>21</v>
      </c>
      <c r="C45" s="402" t="str">
        <f>'[6]Renovation admin Det'!B441</f>
        <v>Supply and fixing of SOCKET - 230V 6/16A Socket - 3 Module - SOR 2021-2022 Pg.no: 123</v>
      </c>
      <c r="D45" s="282">
        <v>216.1</v>
      </c>
      <c r="E45" s="278" t="s">
        <v>18</v>
      </c>
      <c r="F45" s="278">
        <f t="shared" si="0"/>
        <v>4538.0999999999995</v>
      </c>
      <c r="G45" s="279"/>
      <c r="H45" s="279"/>
      <c r="I45" s="280"/>
    </row>
    <row r="46" spans="1:9" ht="111.75" customHeight="1">
      <c r="A46" s="392">
        <v>35</v>
      </c>
      <c r="B46" s="393">
        <f>'[6]Renovation admin Det'!I462</f>
        <v>48</v>
      </c>
      <c r="C46" s="402" t="str">
        <f>'[6]Renovation admin Det'!B460</f>
        <v>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
      <c r="D46" s="282">
        <f>[6]Elec.Data!K3963</f>
        <v>136.43</v>
      </c>
      <c r="E46" s="278" t="s">
        <v>15</v>
      </c>
      <c r="F46" s="278">
        <f t="shared" si="0"/>
        <v>6548.64</v>
      </c>
      <c r="G46" s="279"/>
      <c r="H46" s="279"/>
      <c r="I46" s="280"/>
    </row>
    <row r="47" spans="1:9" ht="105.75" customHeight="1">
      <c r="A47" s="392">
        <v>36</v>
      </c>
      <c r="B47" s="393">
        <f>'[6]Renovation admin Det'!I467</f>
        <v>18</v>
      </c>
      <c r="C47" s="405" t="str">
        <f>'[6]Renovation admin Det'!B464</f>
        <v>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v>
      </c>
      <c r="D47" s="282">
        <f>[6]Elec.Data!K3976</f>
        <v>164.83</v>
      </c>
      <c r="E47" s="278" t="s">
        <v>15</v>
      </c>
      <c r="F47" s="278">
        <f t="shared" si="0"/>
        <v>2966.94</v>
      </c>
      <c r="G47" s="279"/>
      <c r="H47" s="279"/>
      <c r="I47" s="280"/>
    </row>
    <row r="48" spans="1:9" ht="117" customHeight="1">
      <c r="A48" s="392">
        <v>37</v>
      </c>
      <c r="B48" s="393">
        <f>'[6]Renovation admin Det'!I470</f>
        <v>4</v>
      </c>
      <c r="C48" s="405" t="str">
        <f>'[6]Renovation admin Det'!B469</f>
        <v>Supply and  Fixing of 48 w LED street light fitting including GI pipe B class of 50 mm dia with Back clamps with bolts and nuts, 15 Amps 500 V fuse unit in TW plank for fixing the fuse unit of 150 x 100 x 20 mm, 2.5 Sqmm PVC insulated unsheathed copper cable and Labour charges for fixing the street light fitting with the required accessories in the E.B pole including connection etc., complete.</v>
      </c>
      <c r="D48" s="282">
        <f>'[6]Renovation Admin Data'!F504</f>
        <v>7119.4</v>
      </c>
      <c r="E48" s="278" t="s">
        <v>18</v>
      </c>
      <c r="F48" s="278">
        <f t="shared" si="0"/>
        <v>28477.599999999999</v>
      </c>
      <c r="G48" s="279"/>
      <c r="H48" s="279"/>
      <c r="I48" s="280"/>
    </row>
    <row r="49" spans="1:9">
      <c r="A49" s="392">
        <v>38</v>
      </c>
      <c r="B49" s="393"/>
      <c r="C49" s="405" t="str">
        <f>'[6]Renovation admin Det'!B472</f>
        <v>Providing Teak Wood Wrought and Put up</v>
      </c>
      <c r="D49" s="282"/>
      <c r="E49" s="278"/>
      <c r="F49" s="278"/>
      <c r="G49" s="279"/>
      <c r="H49" s="279"/>
      <c r="I49" s="280"/>
    </row>
    <row r="50" spans="1:9">
      <c r="A50" s="392"/>
      <c r="B50" s="422">
        <f>'[6]Renovation admin Det'!I473</f>
        <v>8.4000000000000005E-2</v>
      </c>
      <c r="C50" s="405" t="str">
        <f>'[6]Renovation admin Det'!B473</f>
        <v>a) T.W.SCANTLING 2M-3M LONG</v>
      </c>
      <c r="D50" s="282">
        <f>[6]Data!K923</f>
        <v>124580</v>
      </c>
      <c r="E50" s="278" t="s">
        <v>642</v>
      </c>
      <c r="F50" s="278">
        <f t="shared" si="0"/>
        <v>10464.720000000001</v>
      </c>
      <c r="G50" s="279"/>
      <c r="H50" s="279"/>
      <c r="I50" s="280"/>
    </row>
    <row r="51" spans="1:9">
      <c r="A51" s="392"/>
      <c r="B51" s="422">
        <f>'[6]Renovation admin Det'!I475</f>
        <v>3.5999999999999997E-2</v>
      </c>
      <c r="C51" s="405" t="str">
        <f>'[6]Renovation admin Det'!B475</f>
        <v>b) T.W.SCANTLING UP TO 2M LONG</v>
      </c>
      <c r="D51" s="282">
        <f>[6]Data!K930</f>
        <v>112380</v>
      </c>
      <c r="E51" s="278" t="s">
        <v>642</v>
      </c>
      <c r="F51" s="278">
        <f t="shared" si="0"/>
        <v>4045.68</v>
      </c>
      <c r="G51" s="279"/>
      <c r="H51" s="279"/>
      <c r="I51" s="280"/>
    </row>
    <row r="52" spans="1:9" ht="31.5">
      <c r="A52" s="392">
        <v>39</v>
      </c>
      <c r="B52" s="422">
        <f>'[6]Renovation admin Det'!I479</f>
        <v>40</v>
      </c>
      <c r="C52" s="338" t="s">
        <v>644</v>
      </c>
      <c r="D52" s="282">
        <v>172.2</v>
      </c>
      <c r="E52" s="278" t="s">
        <v>18</v>
      </c>
      <c r="F52" s="278">
        <f t="shared" si="0"/>
        <v>6888</v>
      </c>
      <c r="G52" s="279"/>
      <c r="H52" s="279"/>
      <c r="I52" s="280"/>
    </row>
    <row r="53" spans="1:9">
      <c r="A53" s="392">
        <v>40</v>
      </c>
      <c r="B53" s="422"/>
      <c r="C53" s="423" t="s">
        <v>645</v>
      </c>
      <c r="D53" s="282"/>
      <c r="E53" s="278"/>
      <c r="F53" s="278"/>
      <c r="G53" s="279"/>
      <c r="H53" s="279"/>
      <c r="I53" s="280"/>
    </row>
    <row r="54" spans="1:9" ht="26.25" customHeight="1">
      <c r="A54" s="392"/>
      <c r="B54" s="393">
        <f>'[6]Renovation admin Det'!I483</f>
        <v>100</v>
      </c>
      <c r="C54" s="424" t="s">
        <v>646</v>
      </c>
      <c r="D54" s="282">
        <f>'[6]Renovation Admin Data'!F608</f>
        <v>240.49</v>
      </c>
      <c r="E54" s="278" t="s">
        <v>15</v>
      </c>
      <c r="F54" s="278">
        <f t="shared" si="0"/>
        <v>24049</v>
      </c>
      <c r="G54" s="279"/>
      <c r="H54" s="279"/>
      <c r="I54" s="280"/>
    </row>
    <row r="55" spans="1:9" ht="24.75" customHeight="1">
      <c r="A55" s="392"/>
      <c r="B55" s="393">
        <f>'[6]Renovation admin Det'!I486</f>
        <v>200</v>
      </c>
      <c r="C55" s="424" t="s">
        <v>647</v>
      </c>
      <c r="D55" s="282">
        <f>'[6]Renovation Admin Data'!F600</f>
        <v>223.26</v>
      </c>
      <c r="E55" s="278" t="s">
        <v>15</v>
      </c>
      <c r="F55" s="278">
        <f t="shared" si="0"/>
        <v>44652</v>
      </c>
      <c r="G55" s="279"/>
      <c r="H55" s="279"/>
      <c r="I55" s="280"/>
    </row>
    <row r="56" spans="1:9" ht="40.5" customHeight="1">
      <c r="A56" s="392">
        <v>41</v>
      </c>
      <c r="B56" s="393">
        <f>'[6]Renovation admin Det'!I489</f>
        <v>90</v>
      </c>
      <c r="C56" s="424" t="s">
        <v>648</v>
      </c>
      <c r="D56" s="282">
        <f>'[6]Renovation Admin Data'!F626</f>
        <v>334.19</v>
      </c>
      <c r="E56" s="278" t="s">
        <v>15</v>
      </c>
      <c r="F56" s="278">
        <f t="shared" si="0"/>
        <v>30077.1</v>
      </c>
      <c r="G56" s="279"/>
      <c r="H56" s="279"/>
      <c r="I56" s="280"/>
    </row>
    <row r="57" spans="1:9" ht="27.75" customHeight="1">
      <c r="A57" s="392">
        <v>42</v>
      </c>
      <c r="B57" s="393"/>
      <c r="C57" s="425" t="s">
        <v>649</v>
      </c>
      <c r="D57" s="282"/>
      <c r="E57" s="278"/>
      <c r="F57" s="278"/>
      <c r="G57" s="279"/>
      <c r="H57" s="279"/>
      <c r="I57" s="280"/>
    </row>
    <row r="58" spans="1:9" ht="30.75" customHeight="1">
      <c r="A58" s="392"/>
      <c r="B58" s="393">
        <f>'[6]Renovation admin Det'!I493</f>
        <v>96</v>
      </c>
      <c r="C58" s="419" t="s">
        <v>650</v>
      </c>
      <c r="D58" s="282">
        <f>'[6]Renovation Admin Data'!F653</f>
        <v>692.5</v>
      </c>
      <c r="E58" s="278" t="s">
        <v>15</v>
      </c>
      <c r="F58" s="278">
        <f t="shared" si="0"/>
        <v>66480</v>
      </c>
      <c r="G58" s="279"/>
      <c r="H58" s="279"/>
      <c r="I58" s="280"/>
    </row>
    <row r="59" spans="1:9" ht="31.5" customHeight="1">
      <c r="A59" s="392"/>
      <c r="B59" s="393">
        <f>'[6]Renovation admin Det'!I496</f>
        <v>96</v>
      </c>
      <c r="C59" s="419" t="s">
        <v>651</v>
      </c>
      <c r="D59" s="282">
        <f>'[6]Renovation Admin Data'!F677</f>
        <v>576.63</v>
      </c>
      <c r="E59" s="278" t="s">
        <v>15</v>
      </c>
      <c r="F59" s="278">
        <f t="shared" si="0"/>
        <v>55356.479999999996</v>
      </c>
      <c r="G59" s="279"/>
      <c r="H59" s="279"/>
      <c r="I59" s="280"/>
    </row>
    <row r="60" spans="1:9" ht="27.75" customHeight="1">
      <c r="A60" s="392"/>
      <c r="B60" s="393"/>
      <c r="C60" s="406" t="s">
        <v>306</v>
      </c>
      <c r="D60" s="282"/>
      <c r="E60" s="278" t="s">
        <v>26</v>
      </c>
      <c r="F60" s="288">
        <f>SUM(F8:F59)</f>
        <v>2725947.117000001</v>
      </c>
      <c r="G60" s="279"/>
      <c r="H60" s="279"/>
      <c r="I60" s="280"/>
    </row>
    <row r="61" spans="1:9" ht="24.75" customHeight="1">
      <c r="A61" s="392">
        <v>43</v>
      </c>
      <c r="B61" s="393"/>
      <c r="C61" s="406" t="s">
        <v>216</v>
      </c>
      <c r="D61" s="282"/>
      <c r="E61" s="278" t="s">
        <v>26</v>
      </c>
      <c r="F61" s="288">
        <f>F60*18%</f>
        <v>490670.48106000014</v>
      </c>
      <c r="G61" s="279"/>
      <c r="H61" s="279"/>
      <c r="I61" s="280"/>
    </row>
    <row r="62" spans="1:9" ht="25.5" customHeight="1">
      <c r="A62" s="392"/>
      <c r="B62" s="393"/>
      <c r="C62" s="406" t="s">
        <v>307</v>
      </c>
      <c r="D62" s="282"/>
      <c r="E62" s="278" t="s">
        <v>26</v>
      </c>
      <c r="F62" s="288">
        <f>SUM(F60:F61)</f>
        <v>3216617.5980600012</v>
      </c>
      <c r="G62" s="279"/>
      <c r="H62" s="279"/>
      <c r="I62" s="280"/>
    </row>
    <row r="63" spans="1:9" ht="23.25" customHeight="1">
      <c r="A63" s="392">
        <v>44</v>
      </c>
      <c r="B63" s="393" t="s">
        <v>38</v>
      </c>
      <c r="C63" s="394" t="s">
        <v>217</v>
      </c>
      <c r="D63" s="407"/>
      <c r="E63" s="278" t="s">
        <v>26</v>
      </c>
      <c r="F63" s="278">
        <f>F62*1%</f>
        <v>32166.175980600012</v>
      </c>
      <c r="G63" s="279"/>
      <c r="H63" s="279"/>
      <c r="I63" s="280"/>
    </row>
    <row r="64" spans="1:9" ht="24.75" customHeight="1">
      <c r="A64" s="392">
        <v>45</v>
      </c>
      <c r="B64" s="393" t="s">
        <v>38</v>
      </c>
      <c r="C64" s="394" t="s">
        <v>218</v>
      </c>
      <c r="D64" s="407"/>
      <c r="E64" s="278" t="s">
        <v>26</v>
      </c>
      <c r="F64" s="278">
        <f>F62*2.5%</f>
        <v>80415.43995150004</v>
      </c>
      <c r="G64" s="279"/>
      <c r="H64" s="279"/>
      <c r="I64" s="280"/>
    </row>
    <row r="65" spans="1:10" ht="29.25" customHeight="1">
      <c r="A65" s="392">
        <v>46</v>
      </c>
      <c r="B65" s="393" t="s">
        <v>38</v>
      </c>
      <c r="C65" s="394" t="s">
        <v>219</v>
      </c>
      <c r="D65" s="407"/>
      <c r="E65" s="278" t="s">
        <v>26</v>
      </c>
      <c r="F65" s="278">
        <f>F62*7.5%</f>
        <v>241246.31985450006</v>
      </c>
      <c r="G65" s="279"/>
      <c r="H65" s="279"/>
      <c r="I65" s="280"/>
    </row>
    <row r="66" spans="1:10" ht="25.5" customHeight="1">
      <c r="A66" s="392"/>
      <c r="B66" s="393"/>
      <c r="C66" s="406" t="s">
        <v>308</v>
      </c>
      <c r="D66" s="282"/>
      <c r="E66" s="278" t="s">
        <v>26</v>
      </c>
      <c r="F66" s="288">
        <f>SUM(F62:F65)</f>
        <v>3570445.5338466014</v>
      </c>
      <c r="G66" s="290"/>
      <c r="H66" s="279"/>
      <c r="I66" s="280"/>
    </row>
    <row r="67" spans="1:10" ht="28.5" customHeight="1">
      <c r="A67" s="392"/>
      <c r="B67" s="393"/>
      <c r="C67" s="406"/>
      <c r="D67" s="291" t="s">
        <v>25</v>
      </c>
      <c r="E67" s="278" t="s">
        <v>26</v>
      </c>
      <c r="F67" s="288">
        <f>CEILING(F66,100)</f>
        <v>3570500</v>
      </c>
      <c r="G67" s="292"/>
      <c r="H67" s="292"/>
    </row>
    <row r="68" spans="1:10">
      <c r="A68" s="296"/>
      <c r="B68" s="297"/>
      <c r="C68" s="408"/>
      <c r="D68" s="296"/>
      <c r="E68" s="296"/>
      <c r="F68" s="296"/>
    </row>
    <row r="69" spans="1:10">
      <c r="A69" s="296"/>
      <c r="B69" s="297"/>
      <c r="C69" s="408"/>
      <c r="D69" s="297"/>
      <c r="E69" s="296"/>
      <c r="F69" s="296"/>
    </row>
    <row r="70" spans="1:10">
      <c r="A70" s="296"/>
      <c r="B70" s="297"/>
      <c r="C70" s="408"/>
      <c r="D70" s="296"/>
      <c r="E70" s="296"/>
      <c r="F70" s="296"/>
    </row>
    <row r="71" spans="1:10" s="300" customFormat="1" ht="18" customHeight="1">
      <c r="A71" s="298"/>
      <c r="B71" s="298"/>
      <c r="C71" s="298"/>
      <c r="D71" s="298"/>
      <c r="E71" s="298"/>
      <c r="F71" s="298"/>
      <c r="G71" s="299"/>
      <c r="H71" s="299"/>
      <c r="I71" s="299"/>
      <c r="J71" s="299"/>
    </row>
    <row r="72" spans="1:10" s="300" customFormat="1" ht="18" customHeight="1">
      <c r="A72" s="409"/>
      <c r="B72" s="409"/>
      <c r="C72" s="410"/>
      <c r="D72" s="298"/>
      <c r="E72" s="298"/>
      <c r="F72" s="298"/>
      <c r="G72" s="299"/>
      <c r="H72" s="302"/>
      <c r="I72" s="302"/>
      <c r="J72" s="302"/>
    </row>
    <row r="73" spans="1:10">
      <c r="A73" s="305"/>
      <c r="B73" s="411"/>
      <c r="C73" s="280"/>
      <c r="D73" s="305"/>
      <c r="E73" s="305"/>
      <c r="F73" s="305"/>
    </row>
    <row r="74" spans="1:10">
      <c r="A74" s="305"/>
      <c r="B74" s="411"/>
      <c r="C74" s="280"/>
      <c r="D74" s="305"/>
      <c r="E74" s="305"/>
      <c r="F74" s="305"/>
    </row>
    <row r="75" spans="1:10">
      <c r="A75" s="305"/>
      <c r="B75" s="411"/>
      <c r="C75" s="280"/>
      <c r="D75" s="305"/>
      <c r="E75" s="305"/>
      <c r="F75" s="305"/>
    </row>
    <row r="76" spans="1:10">
      <c r="A76" s="305"/>
      <c r="B76" s="411"/>
      <c r="C76" s="280"/>
      <c r="D76" s="305"/>
      <c r="E76" s="305"/>
      <c r="F76" s="305"/>
    </row>
    <row r="77" spans="1:10">
      <c r="A77" s="305"/>
      <c r="B77" s="411"/>
      <c r="C77" s="280"/>
      <c r="D77" s="305"/>
      <c r="E77" s="305"/>
      <c r="F77" s="305"/>
    </row>
    <row r="78" spans="1:10">
      <c r="A78" s="305"/>
      <c r="B78" s="411"/>
      <c r="C78" s="280"/>
      <c r="D78" s="305"/>
      <c r="E78" s="305"/>
      <c r="F78" s="305"/>
    </row>
    <row r="79" spans="1:10">
      <c r="A79" s="305"/>
      <c r="B79" s="411"/>
      <c r="C79" s="280"/>
      <c r="D79" s="305"/>
      <c r="E79" s="305"/>
      <c r="F79" s="305"/>
    </row>
    <row r="80" spans="1:10">
      <c r="A80" s="305"/>
      <c r="B80" s="411"/>
      <c r="C80" s="280"/>
      <c r="D80" s="305"/>
      <c r="E80" s="305"/>
      <c r="F80" s="305"/>
    </row>
    <row r="81" spans="1:6">
      <c r="A81" s="305"/>
      <c r="B81" s="411"/>
      <c r="C81" s="280"/>
      <c r="D81" s="305"/>
      <c r="E81" s="305"/>
      <c r="F81" s="305"/>
    </row>
    <row r="82" spans="1:6">
      <c r="A82" s="305"/>
      <c r="B82" s="411"/>
      <c r="C82" s="280"/>
      <c r="D82" s="305"/>
      <c r="E82" s="305"/>
      <c r="F82" s="305"/>
    </row>
    <row r="83" spans="1:6">
      <c r="A83" s="305"/>
      <c r="B83" s="411"/>
      <c r="C83" s="280"/>
      <c r="D83" s="305"/>
      <c r="E83" s="305"/>
      <c r="F83" s="305"/>
    </row>
    <row r="84" spans="1:6">
      <c r="A84" s="305"/>
      <c r="B84" s="411"/>
      <c r="C84" s="280"/>
      <c r="D84" s="305"/>
      <c r="E84" s="305"/>
      <c r="F84" s="305"/>
    </row>
    <row r="85" spans="1:6">
      <c r="A85" s="305"/>
      <c r="B85" s="411"/>
      <c r="C85" s="280"/>
      <c r="D85" s="305"/>
      <c r="E85" s="305"/>
      <c r="F85" s="305"/>
    </row>
    <row r="86" spans="1:6">
      <c r="A86" s="305"/>
      <c r="B86" s="411"/>
      <c r="C86" s="280"/>
      <c r="D86" s="305"/>
      <c r="E86" s="305"/>
      <c r="F86" s="305"/>
    </row>
    <row r="87" spans="1:6">
      <c r="A87" s="305"/>
      <c r="B87" s="411"/>
      <c r="C87" s="280"/>
      <c r="D87" s="305"/>
      <c r="E87" s="305"/>
      <c r="F87" s="305"/>
    </row>
    <row r="88" spans="1:6">
      <c r="A88" s="305"/>
      <c r="B88" s="411"/>
      <c r="C88" s="280"/>
      <c r="D88" s="305"/>
      <c r="E88" s="305"/>
      <c r="F88" s="305"/>
    </row>
    <row r="89" spans="1:6">
      <c r="A89" s="305"/>
      <c r="B89" s="411"/>
      <c r="C89" s="280"/>
      <c r="D89" s="305"/>
      <c r="E89" s="305"/>
      <c r="F89" s="305"/>
    </row>
    <row r="90" spans="1:6">
      <c r="A90" s="305"/>
      <c r="B90" s="411"/>
      <c r="C90" s="280"/>
      <c r="D90" s="305"/>
      <c r="E90" s="305"/>
      <c r="F90" s="305"/>
    </row>
    <row r="91" spans="1:6">
      <c r="A91" s="305"/>
      <c r="B91" s="411"/>
      <c r="C91" s="280"/>
      <c r="D91" s="305"/>
      <c r="E91" s="305"/>
      <c r="F91" s="305"/>
    </row>
    <row r="92" spans="1:6">
      <c r="A92" s="305"/>
      <c r="B92" s="411"/>
      <c r="C92" s="280"/>
      <c r="D92" s="305"/>
      <c r="E92" s="305"/>
      <c r="F92" s="305"/>
    </row>
    <row r="93" spans="1:6">
      <c r="A93" s="305"/>
      <c r="B93" s="411"/>
      <c r="C93" s="280"/>
      <c r="D93" s="305"/>
      <c r="E93" s="305"/>
      <c r="F93" s="305"/>
    </row>
    <row r="94" spans="1:6">
      <c r="A94" s="305"/>
      <c r="B94" s="411"/>
      <c r="C94" s="280"/>
      <c r="D94" s="305"/>
      <c r="E94" s="305"/>
      <c r="F94" s="305"/>
    </row>
    <row r="95" spans="1:6">
      <c r="A95" s="305"/>
      <c r="B95" s="411"/>
      <c r="C95" s="280"/>
      <c r="D95" s="305"/>
      <c r="E95" s="305"/>
      <c r="F95" s="305"/>
    </row>
    <row r="96" spans="1:6">
      <c r="A96" s="305"/>
      <c r="B96" s="411"/>
      <c r="C96" s="280"/>
      <c r="D96" s="305"/>
      <c r="E96" s="305"/>
      <c r="F96" s="305"/>
    </row>
    <row r="97" spans="1:6">
      <c r="A97" s="305"/>
      <c r="B97" s="411"/>
      <c r="C97" s="280"/>
      <c r="D97" s="305"/>
      <c r="E97" s="305"/>
      <c r="F97" s="305"/>
    </row>
    <row r="98" spans="1:6">
      <c r="A98" s="305"/>
      <c r="B98" s="411"/>
      <c r="C98" s="280"/>
      <c r="D98" s="305"/>
      <c r="E98" s="305"/>
      <c r="F98" s="305"/>
    </row>
    <row r="99" spans="1:6">
      <c r="A99" s="305"/>
      <c r="B99" s="411"/>
      <c r="C99" s="280"/>
      <c r="D99" s="305"/>
      <c r="E99" s="305"/>
      <c r="F99" s="305"/>
    </row>
    <row r="100" spans="1:6">
      <c r="A100" s="305"/>
      <c r="B100" s="411"/>
      <c r="C100" s="280"/>
      <c r="D100" s="305"/>
      <c r="E100" s="305"/>
      <c r="F100" s="305"/>
    </row>
    <row r="101" spans="1:6">
      <c r="A101" s="305"/>
      <c r="B101" s="411"/>
      <c r="C101" s="280"/>
      <c r="D101" s="305"/>
      <c r="E101" s="305"/>
      <c r="F101" s="305"/>
    </row>
    <row r="102" spans="1:6">
      <c r="A102" s="305"/>
      <c r="B102" s="411"/>
      <c r="C102" s="280"/>
      <c r="D102" s="305"/>
      <c r="E102" s="305"/>
      <c r="F102" s="305"/>
    </row>
    <row r="103" spans="1:6">
      <c r="A103" s="305"/>
      <c r="B103" s="411"/>
      <c r="C103" s="280"/>
      <c r="D103" s="305"/>
      <c r="E103" s="305"/>
      <c r="F103" s="305"/>
    </row>
    <row r="104" spans="1:6">
      <c r="A104" s="305"/>
      <c r="B104" s="411"/>
      <c r="C104" s="280"/>
      <c r="D104" s="305"/>
      <c r="E104" s="305"/>
      <c r="F104" s="305"/>
    </row>
    <row r="105" spans="1:6">
      <c r="A105" s="305"/>
      <c r="B105" s="411"/>
      <c r="C105" s="280"/>
      <c r="D105" s="305"/>
      <c r="E105" s="305"/>
      <c r="F105" s="305"/>
    </row>
    <row r="106" spans="1:6">
      <c r="C106" s="280"/>
      <c r="D106" s="305"/>
      <c r="E106" s="305"/>
      <c r="F106" s="305"/>
    </row>
    <row r="107" spans="1:6">
      <c r="C107" s="280"/>
      <c r="D107" s="305"/>
      <c r="E107" s="305"/>
      <c r="F107" s="305"/>
    </row>
    <row r="108" spans="1:6">
      <c r="C108" s="280"/>
      <c r="D108" s="305"/>
      <c r="E108" s="305"/>
      <c r="F108" s="305"/>
    </row>
    <row r="109" spans="1:6">
      <c r="C109" s="280"/>
      <c r="D109" s="305"/>
      <c r="E109" s="305"/>
      <c r="F109" s="305"/>
    </row>
    <row r="110" spans="1:6">
      <c r="C110" s="280"/>
      <c r="D110" s="305"/>
      <c r="E110" s="305"/>
      <c r="F110" s="305"/>
    </row>
    <row r="111" spans="1:6">
      <c r="C111" s="280"/>
      <c r="D111" s="305"/>
      <c r="E111" s="305"/>
      <c r="F111" s="305"/>
    </row>
    <row r="112" spans="1:6">
      <c r="C112" s="280"/>
      <c r="D112" s="305"/>
      <c r="E112" s="305"/>
      <c r="F112" s="305"/>
    </row>
    <row r="113" spans="3:6">
      <c r="C113" s="280"/>
      <c r="D113" s="305"/>
      <c r="E113" s="305"/>
      <c r="F113" s="305"/>
    </row>
    <row r="114" spans="3:6">
      <c r="C114" s="280"/>
      <c r="D114" s="305"/>
      <c r="E114" s="305"/>
      <c r="F114" s="305"/>
    </row>
    <row r="115" spans="3:6">
      <c r="C115" s="280"/>
      <c r="D115" s="305"/>
      <c r="E115" s="305"/>
      <c r="F115" s="305"/>
    </row>
    <row r="116" spans="3:6">
      <c r="C116" s="280"/>
      <c r="D116" s="305"/>
      <c r="E116" s="305"/>
      <c r="F116" s="305"/>
    </row>
    <row r="117" spans="3:6">
      <c r="C117" s="280"/>
      <c r="D117" s="305"/>
      <c r="E117" s="305"/>
      <c r="F117" s="305"/>
    </row>
    <row r="118" spans="3:6">
      <c r="C118" s="280"/>
      <c r="D118" s="305"/>
      <c r="E118" s="305"/>
      <c r="F118" s="305"/>
    </row>
    <row r="119" spans="3:6">
      <c r="C119" s="280"/>
      <c r="D119" s="305"/>
      <c r="E119" s="305"/>
      <c r="F119" s="305"/>
    </row>
    <row r="120" spans="3:6">
      <c r="C120" s="280"/>
      <c r="D120" s="305"/>
      <c r="E120" s="305"/>
      <c r="F120" s="305"/>
    </row>
    <row r="121" spans="3:6">
      <c r="C121" s="280"/>
      <c r="D121" s="305"/>
      <c r="E121" s="305"/>
      <c r="F121" s="305"/>
    </row>
    <row r="122" spans="3:6">
      <c r="C122" s="280"/>
      <c r="D122" s="305"/>
      <c r="E122" s="305"/>
      <c r="F122" s="305"/>
    </row>
    <row r="123" spans="3:6">
      <c r="C123" s="280"/>
      <c r="D123" s="305"/>
      <c r="E123" s="305"/>
      <c r="F123" s="305"/>
    </row>
    <row r="124" spans="3:6">
      <c r="C124" s="280"/>
      <c r="D124" s="305"/>
      <c r="E124" s="305"/>
      <c r="F124" s="305"/>
    </row>
    <row r="125" spans="3:6">
      <c r="C125" s="280"/>
      <c r="D125" s="305"/>
      <c r="E125" s="305"/>
      <c r="F125" s="305"/>
    </row>
    <row r="126" spans="3:6">
      <c r="C126" s="280"/>
      <c r="D126" s="305"/>
      <c r="E126" s="305"/>
      <c r="F126" s="305"/>
    </row>
    <row r="127" spans="3:6">
      <c r="C127" s="280"/>
      <c r="D127" s="305"/>
      <c r="E127" s="305"/>
      <c r="F127" s="305"/>
    </row>
    <row r="128" spans="3:6">
      <c r="C128" s="280"/>
      <c r="D128" s="305"/>
      <c r="E128" s="305"/>
      <c r="F128" s="305"/>
    </row>
    <row r="129" spans="3:6">
      <c r="C129" s="280"/>
      <c r="D129" s="305"/>
      <c r="E129" s="305"/>
      <c r="F129" s="305"/>
    </row>
    <row r="130" spans="3:6">
      <c r="C130" s="280"/>
      <c r="D130" s="305"/>
      <c r="E130" s="305"/>
      <c r="F130" s="305"/>
    </row>
    <row r="131" spans="3:6">
      <c r="C131" s="280"/>
      <c r="D131" s="305"/>
      <c r="E131" s="305"/>
      <c r="F131" s="305"/>
    </row>
    <row r="132" spans="3:6">
      <c r="C132" s="280"/>
      <c r="D132" s="305"/>
      <c r="E132" s="305"/>
      <c r="F132" s="305"/>
    </row>
    <row r="133" spans="3:6">
      <c r="C133" s="280"/>
      <c r="D133" s="305"/>
      <c r="E133" s="305"/>
      <c r="F133" s="305"/>
    </row>
    <row r="134" spans="3:6">
      <c r="C134" s="280"/>
      <c r="D134" s="305"/>
      <c r="E134" s="305"/>
      <c r="F134" s="305"/>
    </row>
    <row r="135" spans="3:6">
      <c r="C135" s="280"/>
      <c r="D135" s="305"/>
      <c r="E135" s="305"/>
      <c r="F135" s="305"/>
    </row>
    <row r="136" spans="3:6">
      <c r="C136" s="280"/>
      <c r="D136" s="305"/>
      <c r="E136" s="305"/>
      <c r="F136" s="305"/>
    </row>
    <row r="137" spans="3:6">
      <c r="C137" s="280"/>
      <c r="D137" s="305"/>
      <c r="E137" s="305"/>
      <c r="F137" s="305"/>
    </row>
    <row r="138" spans="3:6">
      <c r="C138" s="280"/>
      <c r="D138" s="305"/>
      <c r="E138" s="305"/>
      <c r="F138" s="305"/>
    </row>
    <row r="139" spans="3:6">
      <c r="C139" s="280"/>
      <c r="D139" s="305"/>
      <c r="E139" s="305"/>
      <c r="F139" s="305"/>
    </row>
    <row r="140" spans="3:6">
      <c r="C140" s="280"/>
      <c r="D140" s="305"/>
      <c r="E140" s="305"/>
      <c r="F140" s="305"/>
    </row>
    <row r="141" spans="3:6">
      <c r="C141" s="280"/>
      <c r="D141" s="305"/>
      <c r="E141" s="305"/>
      <c r="F141" s="305"/>
    </row>
    <row r="142" spans="3:6">
      <c r="C142" s="280"/>
      <c r="D142" s="305"/>
      <c r="E142" s="305"/>
      <c r="F142" s="305"/>
    </row>
    <row r="143" spans="3:6">
      <c r="C143" s="280"/>
      <c r="D143" s="305"/>
      <c r="E143" s="305"/>
      <c r="F143" s="305"/>
    </row>
    <row r="144" spans="3:6">
      <c r="C144" s="280"/>
      <c r="D144" s="305"/>
      <c r="E144" s="305"/>
      <c r="F144" s="305"/>
    </row>
    <row r="145" spans="3:6">
      <c r="C145" s="280"/>
      <c r="D145" s="305"/>
      <c r="E145" s="305"/>
      <c r="F145" s="305"/>
    </row>
    <row r="146" spans="3:6">
      <c r="C146" s="280"/>
      <c r="D146" s="305"/>
      <c r="E146" s="305"/>
      <c r="F146" s="305"/>
    </row>
    <row r="147" spans="3:6">
      <c r="C147" s="280"/>
      <c r="D147" s="305"/>
      <c r="E147" s="305"/>
      <c r="F147" s="305"/>
    </row>
  </sheetData>
  <mergeCells count="14">
    <mergeCell ref="F6:F7"/>
    <mergeCell ref="A71:F71"/>
    <mergeCell ref="D72:F72"/>
    <mergeCell ref="H72:J72"/>
    <mergeCell ref="A1:F1"/>
    <mergeCell ref="A2:F2"/>
    <mergeCell ref="A3:F3"/>
    <mergeCell ref="A4:F4"/>
    <mergeCell ref="A5:F5"/>
    <mergeCell ref="A6:A7"/>
    <mergeCell ref="B6:B7"/>
    <mergeCell ref="C6:C7"/>
    <mergeCell ref="D6:D7"/>
    <mergeCell ref="E6:E7"/>
  </mergeCells>
  <printOptions horizontalCentered="1"/>
  <pageMargins left="0.39370078740157483" right="0.27559055118110237" top="0.26" bottom="0.39370078740157483" header="0.31" footer="0.19685039370078741"/>
  <pageSetup paperSize="9" scale="54" orientation="portrait" r:id="rId1"/>
  <headerFooter alignWithMargins="0">
    <oddFooter>Page &amp;P of &amp;N</oddFooter>
  </headerFooter>
</worksheet>
</file>

<file path=xl/worksheets/sheet18.xml><?xml version="1.0" encoding="utf-8"?>
<worksheet xmlns="http://schemas.openxmlformats.org/spreadsheetml/2006/main" xmlns:r="http://schemas.openxmlformats.org/officeDocument/2006/relationships">
  <dimension ref="A1:F23"/>
  <sheetViews>
    <sheetView view="pageBreakPreview" zoomScaleSheetLayoutView="100" workbookViewId="0">
      <selection activeCell="A4" sqref="A4:F4"/>
    </sheetView>
  </sheetViews>
  <sheetFormatPr defaultRowHeight="15.75"/>
  <cols>
    <col min="1" max="1" width="5.5703125" style="320" customWidth="1"/>
    <col min="2" max="2" width="9.28515625" style="320" customWidth="1"/>
    <col min="3" max="3" width="50.42578125" style="320" customWidth="1"/>
    <col min="4" max="4" width="11" style="320" customWidth="1"/>
    <col min="5" max="5" width="7.28515625" style="320" customWidth="1"/>
    <col min="6" max="6" width="17.140625" style="320" customWidth="1"/>
    <col min="7" max="256" width="9.140625" style="320"/>
    <col min="257" max="257" width="5.5703125" style="320" customWidth="1"/>
    <col min="258" max="258" width="9.28515625" style="320" customWidth="1"/>
    <col min="259" max="259" width="50.42578125" style="320" customWidth="1"/>
    <col min="260" max="260" width="11" style="320" customWidth="1"/>
    <col min="261" max="261" width="7.28515625" style="320" customWidth="1"/>
    <col min="262" max="262" width="17.140625" style="320" customWidth="1"/>
    <col min="263" max="512" width="9.140625" style="320"/>
    <col min="513" max="513" width="5.5703125" style="320" customWidth="1"/>
    <col min="514" max="514" width="9.28515625" style="320" customWidth="1"/>
    <col min="515" max="515" width="50.42578125" style="320" customWidth="1"/>
    <col min="516" max="516" width="11" style="320" customWidth="1"/>
    <col min="517" max="517" width="7.28515625" style="320" customWidth="1"/>
    <col min="518" max="518" width="17.140625" style="320" customWidth="1"/>
    <col min="519" max="768" width="9.140625" style="320"/>
    <col min="769" max="769" width="5.5703125" style="320" customWidth="1"/>
    <col min="770" max="770" width="9.28515625" style="320" customWidth="1"/>
    <col min="771" max="771" width="50.42578125" style="320" customWidth="1"/>
    <col min="772" max="772" width="11" style="320" customWidth="1"/>
    <col min="773" max="773" width="7.28515625" style="320" customWidth="1"/>
    <col min="774" max="774" width="17.140625" style="320" customWidth="1"/>
    <col min="775" max="1024" width="9.140625" style="320"/>
    <col min="1025" max="1025" width="5.5703125" style="320" customWidth="1"/>
    <col min="1026" max="1026" width="9.28515625" style="320" customWidth="1"/>
    <col min="1027" max="1027" width="50.42578125" style="320" customWidth="1"/>
    <col min="1028" max="1028" width="11" style="320" customWidth="1"/>
    <col min="1029" max="1029" width="7.28515625" style="320" customWidth="1"/>
    <col min="1030" max="1030" width="17.140625" style="320" customWidth="1"/>
    <col min="1031" max="1280" width="9.140625" style="320"/>
    <col min="1281" max="1281" width="5.5703125" style="320" customWidth="1"/>
    <col min="1282" max="1282" width="9.28515625" style="320" customWidth="1"/>
    <col min="1283" max="1283" width="50.42578125" style="320" customWidth="1"/>
    <col min="1284" max="1284" width="11" style="320" customWidth="1"/>
    <col min="1285" max="1285" width="7.28515625" style="320" customWidth="1"/>
    <col min="1286" max="1286" width="17.140625" style="320" customWidth="1"/>
    <col min="1287" max="1536" width="9.140625" style="320"/>
    <col min="1537" max="1537" width="5.5703125" style="320" customWidth="1"/>
    <col min="1538" max="1538" width="9.28515625" style="320" customWidth="1"/>
    <col min="1539" max="1539" width="50.42578125" style="320" customWidth="1"/>
    <col min="1540" max="1540" width="11" style="320" customWidth="1"/>
    <col min="1541" max="1541" width="7.28515625" style="320" customWidth="1"/>
    <col min="1542" max="1542" width="17.140625" style="320" customWidth="1"/>
    <col min="1543" max="1792" width="9.140625" style="320"/>
    <col min="1793" max="1793" width="5.5703125" style="320" customWidth="1"/>
    <col min="1794" max="1794" width="9.28515625" style="320" customWidth="1"/>
    <col min="1795" max="1795" width="50.42578125" style="320" customWidth="1"/>
    <col min="1796" max="1796" width="11" style="320" customWidth="1"/>
    <col min="1797" max="1797" width="7.28515625" style="320" customWidth="1"/>
    <col min="1798" max="1798" width="17.140625" style="320" customWidth="1"/>
    <col min="1799" max="2048" width="9.140625" style="320"/>
    <col min="2049" max="2049" width="5.5703125" style="320" customWidth="1"/>
    <col min="2050" max="2050" width="9.28515625" style="320" customWidth="1"/>
    <col min="2051" max="2051" width="50.42578125" style="320" customWidth="1"/>
    <col min="2052" max="2052" width="11" style="320" customWidth="1"/>
    <col min="2053" max="2053" width="7.28515625" style="320" customWidth="1"/>
    <col min="2054" max="2054" width="17.140625" style="320" customWidth="1"/>
    <col min="2055" max="2304" width="9.140625" style="320"/>
    <col min="2305" max="2305" width="5.5703125" style="320" customWidth="1"/>
    <col min="2306" max="2306" width="9.28515625" style="320" customWidth="1"/>
    <col min="2307" max="2307" width="50.42578125" style="320" customWidth="1"/>
    <col min="2308" max="2308" width="11" style="320" customWidth="1"/>
    <col min="2309" max="2309" width="7.28515625" style="320" customWidth="1"/>
    <col min="2310" max="2310" width="17.140625" style="320" customWidth="1"/>
    <col min="2311" max="2560" width="9.140625" style="320"/>
    <col min="2561" max="2561" width="5.5703125" style="320" customWidth="1"/>
    <col min="2562" max="2562" width="9.28515625" style="320" customWidth="1"/>
    <col min="2563" max="2563" width="50.42578125" style="320" customWidth="1"/>
    <col min="2564" max="2564" width="11" style="320" customWidth="1"/>
    <col min="2565" max="2565" width="7.28515625" style="320" customWidth="1"/>
    <col min="2566" max="2566" width="17.140625" style="320" customWidth="1"/>
    <col min="2567" max="2816" width="9.140625" style="320"/>
    <col min="2817" max="2817" width="5.5703125" style="320" customWidth="1"/>
    <col min="2818" max="2818" width="9.28515625" style="320" customWidth="1"/>
    <col min="2819" max="2819" width="50.42578125" style="320" customWidth="1"/>
    <col min="2820" max="2820" width="11" style="320" customWidth="1"/>
    <col min="2821" max="2821" width="7.28515625" style="320" customWidth="1"/>
    <col min="2822" max="2822" width="17.140625" style="320" customWidth="1"/>
    <col min="2823" max="3072" width="9.140625" style="320"/>
    <col min="3073" max="3073" width="5.5703125" style="320" customWidth="1"/>
    <col min="3074" max="3074" width="9.28515625" style="320" customWidth="1"/>
    <col min="3075" max="3075" width="50.42578125" style="320" customWidth="1"/>
    <col min="3076" max="3076" width="11" style="320" customWidth="1"/>
    <col min="3077" max="3077" width="7.28515625" style="320" customWidth="1"/>
    <col min="3078" max="3078" width="17.140625" style="320" customWidth="1"/>
    <col min="3079" max="3328" width="9.140625" style="320"/>
    <col min="3329" max="3329" width="5.5703125" style="320" customWidth="1"/>
    <col min="3330" max="3330" width="9.28515625" style="320" customWidth="1"/>
    <col min="3331" max="3331" width="50.42578125" style="320" customWidth="1"/>
    <col min="3332" max="3332" width="11" style="320" customWidth="1"/>
    <col min="3333" max="3333" width="7.28515625" style="320" customWidth="1"/>
    <col min="3334" max="3334" width="17.140625" style="320" customWidth="1"/>
    <col min="3335" max="3584" width="9.140625" style="320"/>
    <col min="3585" max="3585" width="5.5703125" style="320" customWidth="1"/>
    <col min="3586" max="3586" width="9.28515625" style="320" customWidth="1"/>
    <col min="3587" max="3587" width="50.42578125" style="320" customWidth="1"/>
    <col min="3588" max="3588" width="11" style="320" customWidth="1"/>
    <col min="3589" max="3589" width="7.28515625" style="320" customWidth="1"/>
    <col min="3590" max="3590" width="17.140625" style="320" customWidth="1"/>
    <col min="3591" max="3840" width="9.140625" style="320"/>
    <col min="3841" max="3841" width="5.5703125" style="320" customWidth="1"/>
    <col min="3842" max="3842" width="9.28515625" style="320" customWidth="1"/>
    <col min="3843" max="3843" width="50.42578125" style="320" customWidth="1"/>
    <col min="3844" max="3844" width="11" style="320" customWidth="1"/>
    <col min="3845" max="3845" width="7.28515625" style="320" customWidth="1"/>
    <col min="3846" max="3846" width="17.140625" style="320" customWidth="1"/>
    <col min="3847" max="4096" width="9.140625" style="320"/>
    <col min="4097" max="4097" width="5.5703125" style="320" customWidth="1"/>
    <col min="4098" max="4098" width="9.28515625" style="320" customWidth="1"/>
    <col min="4099" max="4099" width="50.42578125" style="320" customWidth="1"/>
    <col min="4100" max="4100" width="11" style="320" customWidth="1"/>
    <col min="4101" max="4101" width="7.28515625" style="320" customWidth="1"/>
    <col min="4102" max="4102" width="17.140625" style="320" customWidth="1"/>
    <col min="4103" max="4352" width="9.140625" style="320"/>
    <col min="4353" max="4353" width="5.5703125" style="320" customWidth="1"/>
    <col min="4354" max="4354" width="9.28515625" style="320" customWidth="1"/>
    <col min="4355" max="4355" width="50.42578125" style="320" customWidth="1"/>
    <col min="4356" max="4356" width="11" style="320" customWidth="1"/>
    <col min="4357" max="4357" width="7.28515625" style="320" customWidth="1"/>
    <col min="4358" max="4358" width="17.140625" style="320" customWidth="1"/>
    <col min="4359" max="4608" width="9.140625" style="320"/>
    <col min="4609" max="4609" width="5.5703125" style="320" customWidth="1"/>
    <col min="4610" max="4610" width="9.28515625" style="320" customWidth="1"/>
    <col min="4611" max="4611" width="50.42578125" style="320" customWidth="1"/>
    <col min="4612" max="4612" width="11" style="320" customWidth="1"/>
    <col min="4613" max="4613" width="7.28515625" style="320" customWidth="1"/>
    <col min="4614" max="4614" width="17.140625" style="320" customWidth="1"/>
    <col min="4615" max="4864" width="9.140625" style="320"/>
    <col min="4865" max="4865" width="5.5703125" style="320" customWidth="1"/>
    <col min="4866" max="4866" width="9.28515625" style="320" customWidth="1"/>
    <col min="4867" max="4867" width="50.42578125" style="320" customWidth="1"/>
    <col min="4868" max="4868" width="11" style="320" customWidth="1"/>
    <col min="4869" max="4869" width="7.28515625" style="320" customWidth="1"/>
    <col min="4870" max="4870" width="17.140625" style="320" customWidth="1"/>
    <col min="4871" max="5120" width="9.140625" style="320"/>
    <col min="5121" max="5121" width="5.5703125" style="320" customWidth="1"/>
    <col min="5122" max="5122" width="9.28515625" style="320" customWidth="1"/>
    <col min="5123" max="5123" width="50.42578125" style="320" customWidth="1"/>
    <col min="5124" max="5124" width="11" style="320" customWidth="1"/>
    <col min="5125" max="5125" width="7.28515625" style="320" customWidth="1"/>
    <col min="5126" max="5126" width="17.140625" style="320" customWidth="1"/>
    <col min="5127" max="5376" width="9.140625" style="320"/>
    <col min="5377" max="5377" width="5.5703125" style="320" customWidth="1"/>
    <col min="5378" max="5378" width="9.28515625" style="320" customWidth="1"/>
    <col min="5379" max="5379" width="50.42578125" style="320" customWidth="1"/>
    <col min="5380" max="5380" width="11" style="320" customWidth="1"/>
    <col min="5381" max="5381" width="7.28515625" style="320" customWidth="1"/>
    <col min="5382" max="5382" width="17.140625" style="320" customWidth="1"/>
    <col min="5383" max="5632" width="9.140625" style="320"/>
    <col min="5633" max="5633" width="5.5703125" style="320" customWidth="1"/>
    <col min="5634" max="5634" width="9.28515625" style="320" customWidth="1"/>
    <col min="5635" max="5635" width="50.42578125" style="320" customWidth="1"/>
    <col min="5636" max="5636" width="11" style="320" customWidth="1"/>
    <col min="5637" max="5637" width="7.28515625" style="320" customWidth="1"/>
    <col min="5638" max="5638" width="17.140625" style="320" customWidth="1"/>
    <col min="5639" max="5888" width="9.140625" style="320"/>
    <col min="5889" max="5889" width="5.5703125" style="320" customWidth="1"/>
    <col min="5890" max="5890" width="9.28515625" style="320" customWidth="1"/>
    <col min="5891" max="5891" width="50.42578125" style="320" customWidth="1"/>
    <col min="5892" max="5892" width="11" style="320" customWidth="1"/>
    <col min="5893" max="5893" width="7.28515625" style="320" customWidth="1"/>
    <col min="5894" max="5894" width="17.140625" style="320" customWidth="1"/>
    <col min="5895" max="6144" width="9.140625" style="320"/>
    <col min="6145" max="6145" width="5.5703125" style="320" customWidth="1"/>
    <col min="6146" max="6146" width="9.28515625" style="320" customWidth="1"/>
    <col min="6147" max="6147" width="50.42578125" style="320" customWidth="1"/>
    <col min="6148" max="6148" width="11" style="320" customWidth="1"/>
    <col min="6149" max="6149" width="7.28515625" style="320" customWidth="1"/>
    <col min="6150" max="6150" width="17.140625" style="320" customWidth="1"/>
    <col min="6151" max="6400" width="9.140625" style="320"/>
    <col min="6401" max="6401" width="5.5703125" style="320" customWidth="1"/>
    <col min="6402" max="6402" width="9.28515625" style="320" customWidth="1"/>
    <col min="6403" max="6403" width="50.42578125" style="320" customWidth="1"/>
    <col min="6404" max="6404" width="11" style="320" customWidth="1"/>
    <col min="6405" max="6405" width="7.28515625" style="320" customWidth="1"/>
    <col min="6406" max="6406" width="17.140625" style="320" customWidth="1"/>
    <col min="6407" max="6656" width="9.140625" style="320"/>
    <col min="6657" max="6657" width="5.5703125" style="320" customWidth="1"/>
    <col min="6658" max="6658" width="9.28515625" style="320" customWidth="1"/>
    <col min="6659" max="6659" width="50.42578125" style="320" customWidth="1"/>
    <col min="6660" max="6660" width="11" style="320" customWidth="1"/>
    <col min="6661" max="6661" width="7.28515625" style="320" customWidth="1"/>
    <col min="6662" max="6662" width="17.140625" style="320" customWidth="1"/>
    <col min="6663" max="6912" width="9.140625" style="320"/>
    <col min="6913" max="6913" width="5.5703125" style="320" customWidth="1"/>
    <col min="6914" max="6914" width="9.28515625" style="320" customWidth="1"/>
    <col min="6915" max="6915" width="50.42578125" style="320" customWidth="1"/>
    <col min="6916" max="6916" width="11" style="320" customWidth="1"/>
    <col min="6917" max="6917" width="7.28515625" style="320" customWidth="1"/>
    <col min="6918" max="6918" width="17.140625" style="320" customWidth="1"/>
    <col min="6919" max="7168" width="9.140625" style="320"/>
    <col min="7169" max="7169" width="5.5703125" style="320" customWidth="1"/>
    <col min="7170" max="7170" width="9.28515625" style="320" customWidth="1"/>
    <col min="7171" max="7171" width="50.42578125" style="320" customWidth="1"/>
    <col min="7172" max="7172" width="11" style="320" customWidth="1"/>
    <col min="7173" max="7173" width="7.28515625" style="320" customWidth="1"/>
    <col min="7174" max="7174" width="17.140625" style="320" customWidth="1"/>
    <col min="7175" max="7424" width="9.140625" style="320"/>
    <col min="7425" max="7425" width="5.5703125" style="320" customWidth="1"/>
    <col min="7426" max="7426" width="9.28515625" style="320" customWidth="1"/>
    <col min="7427" max="7427" width="50.42578125" style="320" customWidth="1"/>
    <col min="7428" max="7428" width="11" style="320" customWidth="1"/>
    <col min="7429" max="7429" width="7.28515625" style="320" customWidth="1"/>
    <col min="7430" max="7430" width="17.140625" style="320" customWidth="1"/>
    <col min="7431" max="7680" width="9.140625" style="320"/>
    <col min="7681" max="7681" width="5.5703125" style="320" customWidth="1"/>
    <col min="7682" max="7682" width="9.28515625" style="320" customWidth="1"/>
    <col min="7683" max="7683" width="50.42578125" style="320" customWidth="1"/>
    <col min="7684" max="7684" width="11" style="320" customWidth="1"/>
    <col min="7685" max="7685" width="7.28515625" style="320" customWidth="1"/>
    <col min="7686" max="7686" width="17.140625" style="320" customWidth="1"/>
    <col min="7687" max="7936" width="9.140625" style="320"/>
    <col min="7937" max="7937" width="5.5703125" style="320" customWidth="1"/>
    <col min="7938" max="7938" width="9.28515625" style="320" customWidth="1"/>
    <col min="7939" max="7939" width="50.42578125" style="320" customWidth="1"/>
    <col min="7940" max="7940" width="11" style="320" customWidth="1"/>
    <col min="7941" max="7941" width="7.28515625" style="320" customWidth="1"/>
    <col min="7942" max="7942" width="17.140625" style="320" customWidth="1"/>
    <col min="7943" max="8192" width="9.140625" style="320"/>
    <col min="8193" max="8193" width="5.5703125" style="320" customWidth="1"/>
    <col min="8194" max="8194" width="9.28515625" style="320" customWidth="1"/>
    <col min="8195" max="8195" width="50.42578125" style="320" customWidth="1"/>
    <col min="8196" max="8196" width="11" style="320" customWidth="1"/>
    <col min="8197" max="8197" width="7.28515625" style="320" customWidth="1"/>
    <col min="8198" max="8198" width="17.140625" style="320" customWidth="1"/>
    <col min="8199" max="8448" width="9.140625" style="320"/>
    <col min="8449" max="8449" width="5.5703125" style="320" customWidth="1"/>
    <col min="8450" max="8450" width="9.28515625" style="320" customWidth="1"/>
    <col min="8451" max="8451" width="50.42578125" style="320" customWidth="1"/>
    <col min="8452" max="8452" width="11" style="320" customWidth="1"/>
    <col min="8453" max="8453" width="7.28515625" style="320" customWidth="1"/>
    <col min="8454" max="8454" width="17.140625" style="320" customWidth="1"/>
    <col min="8455" max="8704" width="9.140625" style="320"/>
    <col min="8705" max="8705" width="5.5703125" style="320" customWidth="1"/>
    <col min="8706" max="8706" width="9.28515625" style="320" customWidth="1"/>
    <col min="8707" max="8707" width="50.42578125" style="320" customWidth="1"/>
    <col min="8708" max="8708" width="11" style="320" customWidth="1"/>
    <col min="8709" max="8709" width="7.28515625" style="320" customWidth="1"/>
    <col min="8710" max="8710" width="17.140625" style="320" customWidth="1"/>
    <col min="8711" max="8960" width="9.140625" style="320"/>
    <col min="8961" max="8961" width="5.5703125" style="320" customWidth="1"/>
    <col min="8962" max="8962" width="9.28515625" style="320" customWidth="1"/>
    <col min="8963" max="8963" width="50.42578125" style="320" customWidth="1"/>
    <col min="8964" max="8964" width="11" style="320" customWidth="1"/>
    <col min="8965" max="8965" width="7.28515625" style="320" customWidth="1"/>
    <col min="8966" max="8966" width="17.140625" style="320" customWidth="1"/>
    <col min="8967" max="9216" width="9.140625" style="320"/>
    <col min="9217" max="9217" width="5.5703125" style="320" customWidth="1"/>
    <col min="9218" max="9218" width="9.28515625" style="320" customWidth="1"/>
    <col min="9219" max="9219" width="50.42578125" style="320" customWidth="1"/>
    <col min="9220" max="9220" width="11" style="320" customWidth="1"/>
    <col min="9221" max="9221" width="7.28515625" style="320" customWidth="1"/>
    <col min="9222" max="9222" width="17.140625" style="320" customWidth="1"/>
    <col min="9223" max="9472" width="9.140625" style="320"/>
    <col min="9473" max="9473" width="5.5703125" style="320" customWidth="1"/>
    <col min="9474" max="9474" width="9.28515625" style="320" customWidth="1"/>
    <col min="9475" max="9475" width="50.42578125" style="320" customWidth="1"/>
    <col min="9476" max="9476" width="11" style="320" customWidth="1"/>
    <col min="9477" max="9477" width="7.28515625" style="320" customWidth="1"/>
    <col min="9478" max="9478" width="17.140625" style="320" customWidth="1"/>
    <col min="9479" max="9728" width="9.140625" style="320"/>
    <col min="9729" max="9729" width="5.5703125" style="320" customWidth="1"/>
    <col min="9730" max="9730" width="9.28515625" style="320" customWidth="1"/>
    <col min="9731" max="9731" width="50.42578125" style="320" customWidth="1"/>
    <col min="9732" max="9732" width="11" style="320" customWidth="1"/>
    <col min="9733" max="9733" width="7.28515625" style="320" customWidth="1"/>
    <col min="9734" max="9734" width="17.140625" style="320" customWidth="1"/>
    <col min="9735" max="9984" width="9.140625" style="320"/>
    <col min="9985" max="9985" width="5.5703125" style="320" customWidth="1"/>
    <col min="9986" max="9986" width="9.28515625" style="320" customWidth="1"/>
    <col min="9987" max="9987" width="50.42578125" style="320" customWidth="1"/>
    <col min="9988" max="9988" width="11" style="320" customWidth="1"/>
    <col min="9989" max="9989" width="7.28515625" style="320" customWidth="1"/>
    <col min="9990" max="9990" width="17.140625" style="320" customWidth="1"/>
    <col min="9991" max="10240" width="9.140625" style="320"/>
    <col min="10241" max="10241" width="5.5703125" style="320" customWidth="1"/>
    <col min="10242" max="10242" width="9.28515625" style="320" customWidth="1"/>
    <col min="10243" max="10243" width="50.42578125" style="320" customWidth="1"/>
    <col min="10244" max="10244" width="11" style="320" customWidth="1"/>
    <col min="10245" max="10245" width="7.28515625" style="320" customWidth="1"/>
    <col min="10246" max="10246" width="17.140625" style="320" customWidth="1"/>
    <col min="10247" max="10496" width="9.140625" style="320"/>
    <col min="10497" max="10497" width="5.5703125" style="320" customWidth="1"/>
    <col min="10498" max="10498" width="9.28515625" style="320" customWidth="1"/>
    <col min="10499" max="10499" width="50.42578125" style="320" customWidth="1"/>
    <col min="10500" max="10500" width="11" style="320" customWidth="1"/>
    <col min="10501" max="10501" width="7.28515625" style="320" customWidth="1"/>
    <col min="10502" max="10502" width="17.140625" style="320" customWidth="1"/>
    <col min="10503" max="10752" width="9.140625" style="320"/>
    <col min="10753" max="10753" width="5.5703125" style="320" customWidth="1"/>
    <col min="10754" max="10754" width="9.28515625" style="320" customWidth="1"/>
    <col min="10755" max="10755" width="50.42578125" style="320" customWidth="1"/>
    <col min="10756" max="10756" width="11" style="320" customWidth="1"/>
    <col min="10757" max="10757" width="7.28515625" style="320" customWidth="1"/>
    <col min="10758" max="10758" width="17.140625" style="320" customWidth="1"/>
    <col min="10759" max="11008" width="9.140625" style="320"/>
    <col min="11009" max="11009" width="5.5703125" style="320" customWidth="1"/>
    <col min="11010" max="11010" width="9.28515625" style="320" customWidth="1"/>
    <col min="11011" max="11011" width="50.42578125" style="320" customWidth="1"/>
    <col min="11012" max="11012" width="11" style="320" customWidth="1"/>
    <col min="11013" max="11013" width="7.28515625" style="320" customWidth="1"/>
    <col min="11014" max="11014" width="17.140625" style="320" customWidth="1"/>
    <col min="11015" max="11264" width="9.140625" style="320"/>
    <col min="11265" max="11265" width="5.5703125" style="320" customWidth="1"/>
    <col min="11266" max="11266" width="9.28515625" style="320" customWidth="1"/>
    <col min="11267" max="11267" width="50.42578125" style="320" customWidth="1"/>
    <col min="11268" max="11268" width="11" style="320" customWidth="1"/>
    <col min="11269" max="11269" width="7.28515625" style="320" customWidth="1"/>
    <col min="11270" max="11270" width="17.140625" style="320" customWidth="1"/>
    <col min="11271" max="11520" width="9.140625" style="320"/>
    <col min="11521" max="11521" width="5.5703125" style="320" customWidth="1"/>
    <col min="11522" max="11522" width="9.28515625" style="320" customWidth="1"/>
    <col min="11523" max="11523" width="50.42578125" style="320" customWidth="1"/>
    <col min="11524" max="11524" width="11" style="320" customWidth="1"/>
    <col min="11525" max="11525" width="7.28515625" style="320" customWidth="1"/>
    <col min="11526" max="11526" width="17.140625" style="320" customWidth="1"/>
    <col min="11527" max="11776" width="9.140625" style="320"/>
    <col min="11777" max="11777" width="5.5703125" style="320" customWidth="1"/>
    <col min="11778" max="11778" width="9.28515625" style="320" customWidth="1"/>
    <col min="11779" max="11779" width="50.42578125" style="320" customWidth="1"/>
    <col min="11780" max="11780" width="11" style="320" customWidth="1"/>
    <col min="11781" max="11781" width="7.28515625" style="320" customWidth="1"/>
    <col min="11782" max="11782" width="17.140625" style="320" customWidth="1"/>
    <col min="11783" max="12032" width="9.140625" style="320"/>
    <col min="12033" max="12033" width="5.5703125" style="320" customWidth="1"/>
    <col min="12034" max="12034" width="9.28515625" style="320" customWidth="1"/>
    <col min="12035" max="12035" width="50.42578125" style="320" customWidth="1"/>
    <col min="12036" max="12036" width="11" style="320" customWidth="1"/>
    <col min="12037" max="12037" width="7.28515625" style="320" customWidth="1"/>
    <col min="12038" max="12038" width="17.140625" style="320" customWidth="1"/>
    <col min="12039" max="12288" width="9.140625" style="320"/>
    <col min="12289" max="12289" width="5.5703125" style="320" customWidth="1"/>
    <col min="12290" max="12290" width="9.28515625" style="320" customWidth="1"/>
    <col min="12291" max="12291" width="50.42578125" style="320" customWidth="1"/>
    <col min="12292" max="12292" width="11" style="320" customWidth="1"/>
    <col min="12293" max="12293" width="7.28515625" style="320" customWidth="1"/>
    <col min="12294" max="12294" width="17.140625" style="320" customWidth="1"/>
    <col min="12295" max="12544" width="9.140625" style="320"/>
    <col min="12545" max="12545" width="5.5703125" style="320" customWidth="1"/>
    <col min="12546" max="12546" width="9.28515625" style="320" customWidth="1"/>
    <col min="12547" max="12547" width="50.42578125" style="320" customWidth="1"/>
    <col min="12548" max="12548" width="11" style="320" customWidth="1"/>
    <col min="12549" max="12549" width="7.28515625" style="320" customWidth="1"/>
    <col min="12550" max="12550" width="17.140625" style="320" customWidth="1"/>
    <col min="12551" max="12800" width="9.140625" style="320"/>
    <col min="12801" max="12801" width="5.5703125" style="320" customWidth="1"/>
    <col min="12802" max="12802" width="9.28515625" style="320" customWidth="1"/>
    <col min="12803" max="12803" width="50.42578125" style="320" customWidth="1"/>
    <col min="12804" max="12804" width="11" style="320" customWidth="1"/>
    <col min="12805" max="12805" width="7.28515625" style="320" customWidth="1"/>
    <col min="12806" max="12806" width="17.140625" style="320" customWidth="1"/>
    <col min="12807" max="13056" width="9.140625" style="320"/>
    <col min="13057" max="13057" width="5.5703125" style="320" customWidth="1"/>
    <col min="13058" max="13058" width="9.28515625" style="320" customWidth="1"/>
    <col min="13059" max="13059" width="50.42578125" style="320" customWidth="1"/>
    <col min="13060" max="13060" width="11" style="320" customWidth="1"/>
    <col min="13061" max="13061" width="7.28515625" style="320" customWidth="1"/>
    <col min="13062" max="13062" width="17.140625" style="320" customWidth="1"/>
    <col min="13063" max="13312" width="9.140625" style="320"/>
    <col min="13313" max="13313" width="5.5703125" style="320" customWidth="1"/>
    <col min="13314" max="13314" width="9.28515625" style="320" customWidth="1"/>
    <col min="13315" max="13315" width="50.42578125" style="320" customWidth="1"/>
    <col min="13316" max="13316" width="11" style="320" customWidth="1"/>
    <col min="13317" max="13317" width="7.28515625" style="320" customWidth="1"/>
    <col min="13318" max="13318" width="17.140625" style="320" customWidth="1"/>
    <col min="13319" max="13568" width="9.140625" style="320"/>
    <col min="13569" max="13569" width="5.5703125" style="320" customWidth="1"/>
    <col min="13570" max="13570" width="9.28515625" style="320" customWidth="1"/>
    <col min="13571" max="13571" width="50.42578125" style="320" customWidth="1"/>
    <col min="13572" max="13572" width="11" style="320" customWidth="1"/>
    <col min="13573" max="13573" width="7.28515625" style="320" customWidth="1"/>
    <col min="13574" max="13574" width="17.140625" style="320" customWidth="1"/>
    <col min="13575" max="13824" width="9.140625" style="320"/>
    <col min="13825" max="13825" width="5.5703125" style="320" customWidth="1"/>
    <col min="13826" max="13826" width="9.28515625" style="320" customWidth="1"/>
    <col min="13827" max="13827" width="50.42578125" style="320" customWidth="1"/>
    <col min="13828" max="13828" width="11" style="320" customWidth="1"/>
    <col min="13829" max="13829" width="7.28515625" style="320" customWidth="1"/>
    <col min="13830" max="13830" width="17.140625" style="320" customWidth="1"/>
    <col min="13831" max="14080" width="9.140625" style="320"/>
    <col min="14081" max="14081" width="5.5703125" style="320" customWidth="1"/>
    <col min="14082" max="14082" width="9.28515625" style="320" customWidth="1"/>
    <col min="14083" max="14083" width="50.42578125" style="320" customWidth="1"/>
    <col min="14084" max="14084" width="11" style="320" customWidth="1"/>
    <col min="14085" max="14085" width="7.28515625" style="320" customWidth="1"/>
    <col min="14086" max="14086" width="17.140625" style="320" customWidth="1"/>
    <col min="14087" max="14336" width="9.140625" style="320"/>
    <col min="14337" max="14337" width="5.5703125" style="320" customWidth="1"/>
    <col min="14338" max="14338" width="9.28515625" style="320" customWidth="1"/>
    <col min="14339" max="14339" width="50.42578125" style="320" customWidth="1"/>
    <col min="14340" max="14340" width="11" style="320" customWidth="1"/>
    <col min="14341" max="14341" width="7.28515625" style="320" customWidth="1"/>
    <col min="14342" max="14342" width="17.140625" style="320" customWidth="1"/>
    <col min="14343" max="14592" width="9.140625" style="320"/>
    <col min="14593" max="14593" width="5.5703125" style="320" customWidth="1"/>
    <col min="14594" max="14594" width="9.28515625" style="320" customWidth="1"/>
    <col min="14595" max="14595" width="50.42578125" style="320" customWidth="1"/>
    <col min="14596" max="14596" width="11" style="320" customWidth="1"/>
    <col min="14597" max="14597" width="7.28515625" style="320" customWidth="1"/>
    <col min="14598" max="14598" width="17.140625" style="320" customWidth="1"/>
    <col min="14599" max="14848" width="9.140625" style="320"/>
    <col min="14849" max="14849" width="5.5703125" style="320" customWidth="1"/>
    <col min="14850" max="14850" width="9.28515625" style="320" customWidth="1"/>
    <col min="14851" max="14851" width="50.42578125" style="320" customWidth="1"/>
    <col min="14852" max="14852" width="11" style="320" customWidth="1"/>
    <col min="14853" max="14853" width="7.28515625" style="320" customWidth="1"/>
    <col min="14854" max="14854" width="17.140625" style="320" customWidth="1"/>
    <col min="14855" max="15104" width="9.140625" style="320"/>
    <col min="15105" max="15105" width="5.5703125" style="320" customWidth="1"/>
    <col min="15106" max="15106" width="9.28515625" style="320" customWidth="1"/>
    <col min="15107" max="15107" width="50.42578125" style="320" customWidth="1"/>
    <col min="15108" max="15108" width="11" style="320" customWidth="1"/>
    <col min="15109" max="15109" width="7.28515625" style="320" customWidth="1"/>
    <col min="15110" max="15110" width="17.140625" style="320" customWidth="1"/>
    <col min="15111" max="15360" width="9.140625" style="320"/>
    <col min="15361" max="15361" width="5.5703125" style="320" customWidth="1"/>
    <col min="15362" max="15362" width="9.28515625" style="320" customWidth="1"/>
    <col min="15363" max="15363" width="50.42578125" style="320" customWidth="1"/>
    <col min="15364" max="15364" width="11" style="320" customWidth="1"/>
    <col min="15365" max="15365" width="7.28515625" style="320" customWidth="1"/>
    <col min="15366" max="15366" width="17.140625" style="320" customWidth="1"/>
    <col min="15367" max="15616" width="9.140625" style="320"/>
    <col min="15617" max="15617" width="5.5703125" style="320" customWidth="1"/>
    <col min="15618" max="15618" width="9.28515625" style="320" customWidth="1"/>
    <col min="15619" max="15619" width="50.42578125" style="320" customWidth="1"/>
    <col min="15620" max="15620" width="11" style="320" customWidth="1"/>
    <col min="15621" max="15621" width="7.28515625" style="320" customWidth="1"/>
    <col min="15622" max="15622" width="17.140625" style="320" customWidth="1"/>
    <col min="15623" max="15872" width="9.140625" style="320"/>
    <col min="15873" max="15873" width="5.5703125" style="320" customWidth="1"/>
    <col min="15874" max="15874" width="9.28515625" style="320" customWidth="1"/>
    <col min="15875" max="15875" width="50.42578125" style="320" customWidth="1"/>
    <col min="15876" max="15876" width="11" style="320" customWidth="1"/>
    <col min="15877" max="15877" width="7.28515625" style="320" customWidth="1"/>
    <col min="15878" max="15878" width="17.140625" style="320" customWidth="1"/>
    <col min="15879" max="16128" width="9.140625" style="320"/>
    <col min="16129" max="16129" width="5.5703125" style="320" customWidth="1"/>
    <col min="16130" max="16130" width="9.28515625" style="320" customWidth="1"/>
    <col min="16131" max="16131" width="50.42578125" style="320" customWidth="1"/>
    <col min="16132" max="16132" width="11" style="320" customWidth="1"/>
    <col min="16133" max="16133" width="7.28515625" style="320" customWidth="1"/>
    <col min="16134" max="16134" width="17.140625" style="320" customWidth="1"/>
    <col min="16135" max="16384" width="9.140625" style="320"/>
  </cols>
  <sheetData>
    <row r="1" spans="1:6" ht="22.5" customHeight="1">
      <c r="A1" s="428" t="s">
        <v>11</v>
      </c>
      <c r="B1" s="428"/>
      <c r="C1" s="428"/>
      <c r="D1" s="428"/>
      <c r="E1" s="428"/>
      <c r="F1" s="428"/>
    </row>
    <row r="2" spans="1:6" ht="21" customHeight="1">
      <c r="A2" s="428" t="s">
        <v>12</v>
      </c>
      <c r="B2" s="428"/>
      <c r="C2" s="428"/>
      <c r="D2" s="428"/>
      <c r="E2" s="428"/>
      <c r="F2" s="428"/>
    </row>
    <row r="3" spans="1:6" ht="57.75" customHeight="1">
      <c r="A3" s="429" t="s">
        <v>768</v>
      </c>
      <c r="B3" s="430"/>
      <c r="C3" s="430"/>
      <c r="D3" s="430"/>
      <c r="E3" s="430"/>
      <c r="F3" s="431"/>
    </row>
    <row r="4" spans="1:6" ht="36.75" customHeight="1">
      <c r="A4" s="432" t="s">
        <v>769</v>
      </c>
      <c r="B4" s="432"/>
      <c r="C4" s="432"/>
      <c r="D4" s="432"/>
      <c r="E4" s="432"/>
      <c r="F4" s="432"/>
    </row>
    <row r="5" spans="1:6" ht="24.75" customHeight="1">
      <c r="A5" s="433" t="s">
        <v>770</v>
      </c>
      <c r="B5" s="434" t="s">
        <v>771</v>
      </c>
      <c r="C5" s="434" t="s">
        <v>205</v>
      </c>
      <c r="D5" s="435" t="s">
        <v>772</v>
      </c>
      <c r="E5" s="434" t="s">
        <v>297</v>
      </c>
      <c r="F5" s="434" t="s">
        <v>191</v>
      </c>
    </row>
    <row r="6" spans="1:6" ht="50.25" customHeight="1">
      <c r="A6" s="436">
        <v>1</v>
      </c>
      <c r="B6" s="437"/>
      <c r="C6" s="438" t="s">
        <v>773</v>
      </c>
      <c r="D6" s="437"/>
      <c r="E6" s="439"/>
      <c r="F6" s="440"/>
    </row>
    <row r="7" spans="1:6" ht="41.25" customHeight="1">
      <c r="A7" s="436"/>
      <c r="B7" s="437">
        <f>'[7]otthi obs det'!I49</f>
        <v>30.15</v>
      </c>
      <c r="C7" s="441" t="s">
        <v>774</v>
      </c>
      <c r="D7" s="437">
        <f>[7]Print!F89</f>
        <v>224.84</v>
      </c>
      <c r="E7" s="439" t="s">
        <v>638</v>
      </c>
      <c r="F7" s="440">
        <f>B7*D7</f>
        <v>6778.9259999999995</v>
      </c>
    </row>
    <row r="8" spans="1:6" ht="55.5" customHeight="1">
      <c r="A8" s="436">
        <v>2</v>
      </c>
      <c r="B8" s="437">
        <f>'[7]otthi obs det'!I93</f>
        <v>10.050000000000001</v>
      </c>
      <c r="C8" s="442" t="s">
        <v>775</v>
      </c>
      <c r="D8" s="437">
        <f>[7]Print!F99</f>
        <v>340.84</v>
      </c>
      <c r="E8" s="439" t="s">
        <v>638</v>
      </c>
      <c r="F8" s="440">
        <f t="shared" ref="F8:F14" si="0">B8*D8</f>
        <v>3425.442</v>
      </c>
    </row>
    <row r="9" spans="1:6" ht="52.5" customHeight="1">
      <c r="A9" s="436">
        <f>A8+1</f>
        <v>3</v>
      </c>
      <c r="B9" s="437">
        <f>'[7]otthi obs det'!I137</f>
        <v>10.050000000000001</v>
      </c>
      <c r="C9" s="442" t="s">
        <v>776</v>
      </c>
      <c r="D9" s="437">
        <v>4314.4399999999996</v>
      </c>
      <c r="E9" s="439" t="s">
        <v>638</v>
      </c>
      <c r="F9" s="440">
        <f t="shared" si="0"/>
        <v>43360.121999999996</v>
      </c>
    </row>
    <row r="10" spans="1:6" ht="64.5" customHeight="1">
      <c r="A10" s="436">
        <v>4</v>
      </c>
      <c r="B10" s="437">
        <f>'[7]otthi obs det'!I181</f>
        <v>40.15</v>
      </c>
      <c r="C10" s="441" t="s">
        <v>777</v>
      </c>
      <c r="D10" s="437">
        <f>[7]Print!F129</f>
        <v>6291.53</v>
      </c>
      <c r="E10" s="439" t="s">
        <v>638</v>
      </c>
      <c r="F10" s="440">
        <f t="shared" si="0"/>
        <v>252604.92949999997</v>
      </c>
    </row>
    <row r="11" spans="1:6" ht="52.5" customHeight="1">
      <c r="A11" s="436">
        <v>5</v>
      </c>
      <c r="B11" s="437">
        <f>'[7]otthi obs det'!I226</f>
        <v>274.7</v>
      </c>
      <c r="C11" s="441" t="s">
        <v>778</v>
      </c>
      <c r="D11" s="437">
        <f>[7]Print!F142</f>
        <v>227.66</v>
      </c>
      <c r="E11" s="439" t="s">
        <v>289</v>
      </c>
      <c r="F11" s="440">
        <f t="shared" si="0"/>
        <v>62538.201999999997</v>
      </c>
    </row>
    <row r="12" spans="1:6" ht="48.75" customHeight="1">
      <c r="A12" s="436">
        <f>A11+1</f>
        <v>6</v>
      </c>
      <c r="B12" s="437">
        <f>'[7]otthi obs det'!I271</f>
        <v>274.7</v>
      </c>
      <c r="C12" s="443" t="s">
        <v>779</v>
      </c>
      <c r="D12" s="437">
        <f>[7]Print!F164</f>
        <v>124.33</v>
      </c>
      <c r="E12" s="439" t="s">
        <v>289</v>
      </c>
      <c r="F12" s="440">
        <f t="shared" si="0"/>
        <v>34153.451000000001</v>
      </c>
    </row>
    <row r="13" spans="1:6" ht="49.5" customHeight="1">
      <c r="A13" s="436">
        <f>A12+1</f>
        <v>7</v>
      </c>
      <c r="B13" s="437">
        <f>'[7]otthi obs det'!I314</f>
        <v>171.5</v>
      </c>
      <c r="C13" s="443" t="s">
        <v>780</v>
      </c>
      <c r="D13" s="437">
        <f>[7]Print!F173</f>
        <v>833.55</v>
      </c>
      <c r="E13" s="439" t="s">
        <v>638</v>
      </c>
      <c r="F13" s="440">
        <f>B13*D13</f>
        <v>142953.82499999998</v>
      </c>
    </row>
    <row r="14" spans="1:6" ht="174.75" customHeight="1">
      <c r="A14" s="436">
        <v>8</v>
      </c>
      <c r="B14" s="437">
        <f>'[7]otthi obs det'!I360</f>
        <v>1862.5</v>
      </c>
      <c r="C14" s="444" t="s">
        <v>781</v>
      </c>
      <c r="D14" s="437">
        <f>[7]Print!F185</f>
        <v>133.44</v>
      </c>
      <c r="E14" s="439" t="s">
        <v>289</v>
      </c>
      <c r="F14" s="440">
        <f t="shared" si="0"/>
        <v>248532</v>
      </c>
    </row>
    <row r="15" spans="1:6" ht="40.5" customHeight="1">
      <c r="A15" s="436">
        <v>9</v>
      </c>
      <c r="B15" s="437">
        <f>'[7]otthi obs det'!I364</f>
        <v>3000</v>
      </c>
      <c r="C15" s="445" t="s">
        <v>782</v>
      </c>
      <c r="D15" s="437">
        <v>6.75</v>
      </c>
      <c r="E15" s="439" t="s">
        <v>247</v>
      </c>
      <c r="F15" s="440">
        <f>B15*D15</f>
        <v>20250</v>
      </c>
    </row>
    <row r="16" spans="1:6" ht="26.25" customHeight="1">
      <c r="A16" s="446"/>
      <c r="B16" s="447"/>
      <c r="C16" s="448" t="s">
        <v>198</v>
      </c>
      <c r="D16" s="449"/>
      <c r="E16" s="448"/>
      <c r="F16" s="450">
        <f>SUM(F7:F15)</f>
        <v>814596.89749999996</v>
      </c>
    </row>
    <row r="17" spans="1:6" ht="26.25" customHeight="1">
      <c r="A17" s="451">
        <v>10</v>
      </c>
      <c r="B17" s="452"/>
      <c r="C17" s="453" t="s">
        <v>783</v>
      </c>
      <c r="D17" s="452"/>
      <c r="E17" s="452"/>
      <c r="F17" s="454">
        <f>F16*18%</f>
        <v>146627.44154999999</v>
      </c>
    </row>
    <row r="18" spans="1:6" ht="27.75" customHeight="1">
      <c r="A18" s="451"/>
      <c r="B18" s="452"/>
      <c r="C18" s="455" t="s">
        <v>35</v>
      </c>
      <c r="D18" s="452"/>
      <c r="E18" s="452"/>
      <c r="F18" s="454">
        <f>SUM(F16:F17)</f>
        <v>961224.33904999995</v>
      </c>
    </row>
    <row r="19" spans="1:6" ht="30.75" customHeight="1">
      <c r="A19" s="451">
        <v>11</v>
      </c>
      <c r="B19" s="452"/>
      <c r="C19" s="456" t="s">
        <v>27</v>
      </c>
      <c r="D19" s="452"/>
      <c r="E19" s="452"/>
      <c r="F19" s="454">
        <f>F18*1%</f>
        <v>9612.2433904999998</v>
      </c>
    </row>
    <row r="20" spans="1:6" ht="38.25" customHeight="1">
      <c r="A20" s="451">
        <v>12</v>
      </c>
      <c r="B20" s="452"/>
      <c r="C20" s="457" t="s">
        <v>156</v>
      </c>
      <c r="D20" s="452"/>
      <c r="E20" s="452"/>
      <c r="F20" s="454">
        <f>F18*2.5%</f>
        <v>24030.60847625</v>
      </c>
    </row>
    <row r="21" spans="1:6" ht="30" customHeight="1">
      <c r="A21" s="458">
        <v>13</v>
      </c>
      <c r="B21" s="19"/>
      <c r="C21" s="67" t="s">
        <v>32</v>
      </c>
      <c r="D21" s="21"/>
      <c r="E21" s="21"/>
      <c r="F21" s="459">
        <f>F18*7.5%</f>
        <v>72091.825428749988</v>
      </c>
    </row>
    <row r="22" spans="1:6" ht="30" customHeight="1">
      <c r="A22" s="452"/>
      <c r="B22" s="452"/>
      <c r="C22" s="452"/>
      <c r="D22" s="452"/>
      <c r="E22" s="452"/>
      <c r="F22" s="460">
        <f>SUM(F18:F21)</f>
        <v>1066959.0163454998</v>
      </c>
    </row>
    <row r="23" spans="1:6" ht="30.75" customHeight="1">
      <c r="A23" s="452"/>
      <c r="B23" s="452"/>
      <c r="C23" s="461" t="s">
        <v>24</v>
      </c>
      <c r="D23" s="461" t="s">
        <v>25</v>
      </c>
      <c r="E23" s="461" t="s">
        <v>26</v>
      </c>
      <c r="F23" s="462">
        <v>1067000</v>
      </c>
    </row>
  </sheetData>
  <mergeCells count="4">
    <mergeCell ref="A1:F1"/>
    <mergeCell ref="A2:F2"/>
    <mergeCell ref="A3:F3"/>
    <mergeCell ref="A4:F4"/>
  </mergeCells>
  <pageMargins left="0.83" right="0.7" top="0.66" bottom="0.43" header="0.28999999999999998" footer="0.3"/>
  <pageSetup scale="91" orientation="portrait" r:id="rId1"/>
</worksheet>
</file>

<file path=xl/worksheets/sheet19.xml><?xml version="1.0" encoding="utf-8"?>
<worksheet xmlns="http://schemas.openxmlformats.org/spreadsheetml/2006/main" xmlns:r="http://schemas.openxmlformats.org/officeDocument/2006/relationships">
  <dimension ref="A1:L371"/>
  <sheetViews>
    <sheetView view="pageBreakPreview" topLeftCell="A356" zoomScaleSheetLayoutView="100" workbookViewId="0">
      <selection activeCell="M363" sqref="M363"/>
    </sheetView>
  </sheetViews>
  <sheetFormatPr defaultRowHeight="15.75"/>
  <cols>
    <col min="1" max="1" width="7.28515625" style="300" customWidth="1"/>
    <col min="2" max="2" width="44" style="300" customWidth="1"/>
    <col min="3" max="3" width="4" style="300" customWidth="1"/>
    <col min="4" max="4" width="3.5703125" style="300" customWidth="1"/>
    <col min="5" max="5" width="4" style="300" customWidth="1"/>
    <col min="6" max="6" width="11" style="300" customWidth="1"/>
    <col min="7" max="7" width="6.42578125" style="300" customWidth="1"/>
    <col min="8" max="8" width="9.7109375" style="300" customWidth="1"/>
    <col min="9" max="9" width="10.85546875" style="300" customWidth="1"/>
    <col min="10" max="10" width="5.7109375" style="300" customWidth="1"/>
    <col min="11" max="11" width="9.140625" style="300"/>
    <col min="12" max="12" width="12.85546875" style="300" bestFit="1" customWidth="1"/>
    <col min="13" max="256" width="9.140625" style="300"/>
    <col min="257" max="257" width="7.28515625" style="300" customWidth="1"/>
    <col min="258" max="258" width="44" style="300" customWidth="1"/>
    <col min="259" max="259" width="4" style="300" customWidth="1"/>
    <col min="260" max="260" width="3.5703125" style="300" customWidth="1"/>
    <col min="261" max="261" width="4" style="300" customWidth="1"/>
    <col min="262" max="262" width="11" style="300" customWidth="1"/>
    <col min="263" max="263" width="6.42578125" style="300" customWidth="1"/>
    <col min="264" max="264" width="9.7109375" style="300" customWidth="1"/>
    <col min="265" max="265" width="10.85546875" style="300" customWidth="1"/>
    <col min="266" max="266" width="5.7109375" style="300" customWidth="1"/>
    <col min="267" max="267" width="9.140625" style="300"/>
    <col min="268" max="268" width="12.85546875" style="300" bestFit="1" customWidth="1"/>
    <col min="269" max="512" width="9.140625" style="300"/>
    <col min="513" max="513" width="7.28515625" style="300" customWidth="1"/>
    <col min="514" max="514" width="44" style="300" customWidth="1"/>
    <col min="515" max="515" width="4" style="300" customWidth="1"/>
    <col min="516" max="516" width="3.5703125" style="300" customWidth="1"/>
    <col min="517" max="517" width="4" style="300" customWidth="1"/>
    <col min="518" max="518" width="11" style="300" customWidth="1"/>
    <col min="519" max="519" width="6.42578125" style="300" customWidth="1"/>
    <col min="520" max="520" width="9.7109375" style="300" customWidth="1"/>
    <col min="521" max="521" width="10.85546875" style="300" customWidth="1"/>
    <col min="522" max="522" width="5.7109375" style="300" customWidth="1"/>
    <col min="523" max="523" width="9.140625" style="300"/>
    <col min="524" max="524" width="12.85546875" style="300" bestFit="1" customWidth="1"/>
    <col min="525" max="768" width="9.140625" style="300"/>
    <col min="769" max="769" width="7.28515625" style="300" customWidth="1"/>
    <col min="770" max="770" width="44" style="300" customWidth="1"/>
    <col min="771" max="771" width="4" style="300" customWidth="1"/>
    <col min="772" max="772" width="3.5703125" style="300" customWidth="1"/>
    <col min="773" max="773" width="4" style="300" customWidth="1"/>
    <col min="774" max="774" width="11" style="300" customWidth="1"/>
    <col min="775" max="775" width="6.42578125" style="300" customWidth="1"/>
    <col min="776" max="776" width="9.7109375" style="300" customWidth="1"/>
    <col min="777" max="777" width="10.85546875" style="300" customWidth="1"/>
    <col min="778" max="778" width="5.7109375" style="300" customWidth="1"/>
    <col min="779" max="779" width="9.140625" style="300"/>
    <col min="780" max="780" width="12.85546875" style="300" bestFit="1" customWidth="1"/>
    <col min="781" max="1024" width="9.140625" style="300"/>
    <col min="1025" max="1025" width="7.28515625" style="300" customWidth="1"/>
    <col min="1026" max="1026" width="44" style="300" customWidth="1"/>
    <col min="1027" max="1027" width="4" style="300" customWidth="1"/>
    <col min="1028" max="1028" width="3.5703125" style="300" customWidth="1"/>
    <col min="1029" max="1029" width="4" style="300" customWidth="1"/>
    <col min="1030" max="1030" width="11" style="300" customWidth="1"/>
    <col min="1031" max="1031" width="6.42578125" style="300" customWidth="1"/>
    <col min="1032" max="1032" width="9.7109375" style="300" customWidth="1"/>
    <col min="1033" max="1033" width="10.85546875" style="300" customWidth="1"/>
    <col min="1034" max="1034" width="5.7109375" style="300" customWidth="1"/>
    <col min="1035" max="1035" width="9.140625" style="300"/>
    <col min="1036" max="1036" width="12.85546875" style="300" bestFit="1" customWidth="1"/>
    <col min="1037" max="1280" width="9.140625" style="300"/>
    <col min="1281" max="1281" width="7.28515625" style="300" customWidth="1"/>
    <col min="1282" max="1282" width="44" style="300" customWidth="1"/>
    <col min="1283" max="1283" width="4" style="300" customWidth="1"/>
    <col min="1284" max="1284" width="3.5703125" style="300" customWidth="1"/>
    <col min="1285" max="1285" width="4" style="300" customWidth="1"/>
    <col min="1286" max="1286" width="11" style="300" customWidth="1"/>
    <col min="1287" max="1287" width="6.42578125" style="300" customWidth="1"/>
    <col min="1288" max="1288" width="9.7109375" style="300" customWidth="1"/>
    <col min="1289" max="1289" width="10.85546875" style="300" customWidth="1"/>
    <col min="1290" max="1290" width="5.7109375" style="300" customWidth="1"/>
    <col min="1291" max="1291" width="9.140625" style="300"/>
    <col min="1292" max="1292" width="12.85546875" style="300" bestFit="1" customWidth="1"/>
    <col min="1293" max="1536" width="9.140625" style="300"/>
    <col min="1537" max="1537" width="7.28515625" style="300" customWidth="1"/>
    <col min="1538" max="1538" width="44" style="300" customWidth="1"/>
    <col min="1539" max="1539" width="4" style="300" customWidth="1"/>
    <col min="1540" max="1540" width="3.5703125" style="300" customWidth="1"/>
    <col min="1541" max="1541" width="4" style="300" customWidth="1"/>
    <col min="1542" max="1542" width="11" style="300" customWidth="1"/>
    <col min="1543" max="1543" width="6.42578125" style="300" customWidth="1"/>
    <col min="1544" max="1544" width="9.7109375" style="300" customWidth="1"/>
    <col min="1545" max="1545" width="10.85546875" style="300" customWidth="1"/>
    <col min="1546" max="1546" width="5.7109375" style="300" customWidth="1"/>
    <col min="1547" max="1547" width="9.140625" style="300"/>
    <col min="1548" max="1548" width="12.85546875" style="300" bestFit="1" customWidth="1"/>
    <col min="1549" max="1792" width="9.140625" style="300"/>
    <col min="1793" max="1793" width="7.28515625" style="300" customWidth="1"/>
    <col min="1794" max="1794" width="44" style="300" customWidth="1"/>
    <col min="1795" max="1795" width="4" style="300" customWidth="1"/>
    <col min="1796" max="1796" width="3.5703125" style="300" customWidth="1"/>
    <col min="1797" max="1797" width="4" style="300" customWidth="1"/>
    <col min="1798" max="1798" width="11" style="300" customWidth="1"/>
    <col min="1799" max="1799" width="6.42578125" style="300" customWidth="1"/>
    <col min="1800" max="1800" width="9.7109375" style="300" customWidth="1"/>
    <col min="1801" max="1801" width="10.85546875" style="300" customWidth="1"/>
    <col min="1802" max="1802" width="5.7109375" style="300" customWidth="1"/>
    <col min="1803" max="1803" width="9.140625" style="300"/>
    <col min="1804" max="1804" width="12.85546875" style="300" bestFit="1" customWidth="1"/>
    <col min="1805" max="2048" width="9.140625" style="300"/>
    <col min="2049" max="2049" width="7.28515625" style="300" customWidth="1"/>
    <col min="2050" max="2050" width="44" style="300" customWidth="1"/>
    <col min="2051" max="2051" width="4" style="300" customWidth="1"/>
    <col min="2052" max="2052" width="3.5703125" style="300" customWidth="1"/>
    <col min="2053" max="2053" width="4" style="300" customWidth="1"/>
    <col min="2054" max="2054" width="11" style="300" customWidth="1"/>
    <col min="2055" max="2055" width="6.42578125" style="300" customWidth="1"/>
    <col min="2056" max="2056" width="9.7109375" style="300" customWidth="1"/>
    <col min="2057" max="2057" width="10.85546875" style="300" customWidth="1"/>
    <col min="2058" max="2058" width="5.7109375" style="300" customWidth="1"/>
    <col min="2059" max="2059" width="9.140625" style="300"/>
    <col min="2060" max="2060" width="12.85546875" style="300" bestFit="1" customWidth="1"/>
    <col min="2061" max="2304" width="9.140625" style="300"/>
    <col min="2305" max="2305" width="7.28515625" style="300" customWidth="1"/>
    <col min="2306" max="2306" width="44" style="300" customWidth="1"/>
    <col min="2307" max="2307" width="4" style="300" customWidth="1"/>
    <col min="2308" max="2308" width="3.5703125" style="300" customWidth="1"/>
    <col min="2309" max="2309" width="4" style="300" customWidth="1"/>
    <col min="2310" max="2310" width="11" style="300" customWidth="1"/>
    <col min="2311" max="2311" width="6.42578125" style="300" customWidth="1"/>
    <col min="2312" max="2312" width="9.7109375" style="300" customWidth="1"/>
    <col min="2313" max="2313" width="10.85546875" style="300" customWidth="1"/>
    <col min="2314" max="2314" width="5.7109375" style="300" customWidth="1"/>
    <col min="2315" max="2315" width="9.140625" style="300"/>
    <col min="2316" max="2316" width="12.85546875" style="300" bestFit="1" customWidth="1"/>
    <col min="2317" max="2560" width="9.140625" style="300"/>
    <col min="2561" max="2561" width="7.28515625" style="300" customWidth="1"/>
    <col min="2562" max="2562" width="44" style="300" customWidth="1"/>
    <col min="2563" max="2563" width="4" style="300" customWidth="1"/>
    <col min="2564" max="2564" width="3.5703125" style="300" customWidth="1"/>
    <col min="2565" max="2565" width="4" style="300" customWidth="1"/>
    <col min="2566" max="2566" width="11" style="300" customWidth="1"/>
    <col min="2567" max="2567" width="6.42578125" style="300" customWidth="1"/>
    <col min="2568" max="2568" width="9.7109375" style="300" customWidth="1"/>
    <col min="2569" max="2569" width="10.85546875" style="300" customWidth="1"/>
    <col min="2570" max="2570" width="5.7109375" style="300" customWidth="1"/>
    <col min="2571" max="2571" width="9.140625" style="300"/>
    <col min="2572" max="2572" width="12.85546875" style="300" bestFit="1" customWidth="1"/>
    <col min="2573" max="2816" width="9.140625" style="300"/>
    <col min="2817" max="2817" width="7.28515625" style="300" customWidth="1"/>
    <col min="2818" max="2818" width="44" style="300" customWidth="1"/>
    <col min="2819" max="2819" width="4" style="300" customWidth="1"/>
    <col min="2820" max="2820" width="3.5703125" style="300" customWidth="1"/>
    <col min="2821" max="2821" width="4" style="300" customWidth="1"/>
    <col min="2822" max="2822" width="11" style="300" customWidth="1"/>
    <col min="2823" max="2823" width="6.42578125" style="300" customWidth="1"/>
    <col min="2824" max="2824" width="9.7109375" style="300" customWidth="1"/>
    <col min="2825" max="2825" width="10.85546875" style="300" customWidth="1"/>
    <col min="2826" max="2826" width="5.7109375" style="300" customWidth="1"/>
    <col min="2827" max="2827" width="9.140625" style="300"/>
    <col min="2828" max="2828" width="12.85546875" style="300" bestFit="1" customWidth="1"/>
    <col min="2829" max="3072" width="9.140625" style="300"/>
    <col min="3073" max="3073" width="7.28515625" style="300" customWidth="1"/>
    <col min="3074" max="3074" width="44" style="300" customWidth="1"/>
    <col min="3075" max="3075" width="4" style="300" customWidth="1"/>
    <col min="3076" max="3076" width="3.5703125" style="300" customWidth="1"/>
    <col min="3077" max="3077" width="4" style="300" customWidth="1"/>
    <col min="3078" max="3078" width="11" style="300" customWidth="1"/>
    <col min="3079" max="3079" width="6.42578125" style="300" customWidth="1"/>
    <col min="3080" max="3080" width="9.7109375" style="300" customWidth="1"/>
    <col min="3081" max="3081" width="10.85546875" style="300" customWidth="1"/>
    <col min="3082" max="3082" width="5.7109375" style="300" customWidth="1"/>
    <col min="3083" max="3083" width="9.140625" style="300"/>
    <col min="3084" max="3084" width="12.85546875" style="300" bestFit="1" customWidth="1"/>
    <col min="3085" max="3328" width="9.140625" style="300"/>
    <col min="3329" max="3329" width="7.28515625" style="300" customWidth="1"/>
    <col min="3330" max="3330" width="44" style="300" customWidth="1"/>
    <col min="3331" max="3331" width="4" style="300" customWidth="1"/>
    <col min="3332" max="3332" width="3.5703125" style="300" customWidth="1"/>
    <col min="3333" max="3333" width="4" style="300" customWidth="1"/>
    <col min="3334" max="3334" width="11" style="300" customWidth="1"/>
    <col min="3335" max="3335" width="6.42578125" style="300" customWidth="1"/>
    <col min="3336" max="3336" width="9.7109375" style="300" customWidth="1"/>
    <col min="3337" max="3337" width="10.85546875" style="300" customWidth="1"/>
    <col min="3338" max="3338" width="5.7109375" style="300" customWidth="1"/>
    <col min="3339" max="3339" width="9.140625" style="300"/>
    <col min="3340" max="3340" width="12.85546875" style="300" bestFit="1" customWidth="1"/>
    <col min="3341" max="3584" width="9.140625" style="300"/>
    <col min="3585" max="3585" width="7.28515625" style="300" customWidth="1"/>
    <col min="3586" max="3586" width="44" style="300" customWidth="1"/>
    <col min="3587" max="3587" width="4" style="300" customWidth="1"/>
    <col min="3588" max="3588" width="3.5703125" style="300" customWidth="1"/>
    <col min="3589" max="3589" width="4" style="300" customWidth="1"/>
    <col min="3590" max="3590" width="11" style="300" customWidth="1"/>
    <col min="3591" max="3591" width="6.42578125" style="300" customWidth="1"/>
    <col min="3592" max="3592" width="9.7109375" style="300" customWidth="1"/>
    <col min="3593" max="3593" width="10.85546875" style="300" customWidth="1"/>
    <col min="3594" max="3594" width="5.7109375" style="300" customWidth="1"/>
    <col min="3595" max="3595" width="9.140625" style="300"/>
    <col min="3596" max="3596" width="12.85546875" style="300" bestFit="1" customWidth="1"/>
    <col min="3597" max="3840" width="9.140625" style="300"/>
    <col min="3841" max="3841" width="7.28515625" style="300" customWidth="1"/>
    <col min="3842" max="3842" width="44" style="300" customWidth="1"/>
    <col min="3843" max="3843" width="4" style="300" customWidth="1"/>
    <col min="3844" max="3844" width="3.5703125" style="300" customWidth="1"/>
    <col min="3845" max="3845" width="4" style="300" customWidth="1"/>
    <col min="3846" max="3846" width="11" style="300" customWidth="1"/>
    <col min="3847" max="3847" width="6.42578125" style="300" customWidth="1"/>
    <col min="3848" max="3848" width="9.7109375" style="300" customWidth="1"/>
    <col min="3849" max="3849" width="10.85546875" style="300" customWidth="1"/>
    <col min="3850" max="3850" width="5.7109375" style="300" customWidth="1"/>
    <col min="3851" max="3851" width="9.140625" style="300"/>
    <col min="3852" max="3852" width="12.85546875" style="300" bestFit="1" customWidth="1"/>
    <col min="3853" max="4096" width="9.140625" style="300"/>
    <col min="4097" max="4097" width="7.28515625" style="300" customWidth="1"/>
    <col min="4098" max="4098" width="44" style="300" customWidth="1"/>
    <col min="4099" max="4099" width="4" style="300" customWidth="1"/>
    <col min="4100" max="4100" width="3.5703125" style="300" customWidth="1"/>
    <col min="4101" max="4101" width="4" style="300" customWidth="1"/>
    <col min="4102" max="4102" width="11" style="300" customWidth="1"/>
    <col min="4103" max="4103" width="6.42578125" style="300" customWidth="1"/>
    <col min="4104" max="4104" width="9.7109375" style="300" customWidth="1"/>
    <col min="4105" max="4105" width="10.85546875" style="300" customWidth="1"/>
    <col min="4106" max="4106" width="5.7109375" style="300" customWidth="1"/>
    <col min="4107" max="4107" width="9.140625" style="300"/>
    <col min="4108" max="4108" width="12.85546875" style="300" bestFit="1" customWidth="1"/>
    <col min="4109" max="4352" width="9.140625" style="300"/>
    <col min="4353" max="4353" width="7.28515625" style="300" customWidth="1"/>
    <col min="4354" max="4354" width="44" style="300" customWidth="1"/>
    <col min="4355" max="4355" width="4" style="300" customWidth="1"/>
    <col min="4356" max="4356" width="3.5703125" style="300" customWidth="1"/>
    <col min="4357" max="4357" width="4" style="300" customWidth="1"/>
    <col min="4358" max="4358" width="11" style="300" customWidth="1"/>
    <col min="4359" max="4359" width="6.42578125" style="300" customWidth="1"/>
    <col min="4360" max="4360" width="9.7109375" style="300" customWidth="1"/>
    <col min="4361" max="4361" width="10.85546875" style="300" customWidth="1"/>
    <col min="4362" max="4362" width="5.7109375" style="300" customWidth="1"/>
    <col min="4363" max="4363" width="9.140625" style="300"/>
    <col min="4364" max="4364" width="12.85546875" style="300" bestFit="1" customWidth="1"/>
    <col min="4365" max="4608" width="9.140625" style="300"/>
    <col min="4609" max="4609" width="7.28515625" style="300" customWidth="1"/>
    <col min="4610" max="4610" width="44" style="300" customWidth="1"/>
    <col min="4611" max="4611" width="4" style="300" customWidth="1"/>
    <col min="4612" max="4612" width="3.5703125" style="300" customWidth="1"/>
    <col min="4613" max="4613" width="4" style="300" customWidth="1"/>
    <col min="4614" max="4614" width="11" style="300" customWidth="1"/>
    <col min="4615" max="4615" width="6.42578125" style="300" customWidth="1"/>
    <col min="4616" max="4616" width="9.7109375" style="300" customWidth="1"/>
    <col min="4617" max="4617" width="10.85546875" style="300" customWidth="1"/>
    <col min="4618" max="4618" width="5.7109375" style="300" customWidth="1"/>
    <col min="4619" max="4619" width="9.140625" style="300"/>
    <col min="4620" max="4620" width="12.85546875" style="300" bestFit="1" customWidth="1"/>
    <col min="4621" max="4864" width="9.140625" style="300"/>
    <col min="4865" max="4865" width="7.28515625" style="300" customWidth="1"/>
    <col min="4866" max="4866" width="44" style="300" customWidth="1"/>
    <col min="4867" max="4867" width="4" style="300" customWidth="1"/>
    <col min="4868" max="4868" width="3.5703125" style="300" customWidth="1"/>
    <col min="4869" max="4869" width="4" style="300" customWidth="1"/>
    <col min="4870" max="4870" width="11" style="300" customWidth="1"/>
    <col min="4871" max="4871" width="6.42578125" style="300" customWidth="1"/>
    <col min="4872" max="4872" width="9.7109375" style="300" customWidth="1"/>
    <col min="4873" max="4873" width="10.85546875" style="300" customWidth="1"/>
    <col min="4874" max="4874" width="5.7109375" style="300" customWidth="1"/>
    <col min="4875" max="4875" width="9.140625" style="300"/>
    <col min="4876" max="4876" width="12.85546875" style="300" bestFit="1" customWidth="1"/>
    <col min="4877" max="5120" width="9.140625" style="300"/>
    <col min="5121" max="5121" width="7.28515625" style="300" customWidth="1"/>
    <col min="5122" max="5122" width="44" style="300" customWidth="1"/>
    <col min="5123" max="5123" width="4" style="300" customWidth="1"/>
    <col min="5124" max="5124" width="3.5703125" style="300" customWidth="1"/>
    <col min="5125" max="5125" width="4" style="300" customWidth="1"/>
    <col min="5126" max="5126" width="11" style="300" customWidth="1"/>
    <col min="5127" max="5127" width="6.42578125" style="300" customWidth="1"/>
    <col min="5128" max="5128" width="9.7109375" style="300" customWidth="1"/>
    <col min="5129" max="5129" width="10.85546875" style="300" customWidth="1"/>
    <col min="5130" max="5130" width="5.7109375" style="300" customWidth="1"/>
    <col min="5131" max="5131" width="9.140625" style="300"/>
    <col min="5132" max="5132" width="12.85546875" style="300" bestFit="1" customWidth="1"/>
    <col min="5133" max="5376" width="9.140625" style="300"/>
    <col min="5377" max="5377" width="7.28515625" style="300" customWidth="1"/>
    <col min="5378" max="5378" width="44" style="300" customWidth="1"/>
    <col min="5379" max="5379" width="4" style="300" customWidth="1"/>
    <col min="5380" max="5380" width="3.5703125" style="300" customWidth="1"/>
    <col min="5381" max="5381" width="4" style="300" customWidth="1"/>
    <col min="5382" max="5382" width="11" style="300" customWidth="1"/>
    <col min="5383" max="5383" width="6.42578125" style="300" customWidth="1"/>
    <col min="5384" max="5384" width="9.7109375" style="300" customWidth="1"/>
    <col min="5385" max="5385" width="10.85546875" style="300" customWidth="1"/>
    <col min="5386" max="5386" width="5.7109375" style="300" customWidth="1"/>
    <col min="5387" max="5387" width="9.140625" style="300"/>
    <col min="5388" max="5388" width="12.85546875" style="300" bestFit="1" customWidth="1"/>
    <col min="5389" max="5632" width="9.140625" style="300"/>
    <col min="5633" max="5633" width="7.28515625" style="300" customWidth="1"/>
    <col min="5634" max="5634" width="44" style="300" customWidth="1"/>
    <col min="5635" max="5635" width="4" style="300" customWidth="1"/>
    <col min="5636" max="5636" width="3.5703125" style="300" customWidth="1"/>
    <col min="5637" max="5637" width="4" style="300" customWidth="1"/>
    <col min="5638" max="5638" width="11" style="300" customWidth="1"/>
    <col min="5639" max="5639" width="6.42578125" style="300" customWidth="1"/>
    <col min="5640" max="5640" width="9.7109375" style="300" customWidth="1"/>
    <col min="5641" max="5641" width="10.85546875" style="300" customWidth="1"/>
    <col min="5642" max="5642" width="5.7109375" style="300" customWidth="1"/>
    <col min="5643" max="5643" width="9.140625" style="300"/>
    <col min="5644" max="5644" width="12.85546875" style="300" bestFit="1" customWidth="1"/>
    <col min="5645" max="5888" width="9.140625" style="300"/>
    <col min="5889" max="5889" width="7.28515625" style="300" customWidth="1"/>
    <col min="5890" max="5890" width="44" style="300" customWidth="1"/>
    <col min="5891" max="5891" width="4" style="300" customWidth="1"/>
    <col min="5892" max="5892" width="3.5703125" style="300" customWidth="1"/>
    <col min="5893" max="5893" width="4" style="300" customWidth="1"/>
    <col min="5894" max="5894" width="11" style="300" customWidth="1"/>
    <col min="5895" max="5895" width="6.42578125" style="300" customWidth="1"/>
    <col min="5896" max="5896" width="9.7109375" style="300" customWidth="1"/>
    <col min="5897" max="5897" width="10.85546875" style="300" customWidth="1"/>
    <col min="5898" max="5898" width="5.7109375" style="300" customWidth="1"/>
    <col min="5899" max="5899" width="9.140625" style="300"/>
    <col min="5900" max="5900" width="12.85546875" style="300" bestFit="1" customWidth="1"/>
    <col min="5901" max="6144" width="9.140625" style="300"/>
    <col min="6145" max="6145" width="7.28515625" style="300" customWidth="1"/>
    <col min="6146" max="6146" width="44" style="300" customWidth="1"/>
    <col min="6147" max="6147" width="4" style="300" customWidth="1"/>
    <col min="6148" max="6148" width="3.5703125" style="300" customWidth="1"/>
    <col min="6149" max="6149" width="4" style="300" customWidth="1"/>
    <col min="6150" max="6150" width="11" style="300" customWidth="1"/>
    <col min="6151" max="6151" width="6.42578125" style="300" customWidth="1"/>
    <col min="6152" max="6152" width="9.7109375" style="300" customWidth="1"/>
    <col min="6153" max="6153" width="10.85546875" style="300" customWidth="1"/>
    <col min="6154" max="6154" width="5.7109375" style="300" customWidth="1"/>
    <col min="6155" max="6155" width="9.140625" style="300"/>
    <col min="6156" max="6156" width="12.85546875" style="300" bestFit="1" customWidth="1"/>
    <col min="6157" max="6400" width="9.140625" style="300"/>
    <col min="6401" max="6401" width="7.28515625" style="300" customWidth="1"/>
    <col min="6402" max="6402" width="44" style="300" customWidth="1"/>
    <col min="6403" max="6403" width="4" style="300" customWidth="1"/>
    <col min="6404" max="6404" width="3.5703125" style="300" customWidth="1"/>
    <col min="6405" max="6405" width="4" style="300" customWidth="1"/>
    <col min="6406" max="6406" width="11" style="300" customWidth="1"/>
    <col min="6407" max="6407" width="6.42578125" style="300" customWidth="1"/>
    <col min="6408" max="6408" width="9.7109375" style="300" customWidth="1"/>
    <col min="6409" max="6409" width="10.85546875" style="300" customWidth="1"/>
    <col min="6410" max="6410" width="5.7109375" style="300" customWidth="1"/>
    <col min="6411" max="6411" width="9.140625" style="300"/>
    <col min="6412" max="6412" width="12.85546875" style="300" bestFit="1" customWidth="1"/>
    <col min="6413" max="6656" width="9.140625" style="300"/>
    <col min="6657" max="6657" width="7.28515625" style="300" customWidth="1"/>
    <col min="6658" max="6658" width="44" style="300" customWidth="1"/>
    <col min="6659" max="6659" width="4" style="300" customWidth="1"/>
    <col min="6660" max="6660" width="3.5703125" style="300" customWidth="1"/>
    <col min="6661" max="6661" width="4" style="300" customWidth="1"/>
    <col min="6662" max="6662" width="11" style="300" customWidth="1"/>
    <col min="6663" max="6663" width="6.42578125" style="300" customWidth="1"/>
    <col min="6664" max="6664" width="9.7109375" style="300" customWidth="1"/>
    <col min="6665" max="6665" width="10.85546875" style="300" customWidth="1"/>
    <col min="6666" max="6666" width="5.7109375" style="300" customWidth="1"/>
    <col min="6667" max="6667" width="9.140625" style="300"/>
    <col min="6668" max="6668" width="12.85546875" style="300" bestFit="1" customWidth="1"/>
    <col min="6669" max="6912" width="9.140625" style="300"/>
    <col min="6913" max="6913" width="7.28515625" style="300" customWidth="1"/>
    <col min="6914" max="6914" width="44" style="300" customWidth="1"/>
    <col min="6915" max="6915" width="4" style="300" customWidth="1"/>
    <col min="6916" max="6916" width="3.5703125" style="300" customWidth="1"/>
    <col min="6917" max="6917" width="4" style="300" customWidth="1"/>
    <col min="6918" max="6918" width="11" style="300" customWidth="1"/>
    <col min="6919" max="6919" width="6.42578125" style="300" customWidth="1"/>
    <col min="6920" max="6920" width="9.7109375" style="300" customWidth="1"/>
    <col min="6921" max="6921" width="10.85546875" style="300" customWidth="1"/>
    <col min="6922" max="6922" width="5.7109375" style="300" customWidth="1"/>
    <col min="6923" max="6923" width="9.140625" style="300"/>
    <col min="6924" max="6924" width="12.85546875" style="300" bestFit="1" customWidth="1"/>
    <col min="6925" max="7168" width="9.140625" style="300"/>
    <col min="7169" max="7169" width="7.28515625" style="300" customWidth="1"/>
    <col min="7170" max="7170" width="44" style="300" customWidth="1"/>
    <col min="7171" max="7171" width="4" style="300" customWidth="1"/>
    <col min="7172" max="7172" width="3.5703125" style="300" customWidth="1"/>
    <col min="7173" max="7173" width="4" style="300" customWidth="1"/>
    <col min="7174" max="7174" width="11" style="300" customWidth="1"/>
    <col min="7175" max="7175" width="6.42578125" style="300" customWidth="1"/>
    <col min="7176" max="7176" width="9.7109375" style="300" customWidth="1"/>
    <col min="7177" max="7177" width="10.85546875" style="300" customWidth="1"/>
    <col min="7178" max="7178" width="5.7109375" style="300" customWidth="1"/>
    <col min="7179" max="7179" width="9.140625" style="300"/>
    <col min="7180" max="7180" width="12.85546875" style="300" bestFit="1" customWidth="1"/>
    <col min="7181" max="7424" width="9.140625" style="300"/>
    <col min="7425" max="7425" width="7.28515625" style="300" customWidth="1"/>
    <col min="7426" max="7426" width="44" style="300" customWidth="1"/>
    <col min="7427" max="7427" width="4" style="300" customWidth="1"/>
    <col min="7428" max="7428" width="3.5703125" style="300" customWidth="1"/>
    <col min="7429" max="7429" width="4" style="300" customWidth="1"/>
    <col min="7430" max="7430" width="11" style="300" customWidth="1"/>
    <col min="7431" max="7431" width="6.42578125" style="300" customWidth="1"/>
    <col min="7432" max="7432" width="9.7109375" style="300" customWidth="1"/>
    <col min="7433" max="7433" width="10.85546875" style="300" customWidth="1"/>
    <col min="7434" max="7434" width="5.7109375" style="300" customWidth="1"/>
    <col min="7435" max="7435" width="9.140625" style="300"/>
    <col min="7436" max="7436" width="12.85546875" style="300" bestFit="1" customWidth="1"/>
    <col min="7437" max="7680" width="9.140625" style="300"/>
    <col min="7681" max="7681" width="7.28515625" style="300" customWidth="1"/>
    <col min="7682" max="7682" width="44" style="300" customWidth="1"/>
    <col min="7683" max="7683" width="4" style="300" customWidth="1"/>
    <col min="7684" max="7684" width="3.5703125" style="300" customWidth="1"/>
    <col min="7685" max="7685" width="4" style="300" customWidth="1"/>
    <col min="7686" max="7686" width="11" style="300" customWidth="1"/>
    <col min="7687" max="7687" width="6.42578125" style="300" customWidth="1"/>
    <col min="7688" max="7688" width="9.7109375" style="300" customWidth="1"/>
    <col min="7689" max="7689" width="10.85546875" style="300" customWidth="1"/>
    <col min="7690" max="7690" width="5.7109375" style="300" customWidth="1"/>
    <col min="7691" max="7691" width="9.140625" style="300"/>
    <col min="7692" max="7692" width="12.85546875" style="300" bestFit="1" customWidth="1"/>
    <col min="7693" max="7936" width="9.140625" style="300"/>
    <col min="7937" max="7937" width="7.28515625" style="300" customWidth="1"/>
    <col min="7938" max="7938" width="44" style="300" customWidth="1"/>
    <col min="7939" max="7939" width="4" style="300" customWidth="1"/>
    <col min="7940" max="7940" width="3.5703125" style="300" customWidth="1"/>
    <col min="7941" max="7941" width="4" style="300" customWidth="1"/>
    <col min="7942" max="7942" width="11" style="300" customWidth="1"/>
    <col min="7943" max="7943" width="6.42578125" style="300" customWidth="1"/>
    <col min="7944" max="7944" width="9.7109375" style="300" customWidth="1"/>
    <col min="7945" max="7945" width="10.85546875" style="300" customWidth="1"/>
    <col min="7946" max="7946" width="5.7109375" style="300" customWidth="1"/>
    <col min="7947" max="7947" width="9.140625" style="300"/>
    <col min="7948" max="7948" width="12.85546875" style="300" bestFit="1" customWidth="1"/>
    <col min="7949" max="8192" width="9.140625" style="300"/>
    <col min="8193" max="8193" width="7.28515625" style="300" customWidth="1"/>
    <col min="8194" max="8194" width="44" style="300" customWidth="1"/>
    <col min="8195" max="8195" width="4" style="300" customWidth="1"/>
    <col min="8196" max="8196" width="3.5703125" style="300" customWidth="1"/>
    <col min="8197" max="8197" width="4" style="300" customWidth="1"/>
    <col min="8198" max="8198" width="11" style="300" customWidth="1"/>
    <col min="8199" max="8199" width="6.42578125" style="300" customWidth="1"/>
    <col min="8200" max="8200" width="9.7109375" style="300" customWidth="1"/>
    <col min="8201" max="8201" width="10.85546875" style="300" customWidth="1"/>
    <col min="8202" max="8202" width="5.7109375" style="300" customWidth="1"/>
    <col min="8203" max="8203" width="9.140625" style="300"/>
    <col min="8204" max="8204" width="12.85546875" style="300" bestFit="1" customWidth="1"/>
    <col min="8205" max="8448" width="9.140625" style="300"/>
    <col min="8449" max="8449" width="7.28515625" style="300" customWidth="1"/>
    <col min="8450" max="8450" width="44" style="300" customWidth="1"/>
    <col min="8451" max="8451" width="4" style="300" customWidth="1"/>
    <col min="8452" max="8452" width="3.5703125" style="300" customWidth="1"/>
    <col min="8453" max="8453" width="4" style="300" customWidth="1"/>
    <col min="8454" max="8454" width="11" style="300" customWidth="1"/>
    <col min="8455" max="8455" width="6.42578125" style="300" customWidth="1"/>
    <col min="8456" max="8456" width="9.7109375" style="300" customWidth="1"/>
    <col min="8457" max="8457" width="10.85546875" style="300" customWidth="1"/>
    <col min="8458" max="8458" width="5.7109375" style="300" customWidth="1"/>
    <col min="8459" max="8459" width="9.140625" style="300"/>
    <col min="8460" max="8460" width="12.85546875" style="300" bestFit="1" customWidth="1"/>
    <col min="8461" max="8704" width="9.140625" style="300"/>
    <col min="8705" max="8705" width="7.28515625" style="300" customWidth="1"/>
    <col min="8706" max="8706" width="44" style="300" customWidth="1"/>
    <col min="8707" max="8707" width="4" style="300" customWidth="1"/>
    <col min="8708" max="8708" width="3.5703125" style="300" customWidth="1"/>
    <col min="8709" max="8709" width="4" style="300" customWidth="1"/>
    <col min="8710" max="8710" width="11" style="300" customWidth="1"/>
    <col min="8711" max="8711" width="6.42578125" style="300" customWidth="1"/>
    <col min="8712" max="8712" width="9.7109375" style="300" customWidth="1"/>
    <col min="8713" max="8713" width="10.85546875" style="300" customWidth="1"/>
    <col min="8714" max="8714" width="5.7109375" style="300" customWidth="1"/>
    <col min="8715" max="8715" width="9.140625" style="300"/>
    <col min="8716" max="8716" width="12.85546875" style="300" bestFit="1" customWidth="1"/>
    <col min="8717" max="8960" width="9.140625" style="300"/>
    <col min="8961" max="8961" width="7.28515625" style="300" customWidth="1"/>
    <col min="8962" max="8962" width="44" style="300" customWidth="1"/>
    <col min="8963" max="8963" width="4" style="300" customWidth="1"/>
    <col min="8964" max="8964" width="3.5703125" style="300" customWidth="1"/>
    <col min="8965" max="8965" width="4" style="300" customWidth="1"/>
    <col min="8966" max="8966" width="11" style="300" customWidth="1"/>
    <col min="8967" max="8967" width="6.42578125" style="300" customWidth="1"/>
    <col min="8968" max="8968" width="9.7109375" style="300" customWidth="1"/>
    <col min="8969" max="8969" width="10.85546875" style="300" customWidth="1"/>
    <col min="8970" max="8970" width="5.7109375" style="300" customWidth="1"/>
    <col min="8971" max="8971" width="9.140625" style="300"/>
    <col min="8972" max="8972" width="12.85546875" style="300" bestFit="1" customWidth="1"/>
    <col min="8973" max="9216" width="9.140625" style="300"/>
    <col min="9217" max="9217" width="7.28515625" style="300" customWidth="1"/>
    <col min="9218" max="9218" width="44" style="300" customWidth="1"/>
    <col min="9219" max="9219" width="4" style="300" customWidth="1"/>
    <col min="9220" max="9220" width="3.5703125" style="300" customWidth="1"/>
    <col min="9221" max="9221" width="4" style="300" customWidth="1"/>
    <col min="9222" max="9222" width="11" style="300" customWidth="1"/>
    <col min="9223" max="9223" width="6.42578125" style="300" customWidth="1"/>
    <col min="9224" max="9224" width="9.7109375" style="300" customWidth="1"/>
    <col min="9225" max="9225" width="10.85546875" style="300" customWidth="1"/>
    <col min="9226" max="9226" width="5.7109375" style="300" customWidth="1"/>
    <col min="9227" max="9227" width="9.140625" style="300"/>
    <col min="9228" max="9228" width="12.85546875" style="300" bestFit="1" customWidth="1"/>
    <col min="9229" max="9472" width="9.140625" style="300"/>
    <col min="9473" max="9473" width="7.28515625" style="300" customWidth="1"/>
    <col min="9474" max="9474" width="44" style="300" customWidth="1"/>
    <col min="9475" max="9475" width="4" style="300" customWidth="1"/>
    <col min="9476" max="9476" width="3.5703125" style="300" customWidth="1"/>
    <col min="9477" max="9477" width="4" style="300" customWidth="1"/>
    <col min="9478" max="9478" width="11" style="300" customWidth="1"/>
    <col min="9479" max="9479" width="6.42578125" style="300" customWidth="1"/>
    <col min="9480" max="9480" width="9.7109375" style="300" customWidth="1"/>
    <col min="9481" max="9481" width="10.85546875" style="300" customWidth="1"/>
    <col min="9482" max="9482" width="5.7109375" style="300" customWidth="1"/>
    <col min="9483" max="9483" width="9.140625" style="300"/>
    <col min="9484" max="9484" width="12.85546875" style="300" bestFit="1" customWidth="1"/>
    <col min="9485" max="9728" width="9.140625" style="300"/>
    <col min="9729" max="9729" width="7.28515625" style="300" customWidth="1"/>
    <col min="9730" max="9730" width="44" style="300" customWidth="1"/>
    <col min="9731" max="9731" width="4" style="300" customWidth="1"/>
    <col min="9732" max="9732" width="3.5703125" style="300" customWidth="1"/>
    <col min="9733" max="9733" width="4" style="300" customWidth="1"/>
    <col min="9734" max="9734" width="11" style="300" customWidth="1"/>
    <col min="9735" max="9735" width="6.42578125" style="300" customWidth="1"/>
    <col min="9736" max="9736" width="9.7109375" style="300" customWidth="1"/>
    <col min="9737" max="9737" width="10.85546875" style="300" customWidth="1"/>
    <col min="9738" max="9738" width="5.7109375" style="300" customWidth="1"/>
    <col min="9739" max="9739" width="9.140625" style="300"/>
    <col min="9740" max="9740" width="12.85546875" style="300" bestFit="1" customWidth="1"/>
    <col min="9741" max="9984" width="9.140625" style="300"/>
    <col min="9985" max="9985" width="7.28515625" style="300" customWidth="1"/>
    <col min="9986" max="9986" width="44" style="300" customWidth="1"/>
    <col min="9987" max="9987" width="4" style="300" customWidth="1"/>
    <col min="9988" max="9988" width="3.5703125" style="300" customWidth="1"/>
    <col min="9989" max="9989" width="4" style="300" customWidth="1"/>
    <col min="9990" max="9990" width="11" style="300" customWidth="1"/>
    <col min="9991" max="9991" width="6.42578125" style="300" customWidth="1"/>
    <col min="9992" max="9992" width="9.7109375" style="300" customWidth="1"/>
    <col min="9993" max="9993" width="10.85546875" style="300" customWidth="1"/>
    <col min="9994" max="9994" width="5.7109375" style="300" customWidth="1"/>
    <col min="9995" max="9995" width="9.140625" style="300"/>
    <col min="9996" max="9996" width="12.85546875" style="300" bestFit="1" customWidth="1"/>
    <col min="9997" max="10240" width="9.140625" style="300"/>
    <col min="10241" max="10241" width="7.28515625" style="300" customWidth="1"/>
    <col min="10242" max="10242" width="44" style="300" customWidth="1"/>
    <col min="10243" max="10243" width="4" style="300" customWidth="1"/>
    <col min="10244" max="10244" width="3.5703125" style="300" customWidth="1"/>
    <col min="10245" max="10245" width="4" style="300" customWidth="1"/>
    <col min="10246" max="10246" width="11" style="300" customWidth="1"/>
    <col min="10247" max="10247" width="6.42578125" style="300" customWidth="1"/>
    <col min="10248" max="10248" width="9.7109375" style="300" customWidth="1"/>
    <col min="10249" max="10249" width="10.85546875" style="300" customWidth="1"/>
    <col min="10250" max="10250" width="5.7109375" style="300" customWidth="1"/>
    <col min="10251" max="10251" width="9.140625" style="300"/>
    <col min="10252" max="10252" width="12.85546875" style="300" bestFit="1" customWidth="1"/>
    <col min="10253" max="10496" width="9.140625" style="300"/>
    <col min="10497" max="10497" width="7.28515625" style="300" customWidth="1"/>
    <col min="10498" max="10498" width="44" style="300" customWidth="1"/>
    <col min="10499" max="10499" width="4" style="300" customWidth="1"/>
    <col min="10500" max="10500" width="3.5703125" style="300" customWidth="1"/>
    <col min="10501" max="10501" width="4" style="300" customWidth="1"/>
    <col min="10502" max="10502" width="11" style="300" customWidth="1"/>
    <col min="10503" max="10503" width="6.42578125" style="300" customWidth="1"/>
    <col min="10504" max="10504" width="9.7109375" style="300" customWidth="1"/>
    <col min="10505" max="10505" width="10.85546875" style="300" customWidth="1"/>
    <col min="10506" max="10506" width="5.7109375" style="300" customWidth="1"/>
    <col min="10507" max="10507" width="9.140625" style="300"/>
    <col min="10508" max="10508" width="12.85546875" style="300" bestFit="1" customWidth="1"/>
    <col min="10509" max="10752" width="9.140625" style="300"/>
    <col min="10753" max="10753" width="7.28515625" style="300" customWidth="1"/>
    <col min="10754" max="10754" width="44" style="300" customWidth="1"/>
    <col min="10755" max="10755" width="4" style="300" customWidth="1"/>
    <col min="10756" max="10756" width="3.5703125" style="300" customWidth="1"/>
    <col min="10757" max="10757" width="4" style="300" customWidth="1"/>
    <col min="10758" max="10758" width="11" style="300" customWidth="1"/>
    <col min="10759" max="10759" width="6.42578125" style="300" customWidth="1"/>
    <col min="10760" max="10760" width="9.7109375" style="300" customWidth="1"/>
    <col min="10761" max="10761" width="10.85546875" style="300" customWidth="1"/>
    <col min="10762" max="10762" width="5.7109375" style="300" customWidth="1"/>
    <col min="10763" max="10763" width="9.140625" style="300"/>
    <col min="10764" max="10764" width="12.85546875" style="300" bestFit="1" customWidth="1"/>
    <col min="10765" max="11008" width="9.140625" style="300"/>
    <col min="11009" max="11009" width="7.28515625" style="300" customWidth="1"/>
    <col min="11010" max="11010" width="44" style="300" customWidth="1"/>
    <col min="11011" max="11011" width="4" style="300" customWidth="1"/>
    <col min="11012" max="11012" width="3.5703125" style="300" customWidth="1"/>
    <col min="11013" max="11013" width="4" style="300" customWidth="1"/>
    <col min="11014" max="11014" width="11" style="300" customWidth="1"/>
    <col min="11015" max="11015" width="6.42578125" style="300" customWidth="1"/>
    <col min="11016" max="11016" width="9.7109375" style="300" customWidth="1"/>
    <col min="11017" max="11017" width="10.85546875" style="300" customWidth="1"/>
    <col min="11018" max="11018" width="5.7109375" style="300" customWidth="1"/>
    <col min="11019" max="11019" width="9.140625" style="300"/>
    <col min="11020" max="11020" width="12.85546875" style="300" bestFit="1" customWidth="1"/>
    <col min="11021" max="11264" width="9.140625" style="300"/>
    <col min="11265" max="11265" width="7.28515625" style="300" customWidth="1"/>
    <col min="11266" max="11266" width="44" style="300" customWidth="1"/>
    <col min="11267" max="11267" width="4" style="300" customWidth="1"/>
    <col min="11268" max="11268" width="3.5703125" style="300" customWidth="1"/>
    <col min="11269" max="11269" width="4" style="300" customWidth="1"/>
    <col min="11270" max="11270" width="11" style="300" customWidth="1"/>
    <col min="11271" max="11271" width="6.42578125" style="300" customWidth="1"/>
    <col min="11272" max="11272" width="9.7109375" style="300" customWidth="1"/>
    <col min="11273" max="11273" width="10.85546875" style="300" customWidth="1"/>
    <col min="11274" max="11274" width="5.7109375" style="300" customWidth="1"/>
    <col min="11275" max="11275" width="9.140625" style="300"/>
    <col min="11276" max="11276" width="12.85546875" style="300" bestFit="1" customWidth="1"/>
    <col min="11277" max="11520" width="9.140625" style="300"/>
    <col min="11521" max="11521" width="7.28515625" style="300" customWidth="1"/>
    <col min="11522" max="11522" width="44" style="300" customWidth="1"/>
    <col min="11523" max="11523" width="4" style="300" customWidth="1"/>
    <col min="11524" max="11524" width="3.5703125" style="300" customWidth="1"/>
    <col min="11525" max="11525" width="4" style="300" customWidth="1"/>
    <col min="11526" max="11526" width="11" style="300" customWidth="1"/>
    <col min="11527" max="11527" width="6.42578125" style="300" customWidth="1"/>
    <col min="11528" max="11528" width="9.7109375" style="300" customWidth="1"/>
    <col min="11529" max="11529" width="10.85546875" style="300" customWidth="1"/>
    <col min="11530" max="11530" width="5.7109375" style="300" customWidth="1"/>
    <col min="11531" max="11531" width="9.140625" style="300"/>
    <col min="11532" max="11532" width="12.85546875" style="300" bestFit="1" customWidth="1"/>
    <col min="11533" max="11776" width="9.140625" style="300"/>
    <col min="11777" max="11777" width="7.28515625" style="300" customWidth="1"/>
    <col min="11778" max="11778" width="44" style="300" customWidth="1"/>
    <col min="11779" max="11779" width="4" style="300" customWidth="1"/>
    <col min="11780" max="11780" width="3.5703125" style="300" customWidth="1"/>
    <col min="11781" max="11781" width="4" style="300" customWidth="1"/>
    <col min="11782" max="11782" width="11" style="300" customWidth="1"/>
    <col min="11783" max="11783" width="6.42578125" style="300" customWidth="1"/>
    <col min="11784" max="11784" width="9.7109375" style="300" customWidth="1"/>
    <col min="11785" max="11785" width="10.85546875" style="300" customWidth="1"/>
    <col min="11786" max="11786" width="5.7109375" style="300" customWidth="1"/>
    <col min="11787" max="11787" width="9.140625" style="300"/>
    <col min="11788" max="11788" width="12.85546875" style="300" bestFit="1" customWidth="1"/>
    <col min="11789" max="12032" width="9.140625" style="300"/>
    <col min="12033" max="12033" width="7.28515625" style="300" customWidth="1"/>
    <col min="12034" max="12034" width="44" style="300" customWidth="1"/>
    <col min="12035" max="12035" width="4" style="300" customWidth="1"/>
    <col min="12036" max="12036" width="3.5703125" style="300" customWidth="1"/>
    <col min="12037" max="12037" width="4" style="300" customWidth="1"/>
    <col min="12038" max="12038" width="11" style="300" customWidth="1"/>
    <col min="12039" max="12039" width="6.42578125" style="300" customWidth="1"/>
    <col min="12040" max="12040" width="9.7109375" style="300" customWidth="1"/>
    <col min="12041" max="12041" width="10.85546875" style="300" customWidth="1"/>
    <col min="12042" max="12042" width="5.7109375" style="300" customWidth="1"/>
    <col min="12043" max="12043" width="9.140625" style="300"/>
    <col min="12044" max="12044" width="12.85546875" style="300" bestFit="1" customWidth="1"/>
    <col min="12045" max="12288" width="9.140625" style="300"/>
    <col min="12289" max="12289" width="7.28515625" style="300" customWidth="1"/>
    <col min="12290" max="12290" width="44" style="300" customWidth="1"/>
    <col min="12291" max="12291" width="4" style="300" customWidth="1"/>
    <col min="12292" max="12292" width="3.5703125" style="300" customWidth="1"/>
    <col min="12293" max="12293" width="4" style="300" customWidth="1"/>
    <col min="12294" max="12294" width="11" style="300" customWidth="1"/>
    <col min="12295" max="12295" width="6.42578125" style="300" customWidth="1"/>
    <col min="12296" max="12296" width="9.7109375" style="300" customWidth="1"/>
    <col min="12297" max="12297" width="10.85546875" style="300" customWidth="1"/>
    <col min="12298" max="12298" width="5.7109375" style="300" customWidth="1"/>
    <col min="12299" max="12299" width="9.140625" style="300"/>
    <col min="12300" max="12300" width="12.85546875" style="300" bestFit="1" customWidth="1"/>
    <col min="12301" max="12544" width="9.140625" style="300"/>
    <col min="12545" max="12545" width="7.28515625" style="300" customWidth="1"/>
    <col min="12546" max="12546" width="44" style="300" customWidth="1"/>
    <col min="12547" max="12547" width="4" style="300" customWidth="1"/>
    <col min="12548" max="12548" width="3.5703125" style="300" customWidth="1"/>
    <col min="12549" max="12549" width="4" style="300" customWidth="1"/>
    <col min="12550" max="12550" width="11" style="300" customWidth="1"/>
    <col min="12551" max="12551" width="6.42578125" style="300" customWidth="1"/>
    <col min="12552" max="12552" width="9.7109375" style="300" customWidth="1"/>
    <col min="12553" max="12553" width="10.85546875" style="300" customWidth="1"/>
    <col min="12554" max="12554" width="5.7109375" style="300" customWidth="1"/>
    <col min="12555" max="12555" width="9.140625" style="300"/>
    <col min="12556" max="12556" width="12.85546875" style="300" bestFit="1" customWidth="1"/>
    <col min="12557" max="12800" width="9.140625" style="300"/>
    <col min="12801" max="12801" width="7.28515625" style="300" customWidth="1"/>
    <col min="12802" max="12802" width="44" style="300" customWidth="1"/>
    <col min="12803" max="12803" width="4" style="300" customWidth="1"/>
    <col min="12804" max="12804" width="3.5703125" style="300" customWidth="1"/>
    <col min="12805" max="12805" width="4" style="300" customWidth="1"/>
    <col min="12806" max="12806" width="11" style="300" customWidth="1"/>
    <col min="12807" max="12807" width="6.42578125" style="300" customWidth="1"/>
    <col min="12808" max="12808" width="9.7109375" style="300" customWidth="1"/>
    <col min="12809" max="12809" width="10.85546875" style="300" customWidth="1"/>
    <col min="12810" max="12810" width="5.7109375" style="300" customWidth="1"/>
    <col min="12811" max="12811" width="9.140625" style="300"/>
    <col min="12812" max="12812" width="12.85546875" style="300" bestFit="1" customWidth="1"/>
    <col min="12813" max="13056" width="9.140625" style="300"/>
    <col min="13057" max="13057" width="7.28515625" style="300" customWidth="1"/>
    <col min="13058" max="13058" width="44" style="300" customWidth="1"/>
    <col min="13059" max="13059" width="4" style="300" customWidth="1"/>
    <col min="13060" max="13060" width="3.5703125" style="300" customWidth="1"/>
    <col min="13061" max="13061" width="4" style="300" customWidth="1"/>
    <col min="13062" max="13062" width="11" style="300" customWidth="1"/>
    <col min="13063" max="13063" width="6.42578125" style="300" customWidth="1"/>
    <col min="13064" max="13064" width="9.7109375" style="300" customWidth="1"/>
    <col min="13065" max="13065" width="10.85546875" style="300" customWidth="1"/>
    <col min="13066" max="13066" width="5.7109375" style="300" customWidth="1"/>
    <col min="13067" max="13067" width="9.140625" style="300"/>
    <col min="13068" max="13068" width="12.85546875" style="300" bestFit="1" customWidth="1"/>
    <col min="13069" max="13312" width="9.140625" style="300"/>
    <col min="13313" max="13313" width="7.28515625" style="300" customWidth="1"/>
    <col min="13314" max="13314" width="44" style="300" customWidth="1"/>
    <col min="13315" max="13315" width="4" style="300" customWidth="1"/>
    <col min="13316" max="13316" width="3.5703125" style="300" customWidth="1"/>
    <col min="13317" max="13317" width="4" style="300" customWidth="1"/>
    <col min="13318" max="13318" width="11" style="300" customWidth="1"/>
    <col min="13319" max="13319" width="6.42578125" style="300" customWidth="1"/>
    <col min="13320" max="13320" width="9.7109375" style="300" customWidth="1"/>
    <col min="13321" max="13321" width="10.85546875" style="300" customWidth="1"/>
    <col min="13322" max="13322" width="5.7109375" style="300" customWidth="1"/>
    <col min="13323" max="13323" width="9.140625" style="300"/>
    <col min="13324" max="13324" width="12.85546875" style="300" bestFit="1" customWidth="1"/>
    <col min="13325" max="13568" width="9.140625" style="300"/>
    <col min="13569" max="13569" width="7.28515625" style="300" customWidth="1"/>
    <col min="13570" max="13570" width="44" style="300" customWidth="1"/>
    <col min="13571" max="13571" width="4" style="300" customWidth="1"/>
    <col min="13572" max="13572" width="3.5703125" style="300" customWidth="1"/>
    <col min="13573" max="13573" width="4" style="300" customWidth="1"/>
    <col min="13574" max="13574" width="11" style="300" customWidth="1"/>
    <col min="13575" max="13575" width="6.42578125" style="300" customWidth="1"/>
    <col min="13576" max="13576" width="9.7109375" style="300" customWidth="1"/>
    <col min="13577" max="13577" width="10.85546875" style="300" customWidth="1"/>
    <col min="13578" max="13578" width="5.7109375" style="300" customWidth="1"/>
    <col min="13579" max="13579" width="9.140625" style="300"/>
    <col min="13580" max="13580" width="12.85546875" style="300" bestFit="1" customWidth="1"/>
    <col min="13581" max="13824" width="9.140625" style="300"/>
    <col min="13825" max="13825" width="7.28515625" style="300" customWidth="1"/>
    <col min="13826" max="13826" width="44" style="300" customWidth="1"/>
    <col min="13827" max="13827" width="4" style="300" customWidth="1"/>
    <col min="13828" max="13828" width="3.5703125" style="300" customWidth="1"/>
    <col min="13829" max="13829" width="4" style="300" customWidth="1"/>
    <col min="13830" max="13830" width="11" style="300" customWidth="1"/>
    <col min="13831" max="13831" width="6.42578125" style="300" customWidth="1"/>
    <col min="13832" max="13832" width="9.7109375" style="300" customWidth="1"/>
    <col min="13833" max="13833" width="10.85546875" style="300" customWidth="1"/>
    <col min="13834" max="13834" width="5.7109375" style="300" customWidth="1"/>
    <col min="13835" max="13835" width="9.140625" style="300"/>
    <col min="13836" max="13836" width="12.85546875" style="300" bestFit="1" customWidth="1"/>
    <col min="13837" max="14080" width="9.140625" style="300"/>
    <col min="14081" max="14081" width="7.28515625" style="300" customWidth="1"/>
    <col min="14082" max="14082" width="44" style="300" customWidth="1"/>
    <col min="14083" max="14083" width="4" style="300" customWidth="1"/>
    <col min="14084" max="14084" width="3.5703125" style="300" customWidth="1"/>
    <col min="14085" max="14085" width="4" style="300" customWidth="1"/>
    <col min="14086" max="14086" width="11" style="300" customWidth="1"/>
    <col min="14087" max="14087" width="6.42578125" style="300" customWidth="1"/>
    <col min="14088" max="14088" width="9.7109375" style="300" customWidth="1"/>
    <col min="14089" max="14089" width="10.85546875" style="300" customWidth="1"/>
    <col min="14090" max="14090" width="5.7109375" style="300" customWidth="1"/>
    <col min="14091" max="14091" width="9.140625" style="300"/>
    <col min="14092" max="14092" width="12.85546875" style="300" bestFit="1" customWidth="1"/>
    <col min="14093" max="14336" width="9.140625" style="300"/>
    <col min="14337" max="14337" width="7.28515625" style="300" customWidth="1"/>
    <col min="14338" max="14338" width="44" style="300" customWidth="1"/>
    <col min="14339" max="14339" width="4" style="300" customWidth="1"/>
    <col min="14340" max="14340" width="3.5703125" style="300" customWidth="1"/>
    <col min="14341" max="14341" width="4" style="300" customWidth="1"/>
    <col min="14342" max="14342" width="11" style="300" customWidth="1"/>
    <col min="14343" max="14343" width="6.42578125" style="300" customWidth="1"/>
    <col min="14344" max="14344" width="9.7109375" style="300" customWidth="1"/>
    <col min="14345" max="14345" width="10.85546875" style="300" customWidth="1"/>
    <col min="14346" max="14346" width="5.7109375" style="300" customWidth="1"/>
    <col min="14347" max="14347" width="9.140625" style="300"/>
    <col min="14348" max="14348" width="12.85546875" style="300" bestFit="1" customWidth="1"/>
    <col min="14349" max="14592" width="9.140625" style="300"/>
    <col min="14593" max="14593" width="7.28515625" style="300" customWidth="1"/>
    <col min="14594" max="14594" width="44" style="300" customWidth="1"/>
    <col min="14595" max="14595" width="4" style="300" customWidth="1"/>
    <col min="14596" max="14596" width="3.5703125" style="300" customWidth="1"/>
    <col min="14597" max="14597" width="4" style="300" customWidth="1"/>
    <col min="14598" max="14598" width="11" style="300" customWidth="1"/>
    <col min="14599" max="14599" width="6.42578125" style="300" customWidth="1"/>
    <col min="14600" max="14600" width="9.7109375" style="300" customWidth="1"/>
    <col min="14601" max="14601" width="10.85546875" style="300" customWidth="1"/>
    <col min="14602" max="14602" width="5.7109375" style="300" customWidth="1"/>
    <col min="14603" max="14603" width="9.140625" style="300"/>
    <col min="14604" max="14604" width="12.85546875" style="300" bestFit="1" customWidth="1"/>
    <col min="14605" max="14848" width="9.140625" style="300"/>
    <col min="14849" max="14849" width="7.28515625" style="300" customWidth="1"/>
    <col min="14850" max="14850" width="44" style="300" customWidth="1"/>
    <col min="14851" max="14851" width="4" style="300" customWidth="1"/>
    <col min="14852" max="14852" width="3.5703125" style="300" customWidth="1"/>
    <col min="14853" max="14853" width="4" style="300" customWidth="1"/>
    <col min="14854" max="14854" width="11" style="300" customWidth="1"/>
    <col min="14855" max="14855" width="6.42578125" style="300" customWidth="1"/>
    <col min="14856" max="14856" width="9.7109375" style="300" customWidth="1"/>
    <col min="14857" max="14857" width="10.85546875" style="300" customWidth="1"/>
    <col min="14858" max="14858" width="5.7109375" style="300" customWidth="1"/>
    <col min="14859" max="14859" width="9.140625" style="300"/>
    <col min="14860" max="14860" width="12.85546875" style="300" bestFit="1" customWidth="1"/>
    <col min="14861" max="15104" width="9.140625" style="300"/>
    <col min="15105" max="15105" width="7.28515625" style="300" customWidth="1"/>
    <col min="15106" max="15106" width="44" style="300" customWidth="1"/>
    <col min="15107" max="15107" width="4" style="300" customWidth="1"/>
    <col min="15108" max="15108" width="3.5703125" style="300" customWidth="1"/>
    <col min="15109" max="15109" width="4" style="300" customWidth="1"/>
    <col min="15110" max="15110" width="11" style="300" customWidth="1"/>
    <col min="15111" max="15111" width="6.42578125" style="300" customWidth="1"/>
    <col min="15112" max="15112" width="9.7109375" style="300" customWidth="1"/>
    <col min="15113" max="15113" width="10.85546875" style="300" customWidth="1"/>
    <col min="15114" max="15114" width="5.7109375" style="300" customWidth="1"/>
    <col min="15115" max="15115" width="9.140625" style="300"/>
    <col min="15116" max="15116" width="12.85546875" style="300" bestFit="1" customWidth="1"/>
    <col min="15117" max="15360" width="9.140625" style="300"/>
    <col min="15361" max="15361" width="7.28515625" style="300" customWidth="1"/>
    <col min="15362" max="15362" width="44" style="300" customWidth="1"/>
    <col min="15363" max="15363" width="4" style="300" customWidth="1"/>
    <col min="15364" max="15364" width="3.5703125" style="300" customWidth="1"/>
    <col min="15365" max="15365" width="4" style="300" customWidth="1"/>
    <col min="15366" max="15366" width="11" style="300" customWidth="1"/>
    <col min="15367" max="15367" width="6.42578125" style="300" customWidth="1"/>
    <col min="15368" max="15368" width="9.7109375" style="300" customWidth="1"/>
    <col min="15369" max="15369" width="10.85546875" style="300" customWidth="1"/>
    <col min="15370" max="15370" width="5.7109375" style="300" customWidth="1"/>
    <col min="15371" max="15371" width="9.140625" style="300"/>
    <col min="15372" max="15372" width="12.85546875" style="300" bestFit="1" customWidth="1"/>
    <col min="15373" max="15616" width="9.140625" style="300"/>
    <col min="15617" max="15617" width="7.28515625" style="300" customWidth="1"/>
    <col min="15618" max="15618" width="44" style="300" customWidth="1"/>
    <col min="15619" max="15619" width="4" style="300" customWidth="1"/>
    <col min="15620" max="15620" width="3.5703125" style="300" customWidth="1"/>
    <col min="15621" max="15621" width="4" style="300" customWidth="1"/>
    <col min="15622" max="15622" width="11" style="300" customWidth="1"/>
    <col min="15623" max="15623" width="6.42578125" style="300" customWidth="1"/>
    <col min="15624" max="15624" width="9.7109375" style="300" customWidth="1"/>
    <col min="15625" max="15625" width="10.85546875" style="300" customWidth="1"/>
    <col min="15626" max="15626" width="5.7109375" style="300" customWidth="1"/>
    <col min="15627" max="15627" width="9.140625" style="300"/>
    <col min="15628" max="15628" width="12.85546875" style="300" bestFit="1" customWidth="1"/>
    <col min="15629" max="15872" width="9.140625" style="300"/>
    <col min="15873" max="15873" width="7.28515625" style="300" customWidth="1"/>
    <col min="15874" max="15874" width="44" style="300" customWidth="1"/>
    <col min="15875" max="15875" width="4" style="300" customWidth="1"/>
    <col min="15876" max="15876" width="3.5703125" style="300" customWidth="1"/>
    <col min="15877" max="15877" width="4" style="300" customWidth="1"/>
    <col min="15878" max="15878" width="11" style="300" customWidth="1"/>
    <col min="15879" max="15879" width="6.42578125" style="300" customWidth="1"/>
    <col min="15880" max="15880" width="9.7109375" style="300" customWidth="1"/>
    <col min="15881" max="15881" width="10.85546875" style="300" customWidth="1"/>
    <col min="15882" max="15882" width="5.7109375" style="300" customWidth="1"/>
    <col min="15883" max="15883" width="9.140625" style="300"/>
    <col min="15884" max="15884" width="12.85546875" style="300" bestFit="1" customWidth="1"/>
    <col min="15885" max="16128" width="9.140625" style="300"/>
    <col min="16129" max="16129" width="7.28515625" style="300" customWidth="1"/>
    <col min="16130" max="16130" width="44" style="300" customWidth="1"/>
    <col min="16131" max="16131" width="4" style="300" customWidth="1"/>
    <col min="16132" max="16132" width="3.5703125" style="300" customWidth="1"/>
    <col min="16133" max="16133" width="4" style="300" customWidth="1"/>
    <col min="16134" max="16134" width="11" style="300" customWidth="1"/>
    <col min="16135" max="16135" width="6.42578125" style="300" customWidth="1"/>
    <col min="16136" max="16136" width="9.7109375" style="300" customWidth="1"/>
    <col min="16137" max="16137" width="10.85546875" style="300" customWidth="1"/>
    <col min="16138" max="16138" width="5.7109375" style="300" customWidth="1"/>
    <col min="16139" max="16139" width="9.140625" style="300"/>
    <col min="16140" max="16140" width="12.85546875" style="300" bestFit="1" customWidth="1"/>
    <col min="16141" max="16384" width="9.140625" style="300"/>
  </cols>
  <sheetData>
    <row r="1" spans="1:10" ht="21.75" customHeight="1">
      <c r="A1" s="428" t="s">
        <v>11</v>
      </c>
      <c r="B1" s="428"/>
      <c r="C1" s="428"/>
      <c r="D1" s="428"/>
      <c r="E1" s="428"/>
      <c r="F1" s="428"/>
      <c r="G1" s="428"/>
      <c r="H1" s="428"/>
      <c r="I1" s="428"/>
      <c r="J1" s="428"/>
    </row>
    <row r="2" spans="1:10" ht="18.75" customHeight="1">
      <c r="A2" s="463" t="s">
        <v>12</v>
      </c>
      <c r="B2" s="463"/>
      <c r="C2" s="463"/>
      <c r="D2" s="463"/>
      <c r="E2" s="463"/>
      <c r="F2" s="463"/>
      <c r="G2" s="463"/>
      <c r="H2" s="463"/>
      <c r="I2" s="463"/>
      <c r="J2" s="463"/>
    </row>
    <row r="3" spans="1:10" ht="57" customHeight="1">
      <c r="A3" s="464" t="s">
        <v>784</v>
      </c>
      <c r="B3" s="465"/>
      <c r="C3" s="465"/>
      <c r="D3" s="465"/>
      <c r="E3" s="465"/>
      <c r="F3" s="465"/>
      <c r="G3" s="465"/>
      <c r="H3" s="465"/>
      <c r="I3" s="465"/>
      <c r="J3" s="466"/>
    </row>
    <row r="4" spans="1:10" ht="17.25">
      <c r="A4" s="467" t="s">
        <v>770</v>
      </c>
      <c r="B4" s="468" t="s">
        <v>785</v>
      </c>
      <c r="C4" s="468" t="s">
        <v>37</v>
      </c>
      <c r="D4" s="468"/>
      <c r="E4" s="468"/>
      <c r="F4" s="468" t="s">
        <v>786</v>
      </c>
      <c r="G4" s="468"/>
      <c r="H4" s="468"/>
      <c r="I4" s="468" t="s">
        <v>189</v>
      </c>
      <c r="J4" s="468"/>
    </row>
    <row r="5" spans="1:10" ht="17.25">
      <c r="A5" s="467"/>
      <c r="B5" s="468"/>
      <c r="C5" s="468"/>
      <c r="D5" s="468"/>
      <c r="E5" s="468"/>
      <c r="F5" s="469" t="s">
        <v>5</v>
      </c>
      <c r="G5" s="469" t="s">
        <v>6</v>
      </c>
      <c r="H5" s="469" t="s">
        <v>7</v>
      </c>
      <c r="I5" s="468"/>
      <c r="J5" s="468"/>
    </row>
    <row r="6" spans="1:10" ht="39.75" customHeight="1">
      <c r="A6" s="470">
        <v>1</v>
      </c>
      <c r="B6" s="471" t="s">
        <v>773</v>
      </c>
      <c r="C6" s="472"/>
      <c r="D6" s="472"/>
      <c r="E6" s="472"/>
      <c r="F6" s="473"/>
      <c r="G6" s="473"/>
      <c r="H6" s="473"/>
      <c r="I6" s="473"/>
      <c r="J6" s="474"/>
    </row>
    <row r="7" spans="1:10" ht="19.5" customHeight="1">
      <c r="A7" s="470"/>
      <c r="B7" s="475" t="s">
        <v>787</v>
      </c>
      <c r="C7" s="472"/>
      <c r="D7" s="472"/>
      <c r="E7" s="472"/>
      <c r="F7" s="473"/>
      <c r="G7" s="473"/>
      <c r="H7" s="473"/>
      <c r="I7" s="473"/>
      <c r="J7" s="474"/>
    </row>
    <row r="8" spans="1:10">
      <c r="A8" s="470"/>
      <c r="B8" s="476" t="s">
        <v>788</v>
      </c>
      <c r="C8" s="477">
        <v>1</v>
      </c>
      <c r="D8" s="477" t="s">
        <v>28</v>
      </c>
      <c r="E8" s="477">
        <v>1</v>
      </c>
      <c r="F8" s="478">
        <f>1.8*4</f>
        <v>7.2</v>
      </c>
      <c r="G8" s="478">
        <v>0.23</v>
      </c>
      <c r="H8" s="478">
        <v>0.3</v>
      </c>
      <c r="I8" s="478">
        <f>PRODUCT(C8:H8)</f>
        <v>0.49680000000000002</v>
      </c>
      <c r="J8" s="474"/>
    </row>
    <row r="9" spans="1:10">
      <c r="A9" s="470"/>
      <c r="B9" s="476" t="s">
        <v>789</v>
      </c>
      <c r="C9" s="477">
        <v>1</v>
      </c>
      <c r="D9" s="477" t="s">
        <v>28</v>
      </c>
      <c r="E9" s="477">
        <v>1</v>
      </c>
      <c r="F9" s="478">
        <f>2*4</f>
        <v>8</v>
      </c>
      <c r="G9" s="478">
        <v>0.23</v>
      </c>
      <c r="H9" s="478">
        <v>0.3</v>
      </c>
      <c r="I9" s="478">
        <f>PRODUCT(C9:H9)</f>
        <v>0.55200000000000005</v>
      </c>
      <c r="J9" s="474"/>
    </row>
    <row r="10" spans="1:10" ht="17.25">
      <c r="A10" s="470"/>
      <c r="B10" s="475" t="s">
        <v>790</v>
      </c>
      <c r="C10" s="477"/>
      <c r="D10" s="477"/>
      <c r="E10" s="477"/>
      <c r="F10" s="478"/>
      <c r="G10" s="478"/>
      <c r="H10" s="478"/>
      <c r="I10" s="478"/>
      <c r="J10" s="474"/>
    </row>
    <row r="11" spans="1:10">
      <c r="A11" s="470"/>
      <c r="B11" s="476" t="s">
        <v>789</v>
      </c>
      <c r="C11" s="477">
        <v>1</v>
      </c>
      <c r="D11" s="477" t="s">
        <v>28</v>
      </c>
      <c r="E11" s="477">
        <v>1</v>
      </c>
      <c r="F11" s="478">
        <f>7.5+7.5+5+5</f>
        <v>25</v>
      </c>
      <c r="G11" s="478">
        <v>0.23</v>
      </c>
      <c r="H11" s="478">
        <v>0.3</v>
      </c>
      <c r="I11" s="478">
        <f>PRODUCT(C11:H11)</f>
        <v>1.7249999999999999</v>
      </c>
      <c r="J11" s="474"/>
    </row>
    <row r="12" spans="1:10" ht="17.25">
      <c r="A12" s="470"/>
      <c r="B12" s="475" t="s">
        <v>791</v>
      </c>
      <c r="C12" s="477"/>
      <c r="D12" s="477"/>
      <c r="E12" s="477"/>
      <c r="F12" s="478"/>
      <c r="G12" s="478"/>
      <c r="H12" s="478"/>
      <c r="I12" s="478"/>
      <c r="J12" s="474"/>
    </row>
    <row r="13" spans="1:10">
      <c r="A13" s="470"/>
      <c r="B13" s="476" t="s">
        <v>789</v>
      </c>
      <c r="C13" s="477">
        <v>1</v>
      </c>
      <c r="D13" s="477" t="s">
        <v>28</v>
      </c>
      <c r="E13" s="477">
        <v>1</v>
      </c>
      <c r="F13" s="478">
        <f>4+4+8+8</f>
        <v>24</v>
      </c>
      <c r="G13" s="478">
        <v>0.23</v>
      </c>
      <c r="H13" s="478">
        <v>0.3</v>
      </c>
      <c r="I13" s="478">
        <f>PRODUCT(C13:H13)</f>
        <v>1.6560000000000001</v>
      </c>
      <c r="J13" s="474"/>
    </row>
    <row r="14" spans="1:10" ht="17.25">
      <c r="A14" s="470"/>
      <c r="B14" s="475" t="s">
        <v>792</v>
      </c>
      <c r="C14" s="477"/>
      <c r="D14" s="477"/>
      <c r="E14" s="477"/>
      <c r="F14" s="478"/>
      <c r="G14" s="478"/>
      <c r="H14" s="478"/>
      <c r="I14" s="478"/>
      <c r="J14" s="474"/>
    </row>
    <row r="15" spans="1:10">
      <c r="A15" s="470"/>
      <c r="B15" s="476" t="s">
        <v>789</v>
      </c>
      <c r="C15" s="477">
        <v>1</v>
      </c>
      <c r="D15" s="477" t="s">
        <v>28</v>
      </c>
      <c r="E15" s="477">
        <v>1</v>
      </c>
      <c r="F15" s="478">
        <f>5+8</f>
        <v>13</v>
      </c>
      <c r="G15" s="478">
        <v>0.23</v>
      </c>
      <c r="H15" s="478">
        <v>0.3</v>
      </c>
      <c r="I15" s="478">
        <f>PRODUCT(C15:H15)</f>
        <v>0.89700000000000002</v>
      </c>
      <c r="J15" s="474"/>
    </row>
    <row r="16" spans="1:10" ht="17.25">
      <c r="A16" s="470"/>
      <c r="B16" s="475" t="s">
        <v>793</v>
      </c>
      <c r="C16" s="477"/>
      <c r="D16" s="477"/>
      <c r="E16" s="477"/>
      <c r="F16" s="478"/>
      <c r="G16" s="478"/>
      <c r="H16" s="478"/>
      <c r="I16" s="478"/>
      <c r="J16" s="474"/>
    </row>
    <row r="17" spans="1:10">
      <c r="A17" s="470"/>
      <c r="B17" s="476" t="s">
        <v>789</v>
      </c>
      <c r="C17" s="477">
        <v>1</v>
      </c>
      <c r="D17" s="477" t="s">
        <v>28</v>
      </c>
      <c r="E17" s="477">
        <v>1</v>
      </c>
      <c r="F17" s="478">
        <f>5.5+5.5+6+6</f>
        <v>23</v>
      </c>
      <c r="G17" s="478">
        <v>0.23</v>
      </c>
      <c r="H17" s="478">
        <v>0.3</v>
      </c>
      <c r="I17" s="478">
        <f>PRODUCT(C17:H17)</f>
        <v>1.587</v>
      </c>
      <c r="J17" s="474"/>
    </row>
    <row r="18" spans="1:10" ht="17.25">
      <c r="A18" s="470"/>
      <c r="B18" s="475" t="s">
        <v>794</v>
      </c>
      <c r="C18" s="477"/>
      <c r="D18" s="477"/>
      <c r="E18" s="477"/>
      <c r="F18" s="478"/>
      <c r="G18" s="478"/>
      <c r="H18" s="478"/>
      <c r="I18" s="478"/>
      <c r="J18" s="474"/>
    </row>
    <row r="19" spans="1:10">
      <c r="A19" s="470"/>
      <c r="B19" s="476" t="s">
        <v>789</v>
      </c>
      <c r="C19" s="477">
        <v>1</v>
      </c>
      <c r="D19" s="477" t="s">
        <v>28</v>
      </c>
      <c r="E19" s="477">
        <v>1</v>
      </c>
      <c r="F19" s="478">
        <f>4.7+4.7+4+4</f>
        <v>17.399999999999999</v>
      </c>
      <c r="G19" s="478">
        <v>0.23</v>
      </c>
      <c r="H19" s="478">
        <v>0.3</v>
      </c>
      <c r="I19" s="478">
        <f>PRODUCT(C19:H19)</f>
        <v>1.2005999999999999</v>
      </c>
      <c r="J19" s="474"/>
    </row>
    <row r="20" spans="1:10" ht="17.25">
      <c r="A20" s="470"/>
      <c r="B20" s="475" t="s">
        <v>795</v>
      </c>
      <c r="C20" s="477"/>
      <c r="D20" s="477"/>
      <c r="E20" s="477"/>
      <c r="F20" s="478"/>
      <c r="G20" s="478"/>
      <c r="H20" s="478"/>
      <c r="I20" s="478"/>
      <c r="J20" s="474"/>
    </row>
    <row r="21" spans="1:10">
      <c r="A21" s="470"/>
      <c r="B21" s="476" t="s">
        <v>789</v>
      </c>
      <c r="C21" s="477">
        <v>1</v>
      </c>
      <c r="D21" s="477" t="s">
        <v>28</v>
      </c>
      <c r="E21" s="477">
        <v>1</v>
      </c>
      <c r="F21" s="478">
        <f>4+4+14+14</f>
        <v>36</v>
      </c>
      <c r="G21" s="478">
        <v>0.23</v>
      </c>
      <c r="H21" s="478">
        <v>0.3</v>
      </c>
      <c r="I21" s="478">
        <f>PRODUCT(C21:H21)</f>
        <v>2.4840000000000004</v>
      </c>
      <c r="J21" s="474"/>
    </row>
    <row r="22" spans="1:10" ht="17.25">
      <c r="A22" s="470"/>
      <c r="B22" s="475" t="s">
        <v>796</v>
      </c>
      <c r="C22" s="477"/>
      <c r="D22" s="477"/>
      <c r="E22" s="477"/>
      <c r="F22" s="478"/>
      <c r="G22" s="478"/>
      <c r="H22" s="478"/>
      <c r="I22" s="478"/>
      <c r="J22" s="474"/>
    </row>
    <row r="23" spans="1:10">
      <c r="A23" s="470"/>
      <c r="B23" s="476" t="s">
        <v>789</v>
      </c>
      <c r="C23" s="477">
        <v>1</v>
      </c>
      <c r="D23" s="477" t="s">
        <v>28</v>
      </c>
      <c r="E23" s="477">
        <v>1</v>
      </c>
      <c r="F23" s="478">
        <f>6+6+5+5</f>
        <v>22</v>
      </c>
      <c r="G23" s="478">
        <v>0.23</v>
      </c>
      <c r="H23" s="478">
        <v>0.3</v>
      </c>
      <c r="I23" s="478">
        <f>PRODUCT(C23:H23)</f>
        <v>1.518</v>
      </c>
      <c r="J23" s="474"/>
    </row>
    <row r="24" spans="1:10" ht="17.25">
      <c r="A24" s="470"/>
      <c r="B24" s="475" t="s">
        <v>797</v>
      </c>
      <c r="C24" s="477"/>
      <c r="D24" s="477"/>
      <c r="E24" s="477"/>
      <c r="F24" s="478"/>
      <c r="G24" s="478"/>
      <c r="H24" s="478"/>
      <c r="I24" s="478"/>
      <c r="J24" s="474"/>
    </row>
    <row r="25" spans="1:10">
      <c r="A25" s="470"/>
      <c r="B25" s="476" t="s">
        <v>789</v>
      </c>
      <c r="C25" s="477">
        <v>1</v>
      </c>
      <c r="D25" s="477" t="s">
        <v>28</v>
      </c>
      <c r="E25" s="477">
        <v>1</v>
      </c>
      <c r="F25" s="478">
        <f>1.7+1.7+6</f>
        <v>9.4</v>
      </c>
      <c r="G25" s="478">
        <v>0.23</v>
      </c>
      <c r="H25" s="478">
        <v>0.3</v>
      </c>
      <c r="I25" s="478">
        <f>PRODUCT(C25:H25)</f>
        <v>0.64860000000000007</v>
      </c>
      <c r="J25" s="474"/>
    </row>
    <row r="26" spans="1:10" ht="17.25">
      <c r="A26" s="470"/>
      <c r="B26" s="475" t="s">
        <v>798</v>
      </c>
      <c r="C26" s="477"/>
      <c r="D26" s="477"/>
      <c r="E26" s="477"/>
      <c r="F26" s="478"/>
      <c r="G26" s="478"/>
      <c r="H26" s="478"/>
      <c r="I26" s="478"/>
      <c r="J26" s="474"/>
    </row>
    <row r="27" spans="1:10">
      <c r="A27" s="470"/>
      <c r="B27" s="476" t="s">
        <v>789</v>
      </c>
      <c r="C27" s="477">
        <v>1</v>
      </c>
      <c r="D27" s="477" t="s">
        <v>28</v>
      </c>
      <c r="E27" s="477">
        <v>1</v>
      </c>
      <c r="F27" s="478">
        <f>2.5+2.5+3+3</f>
        <v>11</v>
      </c>
      <c r="G27" s="478">
        <v>0.23</v>
      </c>
      <c r="H27" s="478">
        <v>0.3</v>
      </c>
      <c r="I27" s="478">
        <f>PRODUCT(C27:H27)</f>
        <v>0.75900000000000001</v>
      </c>
      <c r="J27" s="474"/>
    </row>
    <row r="28" spans="1:10" ht="17.25">
      <c r="A28" s="470"/>
      <c r="B28" s="475" t="s">
        <v>799</v>
      </c>
      <c r="C28" s="477"/>
      <c r="D28" s="477"/>
      <c r="E28" s="477"/>
      <c r="F28" s="478"/>
      <c r="G28" s="478"/>
      <c r="H28" s="478"/>
      <c r="I28" s="478"/>
      <c r="J28" s="474"/>
    </row>
    <row r="29" spans="1:10">
      <c r="A29" s="470"/>
      <c r="B29" s="476" t="s">
        <v>789</v>
      </c>
      <c r="C29" s="477">
        <v>1</v>
      </c>
      <c r="D29" s="477" t="s">
        <v>28</v>
      </c>
      <c r="E29" s="477">
        <v>1</v>
      </c>
      <c r="F29" s="478">
        <f>5+5+9+9</f>
        <v>28</v>
      </c>
      <c r="G29" s="478">
        <v>0.23</v>
      </c>
      <c r="H29" s="478">
        <v>0.3</v>
      </c>
      <c r="I29" s="478">
        <f>PRODUCT(C29:H29)</f>
        <v>1.9319999999999999</v>
      </c>
      <c r="J29" s="474"/>
    </row>
    <row r="30" spans="1:10" ht="17.25">
      <c r="A30" s="470"/>
      <c r="B30" s="475" t="s">
        <v>800</v>
      </c>
      <c r="C30" s="477"/>
      <c r="D30" s="477"/>
      <c r="E30" s="477"/>
      <c r="F30" s="478"/>
      <c r="G30" s="478"/>
      <c r="H30" s="478"/>
      <c r="I30" s="478"/>
      <c r="J30" s="474"/>
    </row>
    <row r="31" spans="1:10">
      <c r="A31" s="470"/>
      <c r="B31" s="476" t="s">
        <v>789</v>
      </c>
      <c r="C31" s="477">
        <v>1</v>
      </c>
      <c r="D31" s="477" t="s">
        <v>28</v>
      </c>
      <c r="E31" s="477">
        <v>1</v>
      </c>
      <c r="F31" s="478">
        <f>11+11+4+4</f>
        <v>30</v>
      </c>
      <c r="G31" s="478">
        <v>0.23</v>
      </c>
      <c r="H31" s="478">
        <v>0.3</v>
      </c>
      <c r="I31" s="478">
        <f>PRODUCT(C31:H31)</f>
        <v>2.0699999999999998</v>
      </c>
      <c r="J31" s="474"/>
    </row>
    <row r="32" spans="1:10" ht="17.25">
      <c r="A32" s="470"/>
      <c r="B32" s="475" t="s">
        <v>801</v>
      </c>
      <c r="C32" s="477"/>
      <c r="D32" s="477"/>
      <c r="E32" s="477"/>
      <c r="F32" s="478"/>
      <c r="G32" s="478"/>
      <c r="H32" s="478"/>
      <c r="I32" s="478"/>
      <c r="J32" s="474"/>
    </row>
    <row r="33" spans="1:10">
      <c r="A33" s="470"/>
      <c r="B33" s="476" t="s">
        <v>789</v>
      </c>
      <c r="C33" s="477">
        <v>1</v>
      </c>
      <c r="D33" s="477" t="s">
        <v>28</v>
      </c>
      <c r="E33" s="477">
        <v>1</v>
      </c>
      <c r="F33" s="478">
        <f>8+8+3.5+3.5</f>
        <v>23</v>
      </c>
      <c r="G33" s="478">
        <v>0.23</v>
      </c>
      <c r="H33" s="478">
        <v>0.3</v>
      </c>
      <c r="I33" s="478">
        <f>PRODUCT(C33:H33)</f>
        <v>1.587</v>
      </c>
      <c r="J33" s="474"/>
    </row>
    <row r="34" spans="1:10" ht="17.25">
      <c r="A34" s="470"/>
      <c r="B34" s="475" t="s">
        <v>802</v>
      </c>
      <c r="C34" s="477"/>
      <c r="D34" s="477"/>
      <c r="E34" s="477"/>
      <c r="F34" s="478"/>
      <c r="G34" s="478"/>
      <c r="H34" s="478"/>
      <c r="I34" s="478"/>
      <c r="J34" s="474"/>
    </row>
    <row r="35" spans="1:10">
      <c r="A35" s="470"/>
      <c r="B35" s="476" t="s">
        <v>789</v>
      </c>
      <c r="C35" s="477">
        <v>1</v>
      </c>
      <c r="D35" s="477" t="s">
        <v>28</v>
      </c>
      <c r="E35" s="477">
        <v>1</v>
      </c>
      <c r="F35" s="478">
        <f>12+12+7+7</f>
        <v>38</v>
      </c>
      <c r="G35" s="478">
        <v>0.23</v>
      </c>
      <c r="H35" s="478">
        <v>0.3</v>
      </c>
      <c r="I35" s="478">
        <f>PRODUCT(C35:H35)</f>
        <v>2.6219999999999999</v>
      </c>
      <c r="J35" s="474"/>
    </row>
    <row r="36" spans="1:10" ht="17.25">
      <c r="A36" s="470"/>
      <c r="B36" s="475" t="s">
        <v>803</v>
      </c>
      <c r="C36" s="477"/>
      <c r="D36" s="477"/>
      <c r="E36" s="477"/>
      <c r="F36" s="478"/>
      <c r="G36" s="478"/>
      <c r="H36" s="478"/>
      <c r="I36" s="478"/>
      <c r="J36" s="474"/>
    </row>
    <row r="37" spans="1:10">
      <c r="A37" s="470"/>
      <c r="B37" s="476" t="s">
        <v>789</v>
      </c>
      <c r="C37" s="477">
        <v>1</v>
      </c>
      <c r="D37" s="477" t="s">
        <v>28</v>
      </c>
      <c r="E37" s="477">
        <v>1</v>
      </c>
      <c r="F37" s="478">
        <f>7+7+4.3+4.3</f>
        <v>22.6</v>
      </c>
      <c r="G37" s="478">
        <v>0.23</v>
      </c>
      <c r="H37" s="478">
        <v>0.3</v>
      </c>
      <c r="I37" s="478">
        <f>PRODUCT(C37:H37)</f>
        <v>1.5594000000000001</v>
      </c>
      <c r="J37" s="474"/>
    </row>
    <row r="38" spans="1:10" ht="17.25">
      <c r="A38" s="470"/>
      <c r="B38" s="475" t="s">
        <v>804</v>
      </c>
      <c r="C38" s="477"/>
      <c r="D38" s="477"/>
      <c r="E38" s="477"/>
      <c r="F38" s="478"/>
      <c r="G38" s="478"/>
      <c r="H38" s="478"/>
      <c r="I38" s="478"/>
      <c r="J38" s="474"/>
    </row>
    <row r="39" spans="1:10">
      <c r="A39" s="470"/>
      <c r="B39" s="476" t="s">
        <v>789</v>
      </c>
      <c r="C39" s="477">
        <v>1</v>
      </c>
      <c r="D39" s="477" t="s">
        <v>28</v>
      </c>
      <c r="E39" s="477">
        <v>1</v>
      </c>
      <c r="F39" s="478">
        <f>3+3+3.5+3.5</f>
        <v>13</v>
      </c>
      <c r="G39" s="478">
        <v>0.23</v>
      </c>
      <c r="H39" s="478">
        <v>0.3</v>
      </c>
      <c r="I39" s="478">
        <f>PRODUCT(C39:H39)</f>
        <v>0.89700000000000002</v>
      </c>
      <c r="J39" s="474"/>
    </row>
    <row r="40" spans="1:10" ht="17.25">
      <c r="A40" s="470"/>
      <c r="B40" s="475" t="s">
        <v>805</v>
      </c>
      <c r="C40" s="477"/>
      <c r="D40" s="477"/>
      <c r="E40" s="477"/>
      <c r="F40" s="478"/>
      <c r="G40" s="478"/>
      <c r="H40" s="478"/>
      <c r="I40" s="478"/>
      <c r="J40" s="474"/>
    </row>
    <row r="41" spans="1:10">
      <c r="A41" s="470"/>
      <c r="B41" s="476" t="s">
        <v>789</v>
      </c>
      <c r="C41" s="477">
        <v>1</v>
      </c>
      <c r="D41" s="477" t="s">
        <v>28</v>
      </c>
      <c r="E41" s="477">
        <v>1</v>
      </c>
      <c r="F41" s="478">
        <f>7+7+5+5</f>
        <v>24</v>
      </c>
      <c r="G41" s="478">
        <v>0.23</v>
      </c>
      <c r="H41" s="478">
        <v>0.3</v>
      </c>
      <c r="I41" s="478">
        <f>PRODUCT(C41:H41)</f>
        <v>1.6560000000000001</v>
      </c>
      <c r="J41" s="474"/>
    </row>
    <row r="42" spans="1:10" ht="17.25">
      <c r="A42" s="470"/>
      <c r="B42" s="475" t="s">
        <v>806</v>
      </c>
      <c r="C42" s="477"/>
      <c r="D42" s="477"/>
      <c r="E42" s="477"/>
      <c r="F42" s="478"/>
      <c r="G42" s="478"/>
      <c r="H42" s="478"/>
      <c r="I42" s="478"/>
      <c r="J42" s="474"/>
    </row>
    <row r="43" spans="1:10">
      <c r="A43" s="470"/>
      <c r="B43" s="476" t="s">
        <v>789</v>
      </c>
      <c r="C43" s="477">
        <v>1</v>
      </c>
      <c r="D43" s="477" t="s">
        <v>28</v>
      </c>
      <c r="E43" s="477">
        <v>1</v>
      </c>
      <c r="F43" s="478">
        <f>13.5+13.5+3.5+3.5</f>
        <v>34</v>
      </c>
      <c r="G43" s="478">
        <v>0.23</v>
      </c>
      <c r="H43" s="478">
        <v>0.3</v>
      </c>
      <c r="I43" s="478">
        <f>PRODUCT(C43:H43)</f>
        <v>2.3460000000000001</v>
      </c>
      <c r="J43" s="474"/>
    </row>
    <row r="44" spans="1:10" ht="17.25">
      <c r="A44" s="470"/>
      <c r="B44" s="475" t="s">
        <v>807</v>
      </c>
      <c r="C44" s="477"/>
      <c r="D44" s="477"/>
      <c r="E44" s="477"/>
      <c r="F44" s="478"/>
      <c r="G44" s="478"/>
      <c r="H44" s="478"/>
      <c r="I44" s="478"/>
      <c r="J44" s="474"/>
    </row>
    <row r="45" spans="1:10">
      <c r="A45" s="470"/>
      <c r="B45" s="476" t="s">
        <v>789</v>
      </c>
      <c r="C45" s="477">
        <v>1</v>
      </c>
      <c r="D45" s="477" t="s">
        <v>28</v>
      </c>
      <c r="E45" s="477">
        <v>1</v>
      </c>
      <c r="F45" s="478">
        <f>2.5+2.5+3.7+3.7</f>
        <v>12.399999999999999</v>
      </c>
      <c r="G45" s="478">
        <v>0.23</v>
      </c>
      <c r="H45" s="478">
        <v>0.3</v>
      </c>
      <c r="I45" s="478">
        <f>PRODUCT(C45:H45)</f>
        <v>0.85559999999999992</v>
      </c>
      <c r="J45" s="474"/>
    </row>
    <row r="46" spans="1:10" ht="17.25">
      <c r="A46" s="470"/>
      <c r="B46" s="475" t="s">
        <v>808</v>
      </c>
      <c r="C46" s="477"/>
      <c r="D46" s="477"/>
      <c r="E46" s="477"/>
      <c r="F46" s="478"/>
      <c r="G46" s="478"/>
      <c r="H46" s="478"/>
      <c r="I46" s="478"/>
      <c r="J46" s="474"/>
    </row>
    <row r="47" spans="1:10">
      <c r="A47" s="470"/>
      <c r="B47" s="476" t="s">
        <v>789</v>
      </c>
      <c r="C47" s="477">
        <v>1</v>
      </c>
      <c r="D47" s="477" t="s">
        <v>28</v>
      </c>
      <c r="E47" s="477">
        <v>1</v>
      </c>
      <c r="F47" s="478">
        <f>4.5+4.5+3+3</f>
        <v>15</v>
      </c>
      <c r="G47" s="478">
        <v>0.23</v>
      </c>
      <c r="H47" s="478">
        <v>0.3</v>
      </c>
      <c r="I47" s="478">
        <f>PRODUCT(C47:H47)</f>
        <v>1.0349999999999999</v>
      </c>
      <c r="J47" s="474"/>
    </row>
    <row r="48" spans="1:10">
      <c r="A48" s="470"/>
      <c r="B48" s="476"/>
      <c r="C48" s="477"/>
      <c r="D48" s="477"/>
      <c r="E48" s="477"/>
      <c r="F48" s="478"/>
      <c r="G48" s="478"/>
      <c r="H48" s="478" t="s">
        <v>34</v>
      </c>
      <c r="I48" s="478">
        <f>SUM(I8:I47)</f>
        <v>30.083999999999996</v>
      </c>
      <c r="J48" s="474"/>
    </row>
    <row r="49" spans="1:10" ht="16.5">
      <c r="A49" s="470"/>
      <c r="B49" s="476"/>
      <c r="C49" s="477"/>
      <c r="D49" s="477"/>
      <c r="E49" s="477"/>
      <c r="F49" s="478"/>
      <c r="G49" s="478"/>
      <c r="H49" s="479" t="s">
        <v>25</v>
      </c>
      <c r="I49" s="479">
        <v>30.15</v>
      </c>
      <c r="J49" s="480" t="s">
        <v>638</v>
      </c>
    </row>
    <row r="50" spans="1:10" ht="54">
      <c r="A50" s="481">
        <v>2</v>
      </c>
      <c r="B50" s="456" t="s">
        <v>775</v>
      </c>
      <c r="C50" s="439"/>
      <c r="D50" s="439"/>
      <c r="E50" s="439"/>
      <c r="F50" s="478"/>
      <c r="G50" s="482"/>
      <c r="H50" s="482"/>
      <c r="I50" s="478"/>
      <c r="J50" s="474"/>
    </row>
    <row r="51" spans="1:10" ht="17.25">
      <c r="A51" s="481"/>
      <c r="B51" s="475" t="s">
        <v>787</v>
      </c>
      <c r="C51" s="472"/>
      <c r="D51" s="472"/>
      <c r="E51" s="472"/>
      <c r="F51" s="473"/>
      <c r="G51" s="473"/>
      <c r="H51" s="473"/>
      <c r="I51" s="473"/>
      <c r="J51" s="474"/>
    </row>
    <row r="52" spans="1:10">
      <c r="A52" s="481"/>
      <c r="B52" s="476" t="s">
        <v>788</v>
      </c>
      <c r="C52" s="477">
        <v>1</v>
      </c>
      <c r="D52" s="477" t="s">
        <v>28</v>
      </c>
      <c r="E52" s="477">
        <v>1</v>
      </c>
      <c r="F52" s="478">
        <f>1.8*4</f>
        <v>7.2</v>
      </c>
      <c r="G52" s="478">
        <v>0.23</v>
      </c>
      <c r="H52" s="478">
        <v>0.1</v>
      </c>
      <c r="I52" s="478">
        <f>PRODUCT(C52:H52)</f>
        <v>0.16560000000000002</v>
      </c>
      <c r="J52" s="474"/>
    </row>
    <row r="53" spans="1:10">
      <c r="A53" s="481"/>
      <c r="B53" s="476" t="s">
        <v>789</v>
      </c>
      <c r="C53" s="477">
        <v>1</v>
      </c>
      <c r="D53" s="477" t="s">
        <v>28</v>
      </c>
      <c r="E53" s="477">
        <v>1</v>
      </c>
      <c r="F53" s="478">
        <f>2*4</f>
        <v>8</v>
      </c>
      <c r="G53" s="478">
        <v>0.23</v>
      </c>
      <c r="H53" s="478">
        <v>0.1</v>
      </c>
      <c r="I53" s="478">
        <f>PRODUCT(C53:H53)</f>
        <v>0.18400000000000002</v>
      </c>
      <c r="J53" s="474"/>
    </row>
    <row r="54" spans="1:10" ht="17.25">
      <c r="A54" s="481"/>
      <c r="B54" s="475" t="s">
        <v>790</v>
      </c>
      <c r="C54" s="477"/>
      <c r="D54" s="477"/>
      <c r="E54" s="477"/>
      <c r="F54" s="478"/>
      <c r="G54" s="478"/>
      <c r="H54" s="478"/>
      <c r="I54" s="478"/>
      <c r="J54" s="474"/>
    </row>
    <row r="55" spans="1:10">
      <c r="A55" s="481"/>
      <c r="B55" s="476" t="s">
        <v>789</v>
      </c>
      <c r="C55" s="477">
        <v>1</v>
      </c>
      <c r="D55" s="477" t="s">
        <v>28</v>
      </c>
      <c r="E55" s="477">
        <v>1</v>
      </c>
      <c r="F55" s="478">
        <f>7.5+7.5+5+5</f>
        <v>25</v>
      </c>
      <c r="G55" s="478">
        <v>0.23</v>
      </c>
      <c r="H55" s="478">
        <v>0.1</v>
      </c>
      <c r="I55" s="478">
        <f>PRODUCT(C55:H55)</f>
        <v>0.57500000000000007</v>
      </c>
      <c r="J55" s="474"/>
    </row>
    <row r="56" spans="1:10" ht="17.25">
      <c r="A56" s="481"/>
      <c r="B56" s="475" t="s">
        <v>791</v>
      </c>
      <c r="C56" s="477"/>
      <c r="D56" s="477"/>
      <c r="E56" s="477"/>
      <c r="F56" s="478"/>
      <c r="G56" s="478"/>
      <c r="H56" s="478"/>
      <c r="I56" s="478"/>
      <c r="J56" s="474"/>
    </row>
    <row r="57" spans="1:10">
      <c r="A57" s="481"/>
      <c r="B57" s="476" t="s">
        <v>789</v>
      </c>
      <c r="C57" s="477">
        <v>1</v>
      </c>
      <c r="D57" s="477" t="s">
        <v>28</v>
      </c>
      <c r="E57" s="477">
        <v>1</v>
      </c>
      <c r="F57" s="478">
        <f>4+4+8+8</f>
        <v>24</v>
      </c>
      <c r="G57" s="478">
        <v>0.23</v>
      </c>
      <c r="H57" s="478">
        <v>0.1</v>
      </c>
      <c r="I57" s="478">
        <f>PRODUCT(C57:H57)</f>
        <v>0.55200000000000005</v>
      </c>
      <c r="J57" s="474"/>
    </row>
    <row r="58" spans="1:10" ht="17.25">
      <c r="A58" s="481"/>
      <c r="B58" s="475" t="s">
        <v>792</v>
      </c>
      <c r="C58" s="477"/>
      <c r="D58" s="477"/>
      <c r="E58" s="477"/>
      <c r="F58" s="478"/>
      <c r="G58" s="478"/>
      <c r="H58" s="478"/>
      <c r="I58" s="478"/>
      <c r="J58" s="474"/>
    </row>
    <row r="59" spans="1:10">
      <c r="A59" s="481"/>
      <c r="B59" s="476" t="s">
        <v>789</v>
      </c>
      <c r="C59" s="477">
        <v>1</v>
      </c>
      <c r="D59" s="477" t="s">
        <v>28</v>
      </c>
      <c r="E59" s="477">
        <v>1</v>
      </c>
      <c r="F59" s="478">
        <f>5+8</f>
        <v>13</v>
      </c>
      <c r="G59" s="478">
        <v>0.23</v>
      </c>
      <c r="H59" s="478">
        <v>0.1</v>
      </c>
      <c r="I59" s="478">
        <f>PRODUCT(C59:H59)</f>
        <v>0.29900000000000004</v>
      </c>
      <c r="J59" s="474"/>
    </row>
    <row r="60" spans="1:10" ht="17.25">
      <c r="A60" s="481"/>
      <c r="B60" s="475" t="s">
        <v>793</v>
      </c>
      <c r="C60" s="477"/>
      <c r="D60" s="477"/>
      <c r="E60" s="477"/>
      <c r="F60" s="478"/>
      <c r="G60" s="478"/>
      <c r="H60" s="478"/>
      <c r="I60" s="478"/>
      <c r="J60" s="474"/>
    </row>
    <row r="61" spans="1:10">
      <c r="A61" s="481"/>
      <c r="B61" s="476" t="s">
        <v>789</v>
      </c>
      <c r="C61" s="477">
        <v>1</v>
      </c>
      <c r="D61" s="477" t="s">
        <v>28</v>
      </c>
      <c r="E61" s="477">
        <v>1</v>
      </c>
      <c r="F61" s="478">
        <f>5.5+5.5+6+6</f>
        <v>23</v>
      </c>
      <c r="G61" s="478">
        <v>0.23</v>
      </c>
      <c r="H61" s="478">
        <v>0.1</v>
      </c>
      <c r="I61" s="478">
        <f>PRODUCT(C61:H61)</f>
        <v>0.52900000000000003</v>
      </c>
      <c r="J61" s="474"/>
    </row>
    <row r="62" spans="1:10" ht="17.25">
      <c r="A62" s="481"/>
      <c r="B62" s="475" t="s">
        <v>794</v>
      </c>
      <c r="C62" s="477"/>
      <c r="D62" s="477"/>
      <c r="E62" s="477"/>
      <c r="F62" s="478"/>
      <c r="G62" s="478"/>
      <c r="H62" s="478"/>
      <c r="I62" s="478"/>
      <c r="J62" s="474"/>
    </row>
    <row r="63" spans="1:10">
      <c r="A63" s="481"/>
      <c r="B63" s="476" t="s">
        <v>789</v>
      </c>
      <c r="C63" s="477">
        <v>1</v>
      </c>
      <c r="D63" s="477" t="s">
        <v>28</v>
      </c>
      <c r="E63" s="477">
        <v>1</v>
      </c>
      <c r="F63" s="478">
        <f>4.7+4.7+4+4</f>
        <v>17.399999999999999</v>
      </c>
      <c r="G63" s="478">
        <v>0.23</v>
      </c>
      <c r="H63" s="478">
        <v>0.1</v>
      </c>
      <c r="I63" s="478">
        <f>PRODUCT(C63:H63)</f>
        <v>0.4002</v>
      </c>
      <c r="J63" s="474"/>
    </row>
    <row r="64" spans="1:10" ht="17.25">
      <c r="A64" s="481"/>
      <c r="B64" s="475" t="s">
        <v>795</v>
      </c>
      <c r="C64" s="477"/>
      <c r="D64" s="477"/>
      <c r="E64" s="477"/>
      <c r="F64" s="478"/>
      <c r="G64" s="478"/>
      <c r="H64" s="478"/>
      <c r="I64" s="478"/>
      <c r="J64" s="474"/>
    </row>
    <row r="65" spans="1:11">
      <c r="A65" s="481"/>
      <c r="B65" s="476" t="s">
        <v>789</v>
      </c>
      <c r="C65" s="477">
        <v>1</v>
      </c>
      <c r="D65" s="477" t="s">
        <v>28</v>
      </c>
      <c r="E65" s="477">
        <v>1</v>
      </c>
      <c r="F65" s="478">
        <f>4+4+14+14</f>
        <v>36</v>
      </c>
      <c r="G65" s="478">
        <v>0.23</v>
      </c>
      <c r="H65" s="478">
        <v>0.1</v>
      </c>
      <c r="I65" s="478">
        <f>PRODUCT(C65:H65)</f>
        <v>0.82800000000000018</v>
      </c>
      <c r="J65" s="474"/>
    </row>
    <row r="66" spans="1:11" ht="17.25">
      <c r="A66" s="481"/>
      <c r="B66" s="475" t="s">
        <v>796</v>
      </c>
      <c r="C66" s="477"/>
      <c r="D66" s="477"/>
      <c r="E66" s="477"/>
      <c r="F66" s="478"/>
      <c r="G66" s="478"/>
      <c r="H66" s="478"/>
      <c r="I66" s="478"/>
      <c r="J66" s="474"/>
    </row>
    <row r="67" spans="1:11">
      <c r="A67" s="481"/>
      <c r="B67" s="476" t="s">
        <v>789</v>
      </c>
      <c r="C67" s="477">
        <v>1</v>
      </c>
      <c r="D67" s="477" t="s">
        <v>28</v>
      </c>
      <c r="E67" s="477">
        <v>1</v>
      </c>
      <c r="F67" s="478">
        <f>6+6+5+5</f>
        <v>22</v>
      </c>
      <c r="G67" s="478">
        <v>0.23</v>
      </c>
      <c r="H67" s="478">
        <v>0.1</v>
      </c>
      <c r="I67" s="478">
        <f>PRODUCT(C67:H67)</f>
        <v>0.50600000000000012</v>
      </c>
      <c r="J67" s="474"/>
    </row>
    <row r="68" spans="1:11" ht="17.25">
      <c r="A68" s="481"/>
      <c r="B68" s="475" t="s">
        <v>797</v>
      </c>
      <c r="C68" s="477"/>
      <c r="D68" s="477"/>
      <c r="E68" s="477"/>
      <c r="F68" s="478"/>
      <c r="G68" s="478"/>
      <c r="H68" s="478"/>
      <c r="I68" s="478"/>
      <c r="J68" s="474"/>
    </row>
    <row r="69" spans="1:11">
      <c r="A69" s="481"/>
      <c r="B69" s="476" t="s">
        <v>789</v>
      </c>
      <c r="C69" s="477">
        <v>1</v>
      </c>
      <c r="D69" s="477" t="s">
        <v>28</v>
      </c>
      <c r="E69" s="477">
        <v>1</v>
      </c>
      <c r="F69" s="478">
        <f>1.7+1.7+6</f>
        <v>9.4</v>
      </c>
      <c r="G69" s="478">
        <v>0.23</v>
      </c>
      <c r="H69" s="478">
        <v>0.1</v>
      </c>
      <c r="I69" s="478">
        <f>PRODUCT(C69:H69)</f>
        <v>0.21620000000000006</v>
      </c>
      <c r="J69" s="474"/>
    </row>
    <row r="70" spans="1:11" ht="17.25">
      <c r="A70" s="481"/>
      <c r="B70" s="475" t="s">
        <v>798</v>
      </c>
      <c r="C70" s="477"/>
      <c r="D70" s="477"/>
      <c r="E70" s="477"/>
      <c r="F70" s="478"/>
      <c r="G70" s="478"/>
      <c r="H70" s="478"/>
      <c r="I70" s="478"/>
      <c r="J70" s="474"/>
    </row>
    <row r="71" spans="1:11">
      <c r="A71" s="481"/>
      <c r="B71" s="476" t="s">
        <v>789</v>
      </c>
      <c r="C71" s="477">
        <v>1</v>
      </c>
      <c r="D71" s="477" t="s">
        <v>28</v>
      </c>
      <c r="E71" s="477">
        <v>1</v>
      </c>
      <c r="F71" s="478">
        <f>2.5+2.5+3+3</f>
        <v>11</v>
      </c>
      <c r="G71" s="478">
        <v>0.23</v>
      </c>
      <c r="H71" s="478">
        <v>0.1</v>
      </c>
      <c r="I71" s="478">
        <f>PRODUCT(C71:H71)</f>
        <v>0.25300000000000006</v>
      </c>
      <c r="J71" s="474"/>
    </row>
    <row r="72" spans="1:11" ht="17.25">
      <c r="A72" s="481"/>
      <c r="B72" s="475" t="s">
        <v>799</v>
      </c>
      <c r="C72" s="477"/>
      <c r="D72" s="477"/>
      <c r="E72" s="477"/>
      <c r="F72" s="478"/>
      <c r="G72" s="478"/>
      <c r="H72" s="478"/>
      <c r="I72" s="478"/>
      <c r="J72" s="474"/>
    </row>
    <row r="73" spans="1:11">
      <c r="A73" s="481"/>
      <c r="B73" s="476" t="s">
        <v>789</v>
      </c>
      <c r="C73" s="477">
        <v>1</v>
      </c>
      <c r="D73" s="477" t="s">
        <v>28</v>
      </c>
      <c r="E73" s="477">
        <v>1</v>
      </c>
      <c r="F73" s="478">
        <f>5+5+9+9</f>
        <v>28</v>
      </c>
      <c r="G73" s="478">
        <v>0.23</v>
      </c>
      <c r="H73" s="478">
        <v>0.1</v>
      </c>
      <c r="I73" s="478">
        <f>PRODUCT(C73:H73)</f>
        <v>0.64400000000000013</v>
      </c>
      <c r="J73" s="474"/>
    </row>
    <row r="74" spans="1:11" ht="17.25">
      <c r="A74" s="481"/>
      <c r="B74" s="475" t="s">
        <v>800</v>
      </c>
      <c r="C74" s="477"/>
      <c r="D74" s="477"/>
      <c r="E74" s="477"/>
      <c r="F74" s="478"/>
      <c r="G74" s="478"/>
      <c r="H74" s="478"/>
      <c r="I74" s="478"/>
      <c r="J74" s="474"/>
    </row>
    <row r="75" spans="1:11">
      <c r="A75" s="481"/>
      <c r="B75" s="476" t="s">
        <v>789</v>
      </c>
      <c r="C75" s="477">
        <v>1</v>
      </c>
      <c r="D75" s="477" t="s">
        <v>28</v>
      </c>
      <c r="E75" s="477">
        <v>1</v>
      </c>
      <c r="F75" s="478">
        <f>11+11+4+4</f>
        <v>30</v>
      </c>
      <c r="G75" s="478">
        <v>0.23</v>
      </c>
      <c r="H75" s="478">
        <v>0.1</v>
      </c>
      <c r="I75" s="478">
        <f>PRODUCT(C75:H75)</f>
        <v>0.69000000000000006</v>
      </c>
      <c r="J75" s="474"/>
    </row>
    <row r="76" spans="1:11" ht="17.25">
      <c r="A76" s="481"/>
      <c r="B76" s="475" t="s">
        <v>801</v>
      </c>
      <c r="C76" s="477"/>
      <c r="D76" s="477"/>
      <c r="E76" s="477"/>
      <c r="F76" s="478"/>
      <c r="G76" s="478"/>
      <c r="H76" s="478"/>
      <c r="I76" s="478"/>
      <c r="J76" s="474"/>
    </row>
    <row r="77" spans="1:11">
      <c r="A77" s="481"/>
      <c r="B77" s="476" t="s">
        <v>789</v>
      </c>
      <c r="C77" s="477">
        <v>1</v>
      </c>
      <c r="D77" s="477" t="s">
        <v>28</v>
      </c>
      <c r="E77" s="477">
        <v>1</v>
      </c>
      <c r="F77" s="478">
        <f>8+8+3.5+3.5</f>
        <v>23</v>
      </c>
      <c r="G77" s="478">
        <v>0.23</v>
      </c>
      <c r="H77" s="478">
        <v>0.1</v>
      </c>
      <c r="I77" s="478">
        <f>PRODUCT(C77:H77)</f>
        <v>0.52900000000000003</v>
      </c>
      <c r="J77" s="474"/>
    </row>
    <row r="78" spans="1:11" ht="17.25">
      <c r="A78" s="481"/>
      <c r="B78" s="475" t="s">
        <v>802</v>
      </c>
      <c r="C78" s="477"/>
      <c r="D78" s="477"/>
      <c r="E78" s="477"/>
      <c r="F78" s="478"/>
      <c r="G78" s="478"/>
      <c r="H78" s="478"/>
      <c r="I78" s="478"/>
      <c r="J78" s="474"/>
    </row>
    <row r="79" spans="1:11">
      <c r="A79" s="481"/>
      <c r="B79" s="476" t="s">
        <v>789</v>
      </c>
      <c r="C79" s="477">
        <v>1</v>
      </c>
      <c r="D79" s="477" t="s">
        <v>28</v>
      </c>
      <c r="E79" s="477">
        <v>1</v>
      </c>
      <c r="F79" s="478">
        <f>12+12+7+7</f>
        <v>38</v>
      </c>
      <c r="G79" s="478">
        <v>0.23</v>
      </c>
      <c r="H79" s="478">
        <v>0.1</v>
      </c>
      <c r="I79" s="478">
        <f>PRODUCT(C79:H79)</f>
        <v>0.87400000000000011</v>
      </c>
      <c r="J79" s="474"/>
    </row>
    <row r="80" spans="1:11" ht="17.25">
      <c r="A80" s="481"/>
      <c r="B80" s="475" t="s">
        <v>803</v>
      </c>
      <c r="C80" s="477"/>
      <c r="D80" s="477"/>
      <c r="E80" s="477"/>
      <c r="F80" s="478"/>
      <c r="G80" s="478"/>
      <c r="H80" s="478"/>
      <c r="I80" s="478"/>
      <c r="J80" s="478"/>
      <c r="K80" s="474"/>
    </row>
    <row r="81" spans="1:11">
      <c r="A81" s="481"/>
      <c r="B81" s="476" t="s">
        <v>789</v>
      </c>
      <c r="C81" s="477">
        <v>1</v>
      </c>
      <c r="D81" s="477" t="s">
        <v>28</v>
      </c>
      <c r="E81" s="477">
        <v>1</v>
      </c>
      <c r="F81" s="478">
        <f>7+7+4.3+4.3</f>
        <v>22.6</v>
      </c>
      <c r="G81" s="478">
        <v>0.23</v>
      </c>
      <c r="H81" s="478">
        <v>0.1</v>
      </c>
      <c r="I81" s="478">
        <f>PRODUCT(C81:H81)</f>
        <v>0.51980000000000004</v>
      </c>
      <c r="J81" s="478"/>
      <c r="K81" s="474"/>
    </row>
    <row r="82" spans="1:11" ht="17.25">
      <c r="A82" s="481"/>
      <c r="B82" s="475" t="s">
        <v>804</v>
      </c>
      <c r="C82" s="477"/>
      <c r="D82" s="477"/>
      <c r="E82" s="477"/>
      <c r="F82" s="478"/>
      <c r="G82" s="478"/>
      <c r="H82" s="478"/>
      <c r="I82" s="478"/>
      <c r="J82" s="474"/>
    </row>
    <row r="83" spans="1:11">
      <c r="A83" s="481"/>
      <c r="B83" s="476" t="s">
        <v>789</v>
      </c>
      <c r="C83" s="477">
        <v>1</v>
      </c>
      <c r="D83" s="477" t="s">
        <v>28</v>
      </c>
      <c r="E83" s="477">
        <v>1</v>
      </c>
      <c r="F83" s="478">
        <f>3+3+3.5+3.5</f>
        <v>13</v>
      </c>
      <c r="G83" s="478">
        <v>0.23</v>
      </c>
      <c r="H83" s="478">
        <v>0.1</v>
      </c>
      <c r="I83" s="478">
        <f>PRODUCT(C83:H83)</f>
        <v>0.29900000000000004</v>
      </c>
      <c r="J83" s="474"/>
    </row>
    <row r="84" spans="1:11" ht="17.25">
      <c r="A84" s="481"/>
      <c r="B84" s="475" t="s">
        <v>805</v>
      </c>
      <c r="C84" s="477"/>
      <c r="D84" s="477"/>
      <c r="E84" s="477"/>
      <c r="F84" s="478"/>
      <c r="G84" s="478"/>
      <c r="H84" s="478"/>
      <c r="I84" s="478"/>
      <c r="J84" s="474"/>
    </row>
    <row r="85" spans="1:11">
      <c r="A85" s="481"/>
      <c r="B85" s="476" t="s">
        <v>789</v>
      </c>
      <c r="C85" s="477">
        <v>1</v>
      </c>
      <c r="D85" s="477" t="s">
        <v>28</v>
      </c>
      <c r="E85" s="477">
        <v>1</v>
      </c>
      <c r="F85" s="478">
        <f>7+7+5+5</f>
        <v>24</v>
      </c>
      <c r="G85" s="478">
        <v>0.23</v>
      </c>
      <c r="H85" s="478">
        <v>0.1</v>
      </c>
      <c r="I85" s="478">
        <f>PRODUCT(C85:H85)</f>
        <v>0.55200000000000005</v>
      </c>
      <c r="J85" s="474"/>
    </row>
    <row r="86" spans="1:11" ht="17.25">
      <c r="A86" s="481"/>
      <c r="B86" s="475" t="s">
        <v>806</v>
      </c>
      <c r="C86" s="477"/>
      <c r="D86" s="477"/>
      <c r="E86" s="477"/>
      <c r="F86" s="478"/>
      <c r="G86" s="478"/>
      <c r="H86" s="478"/>
      <c r="I86" s="478"/>
      <c r="J86" s="474"/>
    </row>
    <row r="87" spans="1:11">
      <c r="A87" s="481"/>
      <c r="B87" s="476" t="s">
        <v>789</v>
      </c>
      <c r="C87" s="477">
        <v>1</v>
      </c>
      <c r="D87" s="477" t="s">
        <v>28</v>
      </c>
      <c r="E87" s="477">
        <v>1</v>
      </c>
      <c r="F87" s="478">
        <f>13.5+13.5+3.5+3.5</f>
        <v>34</v>
      </c>
      <c r="G87" s="478">
        <v>0.23</v>
      </c>
      <c r="H87" s="478">
        <v>0.1</v>
      </c>
      <c r="I87" s="478">
        <f>PRODUCT(C87:H87)</f>
        <v>0.78200000000000003</v>
      </c>
      <c r="J87" s="474"/>
    </row>
    <row r="88" spans="1:11" ht="17.25">
      <c r="A88" s="481"/>
      <c r="B88" s="475" t="s">
        <v>807</v>
      </c>
      <c r="C88" s="477"/>
      <c r="D88" s="477"/>
      <c r="E88" s="477"/>
      <c r="F88" s="478"/>
      <c r="G88" s="478"/>
      <c r="H88" s="478"/>
      <c r="I88" s="478"/>
      <c r="J88" s="474"/>
    </row>
    <row r="89" spans="1:11">
      <c r="A89" s="481"/>
      <c r="B89" s="476" t="s">
        <v>789</v>
      </c>
      <c r="C89" s="477">
        <v>1</v>
      </c>
      <c r="D89" s="477" t="s">
        <v>28</v>
      </c>
      <c r="E89" s="477">
        <v>1</v>
      </c>
      <c r="F89" s="478">
        <f>2.5+2.5+3.7+3.7</f>
        <v>12.399999999999999</v>
      </c>
      <c r="G89" s="478">
        <v>0.23</v>
      </c>
      <c r="H89" s="478">
        <v>0.1</v>
      </c>
      <c r="I89" s="478">
        <f>PRODUCT(C89:H89)</f>
        <v>0.28520000000000001</v>
      </c>
      <c r="J89" s="474"/>
    </row>
    <row r="90" spans="1:11" ht="17.25">
      <c r="A90" s="470"/>
      <c r="B90" s="475" t="s">
        <v>808</v>
      </c>
      <c r="C90" s="477"/>
      <c r="D90" s="477"/>
      <c r="E90" s="477"/>
      <c r="F90" s="478"/>
      <c r="G90" s="478"/>
      <c r="H90" s="478"/>
      <c r="I90" s="478"/>
      <c r="J90" s="474"/>
    </row>
    <row r="91" spans="1:11">
      <c r="A91" s="470"/>
      <c r="B91" s="476" t="s">
        <v>789</v>
      </c>
      <c r="C91" s="477">
        <v>1</v>
      </c>
      <c r="D91" s="477" t="s">
        <v>28</v>
      </c>
      <c r="E91" s="477">
        <v>1</v>
      </c>
      <c r="F91" s="478">
        <f>4.5+4.5+3+3</f>
        <v>15</v>
      </c>
      <c r="G91" s="478">
        <v>0.23</v>
      </c>
      <c r="H91" s="478">
        <v>0.1</v>
      </c>
      <c r="I91" s="478">
        <f>PRODUCT(C91:H91)</f>
        <v>0.34500000000000003</v>
      </c>
      <c r="J91" s="474"/>
    </row>
    <row r="92" spans="1:11">
      <c r="A92" s="470"/>
      <c r="B92" s="476"/>
      <c r="C92" s="477"/>
      <c r="D92" s="477"/>
      <c r="E92" s="477"/>
      <c r="F92" s="478"/>
      <c r="G92" s="478"/>
      <c r="H92" s="478" t="s">
        <v>34</v>
      </c>
      <c r="I92" s="478">
        <f>SUM(I52:I91)</f>
        <v>10.028</v>
      </c>
      <c r="J92" s="474"/>
    </row>
    <row r="93" spans="1:11" ht="16.5">
      <c r="A93" s="470"/>
      <c r="B93" s="476"/>
      <c r="C93" s="477"/>
      <c r="D93" s="477"/>
      <c r="E93" s="477"/>
      <c r="F93" s="478"/>
      <c r="G93" s="478"/>
      <c r="H93" s="479" t="s">
        <v>25</v>
      </c>
      <c r="I93" s="479">
        <v>10.050000000000001</v>
      </c>
      <c r="J93" s="480" t="s">
        <v>638</v>
      </c>
    </row>
    <row r="94" spans="1:11" ht="31.5">
      <c r="A94" s="481">
        <v>3</v>
      </c>
      <c r="B94" s="483" t="s">
        <v>776</v>
      </c>
      <c r="C94" s="439"/>
      <c r="D94" s="439"/>
      <c r="E94" s="439"/>
      <c r="F94" s="478"/>
      <c r="G94" s="482"/>
      <c r="H94" s="482"/>
      <c r="I94" s="478"/>
      <c r="J94" s="474"/>
    </row>
    <row r="95" spans="1:11" ht="17.25">
      <c r="A95" s="481"/>
      <c r="B95" s="475" t="s">
        <v>787</v>
      </c>
      <c r="C95" s="472"/>
      <c r="D95" s="472"/>
      <c r="E95" s="472"/>
      <c r="F95" s="473"/>
      <c r="G95" s="473"/>
      <c r="H95" s="473"/>
      <c r="I95" s="473"/>
      <c r="J95" s="474"/>
    </row>
    <row r="96" spans="1:11">
      <c r="A96" s="481"/>
      <c r="B96" s="476" t="s">
        <v>788</v>
      </c>
      <c r="C96" s="477">
        <v>1</v>
      </c>
      <c r="D96" s="477" t="s">
        <v>28</v>
      </c>
      <c r="E96" s="477">
        <v>1</v>
      </c>
      <c r="F96" s="478">
        <f>1.8*4</f>
        <v>7.2</v>
      </c>
      <c r="G96" s="478">
        <v>0.23</v>
      </c>
      <c r="H96" s="478">
        <v>0.1</v>
      </c>
      <c r="I96" s="478">
        <f>PRODUCT(C96:H96)</f>
        <v>0.16560000000000002</v>
      </c>
      <c r="J96" s="474"/>
    </row>
    <row r="97" spans="1:10">
      <c r="A97" s="481"/>
      <c r="B97" s="476" t="s">
        <v>789</v>
      </c>
      <c r="C97" s="477">
        <v>1</v>
      </c>
      <c r="D97" s="477" t="s">
        <v>28</v>
      </c>
      <c r="E97" s="477">
        <v>1</v>
      </c>
      <c r="F97" s="478">
        <f>2*4</f>
        <v>8</v>
      </c>
      <c r="G97" s="478">
        <v>0.23</v>
      </c>
      <c r="H97" s="478">
        <v>0.1</v>
      </c>
      <c r="I97" s="478">
        <f>PRODUCT(C97:H97)</f>
        <v>0.18400000000000002</v>
      </c>
      <c r="J97" s="474"/>
    </row>
    <row r="98" spans="1:10" ht="17.25">
      <c r="A98" s="481"/>
      <c r="B98" s="475" t="s">
        <v>790</v>
      </c>
      <c r="C98" s="477"/>
      <c r="D98" s="477"/>
      <c r="E98" s="477"/>
      <c r="F98" s="478"/>
      <c r="G98" s="478"/>
      <c r="H98" s="478"/>
      <c r="I98" s="478"/>
      <c r="J98" s="474"/>
    </row>
    <row r="99" spans="1:10">
      <c r="A99" s="481"/>
      <c r="B99" s="476" t="s">
        <v>789</v>
      </c>
      <c r="C99" s="477">
        <v>1</v>
      </c>
      <c r="D99" s="477" t="s">
        <v>28</v>
      </c>
      <c r="E99" s="477">
        <v>1</v>
      </c>
      <c r="F99" s="478">
        <f>7.5+7.5+5+5</f>
        <v>25</v>
      </c>
      <c r="G99" s="478">
        <v>0.23</v>
      </c>
      <c r="H99" s="478">
        <v>0.1</v>
      </c>
      <c r="I99" s="478">
        <f>PRODUCT(C99:H99)</f>
        <v>0.57500000000000007</v>
      </c>
      <c r="J99" s="474"/>
    </row>
    <row r="100" spans="1:10" ht="17.25">
      <c r="A100" s="481"/>
      <c r="B100" s="475" t="s">
        <v>791</v>
      </c>
      <c r="C100" s="477"/>
      <c r="D100" s="477"/>
      <c r="E100" s="477"/>
      <c r="F100" s="478"/>
      <c r="G100" s="478"/>
      <c r="H100" s="478"/>
      <c r="I100" s="478"/>
      <c r="J100" s="474"/>
    </row>
    <row r="101" spans="1:10">
      <c r="A101" s="481"/>
      <c r="B101" s="476" t="s">
        <v>789</v>
      </c>
      <c r="C101" s="477">
        <v>1</v>
      </c>
      <c r="D101" s="477" t="s">
        <v>28</v>
      </c>
      <c r="E101" s="477">
        <v>1</v>
      </c>
      <c r="F101" s="478">
        <f>4+4+8+8</f>
        <v>24</v>
      </c>
      <c r="G101" s="478">
        <v>0.23</v>
      </c>
      <c r="H101" s="478">
        <v>0.1</v>
      </c>
      <c r="I101" s="478">
        <f>PRODUCT(C101:H101)</f>
        <v>0.55200000000000005</v>
      </c>
      <c r="J101" s="474"/>
    </row>
    <row r="102" spans="1:10" ht="17.25">
      <c r="A102" s="481"/>
      <c r="B102" s="475" t="s">
        <v>792</v>
      </c>
      <c r="C102" s="477"/>
      <c r="D102" s="477"/>
      <c r="E102" s="477"/>
      <c r="F102" s="478"/>
      <c r="G102" s="478"/>
      <c r="H102" s="478"/>
      <c r="I102" s="478"/>
      <c r="J102" s="474"/>
    </row>
    <row r="103" spans="1:10">
      <c r="A103" s="481"/>
      <c r="B103" s="476" t="s">
        <v>789</v>
      </c>
      <c r="C103" s="477">
        <v>1</v>
      </c>
      <c r="D103" s="477" t="s">
        <v>28</v>
      </c>
      <c r="E103" s="477">
        <v>1</v>
      </c>
      <c r="F103" s="478">
        <f>5+8</f>
        <v>13</v>
      </c>
      <c r="G103" s="478">
        <v>0.23</v>
      </c>
      <c r="H103" s="478">
        <v>0.1</v>
      </c>
      <c r="I103" s="478">
        <f>PRODUCT(C103:H103)</f>
        <v>0.29900000000000004</v>
      </c>
      <c r="J103" s="474"/>
    </row>
    <row r="104" spans="1:10" ht="17.25">
      <c r="A104" s="481"/>
      <c r="B104" s="475" t="s">
        <v>793</v>
      </c>
      <c r="C104" s="477"/>
      <c r="D104" s="477"/>
      <c r="E104" s="477"/>
      <c r="F104" s="478"/>
      <c r="G104" s="478"/>
      <c r="H104" s="478"/>
      <c r="I104" s="478"/>
      <c r="J104" s="474"/>
    </row>
    <row r="105" spans="1:10">
      <c r="A105" s="481"/>
      <c r="B105" s="476" t="s">
        <v>789</v>
      </c>
      <c r="C105" s="477">
        <v>1</v>
      </c>
      <c r="D105" s="477" t="s">
        <v>28</v>
      </c>
      <c r="E105" s="477">
        <v>1</v>
      </c>
      <c r="F105" s="478">
        <f>5.5+5.5+6+6</f>
        <v>23</v>
      </c>
      <c r="G105" s="478">
        <v>0.23</v>
      </c>
      <c r="H105" s="478">
        <v>0.1</v>
      </c>
      <c r="I105" s="478">
        <f>PRODUCT(C105:H105)</f>
        <v>0.52900000000000003</v>
      </c>
      <c r="J105" s="474"/>
    </row>
    <row r="106" spans="1:10" ht="17.25">
      <c r="A106" s="481"/>
      <c r="B106" s="475" t="s">
        <v>794</v>
      </c>
      <c r="C106" s="477"/>
      <c r="D106" s="477"/>
      <c r="E106" s="477"/>
      <c r="F106" s="478"/>
      <c r="G106" s="478"/>
      <c r="H106" s="478"/>
      <c r="I106" s="478"/>
      <c r="J106" s="474"/>
    </row>
    <row r="107" spans="1:10">
      <c r="A107" s="481"/>
      <c r="B107" s="476" t="s">
        <v>789</v>
      </c>
      <c r="C107" s="477">
        <v>1</v>
      </c>
      <c r="D107" s="477" t="s">
        <v>28</v>
      </c>
      <c r="E107" s="477">
        <v>1</v>
      </c>
      <c r="F107" s="478">
        <f>4.7+4.7+4+4</f>
        <v>17.399999999999999</v>
      </c>
      <c r="G107" s="478">
        <v>0.23</v>
      </c>
      <c r="H107" s="478">
        <v>0.1</v>
      </c>
      <c r="I107" s="478">
        <f>PRODUCT(C107:H107)</f>
        <v>0.4002</v>
      </c>
      <c r="J107" s="474"/>
    </row>
    <row r="108" spans="1:10" ht="17.25">
      <c r="A108" s="481"/>
      <c r="B108" s="475" t="s">
        <v>795</v>
      </c>
      <c r="C108" s="477"/>
      <c r="D108" s="477"/>
      <c r="E108" s="477"/>
      <c r="F108" s="478"/>
      <c r="G108" s="478"/>
      <c r="H108" s="478"/>
      <c r="I108" s="478"/>
      <c r="J108" s="474"/>
    </row>
    <row r="109" spans="1:10">
      <c r="A109" s="481"/>
      <c r="B109" s="476" t="s">
        <v>789</v>
      </c>
      <c r="C109" s="477">
        <v>1</v>
      </c>
      <c r="D109" s="477" t="s">
        <v>28</v>
      </c>
      <c r="E109" s="477">
        <v>1</v>
      </c>
      <c r="F109" s="478">
        <f>4+4+14+14</f>
        <v>36</v>
      </c>
      <c r="G109" s="478">
        <v>0.23</v>
      </c>
      <c r="H109" s="478">
        <v>0.1</v>
      </c>
      <c r="I109" s="478">
        <f>PRODUCT(C109:H109)</f>
        <v>0.82800000000000018</v>
      </c>
      <c r="J109" s="474"/>
    </row>
    <row r="110" spans="1:10" ht="17.25">
      <c r="A110" s="481"/>
      <c r="B110" s="475" t="s">
        <v>796</v>
      </c>
      <c r="C110" s="477"/>
      <c r="D110" s="477"/>
      <c r="E110" s="477"/>
      <c r="F110" s="478"/>
      <c r="G110" s="478"/>
      <c r="H110" s="478"/>
      <c r="I110" s="478"/>
      <c r="J110" s="474"/>
    </row>
    <row r="111" spans="1:10">
      <c r="A111" s="481"/>
      <c r="B111" s="476" t="s">
        <v>789</v>
      </c>
      <c r="C111" s="477">
        <v>1</v>
      </c>
      <c r="D111" s="477" t="s">
        <v>28</v>
      </c>
      <c r="E111" s="477">
        <v>1</v>
      </c>
      <c r="F111" s="478">
        <f>6+6+5+5</f>
        <v>22</v>
      </c>
      <c r="G111" s="478">
        <v>0.23</v>
      </c>
      <c r="H111" s="478">
        <v>0.1</v>
      </c>
      <c r="I111" s="478">
        <f>PRODUCT(C111:H111)</f>
        <v>0.50600000000000012</v>
      </c>
      <c r="J111" s="474"/>
    </row>
    <row r="112" spans="1:10" ht="17.25">
      <c r="A112" s="481"/>
      <c r="B112" s="475" t="s">
        <v>797</v>
      </c>
      <c r="C112" s="477"/>
      <c r="D112" s="477"/>
      <c r="E112" s="477"/>
      <c r="F112" s="478"/>
      <c r="G112" s="478"/>
      <c r="H112" s="478"/>
      <c r="I112" s="478"/>
      <c r="J112" s="474"/>
    </row>
    <row r="113" spans="1:10">
      <c r="A113" s="481"/>
      <c r="B113" s="476" t="s">
        <v>789</v>
      </c>
      <c r="C113" s="477">
        <v>1</v>
      </c>
      <c r="D113" s="477" t="s">
        <v>28</v>
      </c>
      <c r="E113" s="477">
        <v>1</v>
      </c>
      <c r="F113" s="478">
        <f>1.7+1.7+6</f>
        <v>9.4</v>
      </c>
      <c r="G113" s="478">
        <v>0.23</v>
      </c>
      <c r="H113" s="478">
        <v>0.1</v>
      </c>
      <c r="I113" s="478">
        <f>PRODUCT(C113:H113)</f>
        <v>0.21620000000000006</v>
      </c>
      <c r="J113" s="474"/>
    </row>
    <row r="114" spans="1:10" ht="17.25">
      <c r="A114" s="481"/>
      <c r="B114" s="475" t="s">
        <v>798</v>
      </c>
      <c r="C114" s="477"/>
      <c r="D114" s="477"/>
      <c r="E114" s="477"/>
      <c r="F114" s="478"/>
      <c r="G114" s="478"/>
      <c r="H114" s="478"/>
      <c r="I114" s="478"/>
      <c r="J114" s="474"/>
    </row>
    <row r="115" spans="1:10">
      <c r="A115" s="481"/>
      <c r="B115" s="476" t="s">
        <v>789</v>
      </c>
      <c r="C115" s="477">
        <v>1</v>
      </c>
      <c r="D115" s="477" t="s">
        <v>28</v>
      </c>
      <c r="E115" s="477">
        <v>1</v>
      </c>
      <c r="F115" s="478">
        <f>2.5+2.5+3+3</f>
        <v>11</v>
      </c>
      <c r="G115" s="478">
        <v>0.23</v>
      </c>
      <c r="H115" s="478">
        <v>0.1</v>
      </c>
      <c r="I115" s="478">
        <f>PRODUCT(C115:H115)</f>
        <v>0.25300000000000006</v>
      </c>
      <c r="J115" s="474"/>
    </row>
    <row r="116" spans="1:10" ht="17.25">
      <c r="A116" s="481"/>
      <c r="B116" s="475" t="s">
        <v>799</v>
      </c>
      <c r="C116" s="477"/>
      <c r="D116" s="477"/>
      <c r="E116" s="477"/>
      <c r="F116" s="478"/>
      <c r="G116" s="478"/>
      <c r="H116" s="478"/>
      <c r="I116" s="478"/>
      <c r="J116" s="474"/>
    </row>
    <row r="117" spans="1:10">
      <c r="A117" s="481"/>
      <c r="B117" s="476" t="s">
        <v>789</v>
      </c>
      <c r="C117" s="477">
        <v>1</v>
      </c>
      <c r="D117" s="477" t="s">
        <v>28</v>
      </c>
      <c r="E117" s="477">
        <v>1</v>
      </c>
      <c r="F117" s="478">
        <f>5+5+9+9</f>
        <v>28</v>
      </c>
      <c r="G117" s="478">
        <v>0.23</v>
      </c>
      <c r="H117" s="478">
        <v>0.1</v>
      </c>
      <c r="I117" s="478">
        <f>PRODUCT(C117:H117)</f>
        <v>0.64400000000000013</v>
      </c>
      <c r="J117" s="474"/>
    </row>
    <row r="118" spans="1:10" ht="17.25">
      <c r="A118" s="481"/>
      <c r="B118" s="475" t="s">
        <v>800</v>
      </c>
      <c r="C118" s="477"/>
      <c r="D118" s="477"/>
      <c r="E118" s="477"/>
      <c r="F118" s="478"/>
      <c r="G118" s="478"/>
      <c r="H118" s="478"/>
      <c r="I118" s="478"/>
      <c r="J118" s="474"/>
    </row>
    <row r="119" spans="1:10">
      <c r="A119" s="481"/>
      <c r="B119" s="476" t="s">
        <v>789</v>
      </c>
      <c r="C119" s="477">
        <v>1</v>
      </c>
      <c r="D119" s="477" t="s">
        <v>28</v>
      </c>
      <c r="E119" s="477">
        <v>1</v>
      </c>
      <c r="F119" s="478">
        <f>11+11+4+4</f>
        <v>30</v>
      </c>
      <c r="G119" s="478">
        <v>0.23</v>
      </c>
      <c r="H119" s="478">
        <v>0.1</v>
      </c>
      <c r="I119" s="478">
        <f>PRODUCT(C119:H119)</f>
        <v>0.69000000000000006</v>
      </c>
      <c r="J119" s="474"/>
    </row>
    <row r="120" spans="1:10" ht="17.25">
      <c r="A120" s="481"/>
      <c r="B120" s="475" t="s">
        <v>801</v>
      </c>
      <c r="C120" s="477"/>
      <c r="D120" s="477"/>
      <c r="E120" s="477"/>
      <c r="F120" s="478"/>
      <c r="G120" s="478"/>
      <c r="H120" s="478"/>
      <c r="I120" s="478"/>
      <c r="J120" s="474"/>
    </row>
    <row r="121" spans="1:10">
      <c r="A121" s="481"/>
      <c r="B121" s="476" t="s">
        <v>789</v>
      </c>
      <c r="C121" s="477">
        <v>1</v>
      </c>
      <c r="D121" s="477" t="s">
        <v>28</v>
      </c>
      <c r="E121" s="477">
        <v>1</v>
      </c>
      <c r="F121" s="478">
        <f>8+8+3.5+3.5</f>
        <v>23</v>
      </c>
      <c r="G121" s="478">
        <v>0.23</v>
      </c>
      <c r="H121" s="478">
        <v>0.1</v>
      </c>
      <c r="I121" s="478">
        <f>PRODUCT(C121:H121)</f>
        <v>0.52900000000000003</v>
      </c>
      <c r="J121" s="474"/>
    </row>
    <row r="122" spans="1:10" ht="17.25">
      <c r="A122" s="481"/>
      <c r="B122" s="475" t="s">
        <v>802</v>
      </c>
      <c r="C122" s="477"/>
      <c r="D122" s="477"/>
      <c r="E122" s="477"/>
      <c r="F122" s="478"/>
      <c r="G122" s="478"/>
      <c r="H122" s="478"/>
      <c r="I122" s="478"/>
      <c r="J122" s="474"/>
    </row>
    <row r="123" spans="1:10">
      <c r="A123" s="481"/>
      <c r="B123" s="476" t="s">
        <v>789</v>
      </c>
      <c r="C123" s="477">
        <v>1</v>
      </c>
      <c r="D123" s="477" t="s">
        <v>28</v>
      </c>
      <c r="E123" s="477">
        <v>1</v>
      </c>
      <c r="F123" s="478">
        <f>12+12+7+7</f>
        <v>38</v>
      </c>
      <c r="G123" s="478">
        <v>0.23</v>
      </c>
      <c r="H123" s="478">
        <v>0.1</v>
      </c>
      <c r="I123" s="478">
        <f>PRODUCT(C123:H123)</f>
        <v>0.87400000000000011</v>
      </c>
      <c r="J123" s="474"/>
    </row>
    <row r="124" spans="1:10" ht="17.25">
      <c r="A124" s="481"/>
      <c r="B124" s="475" t="s">
        <v>803</v>
      </c>
      <c r="C124" s="477"/>
      <c r="D124" s="477"/>
      <c r="E124" s="477"/>
      <c r="F124" s="478"/>
      <c r="G124" s="478"/>
      <c r="H124" s="478"/>
      <c r="I124" s="478"/>
      <c r="J124" s="478"/>
    </row>
    <row r="125" spans="1:10">
      <c r="A125" s="481"/>
      <c r="B125" s="476" t="s">
        <v>789</v>
      </c>
      <c r="C125" s="477">
        <v>1</v>
      </c>
      <c r="D125" s="477" t="s">
        <v>28</v>
      </c>
      <c r="E125" s="477">
        <v>1</v>
      </c>
      <c r="F125" s="478">
        <f>7+7+4.3+4.3</f>
        <v>22.6</v>
      </c>
      <c r="G125" s="478">
        <v>0.23</v>
      </c>
      <c r="H125" s="478">
        <v>0.1</v>
      </c>
      <c r="I125" s="478">
        <f>PRODUCT(C125:H125)</f>
        <v>0.51980000000000004</v>
      </c>
      <c r="J125" s="478"/>
    </row>
    <row r="126" spans="1:10" ht="17.25">
      <c r="A126" s="481"/>
      <c r="B126" s="475" t="s">
        <v>804</v>
      </c>
      <c r="C126" s="477"/>
      <c r="D126" s="477"/>
      <c r="E126" s="477"/>
      <c r="F126" s="478"/>
      <c r="G126" s="478"/>
      <c r="H126" s="478"/>
      <c r="I126" s="478"/>
      <c r="J126" s="474"/>
    </row>
    <row r="127" spans="1:10">
      <c r="A127" s="481"/>
      <c r="B127" s="476" t="s">
        <v>789</v>
      </c>
      <c r="C127" s="477">
        <v>1</v>
      </c>
      <c r="D127" s="477" t="s">
        <v>28</v>
      </c>
      <c r="E127" s="477">
        <v>1</v>
      </c>
      <c r="F127" s="478">
        <f>3+3+3.5+3.5</f>
        <v>13</v>
      </c>
      <c r="G127" s="478">
        <v>0.23</v>
      </c>
      <c r="H127" s="478">
        <v>0.1</v>
      </c>
      <c r="I127" s="478">
        <f>PRODUCT(C127:H127)</f>
        <v>0.29900000000000004</v>
      </c>
      <c r="J127" s="474"/>
    </row>
    <row r="128" spans="1:10" ht="17.25">
      <c r="A128" s="481"/>
      <c r="B128" s="475" t="s">
        <v>805</v>
      </c>
      <c r="C128" s="477"/>
      <c r="D128" s="477"/>
      <c r="E128" s="477"/>
      <c r="F128" s="478"/>
      <c r="G128" s="478"/>
      <c r="H128" s="478"/>
      <c r="I128" s="478"/>
      <c r="J128" s="474"/>
    </row>
    <row r="129" spans="1:12">
      <c r="A129" s="481"/>
      <c r="B129" s="476" t="s">
        <v>789</v>
      </c>
      <c r="C129" s="477">
        <v>1</v>
      </c>
      <c r="D129" s="477" t="s">
        <v>28</v>
      </c>
      <c r="E129" s="477">
        <v>1</v>
      </c>
      <c r="F129" s="478">
        <f>7+7+5+5</f>
        <v>24</v>
      </c>
      <c r="G129" s="478">
        <v>0.23</v>
      </c>
      <c r="H129" s="478">
        <v>0.1</v>
      </c>
      <c r="I129" s="478">
        <f>PRODUCT(C129:H129)</f>
        <v>0.55200000000000005</v>
      </c>
      <c r="J129" s="474"/>
    </row>
    <row r="130" spans="1:12" ht="17.25">
      <c r="A130" s="481"/>
      <c r="B130" s="475" t="s">
        <v>806</v>
      </c>
      <c r="C130" s="477"/>
      <c r="D130" s="477"/>
      <c r="E130" s="477"/>
      <c r="F130" s="478"/>
      <c r="G130" s="478"/>
      <c r="H130" s="478"/>
      <c r="I130" s="478"/>
      <c r="J130" s="474"/>
    </row>
    <row r="131" spans="1:12">
      <c r="A131" s="481"/>
      <c r="B131" s="476" t="s">
        <v>789</v>
      </c>
      <c r="C131" s="477">
        <v>1</v>
      </c>
      <c r="D131" s="477" t="s">
        <v>28</v>
      </c>
      <c r="E131" s="477">
        <v>1</v>
      </c>
      <c r="F131" s="478">
        <f>13.5+13.5+3.5+3.5</f>
        <v>34</v>
      </c>
      <c r="G131" s="478">
        <v>0.23</v>
      </c>
      <c r="H131" s="478">
        <v>0.1</v>
      </c>
      <c r="I131" s="478">
        <f>PRODUCT(C131:H131)</f>
        <v>0.78200000000000003</v>
      </c>
      <c r="J131" s="474"/>
    </row>
    <row r="132" spans="1:12" ht="17.25">
      <c r="A132" s="481"/>
      <c r="B132" s="475" t="s">
        <v>807</v>
      </c>
      <c r="C132" s="477"/>
      <c r="D132" s="477"/>
      <c r="E132" s="477"/>
      <c r="F132" s="478"/>
      <c r="G132" s="478"/>
      <c r="H132" s="478"/>
      <c r="I132" s="478"/>
      <c r="J132" s="474"/>
    </row>
    <row r="133" spans="1:12">
      <c r="A133" s="481"/>
      <c r="B133" s="476" t="s">
        <v>789</v>
      </c>
      <c r="C133" s="477">
        <v>1</v>
      </c>
      <c r="D133" s="477" t="s">
        <v>28</v>
      </c>
      <c r="E133" s="477">
        <v>1</v>
      </c>
      <c r="F133" s="478">
        <f>2.5+2.5+3.7+3.7</f>
        <v>12.399999999999999</v>
      </c>
      <c r="G133" s="478">
        <v>0.23</v>
      </c>
      <c r="H133" s="478">
        <v>0.1</v>
      </c>
      <c r="I133" s="478">
        <f>PRODUCT(C133:H133)</f>
        <v>0.28520000000000001</v>
      </c>
      <c r="J133" s="474"/>
    </row>
    <row r="134" spans="1:12" ht="17.25">
      <c r="A134" s="470"/>
      <c r="B134" s="475" t="s">
        <v>808</v>
      </c>
      <c r="C134" s="477"/>
      <c r="D134" s="477"/>
      <c r="E134" s="477"/>
      <c r="F134" s="478"/>
      <c r="G134" s="478"/>
      <c r="H134" s="478"/>
      <c r="I134" s="478"/>
      <c r="J134" s="474"/>
      <c r="L134" s="300">
        <f>2*5*0.4*0.4*1.3</f>
        <v>2.08</v>
      </c>
    </row>
    <row r="135" spans="1:12">
      <c r="A135" s="470"/>
      <c r="B135" s="476" t="s">
        <v>789</v>
      </c>
      <c r="C135" s="477">
        <v>1</v>
      </c>
      <c r="D135" s="477" t="s">
        <v>28</v>
      </c>
      <c r="E135" s="477">
        <v>1</v>
      </c>
      <c r="F135" s="478">
        <f>4.5+4.5+3+3</f>
        <v>15</v>
      </c>
      <c r="G135" s="478">
        <v>0.23</v>
      </c>
      <c r="H135" s="478">
        <v>0.1</v>
      </c>
      <c r="I135" s="478">
        <f>PRODUCT(C135:H135)</f>
        <v>0.34500000000000003</v>
      </c>
      <c r="J135" s="474"/>
    </row>
    <row r="136" spans="1:12">
      <c r="A136" s="470"/>
      <c r="B136" s="476"/>
      <c r="C136" s="477"/>
      <c r="D136" s="477"/>
      <c r="E136" s="477"/>
      <c r="F136" s="478"/>
      <c r="G136" s="478"/>
      <c r="H136" s="478" t="s">
        <v>34</v>
      </c>
      <c r="I136" s="478">
        <f>SUM(I96:I135)</f>
        <v>10.028</v>
      </c>
      <c r="J136" s="474"/>
    </row>
    <row r="137" spans="1:12" ht="16.5">
      <c r="A137" s="470"/>
      <c r="B137" s="476"/>
      <c r="C137" s="477"/>
      <c r="D137" s="477"/>
      <c r="E137" s="477"/>
      <c r="F137" s="478"/>
      <c r="G137" s="478"/>
      <c r="H137" s="479" t="s">
        <v>25</v>
      </c>
      <c r="I137" s="479">
        <v>10.050000000000001</v>
      </c>
      <c r="J137" s="480" t="s">
        <v>638</v>
      </c>
    </row>
    <row r="138" spans="1:12" ht="72">
      <c r="A138" s="481">
        <v>4</v>
      </c>
      <c r="B138" s="456" t="s">
        <v>809</v>
      </c>
      <c r="C138" s="477"/>
      <c r="D138" s="477"/>
      <c r="E138" s="477"/>
      <c r="F138" s="478"/>
      <c r="G138" s="478"/>
      <c r="H138" s="479"/>
      <c r="I138" s="479"/>
      <c r="J138" s="480"/>
    </row>
    <row r="139" spans="1:12" ht="17.25">
      <c r="A139" s="481"/>
      <c r="B139" s="475" t="s">
        <v>787</v>
      </c>
      <c r="C139" s="472"/>
      <c r="D139" s="472"/>
      <c r="E139" s="472"/>
      <c r="F139" s="473"/>
      <c r="G139" s="473"/>
      <c r="H139" s="473"/>
      <c r="I139" s="473"/>
      <c r="J139" s="474"/>
    </row>
    <row r="140" spans="1:12">
      <c r="A140" s="481"/>
      <c r="B140" s="476" t="s">
        <v>788</v>
      </c>
      <c r="C140" s="477">
        <v>1</v>
      </c>
      <c r="D140" s="477" t="s">
        <v>28</v>
      </c>
      <c r="E140" s="477">
        <v>1</v>
      </c>
      <c r="F140" s="478">
        <f>1.8*4</f>
        <v>7.2</v>
      </c>
      <c r="G140" s="478">
        <v>0.23</v>
      </c>
      <c r="H140" s="478">
        <v>0.4</v>
      </c>
      <c r="I140" s="478">
        <f>PRODUCT(C140:H140)</f>
        <v>0.6624000000000001</v>
      </c>
      <c r="J140" s="474"/>
    </row>
    <row r="141" spans="1:12">
      <c r="A141" s="481"/>
      <c r="B141" s="476" t="s">
        <v>789</v>
      </c>
      <c r="C141" s="477">
        <v>1</v>
      </c>
      <c r="D141" s="477" t="s">
        <v>28</v>
      </c>
      <c r="E141" s="477">
        <v>1</v>
      </c>
      <c r="F141" s="478">
        <f>2*4</f>
        <v>8</v>
      </c>
      <c r="G141" s="478">
        <v>0.23</v>
      </c>
      <c r="H141" s="478">
        <v>0.4</v>
      </c>
      <c r="I141" s="478">
        <f>PRODUCT(C141:H141)</f>
        <v>0.7360000000000001</v>
      </c>
      <c r="J141" s="474"/>
    </row>
    <row r="142" spans="1:12" ht="17.25">
      <c r="A142" s="481"/>
      <c r="B142" s="475" t="s">
        <v>790</v>
      </c>
      <c r="C142" s="477"/>
      <c r="D142" s="477"/>
      <c r="E142" s="477"/>
      <c r="F142" s="478"/>
      <c r="G142" s="478"/>
      <c r="H142" s="478"/>
      <c r="I142" s="478"/>
      <c r="J142" s="474"/>
    </row>
    <row r="143" spans="1:12">
      <c r="A143" s="481"/>
      <c r="B143" s="476" t="s">
        <v>789</v>
      </c>
      <c r="C143" s="477">
        <v>1</v>
      </c>
      <c r="D143" s="477" t="s">
        <v>28</v>
      </c>
      <c r="E143" s="477">
        <v>1</v>
      </c>
      <c r="F143" s="478">
        <f>7.5+7.5+5+5</f>
        <v>25</v>
      </c>
      <c r="G143" s="478">
        <v>0.23</v>
      </c>
      <c r="H143" s="478">
        <v>0.4</v>
      </c>
      <c r="I143" s="478">
        <f>PRODUCT(C143:H143)</f>
        <v>2.3000000000000003</v>
      </c>
      <c r="J143" s="474"/>
    </row>
    <row r="144" spans="1:12" ht="17.25">
      <c r="A144" s="481"/>
      <c r="B144" s="475" t="s">
        <v>791</v>
      </c>
      <c r="C144" s="477"/>
      <c r="D144" s="477"/>
      <c r="E144" s="477"/>
      <c r="F144" s="478"/>
      <c r="G144" s="478"/>
      <c r="H144" s="478"/>
      <c r="I144" s="478"/>
      <c r="J144" s="474"/>
    </row>
    <row r="145" spans="1:10">
      <c r="A145" s="481"/>
      <c r="B145" s="476" t="s">
        <v>789</v>
      </c>
      <c r="C145" s="477">
        <v>1</v>
      </c>
      <c r="D145" s="477" t="s">
        <v>28</v>
      </c>
      <c r="E145" s="477">
        <v>1</v>
      </c>
      <c r="F145" s="478">
        <f>4+4+8+8</f>
        <v>24</v>
      </c>
      <c r="G145" s="478">
        <v>0.23</v>
      </c>
      <c r="H145" s="478">
        <v>0.4</v>
      </c>
      <c r="I145" s="478">
        <f>PRODUCT(C145:H145)</f>
        <v>2.2080000000000002</v>
      </c>
      <c r="J145" s="474"/>
    </row>
    <row r="146" spans="1:10" ht="17.25">
      <c r="A146" s="481"/>
      <c r="B146" s="475" t="s">
        <v>792</v>
      </c>
      <c r="C146" s="477"/>
      <c r="D146" s="477"/>
      <c r="E146" s="477"/>
      <c r="F146" s="478"/>
      <c r="G146" s="478"/>
      <c r="H146" s="478"/>
      <c r="I146" s="478"/>
      <c r="J146" s="474"/>
    </row>
    <row r="147" spans="1:10">
      <c r="A147" s="481"/>
      <c r="B147" s="476" t="s">
        <v>789</v>
      </c>
      <c r="C147" s="477">
        <v>1</v>
      </c>
      <c r="D147" s="477" t="s">
        <v>28</v>
      </c>
      <c r="E147" s="477">
        <v>1</v>
      </c>
      <c r="F147" s="478">
        <f>5+8</f>
        <v>13</v>
      </c>
      <c r="G147" s="478">
        <v>0.23</v>
      </c>
      <c r="H147" s="478">
        <v>0.4</v>
      </c>
      <c r="I147" s="478">
        <f>PRODUCT(C147:H147)</f>
        <v>1.1960000000000002</v>
      </c>
      <c r="J147" s="474"/>
    </row>
    <row r="148" spans="1:10" ht="17.25">
      <c r="A148" s="481"/>
      <c r="B148" s="475" t="s">
        <v>793</v>
      </c>
      <c r="C148" s="477"/>
      <c r="D148" s="477"/>
      <c r="E148" s="477"/>
      <c r="F148" s="478"/>
      <c r="G148" s="478"/>
      <c r="H148" s="478"/>
      <c r="I148" s="478"/>
      <c r="J148" s="474"/>
    </row>
    <row r="149" spans="1:10">
      <c r="A149" s="481"/>
      <c r="B149" s="476" t="s">
        <v>789</v>
      </c>
      <c r="C149" s="477">
        <v>1</v>
      </c>
      <c r="D149" s="477" t="s">
        <v>28</v>
      </c>
      <c r="E149" s="477">
        <v>1</v>
      </c>
      <c r="F149" s="478">
        <f>5.5+5.5+6+6</f>
        <v>23</v>
      </c>
      <c r="G149" s="478">
        <v>0.23</v>
      </c>
      <c r="H149" s="478">
        <v>0.4</v>
      </c>
      <c r="I149" s="478">
        <f>PRODUCT(C149:H149)</f>
        <v>2.1160000000000001</v>
      </c>
      <c r="J149" s="474"/>
    </row>
    <row r="150" spans="1:10" ht="17.25">
      <c r="A150" s="481"/>
      <c r="B150" s="475" t="s">
        <v>794</v>
      </c>
      <c r="C150" s="477"/>
      <c r="D150" s="477"/>
      <c r="E150" s="477"/>
      <c r="F150" s="478"/>
      <c r="G150" s="478"/>
      <c r="H150" s="478"/>
      <c r="I150" s="478"/>
      <c r="J150" s="474"/>
    </row>
    <row r="151" spans="1:10">
      <c r="A151" s="481"/>
      <c r="B151" s="476" t="s">
        <v>789</v>
      </c>
      <c r="C151" s="477">
        <v>1</v>
      </c>
      <c r="D151" s="477" t="s">
        <v>28</v>
      </c>
      <c r="E151" s="477">
        <v>1</v>
      </c>
      <c r="F151" s="478">
        <f>4.7+4.7+4+4</f>
        <v>17.399999999999999</v>
      </c>
      <c r="G151" s="478">
        <v>0.23</v>
      </c>
      <c r="H151" s="478">
        <v>0.4</v>
      </c>
      <c r="I151" s="478">
        <f>PRODUCT(C151:H151)</f>
        <v>1.6008</v>
      </c>
      <c r="J151" s="474"/>
    </row>
    <row r="152" spans="1:10" ht="17.25">
      <c r="A152" s="481"/>
      <c r="B152" s="475" t="s">
        <v>795</v>
      </c>
      <c r="C152" s="477"/>
      <c r="D152" s="477"/>
      <c r="E152" s="477"/>
      <c r="F152" s="478"/>
      <c r="G152" s="478"/>
      <c r="H152" s="478"/>
      <c r="I152" s="478"/>
      <c r="J152" s="474"/>
    </row>
    <row r="153" spans="1:10">
      <c r="A153" s="481"/>
      <c r="B153" s="476" t="s">
        <v>789</v>
      </c>
      <c r="C153" s="477">
        <v>1</v>
      </c>
      <c r="D153" s="477" t="s">
        <v>28</v>
      </c>
      <c r="E153" s="477">
        <v>1</v>
      </c>
      <c r="F153" s="478">
        <f>4+4+14+14</f>
        <v>36</v>
      </c>
      <c r="G153" s="478">
        <v>0.23</v>
      </c>
      <c r="H153" s="478">
        <v>0.4</v>
      </c>
      <c r="I153" s="478">
        <f>PRODUCT(C153:H153)</f>
        <v>3.3120000000000007</v>
      </c>
      <c r="J153" s="474"/>
    </row>
    <row r="154" spans="1:10" ht="17.25">
      <c r="A154" s="481"/>
      <c r="B154" s="475" t="s">
        <v>796</v>
      </c>
      <c r="C154" s="477"/>
      <c r="D154" s="477"/>
      <c r="E154" s="477"/>
      <c r="F154" s="478"/>
      <c r="G154" s="478"/>
      <c r="H154" s="478"/>
      <c r="I154" s="478"/>
      <c r="J154" s="474"/>
    </row>
    <row r="155" spans="1:10">
      <c r="A155" s="481"/>
      <c r="B155" s="476" t="s">
        <v>789</v>
      </c>
      <c r="C155" s="477">
        <v>1</v>
      </c>
      <c r="D155" s="477" t="s">
        <v>28</v>
      </c>
      <c r="E155" s="477">
        <v>1</v>
      </c>
      <c r="F155" s="478">
        <f>6+6+5+5</f>
        <v>22</v>
      </c>
      <c r="G155" s="478">
        <v>0.23</v>
      </c>
      <c r="H155" s="478">
        <v>0.4</v>
      </c>
      <c r="I155" s="478">
        <f>PRODUCT(C155:H155)</f>
        <v>2.0240000000000005</v>
      </c>
      <c r="J155" s="474"/>
    </row>
    <row r="156" spans="1:10" ht="17.25">
      <c r="A156" s="481"/>
      <c r="B156" s="475" t="s">
        <v>797</v>
      </c>
      <c r="C156" s="477"/>
      <c r="D156" s="477"/>
      <c r="E156" s="477"/>
      <c r="F156" s="478"/>
      <c r="G156" s="478"/>
      <c r="H156" s="478"/>
      <c r="I156" s="478"/>
      <c r="J156" s="474"/>
    </row>
    <row r="157" spans="1:10">
      <c r="A157" s="481"/>
      <c r="B157" s="476" t="s">
        <v>789</v>
      </c>
      <c r="C157" s="477">
        <v>1</v>
      </c>
      <c r="D157" s="477" t="s">
        <v>28</v>
      </c>
      <c r="E157" s="477">
        <v>1</v>
      </c>
      <c r="F157" s="478">
        <f>1.7+1.7+6</f>
        <v>9.4</v>
      </c>
      <c r="G157" s="478">
        <v>0.23</v>
      </c>
      <c r="H157" s="478">
        <v>0.4</v>
      </c>
      <c r="I157" s="478">
        <f>PRODUCT(C157:H157)</f>
        <v>0.86480000000000024</v>
      </c>
      <c r="J157" s="474"/>
    </row>
    <row r="158" spans="1:10" ht="17.25">
      <c r="A158" s="481"/>
      <c r="B158" s="475" t="s">
        <v>798</v>
      </c>
      <c r="C158" s="477"/>
      <c r="D158" s="477"/>
      <c r="E158" s="477"/>
      <c r="F158" s="478"/>
      <c r="G158" s="478"/>
      <c r="H158" s="478"/>
      <c r="I158" s="478"/>
      <c r="J158" s="474"/>
    </row>
    <row r="159" spans="1:10">
      <c r="A159" s="481"/>
      <c r="B159" s="476" t="s">
        <v>789</v>
      </c>
      <c r="C159" s="477">
        <v>1</v>
      </c>
      <c r="D159" s="477" t="s">
        <v>28</v>
      </c>
      <c r="E159" s="477">
        <v>1</v>
      </c>
      <c r="F159" s="478">
        <f>2.5+2.5+3+3</f>
        <v>11</v>
      </c>
      <c r="G159" s="478">
        <v>0.23</v>
      </c>
      <c r="H159" s="478">
        <v>0.4</v>
      </c>
      <c r="I159" s="478">
        <f>PRODUCT(C159:H159)</f>
        <v>1.0120000000000002</v>
      </c>
      <c r="J159" s="474"/>
    </row>
    <row r="160" spans="1:10" ht="17.25">
      <c r="A160" s="481"/>
      <c r="B160" s="475" t="s">
        <v>799</v>
      </c>
      <c r="C160" s="477"/>
      <c r="D160" s="477"/>
      <c r="E160" s="477"/>
      <c r="F160" s="478"/>
      <c r="G160" s="478"/>
      <c r="H160" s="478"/>
      <c r="I160" s="478"/>
      <c r="J160" s="474"/>
    </row>
    <row r="161" spans="1:10">
      <c r="A161" s="481"/>
      <c r="B161" s="476" t="s">
        <v>789</v>
      </c>
      <c r="C161" s="477">
        <v>1</v>
      </c>
      <c r="D161" s="477" t="s">
        <v>28</v>
      </c>
      <c r="E161" s="477">
        <v>1</v>
      </c>
      <c r="F161" s="478">
        <f>5+5+9+9</f>
        <v>28</v>
      </c>
      <c r="G161" s="478">
        <v>0.23</v>
      </c>
      <c r="H161" s="478">
        <v>0.4</v>
      </c>
      <c r="I161" s="478">
        <f>PRODUCT(C161:H161)</f>
        <v>2.5760000000000005</v>
      </c>
      <c r="J161" s="474"/>
    </row>
    <row r="162" spans="1:10" ht="17.25">
      <c r="A162" s="481"/>
      <c r="B162" s="475" t="s">
        <v>800</v>
      </c>
      <c r="C162" s="477"/>
      <c r="D162" s="477"/>
      <c r="E162" s="477"/>
      <c r="F162" s="478"/>
      <c r="G162" s="478"/>
      <c r="H162" s="478"/>
      <c r="I162" s="478"/>
      <c r="J162" s="474"/>
    </row>
    <row r="163" spans="1:10">
      <c r="A163" s="481"/>
      <c r="B163" s="476" t="s">
        <v>789</v>
      </c>
      <c r="C163" s="477">
        <v>1</v>
      </c>
      <c r="D163" s="477" t="s">
        <v>28</v>
      </c>
      <c r="E163" s="477">
        <v>1</v>
      </c>
      <c r="F163" s="478">
        <f>11+11+4+4</f>
        <v>30</v>
      </c>
      <c r="G163" s="478">
        <v>0.23</v>
      </c>
      <c r="H163" s="478">
        <v>0.4</v>
      </c>
      <c r="I163" s="478">
        <f>PRODUCT(C163:H163)</f>
        <v>2.7600000000000002</v>
      </c>
      <c r="J163" s="474"/>
    </row>
    <row r="164" spans="1:10" ht="17.25">
      <c r="A164" s="481"/>
      <c r="B164" s="475" t="s">
        <v>801</v>
      </c>
      <c r="C164" s="477"/>
      <c r="D164" s="477"/>
      <c r="E164" s="477"/>
      <c r="F164" s="478"/>
      <c r="G164" s="478"/>
      <c r="H164" s="478"/>
      <c r="I164" s="478"/>
      <c r="J164" s="474"/>
    </row>
    <row r="165" spans="1:10">
      <c r="A165" s="481"/>
      <c r="B165" s="476" t="s">
        <v>789</v>
      </c>
      <c r="C165" s="477">
        <v>1</v>
      </c>
      <c r="D165" s="477" t="s">
        <v>28</v>
      </c>
      <c r="E165" s="477">
        <v>1</v>
      </c>
      <c r="F165" s="478">
        <f>8+8+3.5+3.5</f>
        <v>23</v>
      </c>
      <c r="G165" s="478">
        <v>0.23</v>
      </c>
      <c r="H165" s="478">
        <v>0.4</v>
      </c>
      <c r="I165" s="478">
        <f>PRODUCT(C165:H165)</f>
        <v>2.1160000000000001</v>
      </c>
      <c r="J165" s="474"/>
    </row>
    <row r="166" spans="1:10" ht="17.25">
      <c r="A166" s="481"/>
      <c r="B166" s="475" t="s">
        <v>802</v>
      </c>
      <c r="C166" s="477"/>
      <c r="D166" s="477"/>
      <c r="E166" s="477"/>
      <c r="F166" s="478"/>
      <c r="G166" s="478"/>
      <c r="H166" s="478"/>
      <c r="I166" s="478"/>
      <c r="J166" s="474"/>
    </row>
    <row r="167" spans="1:10">
      <c r="A167" s="481"/>
      <c r="B167" s="476" t="s">
        <v>789</v>
      </c>
      <c r="C167" s="477">
        <v>1</v>
      </c>
      <c r="D167" s="477" t="s">
        <v>28</v>
      </c>
      <c r="E167" s="477">
        <v>1</v>
      </c>
      <c r="F167" s="478">
        <f>12+12+7+7</f>
        <v>38</v>
      </c>
      <c r="G167" s="478">
        <v>0.23</v>
      </c>
      <c r="H167" s="478">
        <v>0.4</v>
      </c>
      <c r="I167" s="478">
        <f>PRODUCT(C167:H167)</f>
        <v>3.4960000000000004</v>
      </c>
      <c r="J167" s="474"/>
    </row>
    <row r="168" spans="1:10" ht="17.25">
      <c r="A168" s="481"/>
      <c r="B168" s="475" t="s">
        <v>803</v>
      </c>
      <c r="C168" s="477"/>
      <c r="D168" s="477"/>
      <c r="E168" s="477"/>
      <c r="F168" s="478"/>
      <c r="G168" s="478"/>
      <c r="H168" s="478"/>
      <c r="I168" s="478"/>
      <c r="J168" s="474"/>
    </row>
    <row r="169" spans="1:10">
      <c r="A169" s="481"/>
      <c r="B169" s="476" t="s">
        <v>789</v>
      </c>
      <c r="C169" s="477">
        <v>1</v>
      </c>
      <c r="D169" s="477" t="s">
        <v>28</v>
      </c>
      <c r="E169" s="477">
        <v>1</v>
      </c>
      <c r="F169" s="478">
        <f>7+7+4.3+4.3</f>
        <v>22.6</v>
      </c>
      <c r="G169" s="478">
        <v>0.23</v>
      </c>
      <c r="H169" s="478">
        <v>0.4</v>
      </c>
      <c r="I169" s="478">
        <f>PRODUCT(C169:H169)</f>
        <v>2.0792000000000002</v>
      </c>
      <c r="J169" s="474"/>
    </row>
    <row r="170" spans="1:10" ht="17.25">
      <c r="A170" s="481"/>
      <c r="B170" s="475" t="s">
        <v>804</v>
      </c>
      <c r="C170" s="477"/>
      <c r="D170" s="477"/>
      <c r="E170" s="477"/>
      <c r="F170" s="478"/>
      <c r="G170" s="478"/>
      <c r="H170" s="478"/>
      <c r="I170" s="478"/>
      <c r="J170" s="474"/>
    </row>
    <row r="171" spans="1:10">
      <c r="A171" s="481"/>
      <c r="B171" s="476" t="s">
        <v>789</v>
      </c>
      <c r="C171" s="477">
        <v>1</v>
      </c>
      <c r="D171" s="477" t="s">
        <v>28</v>
      </c>
      <c r="E171" s="477">
        <v>1</v>
      </c>
      <c r="F171" s="478">
        <f>3+3+3.5+3.5</f>
        <v>13</v>
      </c>
      <c r="G171" s="478">
        <v>0.23</v>
      </c>
      <c r="H171" s="478">
        <v>0.4</v>
      </c>
      <c r="I171" s="478">
        <f>PRODUCT(C171:H171)</f>
        <v>1.1960000000000002</v>
      </c>
      <c r="J171" s="474"/>
    </row>
    <row r="172" spans="1:10" ht="17.25">
      <c r="A172" s="481"/>
      <c r="B172" s="475" t="s">
        <v>805</v>
      </c>
      <c r="C172" s="477"/>
      <c r="D172" s="477"/>
      <c r="E172" s="477"/>
      <c r="F172" s="478"/>
      <c r="G172" s="478"/>
      <c r="H172" s="478"/>
      <c r="I172" s="478"/>
      <c r="J172" s="474"/>
    </row>
    <row r="173" spans="1:10">
      <c r="A173" s="481"/>
      <c r="B173" s="476" t="s">
        <v>789</v>
      </c>
      <c r="C173" s="477">
        <v>1</v>
      </c>
      <c r="D173" s="477" t="s">
        <v>28</v>
      </c>
      <c r="E173" s="477">
        <v>1</v>
      </c>
      <c r="F173" s="478">
        <f>7+7+5+5</f>
        <v>24</v>
      </c>
      <c r="G173" s="478">
        <v>0.23</v>
      </c>
      <c r="H173" s="478">
        <v>0.4</v>
      </c>
      <c r="I173" s="478">
        <f>PRODUCT(C173:H173)</f>
        <v>2.2080000000000002</v>
      </c>
      <c r="J173" s="474"/>
    </row>
    <row r="174" spans="1:10" ht="17.25">
      <c r="A174" s="481"/>
      <c r="B174" s="475" t="s">
        <v>806</v>
      </c>
      <c r="C174" s="477"/>
      <c r="D174" s="477"/>
      <c r="E174" s="477"/>
      <c r="F174" s="478"/>
      <c r="G174" s="478"/>
      <c r="H174" s="478"/>
      <c r="I174" s="478"/>
      <c r="J174" s="474"/>
    </row>
    <row r="175" spans="1:10">
      <c r="A175" s="481"/>
      <c r="B175" s="476" t="s">
        <v>789</v>
      </c>
      <c r="C175" s="477">
        <v>1</v>
      </c>
      <c r="D175" s="477" t="s">
        <v>28</v>
      </c>
      <c r="E175" s="477">
        <v>1</v>
      </c>
      <c r="F175" s="478">
        <f>13.5+13.5+3.5+3.5</f>
        <v>34</v>
      </c>
      <c r="G175" s="478">
        <v>0.23</v>
      </c>
      <c r="H175" s="478">
        <v>0.4</v>
      </c>
      <c r="I175" s="478">
        <f>PRODUCT(C175:H175)</f>
        <v>3.1280000000000001</v>
      </c>
      <c r="J175" s="474"/>
    </row>
    <row r="176" spans="1:10" ht="17.25">
      <c r="A176" s="481"/>
      <c r="B176" s="475" t="s">
        <v>807</v>
      </c>
      <c r="C176" s="477"/>
      <c r="D176" s="477"/>
      <c r="E176" s="477"/>
      <c r="F176" s="478"/>
      <c r="G176" s="478"/>
      <c r="H176" s="478"/>
      <c r="I176" s="478"/>
      <c r="J176" s="474"/>
    </row>
    <row r="177" spans="1:10">
      <c r="A177" s="481"/>
      <c r="B177" s="476" t="s">
        <v>789</v>
      </c>
      <c r="C177" s="477">
        <v>1</v>
      </c>
      <c r="D177" s="477" t="s">
        <v>28</v>
      </c>
      <c r="E177" s="477">
        <v>1</v>
      </c>
      <c r="F177" s="478">
        <f>2.5+2.5+3.7+3.7</f>
        <v>12.399999999999999</v>
      </c>
      <c r="G177" s="478">
        <v>0.23</v>
      </c>
      <c r="H177" s="478">
        <v>0.4</v>
      </c>
      <c r="I177" s="478">
        <f>PRODUCT(C177:H177)</f>
        <v>1.1408</v>
      </c>
      <c r="J177" s="474"/>
    </row>
    <row r="178" spans="1:10" ht="17.25">
      <c r="A178" s="481"/>
      <c r="B178" s="475" t="s">
        <v>808</v>
      </c>
      <c r="C178" s="477"/>
      <c r="D178" s="477"/>
      <c r="E178" s="477"/>
      <c r="F178" s="478"/>
      <c r="G178" s="478"/>
      <c r="H178" s="478"/>
      <c r="I178" s="478"/>
      <c r="J178" s="474"/>
    </row>
    <row r="179" spans="1:10">
      <c r="A179" s="481"/>
      <c r="B179" s="476" t="s">
        <v>789</v>
      </c>
      <c r="C179" s="477">
        <v>1</v>
      </c>
      <c r="D179" s="477" t="s">
        <v>28</v>
      </c>
      <c r="E179" s="477">
        <v>1</v>
      </c>
      <c r="F179" s="478">
        <f>4.5+4.5+3+3</f>
        <v>15</v>
      </c>
      <c r="G179" s="478">
        <v>0.23</v>
      </c>
      <c r="H179" s="478">
        <v>0.4</v>
      </c>
      <c r="I179" s="478">
        <f>PRODUCT(C179:H179)</f>
        <v>1.3800000000000001</v>
      </c>
      <c r="J179" s="474"/>
    </row>
    <row r="180" spans="1:10">
      <c r="A180" s="481"/>
      <c r="B180" s="476"/>
      <c r="C180" s="477"/>
      <c r="D180" s="477"/>
      <c r="E180" s="477"/>
      <c r="F180" s="478"/>
      <c r="G180" s="478"/>
      <c r="H180" s="478" t="s">
        <v>34</v>
      </c>
      <c r="I180" s="478">
        <f>SUM(I140:I179)</f>
        <v>40.112000000000002</v>
      </c>
      <c r="J180" s="474"/>
    </row>
    <row r="181" spans="1:10" ht="16.5">
      <c r="A181" s="481"/>
      <c r="B181" s="476"/>
      <c r="C181" s="477"/>
      <c r="D181" s="477"/>
      <c r="E181" s="477"/>
      <c r="F181" s="478"/>
      <c r="G181" s="478"/>
      <c r="H181" s="479" t="s">
        <v>25</v>
      </c>
      <c r="I181" s="479">
        <v>40.15</v>
      </c>
      <c r="J181" s="480" t="s">
        <v>638</v>
      </c>
    </row>
    <row r="182" spans="1:10">
      <c r="A182" s="481"/>
      <c r="B182" s="476"/>
      <c r="C182" s="477"/>
      <c r="D182" s="477"/>
      <c r="E182" s="477"/>
      <c r="F182" s="478"/>
      <c r="G182" s="478"/>
      <c r="H182" s="478"/>
      <c r="I182" s="478"/>
      <c r="J182" s="474"/>
    </row>
    <row r="183" spans="1:10" ht="54">
      <c r="A183" s="481">
        <v>5</v>
      </c>
      <c r="B183" s="456" t="s">
        <v>778</v>
      </c>
      <c r="C183" s="477"/>
      <c r="D183" s="477"/>
      <c r="E183" s="477"/>
      <c r="F183" s="478"/>
      <c r="G183" s="478"/>
      <c r="H183" s="478"/>
      <c r="I183" s="478"/>
      <c r="J183" s="474"/>
    </row>
    <row r="184" spans="1:10" ht="17.25">
      <c r="A184" s="481"/>
      <c r="B184" s="475" t="s">
        <v>787</v>
      </c>
      <c r="C184" s="472"/>
      <c r="D184" s="472"/>
      <c r="E184" s="472"/>
      <c r="F184" s="473"/>
      <c r="G184" s="473"/>
      <c r="H184" s="473"/>
      <c r="I184" s="473"/>
      <c r="J184" s="474"/>
    </row>
    <row r="185" spans="1:10">
      <c r="A185" s="481"/>
      <c r="B185" s="476" t="s">
        <v>810</v>
      </c>
      <c r="C185" s="477">
        <v>1</v>
      </c>
      <c r="D185" s="477" t="s">
        <v>28</v>
      </c>
      <c r="E185" s="477">
        <v>1</v>
      </c>
      <c r="F185" s="478">
        <f>1.8*4</f>
        <v>7.2</v>
      </c>
      <c r="G185" s="478"/>
      <c r="H185" s="478">
        <v>0.63</v>
      </c>
      <c r="I185" s="478">
        <f>PRODUCT(C185:H185)</f>
        <v>4.5360000000000005</v>
      </c>
      <c r="J185" s="474"/>
    </row>
    <row r="186" spans="1:10">
      <c r="A186" s="481"/>
      <c r="B186" s="476" t="s">
        <v>789</v>
      </c>
      <c r="C186" s="477">
        <v>1</v>
      </c>
      <c r="D186" s="477" t="s">
        <v>28</v>
      </c>
      <c r="E186" s="477">
        <v>1</v>
      </c>
      <c r="F186" s="478">
        <f>2*4</f>
        <v>8</v>
      </c>
      <c r="G186" s="478"/>
      <c r="H186" s="478">
        <v>0.63</v>
      </c>
      <c r="I186" s="478">
        <f>PRODUCT(C186:H186)</f>
        <v>5.04</v>
      </c>
      <c r="J186" s="474"/>
    </row>
    <row r="187" spans="1:10" ht="17.25">
      <c r="A187" s="481"/>
      <c r="B187" s="475" t="s">
        <v>790</v>
      </c>
      <c r="C187" s="477"/>
      <c r="D187" s="477"/>
      <c r="E187" s="477"/>
      <c r="F187" s="478"/>
      <c r="G187" s="478"/>
      <c r="H187" s="478"/>
      <c r="I187" s="478"/>
      <c r="J187" s="474"/>
    </row>
    <row r="188" spans="1:10">
      <c r="A188" s="481"/>
      <c r="B188" s="476" t="s">
        <v>810</v>
      </c>
      <c r="C188" s="477">
        <v>1</v>
      </c>
      <c r="D188" s="477" t="s">
        <v>28</v>
      </c>
      <c r="E188" s="477">
        <v>1</v>
      </c>
      <c r="F188" s="478">
        <f>7.5+7.5+5+5</f>
        <v>25</v>
      </c>
      <c r="G188" s="478"/>
      <c r="H188" s="478">
        <v>0.63</v>
      </c>
      <c r="I188" s="478">
        <f>PRODUCT(C188:H188)</f>
        <v>15.75</v>
      </c>
      <c r="J188" s="474"/>
    </row>
    <row r="189" spans="1:10" ht="17.25">
      <c r="A189" s="481"/>
      <c r="B189" s="475" t="s">
        <v>791</v>
      </c>
      <c r="C189" s="477"/>
      <c r="D189" s="477"/>
      <c r="E189" s="477"/>
      <c r="F189" s="478"/>
      <c r="G189" s="478"/>
      <c r="H189" s="478"/>
      <c r="I189" s="478"/>
      <c r="J189" s="474"/>
    </row>
    <row r="190" spans="1:10">
      <c r="A190" s="481"/>
      <c r="B190" s="476" t="s">
        <v>810</v>
      </c>
      <c r="C190" s="477">
        <v>1</v>
      </c>
      <c r="D190" s="477" t="s">
        <v>28</v>
      </c>
      <c r="E190" s="477">
        <v>1</v>
      </c>
      <c r="F190" s="478">
        <f>4+4+8+8</f>
        <v>24</v>
      </c>
      <c r="G190" s="478"/>
      <c r="H190" s="478">
        <v>0.63</v>
      </c>
      <c r="I190" s="478">
        <f>PRODUCT(C190:H190)</f>
        <v>15.120000000000001</v>
      </c>
      <c r="J190" s="474"/>
    </row>
    <row r="191" spans="1:10" ht="17.25">
      <c r="A191" s="481"/>
      <c r="B191" s="475" t="s">
        <v>792</v>
      </c>
      <c r="C191" s="477"/>
      <c r="D191" s="477"/>
      <c r="E191" s="477"/>
      <c r="F191" s="478"/>
      <c r="G191" s="478"/>
      <c r="H191" s="478"/>
      <c r="I191" s="478"/>
      <c r="J191" s="474"/>
    </row>
    <row r="192" spans="1:10">
      <c r="A192" s="481"/>
      <c r="B192" s="476" t="s">
        <v>810</v>
      </c>
      <c r="C192" s="477">
        <v>1</v>
      </c>
      <c r="D192" s="477" t="s">
        <v>28</v>
      </c>
      <c r="E192" s="477">
        <v>1</v>
      </c>
      <c r="F192" s="478">
        <f>5+8</f>
        <v>13</v>
      </c>
      <c r="G192" s="478"/>
      <c r="H192" s="478">
        <v>0.63</v>
      </c>
      <c r="I192" s="478">
        <f>PRODUCT(C192:H192)</f>
        <v>8.19</v>
      </c>
      <c r="J192" s="474"/>
    </row>
    <row r="193" spans="1:10" ht="17.25">
      <c r="A193" s="481"/>
      <c r="B193" s="475" t="s">
        <v>793</v>
      </c>
      <c r="C193" s="477"/>
      <c r="D193" s="477"/>
      <c r="E193" s="477"/>
      <c r="F193" s="478"/>
      <c r="G193" s="478"/>
      <c r="H193" s="478"/>
      <c r="I193" s="478"/>
      <c r="J193" s="474"/>
    </row>
    <row r="194" spans="1:10">
      <c r="A194" s="481"/>
      <c r="B194" s="476" t="s">
        <v>810</v>
      </c>
      <c r="C194" s="477">
        <v>1</v>
      </c>
      <c r="D194" s="477" t="s">
        <v>28</v>
      </c>
      <c r="E194" s="477">
        <v>1</v>
      </c>
      <c r="F194" s="478">
        <f>5.5+5.5+6+6</f>
        <v>23</v>
      </c>
      <c r="G194" s="478"/>
      <c r="H194" s="478">
        <v>0.63</v>
      </c>
      <c r="I194" s="478">
        <f>PRODUCT(C194:H194)</f>
        <v>14.49</v>
      </c>
      <c r="J194" s="474"/>
    </row>
    <row r="195" spans="1:10" ht="17.25">
      <c r="A195" s="481"/>
      <c r="B195" s="475" t="s">
        <v>794</v>
      </c>
      <c r="C195" s="477"/>
      <c r="D195" s="477"/>
      <c r="E195" s="477"/>
      <c r="F195" s="478"/>
      <c r="G195" s="478"/>
      <c r="H195" s="478"/>
      <c r="I195" s="478"/>
      <c r="J195" s="474"/>
    </row>
    <row r="196" spans="1:10">
      <c r="A196" s="481"/>
      <c r="B196" s="476" t="s">
        <v>810</v>
      </c>
      <c r="C196" s="477">
        <v>1</v>
      </c>
      <c r="D196" s="477" t="s">
        <v>28</v>
      </c>
      <c r="E196" s="477">
        <v>1</v>
      </c>
      <c r="F196" s="478">
        <f>4.7+4.7+4+4</f>
        <v>17.399999999999999</v>
      </c>
      <c r="G196" s="478"/>
      <c r="H196" s="478">
        <v>0.63</v>
      </c>
      <c r="I196" s="478">
        <f>PRODUCT(C196:H196)</f>
        <v>10.962</v>
      </c>
      <c r="J196" s="474"/>
    </row>
    <row r="197" spans="1:10" ht="17.25">
      <c r="A197" s="481"/>
      <c r="B197" s="475" t="s">
        <v>795</v>
      </c>
      <c r="C197" s="477"/>
      <c r="D197" s="477"/>
      <c r="E197" s="477"/>
      <c r="F197" s="478"/>
      <c r="G197" s="478"/>
      <c r="H197" s="478"/>
      <c r="I197" s="478"/>
      <c r="J197" s="474"/>
    </row>
    <row r="198" spans="1:10">
      <c r="A198" s="481"/>
      <c r="B198" s="476" t="s">
        <v>810</v>
      </c>
      <c r="C198" s="477">
        <v>1</v>
      </c>
      <c r="D198" s="477" t="s">
        <v>28</v>
      </c>
      <c r="E198" s="477">
        <v>1</v>
      </c>
      <c r="F198" s="478">
        <f>4+4+14+14</f>
        <v>36</v>
      </c>
      <c r="G198" s="478"/>
      <c r="H198" s="478">
        <v>0.63</v>
      </c>
      <c r="I198" s="478">
        <f>PRODUCT(C198:H198)</f>
        <v>22.68</v>
      </c>
      <c r="J198" s="474"/>
    </row>
    <row r="199" spans="1:10" ht="17.25">
      <c r="A199" s="481"/>
      <c r="B199" s="475" t="s">
        <v>796</v>
      </c>
      <c r="C199" s="477"/>
      <c r="D199" s="477"/>
      <c r="E199" s="477"/>
      <c r="F199" s="478"/>
      <c r="G199" s="478"/>
      <c r="H199" s="478"/>
      <c r="I199" s="478"/>
      <c r="J199" s="474"/>
    </row>
    <row r="200" spans="1:10">
      <c r="A200" s="481"/>
      <c r="B200" s="476" t="s">
        <v>810</v>
      </c>
      <c r="C200" s="477">
        <v>1</v>
      </c>
      <c r="D200" s="477" t="s">
        <v>28</v>
      </c>
      <c r="E200" s="477">
        <v>1</v>
      </c>
      <c r="F200" s="478">
        <f>6+6+5+5</f>
        <v>22</v>
      </c>
      <c r="G200" s="478"/>
      <c r="H200" s="478">
        <v>0.63</v>
      </c>
      <c r="I200" s="478">
        <f>PRODUCT(C200:H200)</f>
        <v>13.86</v>
      </c>
      <c r="J200" s="474"/>
    </row>
    <row r="201" spans="1:10" ht="17.25">
      <c r="A201" s="481"/>
      <c r="B201" s="475" t="s">
        <v>797</v>
      </c>
      <c r="C201" s="477"/>
      <c r="D201" s="477"/>
      <c r="E201" s="477"/>
      <c r="F201" s="478"/>
      <c r="G201" s="478"/>
      <c r="H201" s="478"/>
      <c r="I201" s="478"/>
      <c r="J201" s="474"/>
    </row>
    <row r="202" spans="1:10">
      <c r="A202" s="481"/>
      <c r="B202" s="476" t="s">
        <v>810</v>
      </c>
      <c r="C202" s="477">
        <v>1</v>
      </c>
      <c r="D202" s="477" t="s">
        <v>28</v>
      </c>
      <c r="E202" s="477">
        <v>1</v>
      </c>
      <c r="F202" s="478">
        <f>1.7+1.7+6</f>
        <v>9.4</v>
      </c>
      <c r="G202" s="478"/>
      <c r="H202" s="478">
        <v>0.63</v>
      </c>
      <c r="I202" s="478">
        <f>PRODUCT(C202:H202)</f>
        <v>5.9220000000000006</v>
      </c>
      <c r="J202" s="474"/>
    </row>
    <row r="203" spans="1:10" ht="17.25">
      <c r="A203" s="481"/>
      <c r="B203" s="475" t="s">
        <v>798</v>
      </c>
      <c r="C203" s="477"/>
      <c r="D203" s="477"/>
      <c r="E203" s="477"/>
      <c r="F203" s="478"/>
      <c r="G203" s="478"/>
      <c r="H203" s="478"/>
      <c r="I203" s="478"/>
      <c r="J203" s="474"/>
    </row>
    <row r="204" spans="1:10">
      <c r="A204" s="481"/>
      <c r="B204" s="476" t="s">
        <v>810</v>
      </c>
      <c r="C204" s="477">
        <v>1</v>
      </c>
      <c r="D204" s="477" t="s">
        <v>28</v>
      </c>
      <c r="E204" s="477">
        <v>1</v>
      </c>
      <c r="F204" s="478">
        <f>2.5+2.5+3+3</f>
        <v>11</v>
      </c>
      <c r="G204" s="478"/>
      <c r="H204" s="478">
        <v>0.63</v>
      </c>
      <c r="I204" s="478">
        <f>PRODUCT(C204:H204)</f>
        <v>6.93</v>
      </c>
      <c r="J204" s="474"/>
    </row>
    <row r="205" spans="1:10" ht="17.25">
      <c r="A205" s="481"/>
      <c r="B205" s="475" t="s">
        <v>799</v>
      </c>
      <c r="C205" s="477"/>
      <c r="D205" s="477"/>
      <c r="E205" s="477"/>
      <c r="F205" s="478"/>
      <c r="G205" s="478"/>
      <c r="H205" s="478"/>
      <c r="I205" s="478"/>
      <c r="J205" s="474"/>
    </row>
    <row r="206" spans="1:10">
      <c r="A206" s="481"/>
      <c r="B206" s="476" t="s">
        <v>810</v>
      </c>
      <c r="C206" s="477">
        <v>1</v>
      </c>
      <c r="D206" s="477" t="s">
        <v>28</v>
      </c>
      <c r="E206" s="477">
        <v>1</v>
      </c>
      <c r="F206" s="478">
        <f>5+5+9+9</f>
        <v>28</v>
      </c>
      <c r="G206" s="478"/>
      <c r="H206" s="478">
        <v>0.63</v>
      </c>
      <c r="I206" s="478">
        <f>PRODUCT(C206:H206)</f>
        <v>17.64</v>
      </c>
      <c r="J206" s="474"/>
    </row>
    <row r="207" spans="1:10" ht="17.25">
      <c r="A207" s="481"/>
      <c r="B207" s="475" t="s">
        <v>800</v>
      </c>
      <c r="C207" s="477"/>
      <c r="D207" s="477"/>
      <c r="E207" s="477"/>
      <c r="F207" s="478"/>
      <c r="G207" s="478"/>
      <c r="H207" s="478"/>
      <c r="I207" s="478"/>
      <c r="J207" s="474"/>
    </row>
    <row r="208" spans="1:10">
      <c r="A208" s="481"/>
      <c r="B208" s="476" t="s">
        <v>810</v>
      </c>
      <c r="C208" s="477">
        <v>1</v>
      </c>
      <c r="D208" s="477" t="s">
        <v>28</v>
      </c>
      <c r="E208" s="477">
        <v>1</v>
      </c>
      <c r="F208" s="478">
        <f>11+11+4+4</f>
        <v>30</v>
      </c>
      <c r="G208" s="478"/>
      <c r="H208" s="478">
        <v>0.63</v>
      </c>
      <c r="I208" s="478">
        <f>PRODUCT(C208:H208)</f>
        <v>18.899999999999999</v>
      </c>
      <c r="J208" s="474"/>
    </row>
    <row r="209" spans="1:10" ht="17.25">
      <c r="A209" s="481"/>
      <c r="B209" s="475" t="s">
        <v>801</v>
      </c>
      <c r="C209" s="477"/>
      <c r="D209" s="477"/>
      <c r="E209" s="477"/>
      <c r="F209" s="478"/>
      <c r="G209" s="478"/>
      <c r="H209" s="478"/>
      <c r="I209" s="478"/>
      <c r="J209" s="474"/>
    </row>
    <row r="210" spans="1:10">
      <c r="A210" s="481"/>
      <c r="B210" s="476" t="s">
        <v>810</v>
      </c>
      <c r="C210" s="477">
        <v>1</v>
      </c>
      <c r="D210" s="477" t="s">
        <v>28</v>
      </c>
      <c r="E210" s="477">
        <v>1</v>
      </c>
      <c r="F210" s="478">
        <f>8+8+3.5+3.5</f>
        <v>23</v>
      </c>
      <c r="G210" s="478"/>
      <c r="H210" s="478">
        <v>0.63</v>
      </c>
      <c r="I210" s="478">
        <f>PRODUCT(C210:H210)</f>
        <v>14.49</v>
      </c>
      <c r="J210" s="474"/>
    </row>
    <row r="211" spans="1:10" ht="17.25">
      <c r="A211" s="481"/>
      <c r="B211" s="475" t="s">
        <v>802</v>
      </c>
      <c r="C211" s="477"/>
      <c r="D211" s="477"/>
      <c r="E211" s="477"/>
      <c r="F211" s="478"/>
      <c r="G211" s="478"/>
      <c r="H211" s="478"/>
      <c r="I211" s="478"/>
      <c r="J211" s="474"/>
    </row>
    <row r="212" spans="1:10">
      <c r="A212" s="481"/>
      <c r="B212" s="476" t="s">
        <v>810</v>
      </c>
      <c r="C212" s="477">
        <v>1</v>
      </c>
      <c r="D212" s="477" t="s">
        <v>28</v>
      </c>
      <c r="E212" s="477">
        <v>1</v>
      </c>
      <c r="F212" s="478">
        <f>12+12+7+7</f>
        <v>38</v>
      </c>
      <c r="G212" s="478"/>
      <c r="H212" s="478">
        <v>0.63</v>
      </c>
      <c r="I212" s="478">
        <f>PRODUCT(C212:H212)</f>
        <v>23.94</v>
      </c>
      <c r="J212" s="474"/>
    </row>
    <row r="213" spans="1:10" ht="17.25">
      <c r="A213" s="481"/>
      <c r="B213" s="475" t="s">
        <v>803</v>
      </c>
      <c r="C213" s="477"/>
      <c r="D213" s="477"/>
      <c r="E213" s="477"/>
      <c r="F213" s="478"/>
      <c r="G213" s="478"/>
      <c r="H213" s="478"/>
      <c r="I213" s="478"/>
      <c r="J213" s="474"/>
    </row>
    <row r="214" spans="1:10">
      <c r="A214" s="481"/>
      <c r="B214" s="476" t="s">
        <v>789</v>
      </c>
      <c r="C214" s="477">
        <v>1</v>
      </c>
      <c r="D214" s="477" t="s">
        <v>28</v>
      </c>
      <c r="E214" s="477">
        <v>1</v>
      </c>
      <c r="F214" s="478">
        <f>7+7+4.3+4.3</f>
        <v>22.6</v>
      </c>
      <c r="G214" s="478"/>
      <c r="H214" s="478">
        <v>0.63</v>
      </c>
      <c r="I214" s="478">
        <f>PRODUCT(C214:H214)</f>
        <v>14.238000000000001</v>
      </c>
      <c r="J214" s="474"/>
    </row>
    <row r="215" spans="1:10" ht="17.25">
      <c r="A215" s="481"/>
      <c r="B215" s="475" t="s">
        <v>804</v>
      </c>
      <c r="C215" s="477"/>
      <c r="D215" s="477"/>
      <c r="E215" s="477"/>
      <c r="F215" s="478"/>
      <c r="G215" s="478"/>
      <c r="H215" s="478"/>
      <c r="I215" s="478"/>
      <c r="J215" s="474"/>
    </row>
    <row r="216" spans="1:10">
      <c r="A216" s="481"/>
      <c r="B216" s="476" t="s">
        <v>789</v>
      </c>
      <c r="C216" s="477">
        <v>1</v>
      </c>
      <c r="D216" s="477" t="s">
        <v>28</v>
      </c>
      <c r="E216" s="477">
        <v>1</v>
      </c>
      <c r="F216" s="478">
        <f>3+3+3.5+3.5</f>
        <v>13</v>
      </c>
      <c r="G216" s="478"/>
      <c r="H216" s="478">
        <v>0.63</v>
      </c>
      <c r="I216" s="478">
        <f>PRODUCT(C216:H216)</f>
        <v>8.19</v>
      </c>
      <c r="J216" s="474"/>
    </row>
    <row r="217" spans="1:10" ht="17.25">
      <c r="A217" s="481"/>
      <c r="B217" s="475" t="s">
        <v>805</v>
      </c>
      <c r="C217" s="477"/>
      <c r="D217" s="477"/>
      <c r="E217" s="477"/>
      <c r="F217" s="478"/>
      <c r="G217" s="478"/>
      <c r="H217" s="478"/>
      <c r="I217" s="478"/>
      <c r="J217" s="474"/>
    </row>
    <row r="218" spans="1:10">
      <c r="A218" s="481"/>
      <c r="B218" s="476" t="s">
        <v>789</v>
      </c>
      <c r="C218" s="477">
        <v>1</v>
      </c>
      <c r="D218" s="477" t="s">
        <v>28</v>
      </c>
      <c r="E218" s="477">
        <v>1</v>
      </c>
      <c r="F218" s="478">
        <f>7+7+5+5</f>
        <v>24</v>
      </c>
      <c r="G218" s="478"/>
      <c r="H218" s="478">
        <v>0.63</v>
      </c>
      <c r="I218" s="478">
        <f>PRODUCT(C218:H218)</f>
        <v>15.120000000000001</v>
      </c>
      <c r="J218" s="474"/>
    </row>
    <row r="219" spans="1:10" ht="17.25">
      <c r="A219" s="481"/>
      <c r="B219" s="475" t="s">
        <v>806</v>
      </c>
      <c r="C219" s="477"/>
      <c r="D219" s="477"/>
      <c r="E219" s="477"/>
      <c r="F219" s="478"/>
      <c r="G219" s="478"/>
      <c r="H219" s="478"/>
      <c r="I219" s="478"/>
      <c r="J219" s="474"/>
    </row>
    <row r="220" spans="1:10">
      <c r="A220" s="481"/>
      <c r="B220" s="476" t="s">
        <v>789</v>
      </c>
      <c r="C220" s="477">
        <v>1</v>
      </c>
      <c r="D220" s="477" t="s">
        <v>28</v>
      </c>
      <c r="E220" s="477">
        <v>1</v>
      </c>
      <c r="F220" s="478">
        <f>13.5+13.5+3.5+3.5</f>
        <v>34</v>
      </c>
      <c r="G220" s="478"/>
      <c r="H220" s="478">
        <v>0.63</v>
      </c>
      <c r="I220" s="478">
        <f>PRODUCT(C220:H220)</f>
        <v>21.42</v>
      </c>
      <c r="J220" s="474"/>
    </row>
    <row r="221" spans="1:10" ht="17.25">
      <c r="A221" s="481"/>
      <c r="B221" s="475" t="s">
        <v>807</v>
      </c>
      <c r="C221" s="477"/>
      <c r="D221" s="477"/>
      <c r="E221" s="477"/>
      <c r="F221" s="478"/>
      <c r="G221" s="478"/>
      <c r="H221" s="478"/>
      <c r="I221" s="478"/>
      <c r="J221" s="474"/>
    </row>
    <row r="222" spans="1:10">
      <c r="A222" s="481"/>
      <c r="B222" s="476" t="s">
        <v>789</v>
      </c>
      <c r="C222" s="477">
        <v>1</v>
      </c>
      <c r="D222" s="477" t="s">
        <v>28</v>
      </c>
      <c r="E222" s="477">
        <v>1</v>
      </c>
      <c r="F222" s="478">
        <f>2.5+2.5+3.7+3.7</f>
        <v>12.399999999999999</v>
      </c>
      <c r="G222" s="478"/>
      <c r="H222" s="478">
        <v>0.63</v>
      </c>
      <c r="I222" s="478">
        <f>PRODUCT(C222:H222)</f>
        <v>7.8119999999999994</v>
      </c>
      <c r="J222" s="474"/>
    </row>
    <row r="223" spans="1:10" ht="17.25">
      <c r="A223" s="481"/>
      <c r="B223" s="475" t="s">
        <v>808</v>
      </c>
      <c r="C223" s="477"/>
      <c r="D223" s="477"/>
      <c r="E223" s="477"/>
      <c r="F223" s="478"/>
      <c r="G223" s="478"/>
      <c r="H223" s="478"/>
      <c r="I223" s="478"/>
      <c r="J223" s="474"/>
    </row>
    <row r="224" spans="1:10">
      <c r="A224" s="481"/>
      <c r="B224" s="476" t="s">
        <v>789</v>
      </c>
      <c r="C224" s="477">
        <v>1</v>
      </c>
      <c r="D224" s="477" t="s">
        <v>28</v>
      </c>
      <c r="E224" s="477">
        <v>1</v>
      </c>
      <c r="F224" s="478">
        <f>4.5+4.5+3+3</f>
        <v>15</v>
      </c>
      <c r="G224" s="478"/>
      <c r="H224" s="478">
        <v>0.63</v>
      </c>
      <c r="I224" s="478">
        <f>PRODUCT(C224:H224)</f>
        <v>9.4499999999999993</v>
      </c>
      <c r="J224" s="474"/>
    </row>
    <row r="225" spans="1:10">
      <c r="A225" s="481"/>
      <c r="B225" s="476"/>
      <c r="C225" s="477"/>
      <c r="D225" s="477"/>
      <c r="E225" s="477"/>
      <c r="F225" s="478"/>
      <c r="G225" s="478"/>
      <c r="H225" s="478" t="s">
        <v>34</v>
      </c>
      <c r="I225" s="478">
        <f>SUM(I185:I224)</f>
        <v>274.68</v>
      </c>
      <c r="J225" s="474"/>
    </row>
    <row r="226" spans="1:10" ht="16.5">
      <c r="A226" s="481"/>
      <c r="B226" s="476"/>
      <c r="C226" s="477"/>
      <c r="D226" s="477"/>
      <c r="E226" s="477"/>
      <c r="F226" s="478"/>
      <c r="G226" s="478"/>
      <c r="H226" s="479" t="s">
        <v>25</v>
      </c>
      <c r="I226" s="479">
        <v>274.7</v>
      </c>
      <c r="J226" s="480" t="s">
        <v>247</v>
      </c>
    </row>
    <row r="227" spans="1:10">
      <c r="A227" s="481"/>
      <c r="B227" s="476"/>
      <c r="C227" s="477"/>
      <c r="D227" s="477"/>
      <c r="E227" s="477"/>
      <c r="F227" s="478"/>
      <c r="G227" s="478"/>
      <c r="H227" s="478"/>
      <c r="I227" s="478"/>
      <c r="J227" s="474"/>
    </row>
    <row r="228" spans="1:10" ht="36">
      <c r="A228" s="481">
        <v>6</v>
      </c>
      <c r="B228" s="456" t="s">
        <v>779</v>
      </c>
      <c r="C228" s="477"/>
      <c r="D228" s="477"/>
      <c r="E228" s="477"/>
      <c r="F228" s="478"/>
      <c r="G228" s="478"/>
      <c r="H228" s="478"/>
      <c r="I228" s="478"/>
      <c r="J228" s="474"/>
    </row>
    <row r="229" spans="1:10" ht="17.25">
      <c r="A229" s="481"/>
      <c r="B229" s="475" t="s">
        <v>787</v>
      </c>
      <c r="C229" s="472"/>
      <c r="D229" s="472"/>
      <c r="E229" s="472"/>
      <c r="F229" s="473"/>
      <c r="G229" s="473"/>
      <c r="H229" s="473"/>
      <c r="I229" s="473"/>
      <c r="J229" s="474"/>
    </row>
    <row r="230" spans="1:10">
      <c r="A230" s="481"/>
      <c r="B230" s="476" t="s">
        <v>810</v>
      </c>
      <c r="C230" s="477">
        <v>1</v>
      </c>
      <c r="D230" s="477" t="s">
        <v>28</v>
      </c>
      <c r="E230" s="477">
        <v>1</v>
      </c>
      <c r="F230" s="478">
        <f>1.8*4</f>
        <v>7.2</v>
      </c>
      <c r="G230" s="478"/>
      <c r="H230" s="478">
        <v>0.63</v>
      </c>
      <c r="I230" s="478">
        <f>PRODUCT(C230:H230)</f>
        <v>4.5360000000000005</v>
      </c>
      <c r="J230" s="474"/>
    </row>
    <row r="231" spans="1:10">
      <c r="A231" s="481"/>
      <c r="B231" s="476" t="s">
        <v>789</v>
      </c>
      <c r="C231" s="477">
        <v>1</v>
      </c>
      <c r="D231" s="477" t="s">
        <v>28</v>
      </c>
      <c r="E231" s="477">
        <v>1</v>
      </c>
      <c r="F231" s="478">
        <f>2*4</f>
        <v>8</v>
      </c>
      <c r="G231" s="478"/>
      <c r="H231" s="478">
        <v>0.63</v>
      </c>
      <c r="I231" s="478">
        <f>PRODUCT(C231:H231)</f>
        <v>5.04</v>
      </c>
      <c r="J231" s="474"/>
    </row>
    <row r="232" spans="1:10" ht="17.25">
      <c r="A232" s="481"/>
      <c r="B232" s="475" t="s">
        <v>790</v>
      </c>
      <c r="C232" s="477"/>
      <c r="D232" s="477"/>
      <c r="E232" s="477"/>
      <c r="F232" s="478"/>
      <c r="G232" s="478"/>
      <c r="H232" s="478"/>
      <c r="I232" s="478"/>
      <c r="J232" s="474"/>
    </row>
    <row r="233" spans="1:10">
      <c r="A233" s="481"/>
      <c r="B233" s="476" t="s">
        <v>810</v>
      </c>
      <c r="C233" s="477">
        <v>1</v>
      </c>
      <c r="D233" s="477" t="s">
        <v>28</v>
      </c>
      <c r="E233" s="477">
        <v>1</v>
      </c>
      <c r="F233" s="478">
        <f>7.5+7.5+5+5</f>
        <v>25</v>
      </c>
      <c r="G233" s="478"/>
      <c r="H233" s="478">
        <v>0.63</v>
      </c>
      <c r="I233" s="478">
        <f>PRODUCT(C233:H233)</f>
        <v>15.75</v>
      </c>
      <c r="J233" s="474"/>
    </row>
    <row r="234" spans="1:10" ht="17.25">
      <c r="A234" s="481"/>
      <c r="B234" s="475" t="s">
        <v>791</v>
      </c>
      <c r="C234" s="477"/>
      <c r="D234" s="477"/>
      <c r="E234" s="477"/>
      <c r="F234" s="478"/>
      <c r="G234" s="478"/>
      <c r="H234" s="478"/>
      <c r="I234" s="478"/>
      <c r="J234" s="474"/>
    </row>
    <row r="235" spans="1:10">
      <c r="A235" s="481"/>
      <c r="B235" s="476" t="s">
        <v>810</v>
      </c>
      <c r="C235" s="477">
        <v>1</v>
      </c>
      <c r="D235" s="477" t="s">
        <v>28</v>
      </c>
      <c r="E235" s="477">
        <v>1</v>
      </c>
      <c r="F235" s="478">
        <f>4+4+8+8</f>
        <v>24</v>
      </c>
      <c r="G235" s="478"/>
      <c r="H235" s="478">
        <v>0.63</v>
      </c>
      <c r="I235" s="478">
        <f>PRODUCT(C235:H235)</f>
        <v>15.120000000000001</v>
      </c>
      <c r="J235" s="474"/>
    </row>
    <row r="236" spans="1:10" ht="17.25">
      <c r="A236" s="481"/>
      <c r="B236" s="475" t="s">
        <v>792</v>
      </c>
      <c r="C236" s="477"/>
      <c r="D236" s="477"/>
      <c r="E236" s="477"/>
      <c r="F236" s="478"/>
      <c r="G236" s="478"/>
      <c r="H236" s="478"/>
      <c r="I236" s="478"/>
      <c r="J236" s="474"/>
    </row>
    <row r="237" spans="1:10">
      <c r="A237" s="481"/>
      <c r="B237" s="476" t="s">
        <v>810</v>
      </c>
      <c r="C237" s="477">
        <v>1</v>
      </c>
      <c r="D237" s="477" t="s">
        <v>28</v>
      </c>
      <c r="E237" s="477">
        <v>1</v>
      </c>
      <c r="F237" s="478">
        <f>5+8</f>
        <v>13</v>
      </c>
      <c r="G237" s="478"/>
      <c r="H237" s="478">
        <v>0.63</v>
      </c>
      <c r="I237" s="478">
        <f>PRODUCT(C237:H237)</f>
        <v>8.19</v>
      </c>
      <c r="J237" s="474"/>
    </row>
    <row r="238" spans="1:10" ht="17.25">
      <c r="A238" s="481"/>
      <c r="B238" s="475" t="s">
        <v>793</v>
      </c>
      <c r="C238" s="477"/>
      <c r="D238" s="477"/>
      <c r="E238" s="477"/>
      <c r="F238" s="478"/>
      <c r="G238" s="478"/>
      <c r="H238" s="478"/>
      <c r="I238" s="478"/>
      <c r="J238" s="474"/>
    </row>
    <row r="239" spans="1:10">
      <c r="A239" s="481"/>
      <c r="B239" s="476" t="s">
        <v>810</v>
      </c>
      <c r="C239" s="477">
        <v>1</v>
      </c>
      <c r="D239" s="477" t="s">
        <v>28</v>
      </c>
      <c r="E239" s="477">
        <v>1</v>
      </c>
      <c r="F239" s="478">
        <f>5.5+5.5+6+6</f>
        <v>23</v>
      </c>
      <c r="G239" s="478"/>
      <c r="H239" s="478">
        <v>0.63</v>
      </c>
      <c r="I239" s="478">
        <f>PRODUCT(C239:H239)</f>
        <v>14.49</v>
      </c>
      <c r="J239" s="474"/>
    </row>
    <row r="240" spans="1:10" ht="17.25">
      <c r="A240" s="481"/>
      <c r="B240" s="475" t="s">
        <v>794</v>
      </c>
      <c r="C240" s="477"/>
      <c r="D240" s="477"/>
      <c r="E240" s="477"/>
      <c r="F240" s="478"/>
      <c r="G240" s="478"/>
      <c r="H240" s="478"/>
      <c r="I240" s="478"/>
      <c r="J240" s="474"/>
    </row>
    <row r="241" spans="1:10">
      <c r="A241" s="481"/>
      <c r="B241" s="476" t="s">
        <v>810</v>
      </c>
      <c r="C241" s="477">
        <v>1</v>
      </c>
      <c r="D241" s="477" t="s">
        <v>28</v>
      </c>
      <c r="E241" s="477">
        <v>1</v>
      </c>
      <c r="F241" s="478">
        <f>4.7+4.7+4+4</f>
        <v>17.399999999999999</v>
      </c>
      <c r="G241" s="478"/>
      <c r="H241" s="478">
        <v>0.63</v>
      </c>
      <c r="I241" s="478">
        <f>PRODUCT(C241:H241)</f>
        <v>10.962</v>
      </c>
      <c r="J241" s="474"/>
    </row>
    <row r="242" spans="1:10" ht="17.25">
      <c r="A242" s="481"/>
      <c r="B242" s="475" t="s">
        <v>795</v>
      </c>
      <c r="C242" s="477"/>
      <c r="D242" s="477"/>
      <c r="E242" s="477"/>
      <c r="F242" s="478"/>
      <c r="G242" s="478"/>
      <c r="H242" s="478"/>
      <c r="I242" s="478"/>
      <c r="J242" s="474"/>
    </row>
    <row r="243" spans="1:10">
      <c r="A243" s="481"/>
      <c r="B243" s="476" t="s">
        <v>810</v>
      </c>
      <c r="C243" s="477">
        <v>1</v>
      </c>
      <c r="D243" s="477" t="s">
        <v>28</v>
      </c>
      <c r="E243" s="477">
        <v>1</v>
      </c>
      <c r="F243" s="478">
        <f>4+4+14+14</f>
        <v>36</v>
      </c>
      <c r="G243" s="478"/>
      <c r="H243" s="478">
        <v>0.63</v>
      </c>
      <c r="I243" s="478">
        <f>PRODUCT(C243:H243)</f>
        <v>22.68</v>
      </c>
      <c r="J243" s="474"/>
    </row>
    <row r="244" spans="1:10" ht="17.25">
      <c r="A244" s="481"/>
      <c r="B244" s="475" t="s">
        <v>796</v>
      </c>
      <c r="C244" s="477"/>
      <c r="D244" s="477"/>
      <c r="E244" s="477"/>
      <c r="F244" s="478"/>
      <c r="G244" s="478"/>
      <c r="H244" s="478"/>
      <c r="I244" s="478"/>
      <c r="J244" s="474"/>
    </row>
    <row r="245" spans="1:10">
      <c r="A245" s="481"/>
      <c r="B245" s="476" t="s">
        <v>810</v>
      </c>
      <c r="C245" s="477">
        <v>1</v>
      </c>
      <c r="D245" s="477" t="s">
        <v>28</v>
      </c>
      <c r="E245" s="477">
        <v>1</v>
      </c>
      <c r="F245" s="478">
        <f>6+6+5+5</f>
        <v>22</v>
      </c>
      <c r="G245" s="478"/>
      <c r="H245" s="478">
        <v>0.63</v>
      </c>
      <c r="I245" s="478">
        <f>PRODUCT(C245:H245)</f>
        <v>13.86</v>
      </c>
      <c r="J245" s="474"/>
    </row>
    <row r="246" spans="1:10" ht="17.25">
      <c r="A246" s="481"/>
      <c r="B246" s="475" t="s">
        <v>797</v>
      </c>
      <c r="C246" s="477"/>
      <c r="D246" s="477"/>
      <c r="E246" s="477"/>
      <c r="F246" s="478"/>
      <c r="G246" s="478"/>
      <c r="H246" s="478"/>
      <c r="I246" s="478"/>
      <c r="J246" s="474"/>
    </row>
    <row r="247" spans="1:10">
      <c r="A247" s="481"/>
      <c r="B247" s="476" t="s">
        <v>810</v>
      </c>
      <c r="C247" s="477">
        <v>1</v>
      </c>
      <c r="D247" s="477" t="s">
        <v>28</v>
      </c>
      <c r="E247" s="477">
        <v>1</v>
      </c>
      <c r="F247" s="478">
        <f>1.7+1.7+6</f>
        <v>9.4</v>
      </c>
      <c r="G247" s="478"/>
      <c r="H247" s="478">
        <v>0.63</v>
      </c>
      <c r="I247" s="478">
        <f>PRODUCT(C247:H247)</f>
        <v>5.9220000000000006</v>
      </c>
      <c r="J247" s="474"/>
    </row>
    <row r="248" spans="1:10" ht="17.25">
      <c r="A248" s="481"/>
      <c r="B248" s="475" t="s">
        <v>798</v>
      </c>
      <c r="C248" s="477"/>
      <c r="D248" s="477"/>
      <c r="E248" s="477"/>
      <c r="F248" s="478"/>
      <c r="G248" s="478"/>
      <c r="H248" s="478"/>
      <c r="I248" s="478"/>
      <c r="J248" s="474"/>
    </row>
    <row r="249" spans="1:10">
      <c r="A249" s="481"/>
      <c r="B249" s="476" t="s">
        <v>810</v>
      </c>
      <c r="C249" s="477">
        <v>1</v>
      </c>
      <c r="D249" s="477" t="s">
        <v>28</v>
      </c>
      <c r="E249" s="477">
        <v>1</v>
      </c>
      <c r="F249" s="478">
        <f>2.5+2.5+3+3</f>
        <v>11</v>
      </c>
      <c r="G249" s="478"/>
      <c r="H249" s="478">
        <v>0.63</v>
      </c>
      <c r="I249" s="478">
        <f>PRODUCT(C249:H249)</f>
        <v>6.93</v>
      </c>
      <c r="J249" s="474"/>
    </row>
    <row r="250" spans="1:10" ht="17.25">
      <c r="A250" s="481"/>
      <c r="B250" s="475" t="s">
        <v>799</v>
      </c>
      <c r="C250" s="477"/>
      <c r="D250" s="477"/>
      <c r="E250" s="477"/>
      <c r="F250" s="478"/>
      <c r="G250" s="478"/>
      <c r="H250" s="478"/>
      <c r="I250" s="478"/>
      <c r="J250" s="474"/>
    </row>
    <row r="251" spans="1:10">
      <c r="A251" s="481"/>
      <c r="B251" s="476" t="s">
        <v>810</v>
      </c>
      <c r="C251" s="477">
        <v>1</v>
      </c>
      <c r="D251" s="477" t="s">
        <v>28</v>
      </c>
      <c r="E251" s="477">
        <v>1</v>
      </c>
      <c r="F251" s="478">
        <f>5+5+9+9</f>
        <v>28</v>
      </c>
      <c r="G251" s="478"/>
      <c r="H251" s="478">
        <v>0.63</v>
      </c>
      <c r="I251" s="478">
        <f>PRODUCT(C251:H251)</f>
        <v>17.64</v>
      </c>
      <c r="J251" s="474"/>
    </row>
    <row r="252" spans="1:10" ht="17.25">
      <c r="A252" s="481"/>
      <c r="B252" s="475" t="s">
        <v>800</v>
      </c>
      <c r="C252" s="477"/>
      <c r="D252" s="477"/>
      <c r="E252" s="477"/>
      <c r="F252" s="478"/>
      <c r="G252" s="478"/>
      <c r="H252" s="478"/>
      <c r="I252" s="478"/>
      <c r="J252" s="474"/>
    </row>
    <row r="253" spans="1:10">
      <c r="A253" s="481"/>
      <c r="B253" s="476" t="s">
        <v>810</v>
      </c>
      <c r="C253" s="477">
        <v>1</v>
      </c>
      <c r="D253" s="477" t="s">
        <v>28</v>
      </c>
      <c r="E253" s="477">
        <v>1</v>
      </c>
      <c r="F253" s="478">
        <f>11+11+4+4</f>
        <v>30</v>
      </c>
      <c r="G253" s="478"/>
      <c r="H253" s="478">
        <v>0.63</v>
      </c>
      <c r="I253" s="478">
        <f>PRODUCT(C253:H253)</f>
        <v>18.899999999999999</v>
      </c>
      <c r="J253" s="474"/>
    </row>
    <row r="254" spans="1:10" ht="17.25">
      <c r="A254" s="481"/>
      <c r="B254" s="475" t="s">
        <v>801</v>
      </c>
      <c r="C254" s="477"/>
      <c r="D254" s="477"/>
      <c r="E254" s="477"/>
      <c r="F254" s="478"/>
      <c r="G254" s="478"/>
      <c r="H254" s="478"/>
      <c r="I254" s="478"/>
      <c r="J254" s="474"/>
    </row>
    <row r="255" spans="1:10">
      <c r="A255" s="481"/>
      <c r="B255" s="476" t="s">
        <v>810</v>
      </c>
      <c r="C255" s="477">
        <v>1</v>
      </c>
      <c r="D255" s="477" t="s">
        <v>28</v>
      </c>
      <c r="E255" s="477">
        <v>1</v>
      </c>
      <c r="F255" s="478">
        <f>8+8+3.5+3.5</f>
        <v>23</v>
      </c>
      <c r="G255" s="478"/>
      <c r="H255" s="478">
        <v>0.63</v>
      </c>
      <c r="I255" s="478">
        <f>PRODUCT(C255:H255)</f>
        <v>14.49</v>
      </c>
      <c r="J255" s="474"/>
    </row>
    <row r="256" spans="1:10" ht="17.25">
      <c r="A256" s="481"/>
      <c r="B256" s="475" t="s">
        <v>802</v>
      </c>
      <c r="C256" s="477"/>
      <c r="D256" s="477"/>
      <c r="E256" s="477"/>
      <c r="F256" s="478"/>
      <c r="G256" s="478"/>
      <c r="H256" s="478"/>
      <c r="I256" s="478"/>
      <c r="J256" s="474"/>
    </row>
    <row r="257" spans="1:10">
      <c r="A257" s="481"/>
      <c r="B257" s="476" t="s">
        <v>810</v>
      </c>
      <c r="C257" s="477">
        <v>1</v>
      </c>
      <c r="D257" s="477" t="s">
        <v>28</v>
      </c>
      <c r="E257" s="477">
        <v>1</v>
      </c>
      <c r="F257" s="478">
        <f>12+12+7+7</f>
        <v>38</v>
      </c>
      <c r="G257" s="478"/>
      <c r="H257" s="478">
        <v>0.63</v>
      </c>
      <c r="I257" s="478">
        <f>PRODUCT(C257:H257)</f>
        <v>23.94</v>
      </c>
      <c r="J257" s="474"/>
    </row>
    <row r="258" spans="1:10" ht="17.25">
      <c r="A258" s="481"/>
      <c r="B258" s="475" t="s">
        <v>803</v>
      </c>
      <c r="C258" s="477"/>
      <c r="D258" s="477"/>
      <c r="E258" s="477"/>
      <c r="F258" s="478"/>
      <c r="G258" s="478"/>
      <c r="H258" s="478"/>
      <c r="I258" s="478"/>
      <c r="J258" s="474"/>
    </row>
    <row r="259" spans="1:10">
      <c r="A259" s="481"/>
      <c r="B259" s="476" t="s">
        <v>789</v>
      </c>
      <c r="C259" s="477">
        <v>1</v>
      </c>
      <c r="D259" s="477" t="s">
        <v>28</v>
      </c>
      <c r="E259" s="477">
        <v>1</v>
      </c>
      <c r="F259" s="478">
        <f>7+7+4.3+4.3</f>
        <v>22.6</v>
      </c>
      <c r="G259" s="478"/>
      <c r="H259" s="478">
        <v>0.63</v>
      </c>
      <c r="I259" s="478">
        <f>PRODUCT(C259:H259)</f>
        <v>14.238000000000001</v>
      </c>
      <c r="J259" s="474"/>
    </row>
    <row r="260" spans="1:10" ht="17.25">
      <c r="A260" s="481"/>
      <c r="B260" s="475" t="s">
        <v>804</v>
      </c>
      <c r="C260" s="477"/>
      <c r="D260" s="477"/>
      <c r="E260" s="477"/>
      <c r="F260" s="478"/>
      <c r="G260" s="478"/>
      <c r="H260" s="478"/>
      <c r="I260" s="478"/>
      <c r="J260" s="474"/>
    </row>
    <row r="261" spans="1:10">
      <c r="A261" s="481"/>
      <c r="B261" s="476" t="s">
        <v>789</v>
      </c>
      <c r="C261" s="477">
        <v>1</v>
      </c>
      <c r="D261" s="477" t="s">
        <v>28</v>
      </c>
      <c r="E261" s="477">
        <v>1</v>
      </c>
      <c r="F261" s="478">
        <f>3+3+3.5+3.5</f>
        <v>13</v>
      </c>
      <c r="G261" s="478"/>
      <c r="H261" s="478">
        <v>0.63</v>
      </c>
      <c r="I261" s="478">
        <f>PRODUCT(C261:H261)</f>
        <v>8.19</v>
      </c>
      <c r="J261" s="474"/>
    </row>
    <row r="262" spans="1:10" ht="17.25">
      <c r="A262" s="481"/>
      <c r="B262" s="475" t="s">
        <v>805</v>
      </c>
      <c r="C262" s="477"/>
      <c r="D262" s="477"/>
      <c r="E262" s="477"/>
      <c r="F262" s="478"/>
      <c r="G262" s="478"/>
      <c r="H262" s="478"/>
      <c r="I262" s="478"/>
      <c r="J262" s="474"/>
    </row>
    <row r="263" spans="1:10">
      <c r="A263" s="481"/>
      <c r="B263" s="476" t="s">
        <v>789</v>
      </c>
      <c r="C263" s="477">
        <v>1</v>
      </c>
      <c r="D263" s="477" t="s">
        <v>28</v>
      </c>
      <c r="E263" s="477">
        <v>1</v>
      </c>
      <c r="F263" s="478">
        <f>7+7+5+5</f>
        <v>24</v>
      </c>
      <c r="G263" s="478"/>
      <c r="H263" s="478">
        <v>0.63</v>
      </c>
      <c r="I263" s="478">
        <f>PRODUCT(C263:H263)</f>
        <v>15.120000000000001</v>
      </c>
      <c r="J263" s="474"/>
    </row>
    <row r="264" spans="1:10" ht="17.25">
      <c r="A264" s="481"/>
      <c r="B264" s="475" t="s">
        <v>806</v>
      </c>
      <c r="C264" s="477"/>
      <c r="D264" s="477"/>
      <c r="E264" s="477"/>
      <c r="F264" s="478"/>
      <c r="G264" s="478"/>
      <c r="H264" s="478"/>
      <c r="I264" s="478"/>
      <c r="J264" s="474"/>
    </row>
    <row r="265" spans="1:10">
      <c r="A265" s="481"/>
      <c r="B265" s="476" t="s">
        <v>789</v>
      </c>
      <c r="C265" s="477">
        <v>1</v>
      </c>
      <c r="D265" s="477" t="s">
        <v>28</v>
      </c>
      <c r="E265" s="477">
        <v>1</v>
      </c>
      <c r="F265" s="478">
        <f>13.5+13.5+3.5+3.5</f>
        <v>34</v>
      </c>
      <c r="G265" s="478"/>
      <c r="H265" s="478">
        <v>0.63</v>
      </c>
      <c r="I265" s="478">
        <f>PRODUCT(C265:H265)</f>
        <v>21.42</v>
      </c>
      <c r="J265" s="474"/>
    </row>
    <row r="266" spans="1:10" ht="17.25">
      <c r="A266" s="481"/>
      <c r="B266" s="475" t="s">
        <v>807</v>
      </c>
      <c r="C266" s="477"/>
      <c r="D266" s="477"/>
      <c r="E266" s="477"/>
      <c r="F266" s="478"/>
      <c r="G266" s="478"/>
      <c r="H266" s="478"/>
      <c r="I266" s="478"/>
      <c r="J266" s="474"/>
    </row>
    <row r="267" spans="1:10">
      <c r="A267" s="481"/>
      <c r="B267" s="476" t="s">
        <v>789</v>
      </c>
      <c r="C267" s="477">
        <v>1</v>
      </c>
      <c r="D267" s="477" t="s">
        <v>28</v>
      </c>
      <c r="E267" s="477">
        <v>1</v>
      </c>
      <c r="F267" s="478">
        <f>2.5+2.5+3.7+3.7</f>
        <v>12.399999999999999</v>
      </c>
      <c r="G267" s="478"/>
      <c r="H267" s="478">
        <v>0.63</v>
      </c>
      <c r="I267" s="478">
        <f>PRODUCT(C267:H267)</f>
        <v>7.8119999999999994</v>
      </c>
      <c r="J267" s="474"/>
    </row>
    <row r="268" spans="1:10" ht="17.25">
      <c r="A268" s="481"/>
      <c r="B268" s="475" t="s">
        <v>808</v>
      </c>
      <c r="C268" s="477"/>
      <c r="D268" s="477"/>
      <c r="E268" s="477"/>
      <c r="F268" s="478"/>
      <c r="G268" s="478"/>
      <c r="H268" s="478"/>
      <c r="I268" s="478"/>
      <c r="J268" s="474"/>
    </row>
    <row r="269" spans="1:10">
      <c r="A269" s="481"/>
      <c r="B269" s="476" t="s">
        <v>789</v>
      </c>
      <c r="C269" s="477">
        <v>1</v>
      </c>
      <c r="D269" s="477" t="s">
        <v>28</v>
      </c>
      <c r="E269" s="477">
        <v>1</v>
      </c>
      <c r="F269" s="478">
        <f>4.5+4.5+3+3</f>
        <v>15</v>
      </c>
      <c r="G269" s="478"/>
      <c r="H269" s="478">
        <v>0.63</v>
      </c>
      <c r="I269" s="478">
        <f>PRODUCT(C269:H269)</f>
        <v>9.4499999999999993</v>
      </c>
      <c r="J269" s="474"/>
    </row>
    <row r="270" spans="1:10">
      <c r="A270" s="481"/>
      <c r="B270" s="476"/>
      <c r="C270" s="477"/>
      <c r="D270" s="477"/>
      <c r="E270" s="477"/>
      <c r="F270" s="478"/>
      <c r="G270" s="478"/>
      <c r="H270" s="478" t="s">
        <v>34</v>
      </c>
      <c r="I270" s="478">
        <f>SUM(I230:I269)</f>
        <v>274.68</v>
      </c>
      <c r="J270" s="474"/>
    </row>
    <row r="271" spans="1:10" ht="18">
      <c r="A271" s="481">
        <v>7</v>
      </c>
      <c r="B271" s="456" t="s">
        <v>811</v>
      </c>
      <c r="C271" s="477"/>
      <c r="D271" s="477"/>
      <c r="E271" s="477"/>
      <c r="F271" s="478"/>
      <c r="G271" s="478"/>
      <c r="H271" s="479" t="s">
        <v>25</v>
      </c>
      <c r="I271" s="479">
        <v>274.7</v>
      </c>
      <c r="J271" s="480" t="s">
        <v>247</v>
      </c>
    </row>
    <row r="272" spans="1:10" ht="17.25">
      <c r="A272" s="481"/>
      <c r="B272" s="475" t="s">
        <v>787</v>
      </c>
      <c r="C272" s="472"/>
      <c r="D272" s="472"/>
      <c r="E272" s="472"/>
      <c r="F272" s="473"/>
      <c r="G272" s="473"/>
      <c r="H272" s="473"/>
      <c r="I272" s="473"/>
      <c r="J272" s="474"/>
    </row>
    <row r="273" spans="1:10">
      <c r="A273" s="481"/>
      <c r="B273" s="476" t="s">
        <v>788</v>
      </c>
      <c r="C273" s="477">
        <v>1</v>
      </c>
      <c r="D273" s="477" t="s">
        <v>28</v>
      </c>
      <c r="E273" s="477">
        <v>1</v>
      </c>
      <c r="F273" s="478">
        <v>1.8</v>
      </c>
      <c r="G273" s="478">
        <v>1.8</v>
      </c>
      <c r="H273" s="478">
        <v>0.3</v>
      </c>
      <c r="I273" s="478">
        <f>PRODUCT(C273:H273)</f>
        <v>0.97199999999999998</v>
      </c>
      <c r="J273" s="474"/>
    </row>
    <row r="274" spans="1:10">
      <c r="A274" s="481"/>
      <c r="B274" s="476" t="s">
        <v>789</v>
      </c>
      <c r="C274" s="477">
        <v>1</v>
      </c>
      <c r="D274" s="477" t="s">
        <v>28</v>
      </c>
      <c r="E274" s="477">
        <v>1</v>
      </c>
      <c r="F274" s="478">
        <v>2</v>
      </c>
      <c r="G274" s="478">
        <v>2</v>
      </c>
      <c r="H274" s="478">
        <v>0.3</v>
      </c>
      <c r="I274" s="478">
        <f>PRODUCT(C274:H274)</f>
        <v>1.2</v>
      </c>
      <c r="J274" s="474"/>
    </row>
    <row r="275" spans="1:10" ht="17.25">
      <c r="A275" s="481"/>
      <c r="B275" s="475" t="s">
        <v>790</v>
      </c>
      <c r="C275" s="477"/>
      <c r="D275" s="477"/>
      <c r="E275" s="477"/>
      <c r="F275" s="478"/>
      <c r="G275" s="478"/>
      <c r="H275" s="478"/>
      <c r="I275" s="478"/>
      <c r="J275" s="474"/>
    </row>
    <row r="276" spans="1:10">
      <c r="A276" s="481"/>
      <c r="B276" s="476" t="s">
        <v>789</v>
      </c>
      <c r="C276" s="477">
        <v>1</v>
      </c>
      <c r="D276" s="477" t="s">
        <v>28</v>
      </c>
      <c r="E276" s="477">
        <v>1</v>
      </c>
      <c r="F276" s="478">
        <v>7.5</v>
      </c>
      <c r="G276" s="478">
        <v>5</v>
      </c>
      <c r="H276" s="478">
        <v>0.3</v>
      </c>
      <c r="I276" s="478">
        <f>PRODUCT(C276:H276)</f>
        <v>11.25</v>
      </c>
      <c r="J276" s="474"/>
    </row>
    <row r="277" spans="1:10" ht="17.25">
      <c r="A277" s="481"/>
      <c r="B277" s="475" t="s">
        <v>791</v>
      </c>
      <c r="C277" s="477"/>
      <c r="D277" s="477"/>
      <c r="E277" s="477"/>
      <c r="F277" s="478"/>
      <c r="G277" s="478"/>
      <c r="H277" s="478"/>
      <c r="I277" s="478"/>
      <c r="J277" s="474"/>
    </row>
    <row r="278" spans="1:10">
      <c r="A278" s="481"/>
      <c r="B278" s="476" t="s">
        <v>789</v>
      </c>
      <c r="C278" s="477">
        <v>1</v>
      </c>
      <c r="D278" s="477" t="s">
        <v>28</v>
      </c>
      <c r="E278" s="477">
        <v>1</v>
      </c>
      <c r="F278" s="478">
        <v>4</v>
      </c>
      <c r="G278" s="478">
        <v>8</v>
      </c>
      <c r="H278" s="478">
        <v>0.3</v>
      </c>
      <c r="I278" s="478">
        <f>PRODUCT(C278:H278)</f>
        <v>9.6</v>
      </c>
      <c r="J278" s="474"/>
    </row>
    <row r="279" spans="1:10" ht="17.25">
      <c r="A279" s="481"/>
      <c r="B279" s="475" t="s">
        <v>792</v>
      </c>
      <c r="C279" s="477"/>
      <c r="D279" s="477"/>
      <c r="E279" s="477"/>
      <c r="F279" s="478"/>
      <c r="G279" s="478"/>
      <c r="H279" s="478"/>
      <c r="I279" s="478"/>
      <c r="J279" s="474"/>
    </row>
    <row r="280" spans="1:10">
      <c r="A280" s="481"/>
      <c r="B280" s="476" t="s">
        <v>789</v>
      </c>
      <c r="C280" s="477">
        <v>1</v>
      </c>
      <c r="D280" s="477" t="s">
        <v>28</v>
      </c>
      <c r="E280" s="477">
        <v>1</v>
      </c>
      <c r="F280" s="478">
        <v>4</v>
      </c>
      <c r="G280" s="478">
        <v>2.5</v>
      </c>
      <c r="H280" s="478">
        <v>0.3</v>
      </c>
      <c r="I280" s="478">
        <f>PRODUCT(C280:H280)</f>
        <v>3</v>
      </c>
      <c r="J280" s="474"/>
    </row>
    <row r="281" spans="1:10" ht="17.25">
      <c r="A281" s="481"/>
      <c r="B281" s="475" t="s">
        <v>793</v>
      </c>
      <c r="C281" s="477"/>
      <c r="D281" s="477"/>
      <c r="E281" s="477"/>
      <c r="F281" s="478"/>
      <c r="G281" s="478"/>
      <c r="H281" s="478"/>
      <c r="I281" s="478"/>
      <c r="J281" s="474"/>
    </row>
    <row r="282" spans="1:10">
      <c r="A282" s="481"/>
      <c r="B282" s="476" t="s">
        <v>789</v>
      </c>
      <c r="C282" s="477">
        <v>1</v>
      </c>
      <c r="D282" s="477" t="s">
        <v>28</v>
      </c>
      <c r="E282" s="477">
        <v>1</v>
      </c>
      <c r="F282" s="478">
        <v>5.5</v>
      </c>
      <c r="G282" s="478">
        <v>6</v>
      </c>
      <c r="H282" s="478">
        <v>0.3</v>
      </c>
      <c r="I282" s="478">
        <f>PRODUCT(C282:H282)</f>
        <v>9.9</v>
      </c>
      <c r="J282" s="474"/>
    </row>
    <row r="283" spans="1:10" ht="17.25">
      <c r="A283" s="481"/>
      <c r="B283" s="475" t="s">
        <v>794</v>
      </c>
      <c r="C283" s="477"/>
      <c r="D283" s="477"/>
      <c r="E283" s="477"/>
      <c r="F283" s="478"/>
      <c r="G283" s="478"/>
      <c r="H283" s="478"/>
      <c r="I283" s="478"/>
      <c r="J283" s="474"/>
    </row>
    <row r="284" spans="1:10">
      <c r="A284" s="481"/>
      <c r="B284" s="476" t="s">
        <v>789</v>
      </c>
      <c r="C284" s="477">
        <v>1</v>
      </c>
      <c r="D284" s="477" t="s">
        <v>28</v>
      </c>
      <c r="E284" s="477">
        <v>1</v>
      </c>
      <c r="F284" s="478">
        <v>4.7</v>
      </c>
      <c r="G284" s="478">
        <v>4</v>
      </c>
      <c r="H284" s="478">
        <v>0.3</v>
      </c>
      <c r="I284" s="478">
        <f>PRODUCT(C284:H284)</f>
        <v>5.64</v>
      </c>
      <c r="J284" s="474"/>
    </row>
    <row r="285" spans="1:10" ht="17.25">
      <c r="A285" s="481"/>
      <c r="B285" s="475" t="s">
        <v>795</v>
      </c>
      <c r="C285" s="477"/>
      <c r="D285" s="477"/>
      <c r="E285" s="477"/>
      <c r="F285" s="478"/>
      <c r="G285" s="478"/>
      <c r="H285" s="478"/>
      <c r="I285" s="478"/>
      <c r="J285" s="474"/>
    </row>
    <row r="286" spans="1:10">
      <c r="A286" s="481"/>
      <c r="B286" s="476" t="s">
        <v>789</v>
      </c>
      <c r="C286" s="477">
        <v>1</v>
      </c>
      <c r="D286" s="477" t="s">
        <v>28</v>
      </c>
      <c r="E286" s="477">
        <v>1</v>
      </c>
      <c r="F286" s="478">
        <v>4</v>
      </c>
      <c r="G286" s="478">
        <v>14</v>
      </c>
      <c r="H286" s="478">
        <v>0.3</v>
      </c>
      <c r="I286" s="478">
        <f>PRODUCT(C286:H286)</f>
        <v>16.8</v>
      </c>
      <c r="J286" s="474"/>
    </row>
    <row r="287" spans="1:10" ht="17.25">
      <c r="A287" s="481"/>
      <c r="B287" s="475" t="s">
        <v>796</v>
      </c>
      <c r="C287" s="477"/>
      <c r="D287" s="477"/>
      <c r="E287" s="477"/>
      <c r="F287" s="478"/>
      <c r="G287" s="478"/>
      <c r="H287" s="478"/>
      <c r="I287" s="478"/>
      <c r="J287" s="474"/>
    </row>
    <row r="288" spans="1:10">
      <c r="A288" s="481"/>
      <c r="B288" s="476" t="s">
        <v>789</v>
      </c>
      <c r="C288" s="477">
        <v>1</v>
      </c>
      <c r="D288" s="477" t="s">
        <v>28</v>
      </c>
      <c r="E288" s="477">
        <v>1</v>
      </c>
      <c r="F288" s="478">
        <v>6</v>
      </c>
      <c r="G288" s="478">
        <v>5</v>
      </c>
      <c r="H288" s="478">
        <v>0.3</v>
      </c>
      <c r="I288" s="478">
        <f>PRODUCT(C288:H288)</f>
        <v>9</v>
      </c>
      <c r="J288" s="474"/>
    </row>
    <row r="289" spans="1:10" ht="17.25">
      <c r="A289" s="481"/>
      <c r="B289" s="475" t="s">
        <v>797</v>
      </c>
      <c r="C289" s="477"/>
      <c r="D289" s="477"/>
      <c r="E289" s="477"/>
      <c r="F289" s="478"/>
      <c r="G289" s="478"/>
      <c r="H289" s="478"/>
      <c r="I289" s="478"/>
      <c r="J289" s="474"/>
    </row>
    <row r="290" spans="1:10">
      <c r="A290" s="481"/>
      <c r="B290" s="476" t="s">
        <v>789</v>
      </c>
      <c r="C290" s="477">
        <v>1</v>
      </c>
      <c r="D290" s="477" t="s">
        <v>28</v>
      </c>
      <c r="E290" s="477">
        <v>1</v>
      </c>
      <c r="F290" s="478">
        <v>1.7</v>
      </c>
      <c r="G290" s="478">
        <v>12.3</v>
      </c>
      <c r="H290" s="478">
        <v>0.3</v>
      </c>
      <c r="I290" s="478">
        <f>PRODUCT(C290:H290)</f>
        <v>6.2729999999999997</v>
      </c>
      <c r="J290" s="474"/>
    </row>
    <row r="291" spans="1:10" ht="17.25">
      <c r="A291" s="481"/>
      <c r="B291" s="475" t="s">
        <v>798</v>
      </c>
      <c r="C291" s="477"/>
      <c r="D291" s="477"/>
      <c r="E291" s="477"/>
      <c r="F291" s="478"/>
      <c r="G291" s="478"/>
      <c r="H291" s="478"/>
      <c r="I291" s="478"/>
      <c r="J291" s="474"/>
    </row>
    <row r="292" spans="1:10">
      <c r="A292" s="481"/>
      <c r="B292" s="476" t="s">
        <v>789</v>
      </c>
      <c r="C292" s="477">
        <v>1</v>
      </c>
      <c r="D292" s="477" t="s">
        <v>28</v>
      </c>
      <c r="E292" s="477">
        <v>1</v>
      </c>
      <c r="F292" s="478">
        <v>2.5</v>
      </c>
      <c r="G292" s="478">
        <v>3</v>
      </c>
      <c r="H292" s="478">
        <v>0.3</v>
      </c>
      <c r="I292" s="478">
        <f>PRODUCT(C292:H292)</f>
        <v>2.25</v>
      </c>
      <c r="J292" s="474"/>
    </row>
    <row r="293" spans="1:10" ht="17.25">
      <c r="A293" s="481"/>
      <c r="B293" s="475" t="s">
        <v>799</v>
      </c>
      <c r="C293" s="477"/>
      <c r="D293" s="477"/>
      <c r="E293" s="477"/>
      <c r="F293" s="478"/>
      <c r="G293" s="478"/>
      <c r="H293" s="478"/>
      <c r="I293" s="478"/>
      <c r="J293" s="474"/>
    </row>
    <row r="294" spans="1:10">
      <c r="A294" s="481"/>
      <c r="B294" s="476" t="s">
        <v>789</v>
      </c>
      <c r="C294" s="477">
        <v>1</v>
      </c>
      <c r="D294" s="477" t="s">
        <v>28</v>
      </c>
      <c r="E294" s="477">
        <v>1</v>
      </c>
      <c r="F294" s="478">
        <v>5</v>
      </c>
      <c r="G294" s="478">
        <v>9</v>
      </c>
      <c r="H294" s="478">
        <v>0.3</v>
      </c>
      <c r="I294" s="478">
        <f>PRODUCT(C294:H294)</f>
        <v>13.5</v>
      </c>
      <c r="J294" s="474"/>
    </row>
    <row r="295" spans="1:10" ht="17.25">
      <c r="A295" s="481"/>
      <c r="B295" s="475" t="s">
        <v>800</v>
      </c>
      <c r="C295" s="477"/>
      <c r="D295" s="477"/>
      <c r="E295" s="477"/>
      <c r="F295" s="478"/>
      <c r="G295" s="478"/>
      <c r="H295" s="478"/>
      <c r="I295" s="478"/>
      <c r="J295" s="474"/>
    </row>
    <row r="296" spans="1:10">
      <c r="A296" s="481"/>
      <c r="B296" s="476" t="s">
        <v>789</v>
      </c>
      <c r="C296" s="477">
        <v>1</v>
      </c>
      <c r="D296" s="477" t="s">
        <v>28</v>
      </c>
      <c r="E296" s="477">
        <v>1</v>
      </c>
      <c r="F296" s="478">
        <v>11</v>
      </c>
      <c r="G296" s="478">
        <v>4</v>
      </c>
      <c r="H296" s="478">
        <v>0.3</v>
      </c>
      <c r="I296" s="478">
        <f>PRODUCT(C296:H296)</f>
        <v>13.2</v>
      </c>
      <c r="J296" s="474"/>
    </row>
    <row r="297" spans="1:10" ht="17.25">
      <c r="A297" s="481"/>
      <c r="B297" s="475" t="s">
        <v>801</v>
      </c>
      <c r="C297" s="477"/>
      <c r="D297" s="477"/>
      <c r="E297" s="477"/>
      <c r="F297" s="478"/>
      <c r="G297" s="478"/>
      <c r="H297" s="478"/>
      <c r="I297" s="478"/>
      <c r="J297" s="474"/>
    </row>
    <row r="298" spans="1:10">
      <c r="A298" s="481"/>
      <c r="B298" s="476" t="s">
        <v>789</v>
      </c>
      <c r="C298" s="477">
        <v>1</v>
      </c>
      <c r="D298" s="477" t="s">
        <v>28</v>
      </c>
      <c r="E298" s="477">
        <v>1</v>
      </c>
      <c r="F298" s="478">
        <v>8</v>
      </c>
      <c r="G298" s="478">
        <v>3.5</v>
      </c>
      <c r="H298" s="478">
        <v>0.3</v>
      </c>
      <c r="I298" s="478">
        <f>PRODUCT(C298:H298)</f>
        <v>8.4</v>
      </c>
      <c r="J298" s="474"/>
    </row>
    <row r="299" spans="1:10" ht="17.25">
      <c r="A299" s="481"/>
      <c r="B299" s="475" t="s">
        <v>802</v>
      </c>
      <c r="C299" s="477"/>
      <c r="D299" s="477"/>
      <c r="E299" s="477"/>
      <c r="F299" s="478"/>
      <c r="G299" s="478"/>
      <c r="H299" s="478"/>
      <c r="I299" s="478"/>
      <c r="J299" s="474"/>
    </row>
    <row r="300" spans="1:10">
      <c r="A300" s="481"/>
      <c r="B300" s="476" t="s">
        <v>789</v>
      </c>
      <c r="C300" s="477">
        <v>1</v>
      </c>
      <c r="D300" s="477" t="s">
        <v>28</v>
      </c>
      <c r="E300" s="477">
        <v>1</v>
      </c>
      <c r="F300" s="478">
        <v>12</v>
      </c>
      <c r="G300" s="478">
        <v>7</v>
      </c>
      <c r="H300" s="478">
        <v>0.3</v>
      </c>
      <c r="I300" s="478">
        <f>PRODUCT(C300:H300)</f>
        <v>25.2</v>
      </c>
      <c r="J300" s="474"/>
    </row>
    <row r="301" spans="1:10" ht="17.25">
      <c r="A301" s="481"/>
      <c r="B301" s="475" t="s">
        <v>803</v>
      </c>
      <c r="C301" s="477"/>
      <c r="D301" s="477"/>
      <c r="E301" s="477"/>
      <c r="F301" s="478"/>
      <c r="G301" s="478"/>
      <c r="H301" s="478"/>
      <c r="I301" s="478"/>
      <c r="J301" s="474"/>
    </row>
    <row r="302" spans="1:10">
      <c r="A302" s="481"/>
      <c r="B302" s="476" t="s">
        <v>789</v>
      </c>
      <c r="C302" s="477">
        <v>1</v>
      </c>
      <c r="D302" s="477" t="s">
        <v>28</v>
      </c>
      <c r="E302" s="477">
        <v>1</v>
      </c>
      <c r="F302" s="478">
        <v>7</v>
      </c>
      <c r="G302" s="478">
        <v>0.3</v>
      </c>
      <c r="H302" s="478">
        <v>0.3</v>
      </c>
      <c r="I302" s="478">
        <f>PRODUCT(C302:H302)</f>
        <v>0.63</v>
      </c>
      <c r="J302" s="474"/>
    </row>
    <row r="303" spans="1:10" ht="17.25">
      <c r="A303" s="481"/>
      <c r="B303" s="475" t="s">
        <v>804</v>
      </c>
      <c r="C303" s="477"/>
      <c r="D303" s="477"/>
      <c r="E303" s="477"/>
      <c r="F303" s="478"/>
      <c r="G303" s="478"/>
      <c r="H303" s="478"/>
      <c r="I303" s="478"/>
      <c r="J303" s="474"/>
    </row>
    <row r="304" spans="1:10">
      <c r="A304" s="481"/>
      <c r="B304" s="476" t="s">
        <v>789</v>
      </c>
      <c r="C304" s="477">
        <v>1</v>
      </c>
      <c r="D304" s="477" t="s">
        <v>28</v>
      </c>
      <c r="E304" s="477">
        <v>1</v>
      </c>
      <c r="F304" s="478">
        <v>3</v>
      </c>
      <c r="G304" s="478">
        <v>3.5</v>
      </c>
      <c r="H304" s="478">
        <v>0.3</v>
      </c>
      <c r="I304" s="478">
        <f>PRODUCT(C304:H304)</f>
        <v>3.15</v>
      </c>
      <c r="J304" s="474"/>
    </row>
    <row r="305" spans="1:10" ht="17.25">
      <c r="A305" s="481"/>
      <c r="B305" s="475" t="s">
        <v>805</v>
      </c>
      <c r="C305" s="477"/>
      <c r="D305" s="477"/>
      <c r="E305" s="477"/>
      <c r="F305" s="478"/>
      <c r="G305" s="478"/>
      <c r="H305" s="478"/>
      <c r="I305" s="478"/>
      <c r="J305" s="474"/>
    </row>
    <row r="306" spans="1:10">
      <c r="A306" s="481"/>
      <c r="B306" s="476" t="s">
        <v>789</v>
      </c>
      <c r="C306" s="477">
        <v>1</v>
      </c>
      <c r="D306" s="477" t="s">
        <v>28</v>
      </c>
      <c r="E306" s="477">
        <v>1</v>
      </c>
      <c r="F306" s="478">
        <v>7</v>
      </c>
      <c r="G306" s="478">
        <v>5</v>
      </c>
      <c r="H306" s="478">
        <v>0.3</v>
      </c>
      <c r="I306" s="478">
        <f>PRODUCT(C306:H306)</f>
        <v>10.5</v>
      </c>
      <c r="J306" s="474"/>
    </row>
    <row r="307" spans="1:10" ht="17.25">
      <c r="A307" s="481"/>
      <c r="B307" s="475" t="s">
        <v>806</v>
      </c>
      <c r="C307" s="477"/>
      <c r="D307" s="477"/>
      <c r="E307" s="477"/>
      <c r="F307" s="478"/>
      <c r="G307" s="478"/>
      <c r="H307" s="478"/>
      <c r="I307" s="478"/>
      <c r="J307" s="474"/>
    </row>
    <row r="308" spans="1:10">
      <c r="A308" s="481"/>
      <c r="B308" s="476" t="s">
        <v>789</v>
      </c>
      <c r="C308" s="477">
        <v>1</v>
      </c>
      <c r="D308" s="477" t="s">
        <v>28</v>
      </c>
      <c r="E308" s="477">
        <v>1</v>
      </c>
      <c r="F308" s="478">
        <v>13.5</v>
      </c>
      <c r="G308" s="478">
        <v>3.5</v>
      </c>
      <c r="H308" s="478">
        <v>0.3</v>
      </c>
      <c r="I308" s="478">
        <f>PRODUCT(C308:H308)</f>
        <v>14.174999999999999</v>
      </c>
      <c r="J308" s="474"/>
    </row>
    <row r="309" spans="1:10" ht="17.25">
      <c r="A309" s="481"/>
      <c r="B309" s="475" t="s">
        <v>807</v>
      </c>
      <c r="C309" s="477"/>
      <c r="D309" s="477"/>
      <c r="E309" s="477"/>
      <c r="F309" s="478"/>
      <c r="G309" s="478"/>
      <c r="H309" s="478"/>
      <c r="I309" s="478"/>
      <c r="J309" s="474"/>
    </row>
    <row r="310" spans="1:10">
      <c r="A310" s="481"/>
      <c r="B310" s="476" t="s">
        <v>789</v>
      </c>
      <c r="C310" s="477">
        <v>1</v>
      </c>
      <c r="D310" s="477" t="s">
        <v>28</v>
      </c>
      <c r="E310" s="477">
        <v>1</v>
      </c>
      <c r="F310" s="478">
        <v>2.5</v>
      </c>
      <c r="G310" s="478">
        <v>3.7</v>
      </c>
      <c r="H310" s="478">
        <v>0.3</v>
      </c>
      <c r="I310" s="478">
        <f>PRODUCT(C310:H310)</f>
        <v>2.7749999999999999</v>
      </c>
      <c r="J310" s="474"/>
    </row>
    <row r="311" spans="1:10" ht="17.25">
      <c r="A311" s="481"/>
      <c r="B311" s="475" t="s">
        <v>808</v>
      </c>
      <c r="C311" s="477"/>
      <c r="D311" s="477"/>
      <c r="E311" s="477"/>
      <c r="F311" s="478"/>
      <c r="G311" s="478"/>
      <c r="H311" s="478"/>
      <c r="I311" s="478"/>
      <c r="J311" s="474"/>
    </row>
    <row r="312" spans="1:10">
      <c r="A312" s="481"/>
      <c r="B312" s="476" t="s">
        <v>789</v>
      </c>
      <c r="C312" s="477">
        <v>1</v>
      </c>
      <c r="D312" s="477" t="s">
        <v>28</v>
      </c>
      <c r="E312" s="477">
        <v>1</v>
      </c>
      <c r="F312" s="478">
        <v>4.5</v>
      </c>
      <c r="G312" s="478">
        <v>3</v>
      </c>
      <c r="H312" s="478">
        <v>0.3</v>
      </c>
      <c r="I312" s="478">
        <f>PRODUCT(C312:H312)</f>
        <v>4.05</v>
      </c>
      <c r="J312" s="474"/>
    </row>
    <row r="313" spans="1:10">
      <c r="A313" s="481"/>
      <c r="B313" s="476"/>
      <c r="C313" s="477"/>
      <c r="D313" s="477"/>
      <c r="E313" s="477"/>
      <c r="F313" s="478"/>
      <c r="G313" s="478"/>
      <c r="H313" s="478" t="s">
        <v>34</v>
      </c>
      <c r="I313" s="478">
        <f>SUM(I273:I312)</f>
        <v>171.46500000000003</v>
      </c>
      <c r="J313" s="474"/>
    </row>
    <row r="314" spans="1:10" ht="16.5">
      <c r="A314" s="481"/>
      <c r="B314" s="476"/>
      <c r="C314" s="477"/>
      <c r="D314" s="477"/>
      <c r="E314" s="477"/>
      <c r="F314" s="478"/>
      <c r="G314" s="478"/>
      <c r="H314" s="479" t="s">
        <v>25</v>
      </c>
      <c r="I314" s="479">
        <v>171.5</v>
      </c>
      <c r="J314" s="480" t="s">
        <v>638</v>
      </c>
    </row>
    <row r="315" spans="1:10" ht="45.75" customHeight="1">
      <c r="A315" s="481">
        <v>8</v>
      </c>
      <c r="B315" s="456" t="s">
        <v>812</v>
      </c>
      <c r="C315" s="477"/>
      <c r="D315" s="477"/>
      <c r="E315" s="477"/>
      <c r="F315" s="478"/>
      <c r="G315" s="478"/>
      <c r="H315" s="478"/>
      <c r="I315" s="478"/>
      <c r="J315" s="474"/>
    </row>
    <row r="316" spans="1:10" ht="17.25">
      <c r="A316" s="481"/>
      <c r="B316" s="475" t="s">
        <v>787</v>
      </c>
      <c r="C316" s="477"/>
      <c r="D316" s="477"/>
      <c r="E316" s="477"/>
      <c r="F316" s="478"/>
      <c r="G316" s="478"/>
      <c r="H316" s="478"/>
      <c r="I316" s="478"/>
      <c r="J316" s="474"/>
    </row>
    <row r="317" spans="1:10">
      <c r="A317" s="481"/>
      <c r="B317" s="484" t="s">
        <v>813</v>
      </c>
      <c r="C317" s="477">
        <v>1</v>
      </c>
      <c r="D317" s="477" t="s">
        <v>28</v>
      </c>
      <c r="E317" s="477">
        <v>1</v>
      </c>
      <c r="F317" s="478">
        <v>89.18</v>
      </c>
      <c r="G317" s="478"/>
      <c r="H317" s="485">
        <v>0.16800000000000001</v>
      </c>
      <c r="I317" s="478">
        <f t="shared" ref="I317:I322" si="0">PRODUCT(C317:H317)</f>
        <v>14.982240000000003</v>
      </c>
      <c r="J317" s="474"/>
    </row>
    <row r="318" spans="1:10">
      <c r="A318" s="481"/>
      <c r="B318" s="484" t="s">
        <v>814</v>
      </c>
      <c r="C318" s="477">
        <v>1</v>
      </c>
      <c r="D318" s="477" t="s">
        <v>28</v>
      </c>
      <c r="E318" s="477">
        <v>1</v>
      </c>
      <c r="F318" s="478">
        <v>76.3</v>
      </c>
      <c r="G318" s="478"/>
      <c r="H318" s="485">
        <v>0.10100000000000001</v>
      </c>
      <c r="I318" s="478">
        <f t="shared" si="0"/>
        <v>7.7063000000000006</v>
      </c>
      <c r="J318" s="474"/>
    </row>
    <row r="319" spans="1:10">
      <c r="A319" s="481"/>
      <c r="B319" s="484" t="s">
        <v>815</v>
      </c>
      <c r="C319" s="477">
        <v>1</v>
      </c>
      <c r="D319" s="477" t="s">
        <v>28</v>
      </c>
      <c r="E319" s="477">
        <v>1</v>
      </c>
      <c r="F319" s="478">
        <v>9.58</v>
      </c>
      <c r="G319" s="478"/>
      <c r="H319" s="485">
        <v>0.14099999999999999</v>
      </c>
      <c r="I319" s="478">
        <f t="shared" si="0"/>
        <v>1.3507799999999999</v>
      </c>
      <c r="J319" s="474"/>
    </row>
    <row r="320" spans="1:10">
      <c r="A320" s="481"/>
      <c r="B320" s="486" t="s">
        <v>816</v>
      </c>
      <c r="C320" s="477">
        <v>1</v>
      </c>
      <c r="D320" s="477" t="s">
        <v>28</v>
      </c>
      <c r="E320" s="477">
        <v>2</v>
      </c>
      <c r="F320" s="478">
        <v>12.2</v>
      </c>
      <c r="G320" s="478"/>
      <c r="H320" s="478">
        <v>0.3</v>
      </c>
      <c r="I320" s="478">
        <f t="shared" si="0"/>
        <v>7.3199999999999994</v>
      </c>
      <c r="J320" s="474"/>
    </row>
    <row r="321" spans="1:10">
      <c r="A321" s="481"/>
      <c r="B321" s="486" t="s">
        <v>817</v>
      </c>
      <c r="C321" s="477">
        <v>1</v>
      </c>
      <c r="D321" s="477" t="s">
        <v>28</v>
      </c>
      <c r="E321" s="477">
        <v>11</v>
      </c>
      <c r="F321" s="478">
        <v>1.05</v>
      </c>
      <c r="G321" s="478"/>
      <c r="H321" s="478">
        <v>0.3</v>
      </c>
      <c r="I321" s="478">
        <f t="shared" si="0"/>
        <v>3.4650000000000003</v>
      </c>
      <c r="J321" s="474"/>
    </row>
    <row r="322" spans="1:10">
      <c r="A322" s="481"/>
      <c r="B322" s="486" t="s">
        <v>818</v>
      </c>
      <c r="C322" s="477">
        <v>1</v>
      </c>
      <c r="D322" s="477" t="s">
        <v>28</v>
      </c>
      <c r="E322" s="477">
        <v>12</v>
      </c>
      <c r="F322" s="478">
        <v>1.05</v>
      </c>
      <c r="G322" s="478"/>
      <c r="H322" s="478">
        <v>0.3</v>
      </c>
      <c r="I322" s="478">
        <f t="shared" si="0"/>
        <v>3.7800000000000002</v>
      </c>
      <c r="J322" s="474"/>
    </row>
    <row r="323" spans="1:10">
      <c r="A323" s="481"/>
      <c r="B323" s="486"/>
      <c r="C323" s="477"/>
      <c r="D323" s="477"/>
      <c r="E323" s="477"/>
      <c r="F323" s="478"/>
      <c r="G323" s="478"/>
      <c r="H323" s="478"/>
      <c r="I323" s="478"/>
      <c r="J323" s="474"/>
    </row>
    <row r="324" spans="1:10" ht="17.25">
      <c r="A324" s="481"/>
      <c r="B324" s="475" t="s">
        <v>790</v>
      </c>
      <c r="C324" s="477"/>
      <c r="D324" s="477"/>
      <c r="E324" s="477"/>
      <c r="F324" s="478"/>
      <c r="G324" s="478"/>
      <c r="H324" s="478"/>
      <c r="I324" s="478"/>
      <c r="J324" s="474"/>
    </row>
    <row r="325" spans="1:10">
      <c r="A325" s="481"/>
      <c r="B325" s="476" t="s">
        <v>819</v>
      </c>
      <c r="C325" s="477">
        <v>1</v>
      </c>
      <c r="D325" s="477" t="s">
        <v>28</v>
      </c>
      <c r="E325" s="477">
        <v>2</v>
      </c>
      <c r="F325" s="478">
        <v>3.14</v>
      </c>
      <c r="G325" s="485">
        <v>0.14099999999999999</v>
      </c>
      <c r="H325" s="478">
        <v>72.7</v>
      </c>
      <c r="I325" s="487">
        <f>PRODUCT(C325:H325)</f>
        <v>64.374396000000004</v>
      </c>
      <c r="J325" s="488"/>
    </row>
    <row r="326" spans="1:10">
      <c r="A326" s="481"/>
      <c r="B326" s="476" t="s">
        <v>820</v>
      </c>
      <c r="C326" s="477">
        <v>1</v>
      </c>
      <c r="D326" s="477" t="s">
        <v>28</v>
      </c>
      <c r="E326" s="477">
        <v>1</v>
      </c>
      <c r="F326" s="478">
        <v>3.14</v>
      </c>
      <c r="G326" s="485">
        <v>7.2999999999999995E-2</v>
      </c>
      <c r="H326" s="478">
        <v>11.25</v>
      </c>
      <c r="I326" s="487">
        <f>PRODUCT(C326:H326)</f>
        <v>2.5787249999999999</v>
      </c>
      <c r="J326" s="488"/>
    </row>
    <row r="327" spans="1:10">
      <c r="A327" s="481"/>
      <c r="B327" s="476" t="s">
        <v>821</v>
      </c>
      <c r="C327" s="477">
        <v>2</v>
      </c>
      <c r="D327" s="477" t="s">
        <v>28</v>
      </c>
      <c r="E327" s="477">
        <v>3</v>
      </c>
      <c r="F327" s="478">
        <v>1</v>
      </c>
      <c r="G327" s="485">
        <v>0.125</v>
      </c>
      <c r="H327" s="478"/>
      <c r="I327" s="487">
        <f>PRODUCT(C327:H327)</f>
        <v>0.75</v>
      </c>
      <c r="J327" s="488"/>
    </row>
    <row r="328" spans="1:10" ht="17.25">
      <c r="A328" s="481"/>
      <c r="B328" s="475" t="s">
        <v>822</v>
      </c>
      <c r="C328" s="477"/>
      <c r="D328" s="477"/>
      <c r="E328" s="477"/>
      <c r="F328" s="478"/>
      <c r="G328" s="478"/>
      <c r="H328" s="478"/>
      <c r="I328" s="478"/>
      <c r="J328" s="474"/>
    </row>
    <row r="329" spans="1:10" ht="16.5">
      <c r="A329" s="481"/>
      <c r="B329" s="489" t="s">
        <v>823</v>
      </c>
      <c r="C329" s="477"/>
      <c r="D329" s="477"/>
      <c r="E329" s="477"/>
      <c r="F329" s="478"/>
      <c r="G329" s="478"/>
      <c r="H329" s="478"/>
      <c r="I329" s="478"/>
      <c r="J329" s="474"/>
    </row>
    <row r="330" spans="1:10">
      <c r="A330" s="481"/>
      <c r="B330" s="484" t="s">
        <v>824</v>
      </c>
      <c r="C330" s="477">
        <v>1</v>
      </c>
      <c r="D330" s="477" t="s">
        <v>28</v>
      </c>
      <c r="E330" s="477">
        <v>2</v>
      </c>
      <c r="F330" s="478">
        <v>9.6</v>
      </c>
      <c r="G330" s="478"/>
      <c r="H330" s="478">
        <v>32.58</v>
      </c>
      <c r="I330" s="478">
        <f>PRODUCT(C330:H330)</f>
        <v>625.53599999999994</v>
      </c>
      <c r="J330" s="474"/>
    </row>
    <row r="331" spans="1:10" ht="17.25">
      <c r="A331" s="481"/>
      <c r="B331" s="475" t="s">
        <v>825</v>
      </c>
      <c r="C331" s="477"/>
      <c r="D331" s="477"/>
      <c r="E331" s="477"/>
      <c r="F331" s="478"/>
      <c r="G331" s="478"/>
      <c r="H331" s="478"/>
      <c r="I331" s="478"/>
      <c r="J331" s="474"/>
    </row>
    <row r="332" spans="1:10">
      <c r="A332" s="439"/>
      <c r="B332" s="484" t="s">
        <v>826</v>
      </c>
      <c r="C332" s="477">
        <v>1</v>
      </c>
      <c r="D332" s="477" t="s">
        <v>28</v>
      </c>
      <c r="E332" s="477">
        <v>1</v>
      </c>
      <c r="F332" s="478">
        <v>56.52</v>
      </c>
      <c r="G332" s="478"/>
      <c r="H332" s="485">
        <v>0.16800000000000001</v>
      </c>
      <c r="I332" s="478">
        <f>PRODUCT(C332:H332)</f>
        <v>9.4953600000000016</v>
      </c>
      <c r="J332" s="474"/>
    </row>
    <row r="333" spans="1:10">
      <c r="A333" s="439"/>
      <c r="B333" s="484" t="s">
        <v>827</v>
      </c>
      <c r="C333" s="477">
        <v>1</v>
      </c>
      <c r="D333" s="477" t="s">
        <v>28</v>
      </c>
      <c r="E333" s="477">
        <v>1</v>
      </c>
      <c r="F333" s="478">
        <v>57.46</v>
      </c>
      <c r="G333" s="478"/>
      <c r="H333" s="485">
        <v>0.14099999999999999</v>
      </c>
      <c r="I333" s="478">
        <f>PRODUCT(C333:H333)</f>
        <v>8.1018599999999985</v>
      </c>
      <c r="J333" s="474"/>
    </row>
    <row r="334" spans="1:10">
      <c r="A334" s="439"/>
      <c r="B334" s="484" t="s">
        <v>828</v>
      </c>
      <c r="C334" s="477">
        <v>1</v>
      </c>
      <c r="D334" s="477" t="s">
        <v>28</v>
      </c>
      <c r="E334" s="477">
        <v>1</v>
      </c>
      <c r="F334" s="478">
        <v>60.29</v>
      </c>
      <c r="G334" s="478"/>
      <c r="H334" s="485">
        <v>7.2999999999999995E-2</v>
      </c>
      <c r="I334" s="478">
        <f>PRODUCT(C334:H334)</f>
        <v>4.4011699999999996</v>
      </c>
      <c r="J334" s="474"/>
    </row>
    <row r="335" spans="1:10" ht="17.25">
      <c r="B335" s="475" t="s">
        <v>829</v>
      </c>
    </row>
    <row r="336" spans="1:10">
      <c r="A336" s="439"/>
      <c r="B336" s="484" t="s">
        <v>830</v>
      </c>
      <c r="C336" s="477">
        <v>1</v>
      </c>
      <c r="D336" s="477" t="s">
        <v>28</v>
      </c>
      <c r="E336" s="477">
        <v>1</v>
      </c>
      <c r="F336" s="478">
        <v>104.25</v>
      </c>
      <c r="G336" s="478"/>
      <c r="H336" s="485">
        <v>0.16800000000000001</v>
      </c>
      <c r="I336" s="478">
        <f>PRODUCT(C336:H336)</f>
        <v>17.513999999999999</v>
      </c>
      <c r="J336" s="488"/>
    </row>
    <row r="337" spans="1:10">
      <c r="A337" s="439"/>
      <c r="B337" s="484" t="s">
        <v>831</v>
      </c>
      <c r="C337" s="477">
        <v>1</v>
      </c>
      <c r="D337" s="477" t="s">
        <v>28</v>
      </c>
      <c r="E337" s="477">
        <v>1</v>
      </c>
      <c r="F337" s="478">
        <v>77.87</v>
      </c>
      <c r="G337" s="478"/>
      <c r="H337" s="485">
        <v>6.3E-2</v>
      </c>
      <c r="I337" s="478">
        <f>PRODUCT(C337:H337)</f>
        <v>4.9058100000000007</v>
      </c>
      <c r="J337" s="488"/>
    </row>
    <row r="338" spans="1:10" ht="17.25">
      <c r="B338" s="475" t="s">
        <v>832</v>
      </c>
    </row>
    <row r="339" spans="1:10" ht="16.5">
      <c r="A339" s="439"/>
      <c r="B339" s="489" t="s">
        <v>823</v>
      </c>
      <c r="C339" s="477"/>
      <c r="D339" s="477"/>
      <c r="E339" s="477"/>
      <c r="F339" s="478"/>
      <c r="G339" s="478"/>
      <c r="H339" s="478"/>
      <c r="I339" s="478"/>
      <c r="J339" s="474"/>
    </row>
    <row r="340" spans="1:10">
      <c r="A340" s="439"/>
      <c r="B340" s="484" t="s">
        <v>833</v>
      </c>
      <c r="C340" s="477">
        <v>1</v>
      </c>
      <c r="D340" s="477" t="s">
        <v>28</v>
      </c>
      <c r="E340" s="477">
        <v>4</v>
      </c>
      <c r="F340" s="478">
        <v>7.1</v>
      </c>
      <c r="G340" s="478"/>
      <c r="H340" s="478">
        <v>21.2</v>
      </c>
      <c r="I340" s="478">
        <f>PRODUCT(C340:H340)</f>
        <v>602.07999999999993</v>
      </c>
      <c r="J340" s="474"/>
    </row>
    <row r="341" spans="1:10">
      <c r="B341" s="484" t="s">
        <v>834</v>
      </c>
      <c r="C341" s="477">
        <v>1</v>
      </c>
      <c r="D341" s="477" t="s">
        <v>28</v>
      </c>
      <c r="E341" s="477">
        <v>6</v>
      </c>
      <c r="F341" s="478">
        <v>4.05</v>
      </c>
      <c r="G341" s="478"/>
      <c r="H341" s="478">
        <v>14.4</v>
      </c>
      <c r="I341" s="478">
        <f>PRODUCT(C341:H341)</f>
        <v>349.91999999999996</v>
      </c>
      <c r="J341" s="474"/>
    </row>
    <row r="342" spans="1:10">
      <c r="B342" s="484" t="s">
        <v>835</v>
      </c>
      <c r="C342" s="477">
        <v>1</v>
      </c>
      <c r="D342" s="477" t="s">
        <v>28</v>
      </c>
      <c r="E342" s="477">
        <v>2</v>
      </c>
      <c r="F342" s="478">
        <v>1.05</v>
      </c>
      <c r="G342" s="478"/>
      <c r="H342" s="478">
        <v>14.4</v>
      </c>
      <c r="I342" s="478">
        <f>PRODUCT(C342:H342)</f>
        <v>30.240000000000002</v>
      </c>
      <c r="J342" s="474"/>
    </row>
    <row r="343" spans="1:10">
      <c r="B343" s="484" t="s">
        <v>836</v>
      </c>
      <c r="C343" s="477">
        <v>1</v>
      </c>
      <c r="D343" s="477" t="s">
        <v>28</v>
      </c>
      <c r="E343" s="477">
        <v>5</v>
      </c>
      <c r="F343" s="478">
        <v>0.6</v>
      </c>
      <c r="G343" s="478"/>
      <c r="H343" s="478">
        <v>14.4</v>
      </c>
      <c r="I343" s="478">
        <f>PRODUCT(C343:H343)</f>
        <v>43.2</v>
      </c>
      <c r="J343" s="474"/>
    </row>
    <row r="344" spans="1:10" ht="17.25">
      <c r="B344" s="475" t="s">
        <v>837</v>
      </c>
    </row>
    <row r="345" spans="1:10">
      <c r="A345" s="470"/>
      <c r="B345" s="484" t="s">
        <v>838</v>
      </c>
      <c r="C345" s="477">
        <v>1</v>
      </c>
      <c r="D345" s="477" t="s">
        <v>28</v>
      </c>
      <c r="E345" s="477">
        <v>1</v>
      </c>
      <c r="F345" s="478">
        <v>49.61</v>
      </c>
      <c r="G345" s="478"/>
      <c r="H345" s="485">
        <v>0.219</v>
      </c>
      <c r="I345" s="478">
        <f>PRODUCT(C345:H345)</f>
        <v>10.86459</v>
      </c>
      <c r="J345" s="474"/>
    </row>
    <row r="346" spans="1:10">
      <c r="A346" s="470"/>
      <c r="B346" s="484" t="s">
        <v>839</v>
      </c>
      <c r="C346" s="477">
        <v>1</v>
      </c>
      <c r="D346" s="477" t="s">
        <v>28</v>
      </c>
      <c r="E346" s="477">
        <v>1</v>
      </c>
      <c r="F346" s="478">
        <v>63.11</v>
      </c>
      <c r="G346" s="478"/>
      <c r="H346" s="485">
        <v>0.16800000000000001</v>
      </c>
      <c r="I346" s="478">
        <f>PRODUCT(C346:H346)</f>
        <v>10.60248</v>
      </c>
      <c r="J346" s="474"/>
    </row>
    <row r="347" spans="1:10">
      <c r="A347" s="470"/>
      <c r="B347" s="484" t="s">
        <v>840</v>
      </c>
      <c r="C347" s="477">
        <v>1</v>
      </c>
      <c r="D347" s="477" t="s">
        <v>28</v>
      </c>
      <c r="E347" s="477">
        <v>1</v>
      </c>
      <c r="F347" s="478">
        <v>30.62</v>
      </c>
      <c r="G347" s="478"/>
      <c r="H347" s="485">
        <v>0.06</v>
      </c>
      <c r="I347" s="478">
        <f>PRODUCT(C347:H347)</f>
        <v>1.8371999999999999</v>
      </c>
      <c r="J347" s="474"/>
    </row>
    <row r="348" spans="1:10">
      <c r="A348" s="470"/>
      <c r="B348" s="484" t="s">
        <v>841</v>
      </c>
      <c r="C348" s="477">
        <v>3</v>
      </c>
      <c r="D348" s="477" t="s">
        <v>28</v>
      </c>
      <c r="E348" s="477">
        <v>2</v>
      </c>
      <c r="F348" s="478">
        <v>0.05</v>
      </c>
      <c r="G348" s="478">
        <v>0.75</v>
      </c>
      <c r="H348" s="485"/>
      <c r="I348" s="478">
        <f>PRODUCT(C348:H348)</f>
        <v>0.22500000000000003</v>
      </c>
      <c r="J348" s="474"/>
    </row>
    <row r="349" spans="1:10" ht="17.25">
      <c r="A349" s="452"/>
      <c r="B349" s="475" t="s">
        <v>842</v>
      </c>
      <c r="C349" s="452"/>
      <c r="D349" s="452"/>
      <c r="E349" s="452"/>
      <c r="F349" s="452"/>
      <c r="G349" s="452"/>
      <c r="H349" s="452"/>
      <c r="I349" s="452"/>
      <c r="J349" s="452"/>
    </row>
    <row r="350" spans="1:10">
      <c r="A350" s="470"/>
      <c r="B350" s="476" t="s">
        <v>843</v>
      </c>
      <c r="C350" s="477">
        <v>6</v>
      </c>
      <c r="D350" s="477" t="s">
        <v>28</v>
      </c>
      <c r="E350" s="477">
        <v>2</v>
      </c>
      <c r="F350" s="490">
        <v>2.5000000000000001E-4</v>
      </c>
      <c r="G350" s="478"/>
      <c r="H350" s="478">
        <v>7850</v>
      </c>
      <c r="I350" s="478">
        <f>PRODUCT(C350:H350)</f>
        <v>23.55</v>
      </c>
      <c r="J350" s="488"/>
    </row>
    <row r="351" spans="1:10" ht="17.25">
      <c r="A351" s="452"/>
      <c r="B351" s="475" t="s">
        <v>844</v>
      </c>
      <c r="C351" s="452"/>
      <c r="D351" s="452"/>
      <c r="E351" s="452"/>
      <c r="F351" s="452"/>
      <c r="G351" s="452"/>
      <c r="H351" s="452"/>
      <c r="I351" s="452"/>
      <c r="J351" s="452"/>
    </row>
    <row r="352" spans="1:10" ht="16.5">
      <c r="A352" s="439"/>
      <c r="B352" s="489" t="s">
        <v>823</v>
      </c>
      <c r="C352" s="477"/>
      <c r="D352" s="477"/>
      <c r="E352" s="477"/>
      <c r="F352" s="478"/>
      <c r="G352" s="478"/>
      <c r="H352" s="478"/>
      <c r="I352" s="478"/>
      <c r="J352" s="474"/>
    </row>
    <row r="353" spans="1:10">
      <c r="A353" s="491"/>
      <c r="B353" s="484" t="s">
        <v>845</v>
      </c>
      <c r="C353" s="477">
        <v>1</v>
      </c>
      <c r="D353" s="477" t="s">
        <v>28</v>
      </c>
      <c r="E353" s="477">
        <v>1</v>
      </c>
      <c r="F353" s="478">
        <v>35.01</v>
      </c>
      <c r="G353" s="478"/>
      <c r="H353" s="485">
        <v>0.16800000000000001</v>
      </c>
      <c r="I353" s="478">
        <f>PRODUCT(C353:H353)</f>
        <v>5.8816800000000002</v>
      </c>
      <c r="J353" s="474"/>
    </row>
    <row r="354" spans="1:10">
      <c r="A354" s="491"/>
      <c r="B354" s="476" t="s">
        <v>846</v>
      </c>
      <c r="C354" s="477">
        <v>1</v>
      </c>
      <c r="D354" s="477" t="s">
        <v>28</v>
      </c>
      <c r="E354" s="477">
        <v>1</v>
      </c>
      <c r="F354" s="478">
        <v>4.5</v>
      </c>
      <c r="G354" s="478"/>
      <c r="H354" s="478">
        <v>0.1</v>
      </c>
      <c r="I354" s="478">
        <f>PRODUCT(C354:H354)</f>
        <v>0.45</v>
      </c>
      <c r="J354" s="474"/>
    </row>
    <row r="355" spans="1:10" ht="17.25">
      <c r="A355" s="452"/>
      <c r="B355" s="475" t="s">
        <v>847</v>
      </c>
      <c r="C355" s="452"/>
      <c r="D355" s="452"/>
      <c r="E355" s="452"/>
      <c r="F355" s="452"/>
      <c r="G355" s="452"/>
      <c r="H355" s="452"/>
      <c r="I355" s="452"/>
      <c r="J355" s="452"/>
    </row>
    <row r="356" spans="1:10">
      <c r="A356" s="491"/>
      <c r="B356" s="492" t="s">
        <v>848</v>
      </c>
      <c r="C356" s="477">
        <v>1</v>
      </c>
      <c r="D356" s="477" t="s">
        <v>28</v>
      </c>
      <c r="E356" s="477">
        <v>1</v>
      </c>
      <c r="F356" s="478">
        <v>19.38</v>
      </c>
      <c r="G356" s="485">
        <v>0.16800000000000001</v>
      </c>
      <c r="H356" s="478"/>
      <c r="I356" s="478">
        <f>PRODUCT(C356:H356)</f>
        <v>3.2558400000000001</v>
      </c>
      <c r="J356" s="488"/>
    </row>
    <row r="357" spans="1:10">
      <c r="A357" s="491"/>
      <c r="B357" s="492" t="s">
        <v>849</v>
      </c>
      <c r="C357" s="477">
        <v>1</v>
      </c>
      <c r="D357" s="477" t="s">
        <v>28</v>
      </c>
      <c r="E357" s="477">
        <v>1</v>
      </c>
      <c r="F357" s="478">
        <v>19</v>
      </c>
      <c r="G357" s="485">
        <v>0.14099999999999999</v>
      </c>
      <c r="H357" s="478"/>
      <c r="I357" s="478">
        <f>PRODUCT(C357:H357)</f>
        <v>2.6789999999999998</v>
      </c>
      <c r="J357" s="488"/>
    </row>
    <row r="358" spans="1:10">
      <c r="A358" s="491"/>
      <c r="B358" s="492" t="s">
        <v>850</v>
      </c>
      <c r="C358" s="477">
        <v>1</v>
      </c>
      <c r="D358" s="477" t="s">
        <v>28</v>
      </c>
      <c r="E358" s="477">
        <v>1</v>
      </c>
      <c r="F358" s="478">
        <v>23.8</v>
      </c>
      <c r="G358" s="485">
        <v>0.06</v>
      </c>
      <c r="H358" s="478"/>
      <c r="I358" s="478">
        <f>PRODUCT(C358:H358)</f>
        <v>1.4279999999999999</v>
      </c>
      <c r="J358" s="488"/>
    </row>
    <row r="359" spans="1:10">
      <c r="A359" s="452"/>
      <c r="B359" s="452"/>
      <c r="C359" s="452"/>
      <c r="D359" s="452"/>
      <c r="E359" s="452"/>
      <c r="F359" s="452"/>
      <c r="G359" s="452"/>
      <c r="H359" s="493" t="s">
        <v>34</v>
      </c>
      <c r="I359" s="478">
        <f>SUM(I317:I358)</f>
        <v>1862.4754310000001</v>
      </c>
      <c r="J359" s="452"/>
    </row>
    <row r="360" spans="1:10">
      <c r="A360" s="452"/>
      <c r="B360" s="452"/>
      <c r="C360" s="452"/>
      <c r="D360" s="452"/>
      <c r="E360" s="452"/>
      <c r="F360" s="452"/>
      <c r="G360" s="452"/>
      <c r="H360" s="494" t="s">
        <v>25</v>
      </c>
      <c r="I360" s="494">
        <v>1862.5</v>
      </c>
      <c r="J360" s="494" t="s">
        <v>247</v>
      </c>
    </row>
    <row r="361" spans="1:10">
      <c r="A361" s="452"/>
      <c r="B361" s="452"/>
      <c r="C361" s="452"/>
      <c r="D361" s="452"/>
      <c r="E361" s="452"/>
      <c r="F361" s="452"/>
      <c r="G361" s="452"/>
      <c r="H361" s="495"/>
      <c r="I361" s="495"/>
      <c r="J361" s="495"/>
    </row>
    <row r="362" spans="1:10" ht="18">
      <c r="A362" s="496">
        <v>9</v>
      </c>
      <c r="B362" s="456" t="s">
        <v>851</v>
      </c>
      <c r="C362" s="452"/>
      <c r="D362" s="452"/>
      <c r="E362" s="452"/>
      <c r="F362" s="452"/>
      <c r="G362" s="452"/>
      <c r="H362" s="495"/>
      <c r="I362" s="495"/>
      <c r="J362" s="495"/>
    </row>
    <row r="363" spans="1:10">
      <c r="A363" s="495"/>
      <c r="B363" s="495" t="s">
        <v>852</v>
      </c>
      <c r="C363" s="496">
        <v>1</v>
      </c>
      <c r="D363" s="496" t="s">
        <v>28</v>
      </c>
      <c r="E363" s="496">
        <v>1</v>
      </c>
      <c r="F363" s="495">
        <v>1000</v>
      </c>
      <c r="G363" s="495">
        <v>3</v>
      </c>
      <c r="H363" s="495"/>
      <c r="I363" s="478">
        <f>PRODUCT(C363:H363)</f>
        <v>3000</v>
      </c>
      <c r="J363" s="495"/>
    </row>
    <row r="364" spans="1:10">
      <c r="A364" s="495"/>
      <c r="B364" s="452"/>
      <c r="C364" s="452"/>
      <c r="D364" s="452"/>
      <c r="E364" s="452"/>
      <c r="F364" s="452"/>
      <c r="G364" s="452"/>
      <c r="H364" s="495" t="s">
        <v>25</v>
      </c>
      <c r="I364" s="495">
        <v>3000</v>
      </c>
      <c r="J364" s="495" t="s">
        <v>247</v>
      </c>
    </row>
    <row r="365" spans="1:10">
      <c r="A365" s="495"/>
      <c r="B365" s="452"/>
      <c r="C365" s="452"/>
      <c r="D365" s="452"/>
      <c r="E365" s="452"/>
      <c r="F365" s="452"/>
      <c r="G365" s="452"/>
      <c r="H365" s="495"/>
      <c r="I365" s="495"/>
      <c r="J365" s="495"/>
    </row>
    <row r="366" spans="1:10" ht="18.75">
      <c r="A366" s="496">
        <v>10</v>
      </c>
      <c r="B366" s="453" t="s">
        <v>783</v>
      </c>
      <c r="C366" s="452"/>
      <c r="D366" s="452"/>
      <c r="E366" s="452"/>
      <c r="F366" s="452"/>
      <c r="G366" s="452"/>
      <c r="H366" s="495"/>
      <c r="I366" s="495"/>
      <c r="J366" s="495"/>
    </row>
    <row r="367" spans="1:10" ht="25.5" customHeight="1">
      <c r="A367" s="496">
        <v>11</v>
      </c>
      <c r="B367" s="456" t="s">
        <v>27</v>
      </c>
      <c r="C367" s="452"/>
      <c r="D367" s="452"/>
      <c r="E367" s="452"/>
      <c r="F367" s="452"/>
      <c r="G367" s="452"/>
      <c r="H367" s="495"/>
      <c r="I367" s="497" t="s">
        <v>30</v>
      </c>
      <c r="J367" s="495"/>
    </row>
    <row r="368" spans="1:10" ht="36">
      <c r="A368" s="496">
        <v>12</v>
      </c>
      <c r="B368" s="457" t="s">
        <v>156</v>
      </c>
      <c r="C368" s="452"/>
      <c r="D368" s="452"/>
      <c r="E368" s="452"/>
      <c r="F368" s="452"/>
      <c r="G368" s="452"/>
      <c r="H368" s="495"/>
      <c r="I368" s="497" t="s">
        <v>30</v>
      </c>
      <c r="J368" s="495"/>
    </row>
    <row r="369" spans="1:10" ht="27" customHeight="1">
      <c r="A369" s="496">
        <v>13</v>
      </c>
      <c r="B369" s="67" t="s">
        <v>32</v>
      </c>
      <c r="C369" s="452"/>
      <c r="D369" s="452"/>
      <c r="E369" s="452"/>
      <c r="F369" s="452"/>
      <c r="G369" s="452"/>
      <c r="H369" s="495"/>
      <c r="I369" s="497" t="s">
        <v>30</v>
      </c>
      <c r="J369" s="495"/>
    </row>
    <row r="370" spans="1:10">
      <c r="A370" s="452"/>
      <c r="B370" s="452"/>
      <c r="C370" s="452"/>
      <c r="D370" s="452"/>
      <c r="E370" s="452"/>
      <c r="F370" s="452"/>
      <c r="G370" s="452"/>
      <c r="H370" s="452"/>
      <c r="I370" s="452"/>
      <c r="J370" s="452"/>
    </row>
    <row r="371" spans="1:10">
      <c r="A371" s="452"/>
      <c r="B371" s="452"/>
      <c r="C371" s="452"/>
      <c r="D371" s="452"/>
      <c r="E371" s="452"/>
      <c r="F371" s="452"/>
      <c r="G371" s="452"/>
      <c r="H371" s="452"/>
      <c r="I371" s="452"/>
      <c r="J371" s="452"/>
    </row>
  </sheetData>
  <mergeCells count="8">
    <mergeCell ref="A1:J1"/>
    <mergeCell ref="A2:J2"/>
    <mergeCell ref="A3:J3"/>
    <mergeCell ref="A4:A5"/>
    <mergeCell ref="B4:B5"/>
    <mergeCell ref="C4:E5"/>
    <mergeCell ref="F4:H4"/>
    <mergeCell ref="I4:J5"/>
  </mergeCells>
  <pageMargins left="0.72" right="0.51" top="0.72" bottom="0.51" header="0.31496062992125984" footer="0.19685039370078741"/>
  <pageSetup paperSize="9" scale="90" orientation="portrait" r:id="rId1"/>
</worksheet>
</file>

<file path=xl/worksheets/sheet2.xml><?xml version="1.0" encoding="utf-8"?>
<worksheet xmlns="http://schemas.openxmlformats.org/spreadsheetml/2006/main" xmlns:r="http://schemas.openxmlformats.org/officeDocument/2006/relationships">
  <dimension ref="A1:G179"/>
  <sheetViews>
    <sheetView workbookViewId="0">
      <selection sqref="A1:F179"/>
    </sheetView>
  </sheetViews>
  <sheetFormatPr defaultRowHeight="15"/>
  <cols>
    <col min="3" max="3" width="36.85546875" customWidth="1"/>
    <col min="4" max="4" width="14" customWidth="1"/>
    <col min="5" max="5" width="12.28515625" customWidth="1"/>
    <col min="6" max="6" width="12.140625" customWidth="1"/>
    <col min="7" max="7" width="10.85546875" customWidth="1"/>
  </cols>
  <sheetData>
    <row r="1" spans="1:6" ht="15.75">
      <c r="A1" s="79"/>
      <c r="B1" s="80"/>
      <c r="C1" s="81" t="s">
        <v>41</v>
      </c>
      <c r="D1" s="79"/>
      <c r="E1" s="82"/>
      <c r="F1" s="79"/>
    </row>
    <row r="2" spans="1:6">
      <c r="A2" s="79"/>
      <c r="B2" s="80"/>
      <c r="C2" s="83" t="s">
        <v>42</v>
      </c>
      <c r="D2" s="79"/>
      <c r="E2" s="82"/>
      <c r="F2" s="79"/>
    </row>
    <row r="3" spans="1:6" ht="15.75">
      <c r="A3" s="84" t="s">
        <v>43</v>
      </c>
      <c r="B3" s="85" t="s">
        <v>44</v>
      </c>
      <c r="C3" s="86" t="s">
        <v>135</v>
      </c>
      <c r="D3" s="79"/>
      <c r="E3" s="81" t="s">
        <v>136</v>
      </c>
      <c r="F3" s="79"/>
    </row>
    <row r="4" spans="1:6">
      <c r="A4" s="87" t="s">
        <v>40</v>
      </c>
      <c r="B4" s="87" t="s">
        <v>40</v>
      </c>
      <c r="C4" s="87" t="s">
        <v>40</v>
      </c>
      <c r="D4" s="87" t="s">
        <v>40</v>
      </c>
      <c r="E4" s="87" t="s">
        <v>40</v>
      </c>
      <c r="F4" s="87" t="s">
        <v>40</v>
      </c>
    </row>
    <row r="5" spans="1:6" ht="15.75">
      <c r="A5" s="84" t="s">
        <v>4</v>
      </c>
      <c r="B5" s="85" t="s">
        <v>44</v>
      </c>
      <c r="C5" s="88" t="s">
        <v>45</v>
      </c>
      <c r="D5" s="88" t="s">
        <v>8</v>
      </c>
      <c r="E5" s="88" t="s">
        <v>9</v>
      </c>
      <c r="F5" s="88" t="s">
        <v>10</v>
      </c>
    </row>
    <row r="6" spans="1:6">
      <c r="A6" s="87" t="s">
        <v>40</v>
      </c>
      <c r="B6" s="87" t="s">
        <v>40</v>
      </c>
      <c r="C6" s="87" t="s">
        <v>40</v>
      </c>
      <c r="D6" s="87" t="s">
        <v>40</v>
      </c>
      <c r="E6" s="87" t="s">
        <v>40</v>
      </c>
      <c r="F6" s="87" t="s">
        <v>40</v>
      </c>
    </row>
    <row r="7" spans="1:6">
      <c r="A7" s="79"/>
      <c r="B7" s="85" t="s">
        <v>46</v>
      </c>
      <c r="C7" s="89" t="s">
        <v>47</v>
      </c>
      <c r="D7" s="79"/>
      <c r="E7" s="82"/>
      <c r="F7" s="79"/>
    </row>
    <row r="8" spans="1:6">
      <c r="A8" s="79"/>
      <c r="B8" s="80"/>
      <c r="C8" s="87" t="s">
        <v>40</v>
      </c>
      <c r="D8" s="79"/>
      <c r="E8" s="82"/>
      <c r="F8" s="79"/>
    </row>
    <row r="9" spans="1:6">
      <c r="A9" s="90">
        <v>0.96</v>
      </c>
      <c r="B9" s="85" t="s">
        <v>48</v>
      </c>
      <c r="C9" s="89" t="s">
        <v>49</v>
      </c>
      <c r="D9" s="90">
        <v>5960</v>
      </c>
      <c r="E9" s="89" t="s">
        <v>48</v>
      </c>
      <c r="F9" s="90">
        <v>5721.6</v>
      </c>
    </row>
    <row r="10" spans="1:6">
      <c r="A10" s="90">
        <v>1</v>
      </c>
      <c r="B10" s="85" t="s">
        <v>50</v>
      </c>
      <c r="C10" s="89" t="s">
        <v>51</v>
      </c>
      <c r="D10" s="90">
        <v>801.1</v>
      </c>
      <c r="E10" s="89" t="s">
        <v>50</v>
      </c>
      <c r="F10" s="90">
        <v>801.1</v>
      </c>
    </row>
    <row r="11" spans="1:6">
      <c r="A11" s="90">
        <v>1</v>
      </c>
      <c r="B11" s="85" t="s">
        <v>50</v>
      </c>
      <c r="C11" s="89" t="s">
        <v>52</v>
      </c>
      <c r="D11" s="90">
        <v>110</v>
      </c>
      <c r="E11" s="89" t="s">
        <v>50</v>
      </c>
      <c r="F11" s="90">
        <v>110</v>
      </c>
    </row>
    <row r="12" spans="1:6">
      <c r="A12" s="79"/>
      <c r="B12" s="85" t="s">
        <v>38</v>
      </c>
      <c r="C12" s="89" t="s">
        <v>39</v>
      </c>
      <c r="D12" s="89" t="s">
        <v>44</v>
      </c>
      <c r="E12" s="89" t="s">
        <v>38</v>
      </c>
      <c r="F12" s="90">
        <v>0</v>
      </c>
    </row>
    <row r="13" spans="1:6">
      <c r="A13" s="79"/>
      <c r="B13" s="80"/>
      <c r="C13" s="79"/>
      <c r="D13" s="79"/>
      <c r="E13" s="82"/>
      <c r="F13" s="87" t="s">
        <v>40</v>
      </c>
    </row>
    <row r="14" spans="1:6" ht="15.75">
      <c r="A14" s="79"/>
      <c r="B14" s="80"/>
      <c r="C14" s="89" t="s">
        <v>53</v>
      </c>
      <c r="D14" s="79"/>
      <c r="E14" s="82"/>
      <c r="F14" s="86">
        <v>6632.7</v>
      </c>
    </row>
    <row r="15" spans="1:6">
      <c r="A15" s="79"/>
      <c r="B15" s="80"/>
      <c r="C15" s="79"/>
      <c r="D15" s="79"/>
      <c r="E15" s="82"/>
      <c r="F15" s="87" t="s">
        <v>40</v>
      </c>
    </row>
    <row r="16" spans="1:6">
      <c r="A16" s="79"/>
      <c r="B16" s="85" t="s">
        <v>46</v>
      </c>
      <c r="C16" s="89" t="s">
        <v>54</v>
      </c>
      <c r="D16" s="79"/>
      <c r="E16" s="82"/>
      <c r="F16" s="79"/>
    </row>
    <row r="17" spans="1:6">
      <c r="A17" s="79"/>
      <c r="B17" s="80"/>
      <c r="C17" s="87" t="s">
        <v>40</v>
      </c>
      <c r="D17" s="79"/>
      <c r="E17" s="82"/>
      <c r="F17" s="79"/>
    </row>
    <row r="18" spans="1:6">
      <c r="A18" s="90">
        <v>0.72</v>
      </c>
      <c r="B18" s="85" t="s">
        <v>48</v>
      </c>
      <c r="C18" s="89" t="s">
        <v>49</v>
      </c>
      <c r="D18" s="90">
        <v>5960</v>
      </c>
      <c r="E18" s="89" t="s">
        <v>48</v>
      </c>
      <c r="F18" s="90">
        <v>4291.2</v>
      </c>
    </row>
    <row r="19" spans="1:6">
      <c r="A19" s="90">
        <v>1</v>
      </c>
      <c r="B19" s="85" t="s">
        <v>50</v>
      </c>
      <c r="C19" s="89" t="s">
        <v>51</v>
      </c>
      <c r="D19" s="90">
        <v>801.1</v>
      </c>
      <c r="E19" s="89" t="s">
        <v>50</v>
      </c>
      <c r="F19" s="90">
        <v>801.1</v>
      </c>
    </row>
    <row r="20" spans="1:6">
      <c r="A20" s="90">
        <v>1</v>
      </c>
      <c r="B20" s="85" t="s">
        <v>50</v>
      </c>
      <c r="C20" s="89" t="s">
        <v>52</v>
      </c>
      <c r="D20" s="90">
        <v>110</v>
      </c>
      <c r="E20" s="89" t="s">
        <v>50</v>
      </c>
      <c r="F20" s="90">
        <v>110</v>
      </c>
    </row>
    <row r="21" spans="1:6">
      <c r="A21" s="79"/>
      <c r="B21" s="85" t="s">
        <v>38</v>
      </c>
      <c r="C21" s="89" t="s">
        <v>39</v>
      </c>
      <c r="D21" s="89" t="s">
        <v>44</v>
      </c>
      <c r="E21" s="89" t="s">
        <v>38</v>
      </c>
      <c r="F21" s="90">
        <v>0</v>
      </c>
    </row>
    <row r="22" spans="1:6">
      <c r="A22" s="79"/>
      <c r="B22" s="80"/>
      <c r="C22" s="79"/>
      <c r="D22" s="79"/>
      <c r="E22" s="82"/>
      <c r="F22" s="87" t="s">
        <v>40</v>
      </c>
    </row>
    <row r="23" spans="1:6" ht="15.75">
      <c r="A23" s="79"/>
      <c r="B23" s="80"/>
      <c r="C23" s="89" t="s">
        <v>53</v>
      </c>
      <c r="D23" s="79"/>
      <c r="E23" s="82"/>
      <c r="F23" s="86">
        <v>5202.3</v>
      </c>
    </row>
    <row r="24" spans="1:6">
      <c r="A24" s="79"/>
      <c r="B24" s="80"/>
      <c r="C24" s="79"/>
      <c r="D24" s="79"/>
      <c r="E24" s="82"/>
      <c r="F24" s="87" t="s">
        <v>40</v>
      </c>
    </row>
    <row r="25" spans="1:6">
      <c r="A25" s="79"/>
      <c r="B25" s="85" t="s">
        <v>46</v>
      </c>
      <c r="C25" s="89" t="s">
        <v>55</v>
      </c>
      <c r="D25" s="79"/>
      <c r="E25" s="82"/>
      <c r="F25" s="79"/>
    </row>
    <row r="26" spans="1:6">
      <c r="A26" s="79"/>
      <c r="B26" s="80"/>
      <c r="C26" s="87" t="s">
        <v>40</v>
      </c>
      <c r="D26" s="79"/>
      <c r="E26" s="82"/>
      <c r="F26" s="79"/>
    </row>
    <row r="27" spans="1:6">
      <c r="A27" s="90">
        <v>0.48</v>
      </c>
      <c r="B27" s="85" t="s">
        <v>48</v>
      </c>
      <c r="C27" s="89" t="s">
        <v>49</v>
      </c>
      <c r="D27" s="90">
        <v>5960</v>
      </c>
      <c r="E27" s="89" t="s">
        <v>48</v>
      </c>
      <c r="F27" s="90">
        <v>2860.8</v>
      </c>
    </row>
    <row r="28" spans="1:6">
      <c r="A28" s="90">
        <v>1</v>
      </c>
      <c r="B28" s="85" t="s">
        <v>50</v>
      </c>
      <c r="C28" s="89" t="s">
        <v>51</v>
      </c>
      <c r="D28" s="90">
        <v>801.1</v>
      </c>
      <c r="E28" s="89" t="s">
        <v>50</v>
      </c>
      <c r="F28" s="90">
        <v>801.1</v>
      </c>
    </row>
    <row r="29" spans="1:6">
      <c r="A29" s="90">
        <v>1</v>
      </c>
      <c r="B29" s="85" t="s">
        <v>50</v>
      </c>
      <c r="C29" s="89" t="s">
        <v>52</v>
      </c>
      <c r="D29" s="90">
        <v>110</v>
      </c>
      <c r="E29" s="89" t="s">
        <v>50</v>
      </c>
      <c r="F29" s="90">
        <v>110</v>
      </c>
    </row>
    <row r="30" spans="1:6">
      <c r="A30" s="79"/>
      <c r="B30" s="85" t="s">
        <v>38</v>
      </c>
      <c r="C30" s="89" t="s">
        <v>39</v>
      </c>
      <c r="D30" s="89" t="s">
        <v>44</v>
      </c>
      <c r="E30" s="89" t="s">
        <v>38</v>
      </c>
      <c r="F30" s="90">
        <v>0</v>
      </c>
    </row>
    <row r="31" spans="1:6">
      <c r="A31" s="79"/>
      <c r="B31" s="80"/>
      <c r="C31" s="79"/>
      <c r="D31" s="79"/>
      <c r="E31" s="82"/>
      <c r="F31" s="87" t="s">
        <v>40</v>
      </c>
    </row>
    <row r="32" spans="1:6" ht="15.75">
      <c r="A32" s="79"/>
      <c r="B32" s="80"/>
      <c r="C32" s="89" t="s">
        <v>53</v>
      </c>
      <c r="D32" s="79"/>
      <c r="E32" s="82"/>
      <c r="F32" s="86">
        <v>3771.9</v>
      </c>
    </row>
    <row r="33" spans="1:6">
      <c r="A33" s="79"/>
      <c r="B33" s="80"/>
      <c r="C33" s="79"/>
      <c r="D33" s="79"/>
      <c r="E33" s="82"/>
      <c r="F33" s="87" t="s">
        <v>40</v>
      </c>
    </row>
    <row r="34" spans="1:6">
      <c r="A34" s="79"/>
      <c r="B34" s="85" t="s">
        <v>46</v>
      </c>
      <c r="C34" s="89" t="s">
        <v>56</v>
      </c>
      <c r="D34" s="79"/>
      <c r="E34" s="82"/>
      <c r="F34" s="79"/>
    </row>
    <row r="35" spans="1:6">
      <c r="A35" s="90">
        <v>0.36</v>
      </c>
      <c r="B35" s="85" t="s">
        <v>48</v>
      </c>
      <c r="C35" s="89" t="s">
        <v>49</v>
      </c>
      <c r="D35" s="90">
        <v>5960</v>
      </c>
      <c r="E35" s="89" t="s">
        <v>48</v>
      </c>
      <c r="F35" s="90">
        <v>2145.6</v>
      </c>
    </row>
    <row r="36" spans="1:6">
      <c r="A36" s="90">
        <v>1</v>
      </c>
      <c r="B36" s="85" t="s">
        <v>50</v>
      </c>
      <c r="C36" s="89" t="s">
        <v>51</v>
      </c>
      <c r="D36" s="90">
        <v>801.1</v>
      </c>
      <c r="E36" s="89" t="s">
        <v>50</v>
      </c>
      <c r="F36" s="90">
        <v>801.1</v>
      </c>
    </row>
    <row r="37" spans="1:6">
      <c r="A37" s="90">
        <v>1</v>
      </c>
      <c r="B37" s="85" t="s">
        <v>50</v>
      </c>
      <c r="C37" s="89" t="s">
        <v>52</v>
      </c>
      <c r="D37" s="90">
        <v>110</v>
      </c>
      <c r="E37" s="89" t="s">
        <v>50</v>
      </c>
      <c r="F37" s="90">
        <v>110</v>
      </c>
    </row>
    <row r="38" spans="1:6">
      <c r="A38" s="79"/>
      <c r="B38" s="85" t="s">
        <v>38</v>
      </c>
      <c r="C38" s="89" t="s">
        <v>39</v>
      </c>
      <c r="D38" s="89" t="s">
        <v>44</v>
      </c>
      <c r="E38" s="89" t="s">
        <v>38</v>
      </c>
      <c r="F38" s="90">
        <v>0</v>
      </c>
    </row>
    <row r="39" spans="1:6">
      <c r="A39" s="79"/>
      <c r="B39" s="80"/>
      <c r="C39" s="79"/>
      <c r="D39" s="79"/>
      <c r="E39" s="82"/>
      <c r="F39" s="87" t="s">
        <v>40</v>
      </c>
    </row>
    <row r="40" spans="1:6" ht="15.75">
      <c r="A40" s="79"/>
      <c r="B40" s="80"/>
      <c r="C40" s="89" t="s">
        <v>53</v>
      </c>
      <c r="D40" s="79"/>
      <c r="E40" s="82"/>
      <c r="F40" s="86">
        <v>3056.7</v>
      </c>
    </row>
    <row r="41" spans="1:6">
      <c r="A41" s="79"/>
      <c r="B41" s="80"/>
      <c r="C41" s="79"/>
      <c r="D41" s="79"/>
      <c r="E41" s="82"/>
      <c r="F41" s="87" t="s">
        <v>40</v>
      </c>
    </row>
    <row r="42" spans="1:6">
      <c r="A42" s="79"/>
      <c r="B42" s="85" t="s">
        <v>46</v>
      </c>
      <c r="C42" s="89" t="s">
        <v>57</v>
      </c>
      <c r="D42" s="79"/>
      <c r="E42" s="82"/>
      <c r="F42" s="79"/>
    </row>
    <row r="43" spans="1:6">
      <c r="A43" s="79"/>
      <c r="B43" s="80"/>
      <c r="C43" s="87" t="s">
        <v>40</v>
      </c>
      <c r="D43" s="79"/>
      <c r="E43" s="82"/>
      <c r="F43" s="79"/>
    </row>
    <row r="44" spans="1:6">
      <c r="A44" s="91">
        <v>0.28799999999999998</v>
      </c>
      <c r="B44" s="85" t="s">
        <v>48</v>
      </c>
      <c r="C44" s="89" t="s">
        <v>49</v>
      </c>
      <c r="D44" s="90">
        <v>5960</v>
      </c>
      <c r="E44" s="89" t="s">
        <v>48</v>
      </c>
      <c r="F44" s="90">
        <v>1716.48</v>
      </c>
    </row>
    <row r="45" spans="1:6">
      <c r="A45" s="90">
        <v>1</v>
      </c>
      <c r="B45" s="85" t="s">
        <v>50</v>
      </c>
      <c r="C45" s="89" t="s">
        <v>51</v>
      </c>
      <c r="D45" s="90">
        <v>801.1</v>
      </c>
      <c r="E45" s="89" t="s">
        <v>50</v>
      </c>
      <c r="F45" s="90">
        <v>801.1</v>
      </c>
    </row>
    <row r="46" spans="1:6">
      <c r="A46" s="90">
        <v>1</v>
      </c>
      <c r="B46" s="85" t="s">
        <v>50</v>
      </c>
      <c r="C46" s="89" t="s">
        <v>52</v>
      </c>
      <c r="D46" s="90">
        <v>110</v>
      </c>
      <c r="E46" s="89" t="s">
        <v>50</v>
      </c>
      <c r="F46" s="90">
        <v>110</v>
      </c>
    </row>
    <row r="47" spans="1:6">
      <c r="A47" s="79"/>
      <c r="B47" s="85" t="s">
        <v>38</v>
      </c>
      <c r="C47" s="89" t="s">
        <v>39</v>
      </c>
      <c r="D47" s="89" t="s">
        <v>44</v>
      </c>
      <c r="E47" s="89" t="s">
        <v>38</v>
      </c>
      <c r="F47" s="90">
        <v>0</v>
      </c>
    </row>
    <row r="48" spans="1:6">
      <c r="A48" s="79"/>
      <c r="B48" s="80"/>
      <c r="C48" s="79"/>
      <c r="D48" s="79"/>
      <c r="E48" s="82"/>
      <c r="F48" s="87" t="s">
        <v>40</v>
      </c>
    </row>
    <row r="49" spans="1:6" ht="15.75">
      <c r="A49" s="79"/>
      <c r="B49" s="80"/>
      <c r="C49" s="89" t="s">
        <v>53</v>
      </c>
      <c r="D49" s="79"/>
      <c r="E49" s="82"/>
      <c r="F49" s="86">
        <v>2627.58</v>
      </c>
    </row>
    <row r="50" spans="1:6">
      <c r="A50" s="79"/>
      <c r="B50" s="80"/>
      <c r="C50" s="79"/>
      <c r="D50" s="79"/>
      <c r="E50" s="82"/>
      <c r="F50" s="87" t="s">
        <v>40</v>
      </c>
    </row>
    <row r="51" spans="1:6">
      <c r="A51" s="79"/>
      <c r="B51" s="85" t="s">
        <v>46</v>
      </c>
      <c r="C51" s="89" t="s">
        <v>58</v>
      </c>
      <c r="D51" s="79"/>
      <c r="E51" s="82"/>
      <c r="F51" s="79"/>
    </row>
    <row r="52" spans="1:6">
      <c r="A52" s="79"/>
      <c r="B52" s="80"/>
      <c r="C52" s="87" t="s">
        <v>40</v>
      </c>
      <c r="D52" s="79"/>
      <c r="E52" s="82"/>
      <c r="F52" s="79"/>
    </row>
    <row r="53" spans="1:6">
      <c r="A53" s="90">
        <v>0.24</v>
      </c>
      <c r="B53" s="85" t="s">
        <v>48</v>
      </c>
      <c r="C53" s="89" t="s">
        <v>49</v>
      </c>
      <c r="D53" s="90">
        <v>5960</v>
      </c>
      <c r="E53" s="89" t="s">
        <v>48</v>
      </c>
      <c r="F53" s="90">
        <v>1430.4</v>
      </c>
    </row>
    <row r="54" spans="1:6">
      <c r="A54" s="90">
        <v>1</v>
      </c>
      <c r="B54" s="85" t="s">
        <v>50</v>
      </c>
      <c r="C54" s="89" t="s">
        <v>51</v>
      </c>
      <c r="D54" s="90">
        <v>801.1</v>
      </c>
      <c r="E54" s="89" t="s">
        <v>50</v>
      </c>
      <c r="F54" s="90">
        <v>801.1</v>
      </c>
    </row>
    <row r="55" spans="1:6">
      <c r="A55" s="90">
        <v>1</v>
      </c>
      <c r="B55" s="85" t="s">
        <v>50</v>
      </c>
      <c r="C55" s="89" t="s">
        <v>52</v>
      </c>
      <c r="D55" s="90">
        <v>110</v>
      </c>
      <c r="E55" s="89" t="s">
        <v>50</v>
      </c>
      <c r="F55" s="90">
        <v>110</v>
      </c>
    </row>
    <row r="56" spans="1:6">
      <c r="A56" s="79"/>
      <c r="B56" s="85" t="s">
        <v>38</v>
      </c>
      <c r="C56" s="89" t="s">
        <v>39</v>
      </c>
      <c r="D56" s="89" t="s">
        <v>44</v>
      </c>
      <c r="E56" s="89" t="s">
        <v>38</v>
      </c>
      <c r="F56" s="90">
        <v>0</v>
      </c>
    </row>
    <row r="57" spans="1:6">
      <c r="A57" s="79"/>
      <c r="B57" s="80"/>
      <c r="C57" s="79"/>
      <c r="D57" s="79"/>
      <c r="E57" s="82"/>
      <c r="F57" s="87" t="s">
        <v>40</v>
      </c>
    </row>
    <row r="58" spans="1:6" ht="15.75">
      <c r="A58" s="79"/>
      <c r="B58" s="80"/>
      <c r="C58" s="89" t="s">
        <v>53</v>
      </c>
      <c r="D58" s="79"/>
      <c r="E58" s="82"/>
      <c r="F58" s="86">
        <v>2341.5</v>
      </c>
    </row>
    <row r="59" spans="1:6">
      <c r="A59" s="89" t="s">
        <v>44</v>
      </c>
      <c r="B59" s="80"/>
      <c r="C59" s="79"/>
      <c r="D59" s="79"/>
      <c r="E59" s="82"/>
      <c r="F59" s="79"/>
    </row>
    <row r="60" spans="1:6">
      <c r="A60" s="79"/>
      <c r="B60" s="80"/>
      <c r="C60" s="79"/>
      <c r="D60" s="79"/>
      <c r="E60" s="82"/>
      <c r="F60" s="87" t="s">
        <v>40</v>
      </c>
    </row>
    <row r="61" spans="1:6">
      <c r="A61" s="79"/>
      <c r="B61" s="85" t="s">
        <v>46</v>
      </c>
      <c r="C61" s="89" t="s">
        <v>59</v>
      </c>
      <c r="D61" s="79"/>
      <c r="E61" s="82"/>
      <c r="F61" s="79"/>
    </row>
    <row r="62" spans="1:6">
      <c r="A62" s="79"/>
      <c r="B62" s="80"/>
      <c r="C62" s="87" t="s">
        <v>40</v>
      </c>
      <c r="D62" s="79"/>
      <c r="E62" s="82"/>
      <c r="F62" s="79"/>
    </row>
    <row r="63" spans="1:6">
      <c r="A63" s="91">
        <v>0.20599999999999999</v>
      </c>
      <c r="B63" s="85" t="s">
        <v>48</v>
      </c>
      <c r="C63" s="89" t="s">
        <v>49</v>
      </c>
      <c r="D63" s="90">
        <v>5960</v>
      </c>
      <c r="E63" s="89" t="s">
        <v>48</v>
      </c>
      <c r="F63" s="90">
        <v>1227.76</v>
      </c>
    </row>
    <row r="64" spans="1:6">
      <c r="A64" s="90">
        <v>1</v>
      </c>
      <c r="B64" s="85" t="s">
        <v>50</v>
      </c>
      <c r="C64" s="89" t="s">
        <v>51</v>
      </c>
      <c r="D64" s="90">
        <v>801.1</v>
      </c>
      <c r="E64" s="89" t="s">
        <v>50</v>
      </c>
      <c r="F64" s="90">
        <v>801.1</v>
      </c>
    </row>
    <row r="65" spans="1:6">
      <c r="A65" s="90">
        <v>1</v>
      </c>
      <c r="B65" s="85" t="s">
        <v>50</v>
      </c>
      <c r="C65" s="89" t="s">
        <v>52</v>
      </c>
      <c r="D65" s="90">
        <v>110</v>
      </c>
      <c r="E65" s="89" t="s">
        <v>50</v>
      </c>
      <c r="F65" s="90">
        <v>110</v>
      </c>
    </row>
    <row r="66" spans="1:6">
      <c r="A66" s="79"/>
      <c r="B66" s="85" t="s">
        <v>38</v>
      </c>
      <c r="C66" s="89" t="s">
        <v>39</v>
      </c>
      <c r="D66" s="89" t="s">
        <v>44</v>
      </c>
      <c r="E66" s="89" t="s">
        <v>38</v>
      </c>
      <c r="F66" s="90">
        <v>0</v>
      </c>
    </row>
    <row r="67" spans="1:6">
      <c r="A67" s="79"/>
      <c r="B67" s="80"/>
      <c r="C67" s="79"/>
      <c r="D67" s="79"/>
      <c r="E67" s="82"/>
      <c r="F67" s="87" t="s">
        <v>40</v>
      </c>
    </row>
    <row r="68" spans="1:6" ht="15.75">
      <c r="A68" s="79"/>
      <c r="B68" s="80"/>
      <c r="C68" s="89" t="s">
        <v>53</v>
      </c>
      <c r="D68" s="79"/>
      <c r="E68" s="82"/>
      <c r="F68" s="86">
        <v>2138.86</v>
      </c>
    </row>
    <row r="69" spans="1:6">
      <c r="A69" s="79"/>
      <c r="B69" s="80"/>
      <c r="C69" s="79"/>
      <c r="D69" s="79"/>
      <c r="E69" s="82"/>
      <c r="F69" s="87" t="s">
        <v>40</v>
      </c>
    </row>
    <row r="70" spans="1:6">
      <c r="A70" s="79"/>
      <c r="B70" s="85" t="s">
        <v>46</v>
      </c>
      <c r="C70" s="89" t="s">
        <v>60</v>
      </c>
      <c r="D70" s="79"/>
      <c r="E70" s="82"/>
      <c r="F70" s="79"/>
    </row>
    <row r="71" spans="1:6">
      <c r="A71" s="79"/>
      <c r="B71" s="80"/>
      <c r="C71" s="87" t="s">
        <v>40</v>
      </c>
      <c r="D71" s="79"/>
      <c r="E71" s="82"/>
      <c r="F71" s="79"/>
    </row>
    <row r="72" spans="1:6">
      <c r="A72" s="90">
        <v>0.18</v>
      </c>
      <c r="B72" s="85" t="s">
        <v>48</v>
      </c>
      <c r="C72" s="89" t="s">
        <v>49</v>
      </c>
      <c r="D72" s="90">
        <v>5960</v>
      </c>
      <c r="E72" s="89" t="s">
        <v>48</v>
      </c>
      <c r="F72" s="90">
        <v>1072.8</v>
      </c>
    </row>
    <row r="73" spans="1:6">
      <c r="A73" s="90">
        <v>1</v>
      </c>
      <c r="B73" s="85" t="s">
        <v>50</v>
      </c>
      <c r="C73" s="89" t="s">
        <v>51</v>
      </c>
      <c r="D73" s="90">
        <v>801.1</v>
      </c>
      <c r="E73" s="89" t="s">
        <v>50</v>
      </c>
      <c r="F73" s="90">
        <v>801.1</v>
      </c>
    </row>
    <row r="74" spans="1:6">
      <c r="A74" s="90">
        <v>1</v>
      </c>
      <c r="B74" s="85" t="s">
        <v>50</v>
      </c>
      <c r="C74" s="89" t="s">
        <v>52</v>
      </c>
      <c r="D74" s="90">
        <v>110</v>
      </c>
      <c r="E74" s="89" t="s">
        <v>50</v>
      </c>
      <c r="F74" s="90">
        <v>110</v>
      </c>
    </row>
    <row r="75" spans="1:6">
      <c r="A75" s="79"/>
      <c r="B75" s="85" t="s">
        <v>38</v>
      </c>
      <c r="C75" s="89" t="s">
        <v>39</v>
      </c>
      <c r="D75" s="89" t="s">
        <v>44</v>
      </c>
      <c r="E75" s="89" t="s">
        <v>38</v>
      </c>
      <c r="F75" s="90">
        <v>0</v>
      </c>
    </row>
    <row r="76" spans="1:6">
      <c r="A76" s="79"/>
      <c r="B76" s="80"/>
      <c r="C76" s="79"/>
      <c r="D76" s="79"/>
      <c r="E76" s="82"/>
      <c r="F76" s="87" t="s">
        <v>40</v>
      </c>
    </row>
    <row r="77" spans="1:6" ht="15.75">
      <c r="A77" s="79"/>
      <c r="B77" s="80"/>
      <c r="C77" s="89" t="s">
        <v>53</v>
      </c>
      <c r="D77" s="79"/>
      <c r="E77" s="82"/>
      <c r="F77" s="86">
        <v>1983.9</v>
      </c>
    </row>
    <row r="78" spans="1:6">
      <c r="A78" s="79"/>
      <c r="B78" s="80"/>
      <c r="C78" s="79"/>
      <c r="D78" s="79"/>
      <c r="E78" s="82"/>
      <c r="F78" s="87" t="s">
        <v>40</v>
      </c>
    </row>
    <row r="79" spans="1:6" ht="17.25">
      <c r="A79" s="92"/>
      <c r="B79" s="93"/>
      <c r="C79" s="92"/>
      <c r="D79" s="92"/>
      <c r="E79" s="94"/>
      <c r="F79" s="95"/>
    </row>
    <row r="80" spans="1:6">
      <c r="A80" s="79"/>
      <c r="B80" s="79"/>
      <c r="C80" s="79" t="s">
        <v>61</v>
      </c>
      <c r="D80" s="79"/>
      <c r="E80" s="79"/>
      <c r="F80" s="79"/>
    </row>
    <row r="81" spans="1:6">
      <c r="A81" s="90">
        <v>30</v>
      </c>
      <c r="B81" s="85" t="s">
        <v>15</v>
      </c>
      <c r="C81" s="96" t="s">
        <v>134</v>
      </c>
      <c r="D81" s="90">
        <v>9.1199999999999992</v>
      </c>
      <c r="E81" s="89" t="s">
        <v>15</v>
      </c>
      <c r="F81" s="90">
        <f>A81*D81</f>
        <v>273.59999999999997</v>
      </c>
    </row>
    <row r="82" spans="1:6">
      <c r="A82" s="90">
        <v>8</v>
      </c>
      <c r="B82" s="85" t="s">
        <v>37</v>
      </c>
      <c r="C82" s="96" t="s">
        <v>148</v>
      </c>
      <c r="D82" s="90">
        <v>11.7</v>
      </c>
      <c r="E82" s="89" t="s">
        <v>18</v>
      </c>
      <c r="F82" s="90">
        <f t="shared" ref="F82:F83" si="0">A82*D82</f>
        <v>93.6</v>
      </c>
    </row>
    <row r="83" spans="1:6">
      <c r="A83" s="90">
        <v>8</v>
      </c>
      <c r="B83" s="85" t="s">
        <v>37</v>
      </c>
      <c r="C83" s="96" t="s">
        <v>147</v>
      </c>
      <c r="D83" s="90">
        <v>32.700000000000003</v>
      </c>
      <c r="E83" s="89" t="s">
        <v>18</v>
      </c>
      <c r="F83" s="90">
        <f t="shared" si="0"/>
        <v>261.60000000000002</v>
      </c>
    </row>
    <row r="84" spans="1:6">
      <c r="A84" s="79"/>
      <c r="B84" s="85" t="s">
        <v>38</v>
      </c>
      <c r="C84" s="89" t="s">
        <v>62</v>
      </c>
      <c r="D84" s="89" t="s">
        <v>44</v>
      </c>
      <c r="E84" s="89" t="s">
        <v>38</v>
      </c>
      <c r="F84" s="90">
        <v>15.2</v>
      </c>
    </row>
    <row r="85" spans="1:6">
      <c r="A85" s="79"/>
      <c r="B85" s="80"/>
      <c r="C85" s="79"/>
      <c r="D85" s="79"/>
      <c r="E85" s="82"/>
      <c r="F85" s="87" t="s">
        <v>40</v>
      </c>
    </row>
    <row r="86" spans="1:6" ht="15.75">
      <c r="A86" s="79"/>
      <c r="B86" s="80"/>
      <c r="C86" s="97" t="s">
        <v>63</v>
      </c>
      <c r="D86" s="79"/>
      <c r="E86" s="82"/>
      <c r="F86" s="86">
        <f>SUM(F81:F84)</f>
        <v>644</v>
      </c>
    </row>
    <row r="87" spans="1:6">
      <c r="A87" s="79"/>
      <c r="B87" s="80"/>
      <c r="C87" s="97"/>
      <c r="D87" s="79"/>
      <c r="E87" s="82"/>
      <c r="F87" s="87" t="s">
        <v>40</v>
      </c>
    </row>
    <row r="88" spans="1:6" ht="18.75">
      <c r="A88" s="79"/>
      <c r="B88" s="79"/>
      <c r="C88" s="97" t="s">
        <v>64</v>
      </c>
      <c r="D88" s="79"/>
      <c r="E88" s="79"/>
      <c r="F88" s="98">
        <f>F86/30</f>
        <v>21.466666666666665</v>
      </c>
    </row>
    <row r="89" spans="1:6">
      <c r="A89" s="79"/>
      <c r="B89" s="79"/>
      <c r="C89" s="79"/>
      <c r="D89" s="79"/>
      <c r="E89" s="79"/>
      <c r="F89" s="79"/>
    </row>
    <row r="90" spans="1:6">
      <c r="A90" s="79"/>
      <c r="B90" s="79"/>
      <c r="C90" s="99" t="s">
        <v>65</v>
      </c>
      <c r="D90" s="79"/>
      <c r="E90" s="79"/>
      <c r="F90" s="79"/>
    </row>
    <row r="91" spans="1:6" ht="30">
      <c r="A91" s="90">
        <v>1</v>
      </c>
      <c r="B91" s="85" t="s">
        <v>15</v>
      </c>
      <c r="C91" s="96" t="s">
        <v>179</v>
      </c>
      <c r="D91" s="90">
        <v>117</v>
      </c>
      <c r="E91" s="89" t="s">
        <v>15</v>
      </c>
      <c r="F91" s="90">
        <f>A91*D91</f>
        <v>117</v>
      </c>
    </row>
    <row r="92" spans="1:6">
      <c r="A92" s="90"/>
      <c r="B92" s="85" t="s">
        <v>30</v>
      </c>
      <c r="C92" s="89" t="s">
        <v>66</v>
      </c>
      <c r="D92" s="90">
        <f>D91*20%</f>
        <v>23.400000000000002</v>
      </c>
      <c r="E92" s="89" t="s">
        <v>30</v>
      </c>
      <c r="F92" s="90">
        <f>D92</f>
        <v>23.400000000000002</v>
      </c>
    </row>
    <row r="93" spans="1:6">
      <c r="A93" s="90">
        <v>1</v>
      </c>
      <c r="B93" s="85" t="s">
        <v>15</v>
      </c>
      <c r="C93" s="89" t="s">
        <v>67</v>
      </c>
      <c r="D93" s="90">
        <f>F88</f>
        <v>21.466666666666665</v>
      </c>
      <c r="E93" s="89" t="s">
        <v>18</v>
      </c>
      <c r="F93" s="90">
        <f t="shared" ref="F93" si="1">A93*D93</f>
        <v>21.466666666666665</v>
      </c>
    </row>
    <row r="94" spans="1:6">
      <c r="A94" s="79"/>
      <c r="B94" s="80"/>
      <c r="C94" s="79"/>
      <c r="D94" s="79"/>
      <c r="E94" s="82"/>
      <c r="F94" s="87" t="s">
        <v>40</v>
      </c>
    </row>
    <row r="95" spans="1:6" ht="15.75">
      <c r="A95" s="79"/>
      <c r="B95" s="80"/>
      <c r="C95" s="97" t="s">
        <v>68</v>
      </c>
      <c r="D95" s="79"/>
      <c r="E95" s="82"/>
      <c r="F95" s="86">
        <f>SUM(F91:F93)</f>
        <v>161.86666666666667</v>
      </c>
    </row>
    <row r="96" spans="1:6">
      <c r="A96" s="79"/>
      <c r="B96" s="80"/>
      <c r="C96" s="97"/>
      <c r="D96" s="79"/>
      <c r="E96" s="82"/>
      <c r="F96" s="87" t="s">
        <v>40</v>
      </c>
    </row>
    <row r="97" spans="1:7">
      <c r="A97" s="79"/>
      <c r="B97" s="79"/>
      <c r="C97" s="79"/>
      <c r="D97" s="79"/>
      <c r="E97" s="79"/>
      <c r="F97" s="100"/>
      <c r="G97" s="38"/>
    </row>
    <row r="98" spans="1:7">
      <c r="A98" s="79"/>
      <c r="B98" s="85" t="s">
        <v>89</v>
      </c>
      <c r="C98" s="89" t="s">
        <v>149</v>
      </c>
      <c r="D98" s="79"/>
      <c r="E98" s="82"/>
      <c r="F98" s="89" t="s">
        <v>137</v>
      </c>
      <c r="G98" s="38"/>
    </row>
    <row r="99" spans="1:7">
      <c r="A99" s="79"/>
      <c r="B99" s="80"/>
      <c r="C99" s="87" t="s">
        <v>40</v>
      </c>
      <c r="D99" s="79"/>
      <c r="E99" s="82"/>
      <c r="F99" s="87" t="s">
        <v>72</v>
      </c>
      <c r="G99" s="38"/>
    </row>
    <row r="100" spans="1:7">
      <c r="A100" s="90">
        <v>30</v>
      </c>
      <c r="B100" s="85" t="s">
        <v>138</v>
      </c>
      <c r="C100" s="89" t="s">
        <v>139</v>
      </c>
      <c r="D100" s="90">
        <v>9.1199999999999992</v>
      </c>
      <c r="E100" s="89" t="s">
        <v>138</v>
      </c>
      <c r="F100" s="90">
        <f>A100:A101*D100</f>
        <v>273.59999999999997</v>
      </c>
      <c r="G100" s="38"/>
    </row>
    <row r="101" spans="1:7">
      <c r="A101" s="89" t="s">
        <v>44</v>
      </c>
      <c r="B101" s="80"/>
      <c r="C101" s="89" t="s">
        <v>140</v>
      </c>
      <c r="D101" s="89" t="s">
        <v>44</v>
      </c>
      <c r="E101" s="82"/>
      <c r="F101" s="89" t="s">
        <v>44</v>
      </c>
      <c r="G101" s="38"/>
    </row>
    <row r="102" spans="1:7">
      <c r="A102" s="90">
        <v>8</v>
      </c>
      <c r="B102" s="85" t="s">
        <v>141</v>
      </c>
      <c r="C102" s="89" t="s">
        <v>88</v>
      </c>
      <c r="D102" s="90">
        <v>9.6999999999999993</v>
      </c>
      <c r="E102" s="89" t="s">
        <v>141</v>
      </c>
      <c r="F102" s="90">
        <v>77.599999999999994</v>
      </c>
      <c r="G102" s="38"/>
    </row>
    <row r="103" spans="1:7">
      <c r="A103" s="90">
        <v>8</v>
      </c>
      <c r="B103" s="85" t="s">
        <v>141</v>
      </c>
      <c r="C103" s="89" t="s">
        <v>142</v>
      </c>
      <c r="D103" s="90">
        <v>24.2</v>
      </c>
      <c r="E103" s="89" t="s">
        <v>141</v>
      </c>
      <c r="F103" s="90">
        <v>193.6</v>
      </c>
      <c r="G103" s="38"/>
    </row>
    <row r="104" spans="1:7">
      <c r="A104" s="90">
        <v>1</v>
      </c>
      <c r="B104" s="85" t="s">
        <v>141</v>
      </c>
      <c r="C104" s="89" t="s">
        <v>143</v>
      </c>
      <c r="D104" s="89">
        <v>5.26</v>
      </c>
      <c r="E104" s="89" t="s">
        <v>141</v>
      </c>
      <c r="F104" s="90">
        <v>5.26</v>
      </c>
      <c r="G104" s="38"/>
    </row>
    <row r="105" spans="1:7">
      <c r="A105" s="79"/>
      <c r="B105" s="80"/>
      <c r="C105" s="89" t="s">
        <v>144</v>
      </c>
      <c r="D105" s="89" t="s">
        <v>44</v>
      </c>
      <c r="E105" s="82"/>
      <c r="F105" s="89" t="s">
        <v>44</v>
      </c>
      <c r="G105" s="38"/>
    </row>
    <row r="106" spans="1:7">
      <c r="A106" s="79"/>
      <c r="B106" s="85" t="s">
        <v>38</v>
      </c>
      <c r="C106" s="89" t="s">
        <v>39</v>
      </c>
      <c r="D106" s="79"/>
      <c r="E106" s="89" t="s">
        <v>38</v>
      </c>
      <c r="F106" s="90"/>
      <c r="G106" s="38"/>
    </row>
    <row r="107" spans="1:7">
      <c r="A107" s="79"/>
      <c r="B107" s="80"/>
      <c r="C107" s="79"/>
      <c r="D107" s="79"/>
      <c r="E107" s="82"/>
      <c r="F107" s="87" t="s">
        <v>40</v>
      </c>
      <c r="G107" s="38"/>
    </row>
    <row r="108" spans="1:7">
      <c r="A108" s="79"/>
      <c r="B108" s="80"/>
      <c r="C108" s="89" t="s">
        <v>145</v>
      </c>
      <c r="D108" s="79"/>
      <c r="E108" s="82"/>
      <c r="F108" s="90">
        <f>SUM(F100:F107)</f>
        <v>550.05999999999995</v>
      </c>
      <c r="G108" s="38"/>
    </row>
    <row r="109" spans="1:7">
      <c r="A109" s="79"/>
      <c r="B109" s="80"/>
      <c r="C109" s="79"/>
      <c r="D109" s="79"/>
      <c r="E109" s="82"/>
      <c r="F109" s="87" t="s">
        <v>40</v>
      </c>
      <c r="G109" s="38"/>
    </row>
    <row r="110" spans="1:7">
      <c r="A110" s="79"/>
      <c r="B110" s="80"/>
      <c r="C110" s="89" t="s">
        <v>146</v>
      </c>
      <c r="D110" s="79"/>
      <c r="E110" s="82"/>
      <c r="F110" s="90">
        <f>F108/30</f>
        <v>18.335333333333331</v>
      </c>
      <c r="G110" s="38"/>
    </row>
    <row r="111" spans="1:7">
      <c r="A111" s="79"/>
      <c r="B111" s="80"/>
      <c r="C111" s="79"/>
      <c r="D111" s="79"/>
      <c r="E111" s="82"/>
      <c r="F111" s="87" t="s">
        <v>40</v>
      </c>
      <c r="G111" s="38"/>
    </row>
    <row r="112" spans="1:7">
      <c r="A112" s="79"/>
      <c r="B112" s="79"/>
      <c r="C112" s="79"/>
      <c r="D112" s="79"/>
      <c r="E112" s="79"/>
      <c r="F112" s="100"/>
      <c r="G112" s="38"/>
    </row>
    <row r="113" spans="1:7">
      <c r="A113" s="79"/>
      <c r="B113" s="85" t="s">
        <v>92</v>
      </c>
      <c r="C113" s="89" t="s">
        <v>93</v>
      </c>
      <c r="D113" s="79"/>
      <c r="E113" s="82"/>
      <c r="F113" s="79"/>
      <c r="G113" s="38"/>
    </row>
    <row r="114" spans="1:7">
      <c r="A114" s="79"/>
      <c r="B114" s="80"/>
      <c r="C114" s="87" t="s">
        <v>40</v>
      </c>
      <c r="D114" s="79"/>
      <c r="E114" s="82"/>
      <c r="F114" s="79"/>
      <c r="G114" s="38"/>
    </row>
    <row r="115" spans="1:7" ht="30">
      <c r="A115" s="101">
        <v>1</v>
      </c>
      <c r="B115" s="85" t="s">
        <v>15</v>
      </c>
      <c r="C115" s="96" t="s">
        <v>180</v>
      </c>
      <c r="D115" s="90">
        <v>114.8</v>
      </c>
      <c r="E115" s="89" t="s">
        <v>15</v>
      </c>
      <c r="F115" s="90">
        <f>D115*A115</f>
        <v>114.8</v>
      </c>
      <c r="G115" s="38"/>
    </row>
    <row r="116" spans="1:7">
      <c r="A116" s="101">
        <v>1</v>
      </c>
      <c r="B116" s="85" t="s">
        <v>38</v>
      </c>
      <c r="C116" s="89" t="s">
        <v>90</v>
      </c>
      <c r="D116" s="90">
        <f>D115*20%</f>
        <v>22.96</v>
      </c>
      <c r="E116" s="89" t="s">
        <v>38</v>
      </c>
      <c r="F116" s="90">
        <f>D116*A116</f>
        <v>22.96</v>
      </c>
      <c r="G116" s="38"/>
    </row>
    <row r="117" spans="1:7">
      <c r="A117" s="90">
        <v>1</v>
      </c>
      <c r="B117" s="85" t="s">
        <v>15</v>
      </c>
      <c r="C117" s="89" t="s">
        <v>91</v>
      </c>
      <c r="D117" s="90">
        <f>F110</f>
        <v>18.335333333333331</v>
      </c>
      <c r="E117" s="89" t="s">
        <v>15</v>
      </c>
      <c r="F117" s="90">
        <f>D117*A117</f>
        <v>18.335333333333331</v>
      </c>
      <c r="G117" s="38"/>
    </row>
    <row r="118" spans="1:7">
      <c r="A118" s="79"/>
      <c r="B118" s="80"/>
      <c r="C118" s="79"/>
      <c r="D118" s="89" t="s">
        <v>44</v>
      </c>
      <c r="E118" s="82"/>
      <c r="F118" s="87" t="s">
        <v>40</v>
      </c>
      <c r="G118" s="38"/>
    </row>
    <row r="119" spans="1:7" ht="15.75">
      <c r="A119" s="79"/>
      <c r="B119" s="80"/>
      <c r="C119" s="89" t="s">
        <v>71</v>
      </c>
      <c r="D119" s="79"/>
      <c r="E119" s="82"/>
      <c r="F119" s="86">
        <f>SUM(F115:F117)</f>
        <v>156.09533333333331</v>
      </c>
      <c r="G119" s="38"/>
    </row>
    <row r="120" spans="1:7">
      <c r="A120" s="79"/>
      <c r="B120" s="80"/>
      <c r="C120" s="89" t="s">
        <v>44</v>
      </c>
      <c r="D120" s="89" t="s">
        <v>44</v>
      </c>
      <c r="E120" s="82"/>
      <c r="F120" s="87" t="s">
        <v>72</v>
      </c>
      <c r="G120" s="38"/>
    </row>
    <row r="121" spans="1:7">
      <c r="A121" s="79"/>
      <c r="B121" s="79"/>
      <c r="C121" s="79"/>
      <c r="D121" s="79"/>
      <c r="E121" s="79"/>
      <c r="F121" s="79"/>
      <c r="G121" s="38"/>
    </row>
    <row r="122" spans="1:7" ht="60">
      <c r="A122" s="79"/>
      <c r="B122" s="79"/>
      <c r="C122" s="102" t="s">
        <v>181</v>
      </c>
      <c r="D122" s="79"/>
      <c r="E122" s="79"/>
      <c r="F122" s="79"/>
      <c r="G122" s="38"/>
    </row>
    <row r="123" spans="1:7">
      <c r="A123" s="79"/>
      <c r="B123" s="79"/>
      <c r="C123" s="79"/>
      <c r="D123" s="79"/>
      <c r="E123" s="79"/>
      <c r="F123" s="79"/>
    </row>
    <row r="124" spans="1:7" ht="30">
      <c r="A124" s="90">
        <v>1</v>
      </c>
      <c r="B124" s="85" t="s">
        <v>15</v>
      </c>
      <c r="C124" s="96" t="s">
        <v>182</v>
      </c>
      <c r="D124" s="90">
        <v>186</v>
      </c>
      <c r="E124" s="89" t="s">
        <v>15</v>
      </c>
      <c r="F124" s="90">
        <f>D124*A124</f>
        <v>186</v>
      </c>
    </row>
    <row r="125" spans="1:7">
      <c r="A125" s="90">
        <v>1</v>
      </c>
      <c r="B125" s="85" t="s">
        <v>15</v>
      </c>
      <c r="C125" s="89" t="s">
        <v>70</v>
      </c>
      <c r="D125" s="90">
        <v>10</v>
      </c>
      <c r="E125" s="89" t="s">
        <v>15</v>
      </c>
      <c r="F125" s="90">
        <f>D125*A125</f>
        <v>10</v>
      </c>
    </row>
    <row r="126" spans="1:7">
      <c r="A126" s="79"/>
      <c r="B126" s="80"/>
      <c r="C126" s="79"/>
      <c r="D126" s="89" t="s">
        <v>44</v>
      </c>
      <c r="E126" s="82"/>
      <c r="F126" s="87" t="s">
        <v>40</v>
      </c>
    </row>
    <row r="127" spans="1:7" ht="15.75">
      <c r="A127" s="79"/>
      <c r="B127" s="80"/>
      <c r="C127" s="89" t="s">
        <v>71</v>
      </c>
      <c r="D127" s="79"/>
      <c r="E127" s="82"/>
      <c r="F127" s="86">
        <f>SUM(F124:F125)</f>
        <v>196</v>
      </c>
    </row>
    <row r="128" spans="1:7">
      <c r="A128" s="79"/>
      <c r="B128" s="80"/>
      <c r="C128" s="79"/>
      <c r="D128" s="89" t="s">
        <v>44</v>
      </c>
      <c r="E128" s="82"/>
      <c r="F128" s="87" t="s">
        <v>72</v>
      </c>
    </row>
    <row r="129" spans="1:7">
      <c r="A129" s="79"/>
      <c r="B129" s="79"/>
      <c r="C129" s="79"/>
      <c r="D129" s="79"/>
      <c r="E129" s="79"/>
      <c r="F129" s="79"/>
    </row>
    <row r="130" spans="1:7" ht="15.75">
      <c r="A130" s="103"/>
      <c r="B130" s="103"/>
      <c r="C130" s="104" t="s">
        <v>95</v>
      </c>
      <c r="D130" s="103"/>
      <c r="E130" s="103"/>
      <c r="F130" s="103"/>
      <c r="G130" s="39"/>
    </row>
    <row r="131" spans="1:7" ht="15.75">
      <c r="A131" s="103"/>
      <c r="B131" s="103"/>
      <c r="C131" s="104" t="s">
        <v>96</v>
      </c>
      <c r="D131" s="103"/>
      <c r="E131" s="103"/>
      <c r="F131" s="103"/>
      <c r="G131" s="39"/>
    </row>
    <row r="132" spans="1:7">
      <c r="A132" s="103"/>
      <c r="B132" s="103"/>
      <c r="C132" s="103"/>
      <c r="D132" s="103"/>
      <c r="E132" s="103"/>
      <c r="F132" s="103"/>
      <c r="G132" s="39"/>
    </row>
    <row r="133" spans="1:7" ht="150">
      <c r="A133" s="103"/>
      <c r="B133" s="103"/>
      <c r="C133" s="105" t="s">
        <v>97</v>
      </c>
      <c r="D133" s="103"/>
      <c r="E133" s="103"/>
      <c r="F133" s="103"/>
      <c r="G133" s="39"/>
    </row>
    <row r="134" spans="1:7" ht="45">
      <c r="A134" s="103">
        <v>180</v>
      </c>
      <c r="B134" s="103" t="s">
        <v>15</v>
      </c>
      <c r="C134" s="106" t="s">
        <v>155</v>
      </c>
      <c r="D134" s="107">
        <v>38.299999999999997</v>
      </c>
      <c r="E134" s="103" t="s">
        <v>98</v>
      </c>
      <c r="F134" s="103">
        <v>6894</v>
      </c>
      <c r="G134" s="39"/>
    </row>
    <row r="135" spans="1:7" ht="30">
      <c r="A135" s="103">
        <v>90</v>
      </c>
      <c r="B135" s="103" t="s">
        <v>15</v>
      </c>
      <c r="C135" s="105" t="s">
        <v>99</v>
      </c>
      <c r="D135" s="103">
        <v>19.100000000000001</v>
      </c>
      <c r="E135" s="103" t="s">
        <v>15</v>
      </c>
      <c r="F135" s="103">
        <v>1719</v>
      </c>
      <c r="G135" s="39"/>
    </row>
    <row r="136" spans="1:7">
      <c r="A136" s="103">
        <v>3</v>
      </c>
      <c r="B136" s="103" t="s">
        <v>100</v>
      </c>
      <c r="C136" s="103" t="s">
        <v>101</v>
      </c>
      <c r="D136" s="103">
        <v>298</v>
      </c>
      <c r="E136" s="103" t="s">
        <v>100</v>
      </c>
      <c r="F136" s="103">
        <v>894</v>
      </c>
      <c r="G136" s="39"/>
    </row>
    <row r="137" spans="1:7" ht="45">
      <c r="A137" s="103">
        <v>90</v>
      </c>
      <c r="B137" s="103" t="s">
        <v>15</v>
      </c>
      <c r="C137" s="106" t="s">
        <v>102</v>
      </c>
      <c r="D137" s="103">
        <v>24.1</v>
      </c>
      <c r="E137" s="103" t="s">
        <v>98</v>
      </c>
      <c r="F137" s="103">
        <v>2169</v>
      </c>
      <c r="G137" s="39"/>
    </row>
    <row r="138" spans="1:7">
      <c r="A138" s="103"/>
      <c r="B138" s="103"/>
      <c r="C138" s="103" t="s">
        <v>67</v>
      </c>
      <c r="D138" s="103"/>
      <c r="E138" s="103"/>
      <c r="F138" s="103">
        <v>10421</v>
      </c>
      <c r="G138" s="39"/>
    </row>
    <row r="139" spans="1:7">
      <c r="A139" s="103"/>
      <c r="B139" s="103"/>
      <c r="C139" s="103" t="s">
        <v>73</v>
      </c>
      <c r="D139" s="103"/>
      <c r="E139" s="103"/>
      <c r="F139" s="103">
        <v>104</v>
      </c>
      <c r="G139" s="39"/>
    </row>
    <row r="140" spans="1:7" ht="15.75">
      <c r="A140" s="103"/>
      <c r="B140" s="103"/>
      <c r="C140" s="108" t="s">
        <v>103</v>
      </c>
      <c r="D140" s="103"/>
      <c r="E140" s="103"/>
      <c r="F140" s="109">
        <v>22201</v>
      </c>
      <c r="G140" s="39"/>
    </row>
    <row r="141" spans="1:7" ht="15.75">
      <c r="A141" s="103"/>
      <c r="B141" s="103"/>
      <c r="C141" s="110" t="s">
        <v>104</v>
      </c>
      <c r="D141" s="103"/>
      <c r="E141" s="103"/>
      <c r="F141" s="104">
        <v>246.68</v>
      </c>
      <c r="G141" s="39"/>
    </row>
    <row r="142" spans="1:7">
      <c r="A142" s="111"/>
      <c r="B142" s="111"/>
      <c r="C142" s="111"/>
      <c r="D142" s="111"/>
      <c r="E142" s="111"/>
      <c r="F142" s="111"/>
      <c r="G142" s="39"/>
    </row>
    <row r="143" spans="1:7" ht="17.25">
      <c r="A143" s="112"/>
      <c r="B143" s="112"/>
      <c r="C143" s="112"/>
      <c r="D143" s="112"/>
      <c r="E143" s="112"/>
      <c r="F143" s="112"/>
      <c r="G143" s="53"/>
    </row>
    <row r="144" spans="1:7">
      <c r="A144" s="79"/>
      <c r="B144" s="80"/>
      <c r="C144" s="79"/>
      <c r="D144" s="79"/>
      <c r="E144" s="82"/>
      <c r="F144" s="54"/>
    </row>
    <row r="145" spans="1:7" ht="17.25">
      <c r="A145" s="103"/>
      <c r="B145" s="103"/>
      <c r="C145" s="104" t="s">
        <v>153</v>
      </c>
      <c r="D145" s="103"/>
      <c r="E145" s="103"/>
      <c r="F145" s="103"/>
      <c r="G145" s="53"/>
    </row>
    <row r="146" spans="1:7" ht="17.25">
      <c r="A146" s="103"/>
      <c r="B146" s="103"/>
      <c r="C146" s="103"/>
      <c r="D146" s="103"/>
      <c r="E146" s="103"/>
      <c r="F146" s="103"/>
      <c r="G146" s="53"/>
    </row>
    <row r="147" spans="1:7" ht="17.25">
      <c r="A147" s="103"/>
      <c r="B147" s="103"/>
      <c r="C147" s="104" t="s">
        <v>105</v>
      </c>
      <c r="D147" s="103"/>
      <c r="E147" s="103"/>
      <c r="F147" s="103"/>
      <c r="G147" s="53"/>
    </row>
    <row r="148" spans="1:7" ht="17.25">
      <c r="A148" s="103"/>
      <c r="B148" s="103"/>
      <c r="C148" s="103"/>
      <c r="D148" s="103"/>
      <c r="E148" s="103"/>
      <c r="F148" s="103"/>
      <c r="G148" s="53"/>
    </row>
    <row r="149" spans="1:7" ht="105">
      <c r="A149" s="103"/>
      <c r="B149" s="103"/>
      <c r="C149" s="105" t="s">
        <v>106</v>
      </c>
      <c r="D149" s="103"/>
      <c r="E149" s="103"/>
      <c r="F149" s="103"/>
      <c r="G149" s="53"/>
    </row>
    <row r="150" spans="1:7" ht="17.25">
      <c r="A150" s="103"/>
      <c r="B150" s="103"/>
      <c r="C150" s="103"/>
      <c r="D150" s="103"/>
      <c r="E150" s="103"/>
      <c r="F150" s="103"/>
      <c r="G150" s="53"/>
    </row>
    <row r="151" spans="1:7" ht="17.25">
      <c r="A151" s="103">
        <v>1</v>
      </c>
      <c r="B151" s="103" t="s">
        <v>74</v>
      </c>
      <c r="C151" s="103" t="s">
        <v>154</v>
      </c>
      <c r="D151" s="107">
        <v>47.6</v>
      </c>
      <c r="E151" s="103" t="s">
        <v>74</v>
      </c>
      <c r="F151" s="103">
        <v>47.6</v>
      </c>
      <c r="G151" s="53"/>
    </row>
    <row r="152" spans="1:7" ht="17.25">
      <c r="A152" s="103">
        <v>1</v>
      </c>
      <c r="B152" s="103" t="s">
        <v>74</v>
      </c>
      <c r="C152" s="105" t="s">
        <v>107</v>
      </c>
      <c r="D152" s="103">
        <v>231.98</v>
      </c>
      <c r="E152" s="103" t="s">
        <v>74</v>
      </c>
      <c r="F152" s="103">
        <v>231.98</v>
      </c>
      <c r="G152" s="53"/>
    </row>
    <row r="153" spans="1:7" ht="17.25">
      <c r="A153" s="103">
        <v>1</v>
      </c>
      <c r="B153" s="103" t="s">
        <v>74</v>
      </c>
      <c r="C153" s="103" t="s">
        <v>108</v>
      </c>
      <c r="D153" s="107">
        <v>25</v>
      </c>
      <c r="E153" s="103" t="s">
        <v>109</v>
      </c>
      <c r="F153" s="103">
        <v>25</v>
      </c>
      <c r="G153" s="53"/>
    </row>
    <row r="154" spans="1:7" ht="17.25">
      <c r="A154" s="103"/>
      <c r="B154" s="103"/>
      <c r="C154" s="103" t="s">
        <v>110</v>
      </c>
      <c r="D154" s="103"/>
      <c r="E154" s="103"/>
      <c r="F154" s="103">
        <v>456</v>
      </c>
      <c r="G154" s="53"/>
    </row>
    <row r="155" spans="1:7" ht="17.25">
      <c r="A155" s="103"/>
      <c r="B155" s="103"/>
      <c r="C155" s="103" t="s">
        <v>111</v>
      </c>
      <c r="D155" s="103"/>
      <c r="E155" s="103"/>
      <c r="F155" s="103">
        <v>10.42</v>
      </c>
      <c r="G155" s="53"/>
    </row>
    <row r="156" spans="1:7" ht="17.25">
      <c r="A156" s="103"/>
      <c r="B156" s="103"/>
      <c r="C156" s="110" t="s">
        <v>112</v>
      </c>
      <c r="D156" s="103"/>
      <c r="E156" s="103"/>
      <c r="F156" s="113">
        <v>771</v>
      </c>
      <c r="G156" s="53"/>
    </row>
    <row r="157" spans="1:7" ht="17.25">
      <c r="A157" s="111"/>
      <c r="B157" s="111"/>
      <c r="C157" s="111"/>
      <c r="D157" s="111"/>
      <c r="E157" s="111"/>
      <c r="F157" s="111"/>
      <c r="G157" s="53"/>
    </row>
    <row r="158" spans="1:7" ht="17.25">
      <c r="A158" s="103"/>
      <c r="B158" s="103"/>
      <c r="C158" s="104" t="s">
        <v>113</v>
      </c>
      <c r="D158" s="103">
        <v>103100</v>
      </c>
      <c r="E158" s="114">
        <v>2.2499999999999998E-3</v>
      </c>
      <c r="F158" s="103">
        <v>231.98</v>
      </c>
      <c r="G158" s="53"/>
    </row>
    <row r="159" spans="1:7" ht="17.25">
      <c r="A159" s="103"/>
      <c r="B159" s="103"/>
      <c r="C159" s="103"/>
      <c r="D159" s="103"/>
      <c r="E159" s="103"/>
      <c r="F159" s="103"/>
      <c r="G159" s="53"/>
    </row>
    <row r="160" spans="1:7" ht="17.25">
      <c r="A160" s="103"/>
      <c r="B160" s="103"/>
      <c r="C160" s="104" t="s">
        <v>67</v>
      </c>
      <c r="D160" s="103"/>
      <c r="E160" s="103"/>
      <c r="F160" s="103"/>
      <c r="G160" s="53"/>
    </row>
    <row r="161" spans="1:7" ht="17.25">
      <c r="A161" s="103">
        <v>1</v>
      </c>
      <c r="B161" s="103" t="s">
        <v>74</v>
      </c>
      <c r="C161" s="103" t="s">
        <v>114</v>
      </c>
      <c r="D161" s="115">
        <v>712</v>
      </c>
      <c r="E161" s="103" t="s">
        <v>74</v>
      </c>
      <c r="F161" s="103">
        <v>712</v>
      </c>
      <c r="G161" s="53"/>
    </row>
    <row r="162" spans="1:7" ht="17.25">
      <c r="A162" s="103">
        <v>2</v>
      </c>
      <c r="B162" s="103" t="s">
        <v>74</v>
      </c>
      <c r="C162" s="103" t="s">
        <v>115</v>
      </c>
      <c r="D162" s="115">
        <v>556</v>
      </c>
      <c r="E162" s="103" t="s">
        <v>74</v>
      </c>
      <c r="F162" s="103">
        <v>1112</v>
      </c>
      <c r="G162" s="53"/>
    </row>
    <row r="163" spans="1:7">
      <c r="A163" s="103"/>
      <c r="B163" s="103"/>
      <c r="C163" s="108" t="s">
        <v>116</v>
      </c>
      <c r="D163" s="103"/>
      <c r="E163" s="103"/>
      <c r="F163" s="103">
        <v>1824</v>
      </c>
    </row>
    <row r="164" spans="1:7" ht="15.75">
      <c r="A164" s="103"/>
      <c r="B164" s="103"/>
      <c r="C164" s="110" t="s">
        <v>117</v>
      </c>
      <c r="D164" s="103"/>
      <c r="E164" s="103"/>
      <c r="F164" s="113">
        <v>456</v>
      </c>
    </row>
    <row r="165" spans="1:7">
      <c r="A165" s="79"/>
      <c r="B165" s="79"/>
      <c r="C165" s="79"/>
      <c r="D165" s="79"/>
      <c r="E165" s="79"/>
      <c r="F165" s="79"/>
    </row>
    <row r="166" spans="1:7">
      <c r="A166" s="79"/>
      <c r="B166" s="89" t="s">
        <v>46</v>
      </c>
      <c r="C166" s="89" t="s">
        <v>160</v>
      </c>
      <c r="D166" s="79"/>
      <c r="E166" s="79"/>
      <c r="F166" s="79"/>
    </row>
    <row r="167" spans="1:7">
      <c r="A167" s="79"/>
      <c r="B167" s="79"/>
      <c r="C167" s="89" t="s">
        <v>161</v>
      </c>
      <c r="D167" s="79"/>
      <c r="E167" s="79"/>
      <c r="F167" s="79"/>
    </row>
    <row r="168" spans="1:7">
      <c r="A168" s="79"/>
      <c r="B168" s="79"/>
      <c r="C168" s="87" t="s">
        <v>40</v>
      </c>
      <c r="D168" s="79"/>
      <c r="E168" s="79"/>
      <c r="F168" s="79"/>
    </row>
    <row r="169" spans="1:7">
      <c r="A169" s="90">
        <v>1.3</v>
      </c>
      <c r="B169" s="89" t="s">
        <v>50</v>
      </c>
      <c r="C169" s="89" t="s">
        <v>162</v>
      </c>
      <c r="D169" s="90">
        <v>224.84</v>
      </c>
      <c r="E169" s="89" t="s">
        <v>50</v>
      </c>
      <c r="F169" s="90">
        <v>292.29000000000002</v>
      </c>
    </row>
    <row r="170" spans="1:7">
      <c r="A170" s="90"/>
      <c r="B170" s="89"/>
      <c r="C170" s="89"/>
      <c r="D170" s="90"/>
      <c r="E170" s="89"/>
      <c r="F170" s="90"/>
    </row>
    <row r="171" spans="1:7">
      <c r="A171" s="91">
        <v>0.216</v>
      </c>
      <c r="B171" s="89" t="s">
        <v>50</v>
      </c>
      <c r="C171" s="89" t="s">
        <v>163</v>
      </c>
      <c r="D171" s="90">
        <v>3658.84</v>
      </c>
      <c r="E171" s="89" t="s">
        <v>50</v>
      </c>
      <c r="F171" s="90">
        <v>790.31</v>
      </c>
    </row>
    <row r="172" spans="1:7">
      <c r="A172" s="91">
        <v>0.60099999999999998</v>
      </c>
      <c r="B172" s="89" t="s">
        <v>50</v>
      </c>
      <c r="C172" s="89" t="s">
        <v>164</v>
      </c>
      <c r="D172" s="90">
        <v>6291.53</v>
      </c>
      <c r="E172" s="89" t="s">
        <v>50</v>
      </c>
      <c r="F172" s="90">
        <v>3781.21</v>
      </c>
    </row>
    <row r="173" spans="1:7">
      <c r="A173" s="91">
        <v>6.35</v>
      </c>
      <c r="B173" s="89" t="s">
        <v>165</v>
      </c>
      <c r="C173" s="89" t="s">
        <v>166</v>
      </c>
      <c r="D173" s="90">
        <v>243.68</v>
      </c>
      <c r="E173" s="89" t="s">
        <v>165</v>
      </c>
      <c r="F173" s="90">
        <v>1547.37</v>
      </c>
    </row>
    <row r="174" spans="1:7">
      <c r="A174" s="91">
        <v>3.2000000000000001E-2</v>
      </c>
      <c r="B174" s="89" t="s">
        <v>50</v>
      </c>
      <c r="C174" s="89" t="s">
        <v>167</v>
      </c>
      <c r="D174" s="90">
        <v>7338</v>
      </c>
      <c r="E174" s="89" t="s">
        <v>50</v>
      </c>
      <c r="F174" s="90">
        <v>234.82</v>
      </c>
    </row>
    <row r="175" spans="1:7">
      <c r="A175" s="79"/>
      <c r="B175" s="79"/>
      <c r="C175" s="89" t="s">
        <v>168</v>
      </c>
      <c r="D175" s="79"/>
      <c r="E175" s="79"/>
      <c r="F175" s="89" t="s">
        <v>44</v>
      </c>
    </row>
    <row r="176" spans="1:7">
      <c r="A176" s="79"/>
      <c r="B176" s="89" t="s">
        <v>38</v>
      </c>
      <c r="C176" s="89" t="s">
        <v>169</v>
      </c>
      <c r="D176" s="79"/>
      <c r="E176" s="89" t="s">
        <v>38</v>
      </c>
      <c r="F176" s="90">
        <v>2</v>
      </c>
    </row>
    <row r="177" spans="1:6">
      <c r="A177" s="79"/>
      <c r="B177" s="79"/>
      <c r="C177" s="79"/>
      <c r="D177" s="79"/>
      <c r="E177" s="79"/>
      <c r="F177" s="87" t="s">
        <v>40</v>
      </c>
    </row>
    <row r="178" spans="1:6">
      <c r="A178" s="79"/>
      <c r="B178" s="79"/>
      <c r="C178" s="89" t="s">
        <v>170</v>
      </c>
      <c r="D178" s="79"/>
      <c r="E178" s="79"/>
      <c r="F178" s="90">
        <v>6648</v>
      </c>
    </row>
    <row r="179" spans="1:6">
      <c r="A179" s="79"/>
      <c r="B179" s="79"/>
      <c r="C179" s="79"/>
      <c r="D179" s="79"/>
      <c r="E179" s="79"/>
      <c r="F179" s="87" t="s">
        <v>40</v>
      </c>
    </row>
  </sheetData>
  <pageMargins left="0.48" right="0.51" top="0.4" bottom="0.34" header="0.3" footer="0.3"/>
  <pageSetup orientation="portrait" r:id="rId1"/>
  <drawing r:id="rId2"/>
</worksheet>
</file>

<file path=xl/worksheets/sheet20.xml><?xml version="1.0" encoding="utf-8"?>
<worksheet xmlns="http://schemas.openxmlformats.org/spreadsheetml/2006/main" xmlns:r="http://schemas.openxmlformats.org/officeDocument/2006/relationships">
  <dimension ref="A1:O56"/>
  <sheetViews>
    <sheetView showZeros="0" view="pageBreakPreview" zoomScale="70" zoomScaleSheetLayoutView="70" workbookViewId="0">
      <selection activeCell="D4" sqref="D4"/>
    </sheetView>
  </sheetViews>
  <sheetFormatPr defaultRowHeight="15.75"/>
  <cols>
    <col min="1" max="1" width="6.28515625" style="177" customWidth="1"/>
    <col min="2" max="2" width="9.7109375" style="178" customWidth="1"/>
    <col min="3" max="3" width="8.5703125" style="177" customWidth="1"/>
    <col min="4" max="4" width="68.42578125" style="179" customWidth="1"/>
    <col min="5" max="5" width="11.85546875" style="179" customWidth="1"/>
    <col min="6" max="6" width="15.42578125" style="180" customWidth="1"/>
    <col min="7" max="7" width="23.28515625" style="124" customWidth="1"/>
    <col min="8" max="8" width="14.85546875" style="124" hidden="1" customWidth="1"/>
    <col min="9" max="9" width="14.85546875" style="181" hidden="1" customWidth="1"/>
    <col min="10" max="10" width="13" style="124" hidden="1" customWidth="1"/>
    <col min="11" max="11" width="15.85546875" style="124" hidden="1" customWidth="1"/>
    <col min="12" max="12" width="13" style="124" bestFit="1" customWidth="1"/>
    <col min="13" max="13" width="14.7109375" style="125" bestFit="1" customWidth="1"/>
    <col min="14" max="14" width="9.140625" style="125"/>
    <col min="15" max="15" width="12.42578125" style="125" bestFit="1" customWidth="1"/>
    <col min="16" max="256" width="9.140625" style="125"/>
    <col min="257" max="257" width="6.28515625" style="125" customWidth="1"/>
    <col min="258" max="258" width="0" style="125" hidden="1" customWidth="1"/>
    <col min="259" max="259" width="8.5703125" style="125" customWidth="1"/>
    <col min="260" max="260" width="68.42578125" style="125" customWidth="1"/>
    <col min="261" max="261" width="11.85546875" style="125" customWidth="1"/>
    <col min="262" max="262" width="15.42578125" style="125" customWidth="1"/>
    <col min="263" max="263" width="23.28515625" style="125" customWidth="1"/>
    <col min="264" max="267" width="0" style="125" hidden="1" customWidth="1"/>
    <col min="268" max="268" width="13" style="125" bestFit="1" customWidth="1"/>
    <col min="269" max="269" width="14.7109375" style="125" bestFit="1" customWidth="1"/>
    <col min="270" max="270" width="9.140625" style="125"/>
    <col min="271" max="271" width="12.42578125" style="125" bestFit="1" customWidth="1"/>
    <col min="272" max="512" width="9.140625" style="125"/>
    <col min="513" max="513" width="6.28515625" style="125" customWidth="1"/>
    <col min="514" max="514" width="0" style="125" hidden="1" customWidth="1"/>
    <col min="515" max="515" width="8.5703125" style="125" customWidth="1"/>
    <col min="516" max="516" width="68.42578125" style="125" customWidth="1"/>
    <col min="517" max="517" width="11.85546875" style="125" customWidth="1"/>
    <col min="518" max="518" width="15.42578125" style="125" customWidth="1"/>
    <col min="519" max="519" width="23.28515625" style="125" customWidth="1"/>
    <col min="520" max="523" width="0" style="125" hidden="1" customWidth="1"/>
    <col min="524" max="524" width="13" style="125" bestFit="1" customWidth="1"/>
    <col min="525" max="525" width="14.7109375" style="125" bestFit="1" customWidth="1"/>
    <col min="526" max="526" width="9.140625" style="125"/>
    <col min="527" max="527" width="12.42578125" style="125" bestFit="1" customWidth="1"/>
    <col min="528" max="768" width="9.140625" style="125"/>
    <col min="769" max="769" width="6.28515625" style="125" customWidth="1"/>
    <col min="770" max="770" width="0" style="125" hidden="1" customWidth="1"/>
    <col min="771" max="771" width="8.5703125" style="125" customWidth="1"/>
    <col min="772" max="772" width="68.42578125" style="125" customWidth="1"/>
    <col min="773" max="773" width="11.85546875" style="125" customWidth="1"/>
    <col min="774" max="774" width="15.42578125" style="125" customWidth="1"/>
    <col min="775" max="775" width="23.28515625" style="125" customWidth="1"/>
    <col min="776" max="779" width="0" style="125" hidden="1" customWidth="1"/>
    <col min="780" max="780" width="13" style="125" bestFit="1" customWidth="1"/>
    <col min="781" max="781" width="14.7109375" style="125" bestFit="1" customWidth="1"/>
    <col min="782" max="782" width="9.140625" style="125"/>
    <col min="783" max="783" width="12.42578125" style="125" bestFit="1" customWidth="1"/>
    <col min="784" max="1024" width="9.140625" style="125"/>
    <col min="1025" max="1025" width="6.28515625" style="125" customWidth="1"/>
    <col min="1026" max="1026" width="0" style="125" hidden="1" customWidth="1"/>
    <col min="1027" max="1027" width="8.5703125" style="125" customWidth="1"/>
    <col min="1028" max="1028" width="68.42578125" style="125" customWidth="1"/>
    <col min="1029" max="1029" width="11.85546875" style="125" customWidth="1"/>
    <col min="1030" max="1030" width="15.42578125" style="125" customWidth="1"/>
    <col min="1031" max="1031" width="23.28515625" style="125" customWidth="1"/>
    <col min="1032" max="1035" width="0" style="125" hidden="1" customWidth="1"/>
    <col min="1036" max="1036" width="13" style="125" bestFit="1" customWidth="1"/>
    <col min="1037" max="1037" width="14.7109375" style="125" bestFit="1" customWidth="1"/>
    <col min="1038" max="1038" width="9.140625" style="125"/>
    <col min="1039" max="1039" width="12.42578125" style="125" bestFit="1" customWidth="1"/>
    <col min="1040" max="1280" width="9.140625" style="125"/>
    <col min="1281" max="1281" width="6.28515625" style="125" customWidth="1"/>
    <col min="1282" max="1282" width="0" style="125" hidden="1" customWidth="1"/>
    <col min="1283" max="1283" width="8.5703125" style="125" customWidth="1"/>
    <col min="1284" max="1284" width="68.42578125" style="125" customWidth="1"/>
    <col min="1285" max="1285" width="11.85546875" style="125" customWidth="1"/>
    <col min="1286" max="1286" width="15.42578125" style="125" customWidth="1"/>
    <col min="1287" max="1287" width="23.28515625" style="125" customWidth="1"/>
    <col min="1288" max="1291" width="0" style="125" hidden="1" customWidth="1"/>
    <col min="1292" max="1292" width="13" style="125" bestFit="1" customWidth="1"/>
    <col min="1293" max="1293" width="14.7109375" style="125" bestFit="1" customWidth="1"/>
    <col min="1294" max="1294" width="9.140625" style="125"/>
    <col min="1295" max="1295" width="12.42578125" style="125" bestFit="1" customWidth="1"/>
    <col min="1296" max="1536" width="9.140625" style="125"/>
    <col min="1537" max="1537" width="6.28515625" style="125" customWidth="1"/>
    <col min="1538" max="1538" width="0" style="125" hidden="1" customWidth="1"/>
    <col min="1539" max="1539" width="8.5703125" style="125" customWidth="1"/>
    <col min="1540" max="1540" width="68.42578125" style="125" customWidth="1"/>
    <col min="1541" max="1541" width="11.85546875" style="125" customWidth="1"/>
    <col min="1542" max="1542" width="15.42578125" style="125" customWidth="1"/>
    <col min="1543" max="1543" width="23.28515625" style="125" customWidth="1"/>
    <col min="1544" max="1547" width="0" style="125" hidden="1" customWidth="1"/>
    <col min="1548" max="1548" width="13" style="125" bestFit="1" customWidth="1"/>
    <col min="1549" max="1549" width="14.7109375" style="125" bestFit="1" customWidth="1"/>
    <col min="1550" max="1550" width="9.140625" style="125"/>
    <col min="1551" max="1551" width="12.42578125" style="125" bestFit="1" customWidth="1"/>
    <col min="1552" max="1792" width="9.140625" style="125"/>
    <col min="1793" max="1793" width="6.28515625" style="125" customWidth="1"/>
    <col min="1794" max="1794" width="0" style="125" hidden="1" customWidth="1"/>
    <col min="1795" max="1795" width="8.5703125" style="125" customWidth="1"/>
    <col min="1796" max="1796" width="68.42578125" style="125" customWidth="1"/>
    <col min="1797" max="1797" width="11.85546875" style="125" customWidth="1"/>
    <col min="1798" max="1798" width="15.42578125" style="125" customWidth="1"/>
    <col min="1799" max="1799" width="23.28515625" style="125" customWidth="1"/>
    <col min="1800" max="1803" width="0" style="125" hidden="1" customWidth="1"/>
    <col min="1804" max="1804" width="13" style="125" bestFit="1" customWidth="1"/>
    <col min="1805" max="1805" width="14.7109375" style="125" bestFit="1" customWidth="1"/>
    <col min="1806" max="1806" width="9.140625" style="125"/>
    <col min="1807" max="1807" width="12.42578125" style="125" bestFit="1" customWidth="1"/>
    <col min="1808" max="2048" width="9.140625" style="125"/>
    <col min="2049" max="2049" width="6.28515625" style="125" customWidth="1"/>
    <col min="2050" max="2050" width="0" style="125" hidden="1" customWidth="1"/>
    <col min="2051" max="2051" width="8.5703125" style="125" customWidth="1"/>
    <col min="2052" max="2052" width="68.42578125" style="125" customWidth="1"/>
    <col min="2053" max="2053" width="11.85546875" style="125" customWidth="1"/>
    <col min="2054" max="2054" width="15.42578125" style="125" customWidth="1"/>
    <col min="2055" max="2055" width="23.28515625" style="125" customWidth="1"/>
    <col min="2056" max="2059" width="0" style="125" hidden="1" customWidth="1"/>
    <col min="2060" max="2060" width="13" style="125" bestFit="1" customWidth="1"/>
    <col min="2061" max="2061" width="14.7109375" style="125" bestFit="1" customWidth="1"/>
    <col min="2062" max="2062" width="9.140625" style="125"/>
    <col min="2063" max="2063" width="12.42578125" style="125" bestFit="1" customWidth="1"/>
    <col min="2064" max="2304" width="9.140625" style="125"/>
    <col min="2305" max="2305" width="6.28515625" style="125" customWidth="1"/>
    <col min="2306" max="2306" width="0" style="125" hidden="1" customWidth="1"/>
    <col min="2307" max="2307" width="8.5703125" style="125" customWidth="1"/>
    <col min="2308" max="2308" width="68.42578125" style="125" customWidth="1"/>
    <col min="2309" max="2309" width="11.85546875" style="125" customWidth="1"/>
    <col min="2310" max="2310" width="15.42578125" style="125" customWidth="1"/>
    <col min="2311" max="2311" width="23.28515625" style="125" customWidth="1"/>
    <col min="2312" max="2315" width="0" style="125" hidden="1" customWidth="1"/>
    <col min="2316" max="2316" width="13" style="125" bestFit="1" customWidth="1"/>
    <col min="2317" max="2317" width="14.7109375" style="125" bestFit="1" customWidth="1"/>
    <col min="2318" max="2318" width="9.140625" style="125"/>
    <col min="2319" max="2319" width="12.42578125" style="125" bestFit="1" customWidth="1"/>
    <col min="2320" max="2560" width="9.140625" style="125"/>
    <col min="2561" max="2561" width="6.28515625" style="125" customWidth="1"/>
    <col min="2562" max="2562" width="0" style="125" hidden="1" customWidth="1"/>
    <col min="2563" max="2563" width="8.5703125" style="125" customWidth="1"/>
    <col min="2564" max="2564" width="68.42578125" style="125" customWidth="1"/>
    <col min="2565" max="2565" width="11.85546875" style="125" customWidth="1"/>
    <col min="2566" max="2566" width="15.42578125" style="125" customWidth="1"/>
    <col min="2567" max="2567" width="23.28515625" style="125" customWidth="1"/>
    <col min="2568" max="2571" width="0" style="125" hidden="1" customWidth="1"/>
    <col min="2572" max="2572" width="13" style="125" bestFit="1" customWidth="1"/>
    <col min="2573" max="2573" width="14.7109375" style="125" bestFit="1" customWidth="1"/>
    <col min="2574" max="2574" width="9.140625" style="125"/>
    <col min="2575" max="2575" width="12.42578125" style="125" bestFit="1" customWidth="1"/>
    <col min="2576" max="2816" width="9.140625" style="125"/>
    <col min="2817" max="2817" width="6.28515625" style="125" customWidth="1"/>
    <col min="2818" max="2818" width="0" style="125" hidden="1" customWidth="1"/>
    <col min="2819" max="2819" width="8.5703125" style="125" customWidth="1"/>
    <col min="2820" max="2820" width="68.42578125" style="125" customWidth="1"/>
    <col min="2821" max="2821" width="11.85546875" style="125" customWidth="1"/>
    <col min="2822" max="2822" width="15.42578125" style="125" customWidth="1"/>
    <col min="2823" max="2823" width="23.28515625" style="125" customWidth="1"/>
    <col min="2824" max="2827" width="0" style="125" hidden="1" customWidth="1"/>
    <col min="2828" max="2828" width="13" style="125" bestFit="1" customWidth="1"/>
    <col min="2829" max="2829" width="14.7109375" style="125" bestFit="1" customWidth="1"/>
    <col min="2830" max="2830" width="9.140625" style="125"/>
    <col min="2831" max="2831" width="12.42578125" style="125" bestFit="1" customWidth="1"/>
    <col min="2832" max="3072" width="9.140625" style="125"/>
    <col min="3073" max="3073" width="6.28515625" style="125" customWidth="1"/>
    <col min="3074" max="3074" width="0" style="125" hidden="1" customWidth="1"/>
    <col min="3075" max="3075" width="8.5703125" style="125" customWidth="1"/>
    <col min="3076" max="3076" width="68.42578125" style="125" customWidth="1"/>
    <col min="3077" max="3077" width="11.85546875" style="125" customWidth="1"/>
    <col min="3078" max="3078" width="15.42578125" style="125" customWidth="1"/>
    <col min="3079" max="3079" width="23.28515625" style="125" customWidth="1"/>
    <col min="3080" max="3083" width="0" style="125" hidden="1" customWidth="1"/>
    <col min="3084" max="3084" width="13" style="125" bestFit="1" customWidth="1"/>
    <col min="3085" max="3085" width="14.7109375" style="125" bestFit="1" customWidth="1"/>
    <col min="3086" max="3086" width="9.140625" style="125"/>
    <col min="3087" max="3087" width="12.42578125" style="125" bestFit="1" customWidth="1"/>
    <col min="3088" max="3328" width="9.140625" style="125"/>
    <col min="3329" max="3329" width="6.28515625" style="125" customWidth="1"/>
    <col min="3330" max="3330" width="0" style="125" hidden="1" customWidth="1"/>
    <col min="3331" max="3331" width="8.5703125" style="125" customWidth="1"/>
    <col min="3332" max="3332" width="68.42578125" style="125" customWidth="1"/>
    <col min="3333" max="3333" width="11.85546875" style="125" customWidth="1"/>
    <col min="3334" max="3334" width="15.42578125" style="125" customWidth="1"/>
    <col min="3335" max="3335" width="23.28515625" style="125" customWidth="1"/>
    <col min="3336" max="3339" width="0" style="125" hidden="1" customWidth="1"/>
    <col min="3340" max="3340" width="13" style="125" bestFit="1" customWidth="1"/>
    <col min="3341" max="3341" width="14.7109375" style="125" bestFit="1" customWidth="1"/>
    <col min="3342" max="3342" width="9.140625" style="125"/>
    <col min="3343" max="3343" width="12.42578125" style="125" bestFit="1" customWidth="1"/>
    <col min="3344" max="3584" width="9.140625" style="125"/>
    <col min="3585" max="3585" width="6.28515625" style="125" customWidth="1"/>
    <col min="3586" max="3586" width="0" style="125" hidden="1" customWidth="1"/>
    <col min="3587" max="3587" width="8.5703125" style="125" customWidth="1"/>
    <col min="3588" max="3588" width="68.42578125" style="125" customWidth="1"/>
    <col min="3589" max="3589" width="11.85546875" style="125" customWidth="1"/>
    <col min="3590" max="3590" width="15.42578125" style="125" customWidth="1"/>
    <col min="3591" max="3591" width="23.28515625" style="125" customWidth="1"/>
    <col min="3592" max="3595" width="0" style="125" hidden="1" customWidth="1"/>
    <col min="3596" max="3596" width="13" style="125" bestFit="1" customWidth="1"/>
    <col min="3597" max="3597" width="14.7109375" style="125" bestFit="1" customWidth="1"/>
    <col min="3598" max="3598" width="9.140625" style="125"/>
    <col min="3599" max="3599" width="12.42578125" style="125" bestFit="1" customWidth="1"/>
    <col min="3600" max="3840" width="9.140625" style="125"/>
    <col min="3841" max="3841" width="6.28515625" style="125" customWidth="1"/>
    <col min="3842" max="3842" width="0" style="125" hidden="1" customWidth="1"/>
    <col min="3843" max="3843" width="8.5703125" style="125" customWidth="1"/>
    <col min="3844" max="3844" width="68.42578125" style="125" customWidth="1"/>
    <col min="3845" max="3845" width="11.85546875" style="125" customWidth="1"/>
    <col min="3846" max="3846" width="15.42578125" style="125" customWidth="1"/>
    <col min="3847" max="3847" width="23.28515625" style="125" customWidth="1"/>
    <col min="3848" max="3851" width="0" style="125" hidden="1" customWidth="1"/>
    <col min="3852" max="3852" width="13" style="125" bestFit="1" customWidth="1"/>
    <col min="3853" max="3853" width="14.7109375" style="125" bestFit="1" customWidth="1"/>
    <col min="3854" max="3854" width="9.140625" style="125"/>
    <col min="3855" max="3855" width="12.42578125" style="125" bestFit="1" customWidth="1"/>
    <col min="3856" max="4096" width="9.140625" style="125"/>
    <col min="4097" max="4097" width="6.28515625" style="125" customWidth="1"/>
    <col min="4098" max="4098" width="0" style="125" hidden="1" customWidth="1"/>
    <col min="4099" max="4099" width="8.5703125" style="125" customWidth="1"/>
    <col min="4100" max="4100" width="68.42578125" style="125" customWidth="1"/>
    <col min="4101" max="4101" width="11.85546875" style="125" customWidth="1"/>
    <col min="4102" max="4102" width="15.42578125" style="125" customWidth="1"/>
    <col min="4103" max="4103" width="23.28515625" style="125" customWidth="1"/>
    <col min="4104" max="4107" width="0" style="125" hidden="1" customWidth="1"/>
    <col min="4108" max="4108" width="13" style="125" bestFit="1" customWidth="1"/>
    <col min="4109" max="4109" width="14.7109375" style="125" bestFit="1" customWidth="1"/>
    <col min="4110" max="4110" width="9.140625" style="125"/>
    <col min="4111" max="4111" width="12.42578125" style="125" bestFit="1" customWidth="1"/>
    <col min="4112" max="4352" width="9.140625" style="125"/>
    <col min="4353" max="4353" width="6.28515625" style="125" customWidth="1"/>
    <col min="4354" max="4354" width="0" style="125" hidden="1" customWidth="1"/>
    <col min="4355" max="4355" width="8.5703125" style="125" customWidth="1"/>
    <col min="4356" max="4356" width="68.42578125" style="125" customWidth="1"/>
    <col min="4357" max="4357" width="11.85546875" style="125" customWidth="1"/>
    <col min="4358" max="4358" width="15.42578125" style="125" customWidth="1"/>
    <col min="4359" max="4359" width="23.28515625" style="125" customWidth="1"/>
    <col min="4360" max="4363" width="0" style="125" hidden="1" customWidth="1"/>
    <col min="4364" max="4364" width="13" style="125" bestFit="1" customWidth="1"/>
    <col min="4365" max="4365" width="14.7109375" style="125" bestFit="1" customWidth="1"/>
    <col min="4366" max="4366" width="9.140625" style="125"/>
    <col min="4367" max="4367" width="12.42578125" style="125" bestFit="1" customWidth="1"/>
    <col min="4368" max="4608" width="9.140625" style="125"/>
    <col min="4609" max="4609" width="6.28515625" style="125" customWidth="1"/>
    <col min="4610" max="4610" width="0" style="125" hidden="1" customWidth="1"/>
    <col min="4611" max="4611" width="8.5703125" style="125" customWidth="1"/>
    <col min="4612" max="4612" width="68.42578125" style="125" customWidth="1"/>
    <col min="4613" max="4613" width="11.85546875" style="125" customWidth="1"/>
    <col min="4614" max="4614" width="15.42578125" style="125" customWidth="1"/>
    <col min="4615" max="4615" width="23.28515625" style="125" customWidth="1"/>
    <col min="4616" max="4619" width="0" style="125" hidden="1" customWidth="1"/>
    <col min="4620" max="4620" width="13" style="125" bestFit="1" customWidth="1"/>
    <col min="4621" max="4621" width="14.7109375" style="125" bestFit="1" customWidth="1"/>
    <col min="4622" max="4622" width="9.140625" style="125"/>
    <col min="4623" max="4623" width="12.42578125" style="125" bestFit="1" customWidth="1"/>
    <col min="4624" max="4864" width="9.140625" style="125"/>
    <col min="4865" max="4865" width="6.28515625" style="125" customWidth="1"/>
    <col min="4866" max="4866" width="0" style="125" hidden="1" customWidth="1"/>
    <col min="4867" max="4867" width="8.5703125" style="125" customWidth="1"/>
    <col min="4868" max="4868" width="68.42578125" style="125" customWidth="1"/>
    <col min="4869" max="4869" width="11.85546875" style="125" customWidth="1"/>
    <col min="4870" max="4870" width="15.42578125" style="125" customWidth="1"/>
    <col min="4871" max="4871" width="23.28515625" style="125" customWidth="1"/>
    <col min="4872" max="4875" width="0" style="125" hidden="1" customWidth="1"/>
    <col min="4876" max="4876" width="13" style="125" bestFit="1" customWidth="1"/>
    <col min="4877" max="4877" width="14.7109375" style="125" bestFit="1" customWidth="1"/>
    <col min="4878" max="4878" width="9.140625" style="125"/>
    <col min="4879" max="4879" width="12.42578125" style="125" bestFit="1" customWidth="1"/>
    <col min="4880" max="5120" width="9.140625" style="125"/>
    <col min="5121" max="5121" width="6.28515625" style="125" customWidth="1"/>
    <col min="5122" max="5122" width="0" style="125" hidden="1" customWidth="1"/>
    <col min="5123" max="5123" width="8.5703125" style="125" customWidth="1"/>
    <col min="5124" max="5124" width="68.42578125" style="125" customWidth="1"/>
    <col min="5125" max="5125" width="11.85546875" style="125" customWidth="1"/>
    <col min="5126" max="5126" width="15.42578125" style="125" customWidth="1"/>
    <col min="5127" max="5127" width="23.28515625" style="125" customWidth="1"/>
    <col min="5128" max="5131" width="0" style="125" hidden="1" customWidth="1"/>
    <col min="5132" max="5132" width="13" style="125" bestFit="1" customWidth="1"/>
    <col min="5133" max="5133" width="14.7109375" style="125" bestFit="1" customWidth="1"/>
    <col min="5134" max="5134" width="9.140625" style="125"/>
    <col min="5135" max="5135" width="12.42578125" style="125" bestFit="1" customWidth="1"/>
    <col min="5136" max="5376" width="9.140625" style="125"/>
    <col min="5377" max="5377" width="6.28515625" style="125" customWidth="1"/>
    <col min="5378" max="5378" width="0" style="125" hidden="1" customWidth="1"/>
    <col min="5379" max="5379" width="8.5703125" style="125" customWidth="1"/>
    <col min="5380" max="5380" width="68.42578125" style="125" customWidth="1"/>
    <col min="5381" max="5381" width="11.85546875" style="125" customWidth="1"/>
    <col min="5382" max="5382" width="15.42578125" style="125" customWidth="1"/>
    <col min="5383" max="5383" width="23.28515625" style="125" customWidth="1"/>
    <col min="5384" max="5387" width="0" style="125" hidden="1" customWidth="1"/>
    <col min="5388" max="5388" width="13" style="125" bestFit="1" customWidth="1"/>
    <col min="5389" max="5389" width="14.7109375" style="125" bestFit="1" customWidth="1"/>
    <col min="5390" max="5390" width="9.140625" style="125"/>
    <col min="5391" max="5391" width="12.42578125" style="125" bestFit="1" customWidth="1"/>
    <col min="5392" max="5632" width="9.140625" style="125"/>
    <col min="5633" max="5633" width="6.28515625" style="125" customWidth="1"/>
    <col min="5634" max="5634" width="0" style="125" hidden="1" customWidth="1"/>
    <col min="5635" max="5635" width="8.5703125" style="125" customWidth="1"/>
    <col min="5636" max="5636" width="68.42578125" style="125" customWidth="1"/>
    <col min="5637" max="5637" width="11.85546875" style="125" customWidth="1"/>
    <col min="5638" max="5638" width="15.42578125" style="125" customWidth="1"/>
    <col min="5639" max="5639" width="23.28515625" style="125" customWidth="1"/>
    <col min="5640" max="5643" width="0" style="125" hidden="1" customWidth="1"/>
    <col min="5644" max="5644" width="13" style="125" bestFit="1" customWidth="1"/>
    <col min="5645" max="5645" width="14.7109375" style="125" bestFit="1" customWidth="1"/>
    <col min="5646" max="5646" width="9.140625" style="125"/>
    <col min="5647" max="5647" width="12.42578125" style="125" bestFit="1" customWidth="1"/>
    <col min="5648" max="5888" width="9.140625" style="125"/>
    <col min="5889" max="5889" width="6.28515625" style="125" customWidth="1"/>
    <col min="5890" max="5890" width="0" style="125" hidden="1" customWidth="1"/>
    <col min="5891" max="5891" width="8.5703125" style="125" customWidth="1"/>
    <col min="5892" max="5892" width="68.42578125" style="125" customWidth="1"/>
    <col min="5893" max="5893" width="11.85546875" style="125" customWidth="1"/>
    <col min="5894" max="5894" width="15.42578125" style="125" customWidth="1"/>
    <col min="5895" max="5895" width="23.28515625" style="125" customWidth="1"/>
    <col min="5896" max="5899" width="0" style="125" hidden="1" customWidth="1"/>
    <col min="5900" max="5900" width="13" style="125" bestFit="1" customWidth="1"/>
    <col min="5901" max="5901" width="14.7109375" style="125" bestFit="1" customWidth="1"/>
    <col min="5902" max="5902" width="9.140625" style="125"/>
    <col min="5903" max="5903" width="12.42578125" style="125" bestFit="1" customWidth="1"/>
    <col min="5904" max="6144" width="9.140625" style="125"/>
    <col min="6145" max="6145" width="6.28515625" style="125" customWidth="1"/>
    <col min="6146" max="6146" width="0" style="125" hidden="1" customWidth="1"/>
    <col min="6147" max="6147" width="8.5703125" style="125" customWidth="1"/>
    <col min="6148" max="6148" width="68.42578125" style="125" customWidth="1"/>
    <col min="6149" max="6149" width="11.85546875" style="125" customWidth="1"/>
    <col min="6150" max="6150" width="15.42578125" style="125" customWidth="1"/>
    <col min="6151" max="6151" width="23.28515625" style="125" customWidth="1"/>
    <col min="6152" max="6155" width="0" style="125" hidden="1" customWidth="1"/>
    <col min="6156" max="6156" width="13" style="125" bestFit="1" customWidth="1"/>
    <col min="6157" max="6157" width="14.7109375" style="125" bestFit="1" customWidth="1"/>
    <col min="6158" max="6158" width="9.140625" style="125"/>
    <col min="6159" max="6159" width="12.42578125" style="125" bestFit="1" customWidth="1"/>
    <col min="6160" max="6400" width="9.140625" style="125"/>
    <col min="6401" max="6401" width="6.28515625" style="125" customWidth="1"/>
    <col min="6402" max="6402" width="0" style="125" hidden="1" customWidth="1"/>
    <col min="6403" max="6403" width="8.5703125" style="125" customWidth="1"/>
    <col min="6404" max="6404" width="68.42578125" style="125" customWidth="1"/>
    <col min="6405" max="6405" width="11.85546875" style="125" customWidth="1"/>
    <col min="6406" max="6406" width="15.42578125" style="125" customWidth="1"/>
    <col min="6407" max="6407" width="23.28515625" style="125" customWidth="1"/>
    <col min="6408" max="6411" width="0" style="125" hidden="1" customWidth="1"/>
    <col min="6412" max="6412" width="13" style="125" bestFit="1" customWidth="1"/>
    <col min="6413" max="6413" width="14.7109375" style="125" bestFit="1" customWidth="1"/>
    <col min="6414" max="6414" width="9.140625" style="125"/>
    <col min="6415" max="6415" width="12.42578125" style="125" bestFit="1" customWidth="1"/>
    <col min="6416" max="6656" width="9.140625" style="125"/>
    <col min="6657" max="6657" width="6.28515625" style="125" customWidth="1"/>
    <col min="6658" max="6658" width="0" style="125" hidden="1" customWidth="1"/>
    <col min="6659" max="6659" width="8.5703125" style="125" customWidth="1"/>
    <col min="6660" max="6660" width="68.42578125" style="125" customWidth="1"/>
    <col min="6661" max="6661" width="11.85546875" style="125" customWidth="1"/>
    <col min="6662" max="6662" width="15.42578125" style="125" customWidth="1"/>
    <col min="6663" max="6663" width="23.28515625" style="125" customWidth="1"/>
    <col min="6664" max="6667" width="0" style="125" hidden="1" customWidth="1"/>
    <col min="6668" max="6668" width="13" style="125" bestFit="1" customWidth="1"/>
    <col min="6669" max="6669" width="14.7109375" style="125" bestFit="1" customWidth="1"/>
    <col min="6670" max="6670" width="9.140625" style="125"/>
    <col min="6671" max="6671" width="12.42578125" style="125" bestFit="1" customWidth="1"/>
    <col min="6672" max="6912" width="9.140625" style="125"/>
    <col min="6913" max="6913" width="6.28515625" style="125" customWidth="1"/>
    <col min="6914" max="6914" width="0" style="125" hidden="1" customWidth="1"/>
    <col min="6915" max="6915" width="8.5703125" style="125" customWidth="1"/>
    <col min="6916" max="6916" width="68.42578125" style="125" customWidth="1"/>
    <col min="6917" max="6917" width="11.85546875" style="125" customWidth="1"/>
    <col min="6918" max="6918" width="15.42578125" style="125" customWidth="1"/>
    <col min="6919" max="6919" width="23.28515625" style="125" customWidth="1"/>
    <col min="6920" max="6923" width="0" style="125" hidden="1" customWidth="1"/>
    <col min="6924" max="6924" width="13" style="125" bestFit="1" customWidth="1"/>
    <col min="6925" max="6925" width="14.7109375" style="125" bestFit="1" customWidth="1"/>
    <col min="6926" max="6926" width="9.140625" style="125"/>
    <col min="6927" max="6927" width="12.42578125" style="125" bestFit="1" customWidth="1"/>
    <col min="6928" max="7168" width="9.140625" style="125"/>
    <col min="7169" max="7169" width="6.28515625" style="125" customWidth="1"/>
    <col min="7170" max="7170" width="0" style="125" hidden="1" customWidth="1"/>
    <col min="7171" max="7171" width="8.5703125" style="125" customWidth="1"/>
    <col min="7172" max="7172" width="68.42578125" style="125" customWidth="1"/>
    <col min="7173" max="7173" width="11.85546875" style="125" customWidth="1"/>
    <col min="7174" max="7174" width="15.42578125" style="125" customWidth="1"/>
    <col min="7175" max="7175" width="23.28515625" style="125" customWidth="1"/>
    <col min="7176" max="7179" width="0" style="125" hidden="1" customWidth="1"/>
    <col min="7180" max="7180" width="13" style="125" bestFit="1" customWidth="1"/>
    <col min="7181" max="7181" width="14.7109375" style="125" bestFit="1" customWidth="1"/>
    <col min="7182" max="7182" width="9.140625" style="125"/>
    <col min="7183" max="7183" width="12.42578125" style="125" bestFit="1" customWidth="1"/>
    <col min="7184" max="7424" width="9.140625" style="125"/>
    <col min="7425" max="7425" width="6.28515625" style="125" customWidth="1"/>
    <col min="7426" max="7426" width="0" style="125" hidden="1" customWidth="1"/>
    <col min="7427" max="7427" width="8.5703125" style="125" customWidth="1"/>
    <col min="7428" max="7428" width="68.42578125" style="125" customWidth="1"/>
    <col min="7429" max="7429" width="11.85546875" style="125" customWidth="1"/>
    <col min="7430" max="7430" width="15.42578125" style="125" customWidth="1"/>
    <col min="7431" max="7431" width="23.28515625" style="125" customWidth="1"/>
    <col min="7432" max="7435" width="0" style="125" hidden="1" customWidth="1"/>
    <col min="7436" max="7436" width="13" style="125" bestFit="1" customWidth="1"/>
    <col min="7437" max="7437" width="14.7109375" style="125" bestFit="1" customWidth="1"/>
    <col min="7438" max="7438" width="9.140625" style="125"/>
    <col min="7439" max="7439" width="12.42578125" style="125" bestFit="1" customWidth="1"/>
    <col min="7440" max="7680" width="9.140625" style="125"/>
    <col min="7681" max="7681" width="6.28515625" style="125" customWidth="1"/>
    <col min="7682" max="7682" width="0" style="125" hidden="1" customWidth="1"/>
    <col min="7683" max="7683" width="8.5703125" style="125" customWidth="1"/>
    <col min="7684" max="7684" width="68.42578125" style="125" customWidth="1"/>
    <col min="7685" max="7685" width="11.85546875" style="125" customWidth="1"/>
    <col min="7686" max="7686" width="15.42578125" style="125" customWidth="1"/>
    <col min="7687" max="7687" width="23.28515625" style="125" customWidth="1"/>
    <col min="7688" max="7691" width="0" style="125" hidden="1" customWidth="1"/>
    <col min="7692" max="7692" width="13" style="125" bestFit="1" customWidth="1"/>
    <col min="7693" max="7693" width="14.7109375" style="125" bestFit="1" customWidth="1"/>
    <col min="7694" max="7694" width="9.140625" style="125"/>
    <col min="7695" max="7695" width="12.42578125" style="125" bestFit="1" customWidth="1"/>
    <col min="7696" max="7936" width="9.140625" style="125"/>
    <col min="7937" max="7937" width="6.28515625" style="125" customWidth="1"/>
    <col min="7938" max="7938" width="0" style="125" hidden="1" customWidth="1"/>
    <col min="7939" max="7939" width="8.5703125" style="125" customWidth="1"/>
    <col min="7940" max="7940" width="68.42578125" style="125" customWidth="1"/>
    <col min="7941" max="7941" width="11.85546875" style="125" customWidth="1"/>
    <col min="7942" max="7942" width="15.42578125" style="125" customWidth="1"/>
    <col min="7943" max="7943" width="23.28515625" style="125" customWidth="1"/>
    <col min="7944" max="7947" width="0" style="125" hidden="1" customWidth="1"/>
    <col min="7948" max="7948" width="13" style="125" bestFit="1" customWidth="1"/>
    <col min="7949" max="7949" width="14.7109375" style="125" bestFit="1" customWidth="1"/>
    <col min="7950" max="7950" width="9.140625" style="125"/>
    <col min="7951" max="7951" width="12.42578125" style="125" bestFit="1" customWidth="1"/>
    <col min="7952" max="8192" width="9.140625" style="125"/>
    <col min="8193" max="8193" width="6.28515625" style="125" customWidth="1"/>
    <col min="8194" max="8194" width="0" style="125" hidden="1" customWidth="1"/>
    <col min="8195" max="8195" width="8.5703125" style="125" customWidth="1"/>
    <col min="8196" max="8196" width="68.42578125" style="125" customWidth="1"/>
    <col min="8197" max="8197" width="11.85546875" style="125" customWidth="1"/>
    <col min="8198" max="8198" width="15.42578125" style="125" customWidth="1"/>
    <col min="8199" max="8199" width="23.28515625" style="125" customWidth="1"/>
    <col min="8200" max="8203" width="0" style="125" hidden="1" customWidth="1"/>
    <col min="8204" max="8204" width="13" style="125" bestFit="1" customWidth="1"/>
    <col min="8205" max="8205" width="14.7109375" style="125" bestFit="1" customWidth="1"/>
    <col min="8206" max="8206" width="9.140625" style="125"/>
    <col min="8207" max="8207" width="12.42578125" style="125" bestFit="1" customWidth="1"/>
    <col min="8208" max="8448" width="9.140625" style="125"/>
    <col min="8449" max="8449" width="6.28515625" style="125" customWidth="1"/>
    <col min="8450" max="8450" width="0" style="125" hidden="1" customWidth="1"/>
    <col min="8451" max="8451" width="8.5703125" style="125" customWidth="1"/>
    <col min="8452" max="8452" width="68.42578125" style="125" customWidth="1"/>
    <col min="8453" max="8453" width="11.85546875" style="125" customWidth="1"/>
    <col min="8454" max="8454" width="15.42578125" style="125" customWidth="1"/>
    <col min="8455" max="8455" width="23.28515625" style="125" customWidth="1"/>
    <col min="8456" max="8459" width="0" style="125" hidden="1" customWidth="1"/>
    <col min="8460" max="8460" width="13" style="125" bestFit="1" customWidth="1"/>
    <col min="8461" max="8461" width="14.7109375" style="125" bestFit="1" customWidth="1"/>
    <col min="8462" max="8462" width="9.140625" style="125"/>
    <col min="8463" max="8463" width="12.42578125" style="125" bestFit="1" customWidth="1"/>
    <col min="8464" max="8704" width="9.140625" style="125"/>
    <col min="8705" max="8705" width="6.28515625" style="125" customWidth="1"/>
    <col min="8706" max="8706" width="0" style="125" hidden="1" customWidth="1"/>
    <col min="8707" max="8707" width="8.5703125" style="125" customWidth="1"/>
    <col min="8708" max="8708" width="68.42578125" style="125" customWidth="1"/>
    <col min="8709" max="8709" width="11.85546875" style="125" customWidth="1"/>
    <col min="8710" max="8710" width="15.42578125" style="125" customWidth="1"/>
    <col min="8711" max="8711" width="23.28515625" style="125" customWidth="1"/>
    <col min="8712" max="8715" width="0" style="125" hidden="1" customWidth="1"/>
    <col min="8716" max="8716" width="13" style="125" bestFit="1" customWidth="1"/>
    <col min="8717" max="8717" width="14.7109375" style="125" bestFit="1" customWidth="1"/>
    <col min="8718" max="8718" width="9.140625" style="125"/>
    <col min="8719" max="8719" width="12.42578125" style="125" bestFit="1" customWidth="1"/>
    <col min="8720" max="8960" width="9.140625" style="125"/>
    <col min="8961" max="8961" width="6.28515625" style="125" customWidth="1"/>
    <col min="8962" max="8962" width="0" style="125" hidden="1" customWidth="1"/>
    <col min="8963" max="8963" width="8.5703125" style="125" customWidth="1"/>
    <col min="8964" max="8964" width="68.42578125" style="125" customWidth="1"/>
    <col min="8965" max="8965" width="11.85546875" style="125" customWidth="1"/>
    <col min="8966" max="8966" width="15.42578125" style="125" customWidth="1"/>
    <col min="8967" max="8967" width="23.28515625" style="125" customWidth="1"/>
    <col min="8968" max="8971" width="0" style="125" hidden="1" customWidth="1"/>
    <col min="8972" max="8972" width="13" style="125" bestFit="1" customWidth="1"/>
    <col min="8973" max="8973" width="14.7109375" style="125" bestFit="1" customWidth="1"/>
    <col min="8974" max="8974" width="9.140625" style="125"/>
    <col min="8975" max="8975" width="12.42578125" style="125" bestFit="1" customWidth="1"/>
    <col min="8976" max="9216" width="9.140625" style="125"/>
    <col min="9217" max="9217" width="6.28515625" style="125" customWidth="1"/>
    <col min="9218" max="9218" width="0" style="125" hidden="1" customWidth="1"/>
    <col min="9219" max="9219" width="8.5703125" style="125" customWidth="1"/>
    <col min="9220" max="9220" width="68.42578125" style="125" customWidth="1"/>
    <col min="9221" max="9221" width="11.85546875" style="125" customWidth="1"/>
    <col min="9222" max="9222" width="15.42578125" style="125" customWidth="1"/>
    <col min="9223" max="9223" width="23.28515625" style="125" customWidth="1"/>
    <col min="9224" max="9227" width="0" style="125" hidden="1" customWidth="1"/>
    <col min="9228" max="9228" width="13" style="125" bestFit="1" customWidth="1"/>
    <col min="9229" max="9229" width="14.7109375" style="125" bestFit="1" customWidth="1"/>
    <col min="9230" max="9230" width="9.140625" style="125"/>
    <col min="9231" max="9231" width="12.42578125" style="125" bestFit="1" customWidth="1"/>
    <col min="9232" max="9472" width="9.140625" style="125"/>
    <col min="9473" max="9473" width="6.28515625" style="125" customWidth="1"/>
    <col min="9474" max="9474" width="0" style="125" hidden="1" customWidth="1"/>
    <col min="9475" max="9475" width="8.5703125" style="125" customWidth="1"/>
    <col min="9476" max="9476" width="68.42578125" style="125" customWidth="1"/>
    <col min="9477" max="9477" width="11.85546875" style="125" customWidth="1"/>
    <col min="9478" max="9478" width="15.42578125" style="125" customWidth="1"/>
    <col min="9479" max="9479" width="23.28515625" style="125" customWidth="1"/>
    <col min="9480" max="9483" width="0" style="125" hidden="1" customWidth="1"/>
    <col min="9484" max="9484" width="13" style="125" bestFit="1" customWidth="1"/>
    <col min="9485" max="9485" width="14.7109375" style="125" bestFit="1" customWidth="1"/>
    <col min="9486" max="9486" width="9.140625" style="125"/>
    <col min="9487" max="9487" width="12.42578125" style="125" bestFit="1" customWidth="1"/>
    <col min="9488" max="9728" width="9.140625" style="125"/>
    <col min="9729" max="9729" width="6.28515625" style="125" customWidth="1"/>
    <col min="9730" max="9730" width="0" style="125" hidden="1" customWidth="1"/>
    <col min="9731" max="9731" width="8.5703125" style="125" customWidth="1"/>
    <col min="9732" max="9732" width="68.42578125" style="125" customWidth="1"/>
    <col min="9733" max="9733" width="11.85546875" style="125" customWidth="1"/>
    <col min="9734" max="9734" width="15.42578125" style="125" customWidth="1"/>
    <col min="9735" max="9735" width="23.28515625" style="125" customWidth="1"/>
    <col min="9736" max="9739" width="0" style="125" hidden="1" customWidth="1"/>
    <col min="9740" max="9740" width="13" style="125" bestFit="1" customWidth="1"/>
    <col min="9741" max="9741" width="14.7109375" style="125" bestFit="1" customWidth="1"/>
    <col min="9742" max="9742" width="9.140625" style="125"/>
    <col min="9743" max="9743" width="12.42578125" style="125" bestFit="1" customWidth="1"/>
    <col min="9744" max="9984" width="9.140625" style="125"/>
    <col min="9985" max="9985" width="6.28515625" style="125" customWidth="1"/>
    <col min="9986" max="9986" width="0" style="125" hidden="1" customWidth="1"/>
    <col min="9987" max="9987" width="8.5703125" style="125" customWidth="1"/>
    <col min="9988" max="9988" width="68.42578125" style="125" customWidth="1"/>
    <col min="9989" max="9989" width="11.85546875" style="125" customWidth="1"/>
    <col min="9990" max="9990" width="15.42578125" style="125" customWidth="1"/>
    <col min="9991" max="9991" width="23.28515625" style="125" customWidth="1"/>
    <col min="9992" max="9995" width="0" style="125" hidden="1" customWidth="1"/>
    <col min="9996" max="9996" width="13" style="125" bestFit="1" customWidth="1"/>
    <col min="9997" max="9997" width="14.7109375" style="125" bestFit="1" customWidth="1"/>
    <col min="9998" max="9998" width="9.140625" style="125"/>
    <col min="9999" max="9999" width="12.42578125" style="125" bestFit="1" customWidth="1"/>
    <col min="10000" max="10240" width="9.140625" style="125"/>
    <col min="10241" max="10241" width="6.28515625" style="125" customWidth="1"/>
    <col min="10242" max="10242" width="0" style="125" hidden="1" customWidth="1"/>
    <col min="10243" max="10243" width="8.5703125" style="125" customWidth="1"/>
    <col min="10244" max="10244" width="68.42578125" style="125" customWidth="1"/>
    <col min="10245" max="10245" width="11.85546875" style="125" customWidth="1"/>
    <col min="10246" max="10246" width="15.42578125" style="125" customWidth="1"/>
    <col min="10247" max="10247" width="23.28515625" style="125" customWidth="1"/>
    <col min="10248" max="10251" width="0" style="125" hidden="1" customWidth="1"/>
    <col min="10252" max="10252" width="13" style="125" bestFit="1" customWidth="1"/>
    <col min="10253" max="10253" width="14.7109375" style="125" bestFit="1" customWidth="1"/>
    <col min="10254" max="10254" width="9.140625" style="125"/>
    <col min="10255" max="10255" width="12.42578125" style="125" bestFit="1" customWidth="1"/>
    <col min="10256" max="10496" width="9.140625" style="125"/>
    <col min="10497" max="10497" width="6.28515625" style="125" customWidth="1"/>
    <col min="10498" max="10498" width="0" style="125" hidden="1" customWidth="1"/>
    <col min="10499" max="10499" width="8.5703125" style="125" customWidth="1"/>
    <col min="10500" max="10500" width="68.42578125" style="125" customWidth="1"/>
    <col min="10501" max="10501" width="11.85546875" style="125" customWidth="1"/>
    <col min="10502" max="10502" width="15.42578125" style="125" customWidth="1"/>
    <col min="10503" max="10503" width="23.28515625" style="125" customWidth="1"/>
    <col min="10504" max="10507" width="0" style="125" hidden="1" customWidth="1"/>
    <col min="10508" max="10508" width="13" style="125" bestFit="1" customWidth="1"/>
    <col min="10509" max="10509" width="14.7109375" style="125" bestFit="1" customWidth="1"/>
    <col min="10510" max="10510" width="9.140625" style="125"/>
    <col min="10511" max="10511" width="12.42578125" style="125" bestFit="1" customWidth="1"/>
    <col min="10512" max="10752" width="9.140625" style="125"/>
    <col min="10753" max="10753" width="6.28515625" style="125" customWidth="1"/>
    <col min="10754" max="10754" width="0" style="125" hidden="1" customWidth="1"/>
    <col min="10755" max="10755" width="8.5703125" style="125" customWidth="1"/>
    <col min="10756" max="10756" width="68.42578125" style="125" customWidth="1"/>
    <col min="10757" max="10757" width="11.85546875" style="125" customWidth="1"/>
    <col min="10758" max="10758" width="15.42578125" style="125" customWidth="1"/>
    <col min="10759" max="10759" width="23.28515625" style="125" customWidth="1"/>
    <col min="10760" max="10763" width="0" style="125" hidden="1" customWidth="1"/>
    <col min="10764" max="10764" width="13" style="125" bestFit="1" customWidth="1"/>
    <col min="10765" max="10765" width="14.7109375" style="125" bestFit="1" customWidth="1"/>
    <col min="10766" max="10766" width="9.140625" style="125"/>
    <col min="10767" max="10767" width="12.42578125" style="125" bestFit="1" customWidth="1"/>
    <col min="10768" max="11008" width="9.140625" style="125"/>
    <col min="11009" max="11009" width="6.28515625" style="125" customWidth="1"/>
    <col min="11010" max="11010" width="0" style="125" hidden="1" customWidth="1"/>
    <col min="11011" max="11011" width="8.5703125" style="125" customWidth="1"/>
    <col min="11012" max="11012" width="68.42578125" style="125" customWidth="1"/>
    <col min="11013" max="11013" width="11.85546875" style="125" customWidth="1"/>
    <col min="11014" max="11014" width="15.42578125" style="125" customWidth="1"/>
    <col min="11015" max="11015" width="23.28515625" style="125" customWidth="1"/>
    <col min="11016" max="11019" width="0" style="125" hidden="1" customWidth="1"/>
    <col min="11020" max="11020" width="13" style="125" bestFit="1" customWidth="1"/>
    <col min="11021" max="11021" width="14.7109375" style="125" bestFit="1" customWidth="1"/>
    <col min="11022" max="11022" width="9.140625" style="125"/>
    <col min="11023" max="11023" width="12.42578125" style="125" bestFit="1" customWidth="1"/>
    <col min="11024" max="11264" width="9.140625" style="125"/>
    <col min="11265" max="11265" width="6.28515625" style="125" customWidth="1"/>
    <col min="11266" max="11266" width="0" style="125" hidden="1" customWidth="1"/>
    <col min="11267" max="11267" width="8.5703125" style="125" customWidth="1"/>
    <col min="11268" max="11268" width="68.42578125" style="125" customWidth="1"/>
    <col min="11269" max="11269" width="11.85546875" style="125" customWidth="1"/>
    <col min="11270" max="11270" width="15.42578125" style="125" customWidth="1"/>
    <col min="11271" max="11271" width="23.28515625" style="125" customWidth="1"/>
    <col min="11272" max="11275" width="0" style="125" hidden="1" customWidth="1"/>
    <col min="11276" max="11276" width="13" style="125" bestFit="1" customWidth="1"/>
    <col min="11277" max="11277" width="14.7109375" style="125" bestFit="1" customWidth="1"/>
    <col min="11278" max="11278" width="9.140625" style="125"/>
    <col min="11279" max="11279" width="12.42578125" style="125" bestFit="1" customWidth="1"/>
    <col min="11280" max="11520" width="9.140625" style="125"/>
    <col min="11521" max="11521" width="6.28515625" style="125" customWidth="1"/>
    <col min="11522" max="11522" width="0" style="125" hidden="1" customWidth="1"/>
    <col min="11523" max="11523" width="8.5703125" style="125" customWidth="1"/>
    <col min="11524" max="11524" width="68.42578125" style="125" customWidth="1"/>
    <col min="11525" max="11525" width="11.85546875" style="125" customWidth="1"/>
    <col min="11526" max="11526" width="15.42578125" style="125" customWidth="1"/>
    <col min="11527" max="11527" width="23.28515625" style="125" customWidth="1"/>
    <col min="11528" max="11531" width="0" style="125" hidden="1" customWidth="1"/>
    <col min="11532" max="11532" width="13" style="125" bestFit="1" customWidth="1"/>
    <col min="11533" max="11533" width="14.7109375" style="125" bestFit="1" customWidth="1"/>
    <col min="11534" max="11534" width="9.140625" style="125"/>
    <col min="11535" max="11535" width="12.42578125" style="125" bestFit="1" customWidth="1"/>
    <col min="11536" max="11776" width="9.140625" style="125"/>
    <col min="11777" max="11777" width="6.28515625" style="125" customWidth="1"/>
    <col min="11778" max="11778" width="0" style="125" hidden="1" customWidth="1"/>
    <col min="11779" max="11779" width="8.5703125" style="125" customWidth="1"/>
    <col min="11780" max="11780" width="68.42578125" style="125" customWidth="1"/>
    <col min="11781" max="11781" width="11.85546875" style="125" customWidth="1"/>
    <col min="11782" max="11782" width="15.42578125" style="125" customWidth="1"/>
    <col min="11783" max="11783" width="23.28515625" style="125" customWidth="1"/>
    <col min="11784" max="11787" width="0" style="125" hidden="1" customWidth="1"/>
    <col min="11788" max="11788" width="13" style="125" bestFit="1" customWidth="1"/>
    <col min="11789" max="11789" width="14.7109375" style="125" bestFit="1" customWidth="1"/>
    <col min="11790" max="11790" width="9.140625" style="125"/>
    <col min="11791" max="11791" width="12.42578125" style="125" bestFit="1" customWidth="1"/>
    <col min="11792" max="12032" width="9.140625" style="125"/>
    <col min="12033" max="12033" width="6.28515625" style="125" customWidth="1"/>
    <col min="12034" max="12034" width="0" style="125" hidden="1" customWidth="1"/>
    <col min="12035" max="12035" width="8.5703125" style="125" customWidth="1"/>
    <col min="12036" max="12036" width="68.42578125" style="125" customWidth="1"/>
    <col min="12037" max="12037" width="11.85546875" style="125" customWidth="1"/>
    <col min="12038" max="12038" width="15.42578125" style="125" customWidth="1"/>
    <col min="12039" max="12039" width="23.28515625" style="125" customWidth="1"/>
    <col min="12040" max="12043" width="0" style="125" hidden="1" customWidth="1"/>
    <col min="12044" max="12044" width="13" style="125" bestFit="1" customWidth="1"/>
    <col min="12045" max="12045" width="14.7109375" style="125" bestFit="1" customWidth="1"/>
    <col min="12046" max="12046" width="9.140625" style="125"/>
    <col min="12047" max="12047" width="12.42578125" style="125" bestFit="1" customWidth="1"/>
    <col min="12048" max="12288" width="9.140625" style="125"/>
    <col min="12289" max="12289" width="6.28515625" style="125" customWidth="1"/>
    <col min="12290" max="12290" width="0" style="125" hidden="1" customWidth="1"/>
    <col min="12291" max="12291" width="8.5703125" style="125" customWidth="1"/>
    <col min="12292" max="12292" width="68.42578125" style="125" customWidth="1"/>
    <col min="12293" max="12293" width="11.85546875" style="125" customWidth="1"/>
    <col min="12294" max="12294" width="15.42578125" style="125" customWidth="1"/>
    <col min="12295" max="12295" width="23.28515625" style="125" customWidth="1"/>
    <col min="12296" max="12299" width="0" style="125" hidden="1" customWidth="1"/>
    <col min="12300" max="12300" width="13" style="125" bestFit="1" customWidth="1"/>
    <col min="12301" max="12301" width="14.7109375" style="125" bestFit="1" customWidth="1"/>
    <col min="12302" max="12302" width="9.140625" style="125"/>
    <col min="12303" max="12303" width="12.42578125" style="125" bestFit="1" customWidth="1"/>
    <col min="12304" max="12544" width="9.140625" style="125"/>
    <col min="12545" max="12545" width="6.28515625" style="125" customWidth="1"/>
    <col min="12546" max="12546" width="0" style="125" hidden="1" customWidth="1"/>
    <col min="12547" max="12547" width="8.5703125" style="125" customWidth="1"/>
    <col min="12548" max="12548" width="68.42578125" style="125" customWidth="1"/>
    <col min="12549" max="12549" width="11.85546875" style="125" customWidth="1"/>
    <col min="12550" max="12550" width="15.42578125" style="125" customWidth="1"/>
    <col min="12551" max="12551" width="23.28515625" style="125" customWidth="1"/>
    <col min="12552" max="12555" width="0" style="125" hidden="1" customWidth="1"/>
    <col min="12556" max="12556" width="13" style="125" bestFit="1" customWidth="1"/>
    <col min="12557" max="12557" width="14.7109375" style="125" bestFit="1" customWidth="1"/>
    <col min="12558" max="12558" width="9.140625" style="125"/>
    <col min="12559" max="12559" width="12.42578125" style="125" bestFit="1" customWidth="1"/>
    <col min="12560" max="12800" width="9.140625" style="125"/>
    <col min="12801" max="12801" width="6.28515625" style="125" customWidth="1"/>
    <col min="12802" max="12802" width="0" style="125" hidden="1" customWidth="1"/>
    <col min="12803" max="12803" width="8.5703125" style="125" customWidth="1"/>
    <col min="12804" max="12804" width="68.42578125" style="125" customWidth="1"/>
    <col min="12805" max="12805" width="11.85546875" style="125" customWidth="1"/>
    <col min="12806" max="12806" width="15.42578125" style="125" customWidth="1"/>
    <col min="12807" max="12807" width="23.28515625" style="125" customWidth="1"/>
    <col min="12808" max="12811" width="0" style="125" hidden="1" customWidth="1"/>
    <col min="12812" max="12812" width="13" style="125" bestFit="1" customWidth="1"/>
    <col min="12813" max="12813" width="14.7109375" style="125" bestFit="1" customWidth="1"/>
    <col min="12814" max="12814" width="9.140625" style="125"/>
    <col min="12815" max="12815" width="12.42578125" style="125" bestFit="1" customWidth="1"/>
    <col min="12816" max="13056" width="9.140625" style="125"/>
    <col min="13057" max="13057" width="6.28515625" style="125" customWidth="1"/>
    <col min="13058" max="13058" width="0" style="125" hidden="1" customWidth="1"/>
    <col min="13059" max="13059" width="8.5703125" style="125" customWidth="1"/>
    <col min="13060" max="13060" width="68.42578125" style="125" customWidth="1"/>
    <col min="13061" max="13061" width="11.85546875" style="125" customWidth="1"/>
    <col min="13062" max="13062" width="15.42578125" style="125" customWidth="1"/>
    <col min="13063" max="13063" width="23.28515625" style="125" customWidth="1"/>
    <col min="13064" max="13067" width="0" style="125" hidden="1" customWidth="1"/>
    <col min="13068" max="13068" width="13" style="125" bestFit="1" customWidth="1"/>
    <col min="13069" max="13069" width="14.7109375" style="125" bestFit="1" customWidth="1"/>
    <col min="13070" max="13070" width="9.140625" style="125"/>
    <col min="13071" max="13071" width="12.42578125" style="125" bestFit="1" customWidth="1"/>
    <col min="13072" max="13312" width="9.140625" style="125"/>
    <col min="13313" max="13313" width="6.28515625" style="125" customWidth="1"/>
    <col min="13314" max="13314" width="0" style="125" hidden="1" customWidth="1"/>
    <col min="13315" max="13315" width="8.5703125" style="125" customWidth="1"/>
    <col min="13316" max="13316" width="68.42578125" style="125" customWidth="1"/>
    <col min="13317" max="13317" width="11.85546875" style="125" customWidth="1"/>
    <col min="13318" max="13318" width="15.42578125" style="125" customWidth="1"/>
    <col min="13319" max="13319" width="23.28515625" style="125" customWidth="1"/>
    <col min="13320" max="13323" width="0" style="125" hidden="1" customWidth="1"/>
    <col min="13324" max="13324" width="13" style="125" bestFit="1" customWidth="1"/>
    <col min="13325" max="13325" width="14.7109375" style="125" bestFit="1" customWidth="1"/>
    <col min="13326" max="13326" width="9.140625" style="125"/>
    <col min="13327" max="13327" width="12.42578125" style="125" bestFit="1" customWidth="1"/>
    <col min="13328" max="13568" width="9.140625" style="125"/>
    <col min="13569" max="13569" width="6.28515625" style="125" customWidth="1"/>
    <col min="13570" max="13570" width="0" style="125" hidden="1" customWidth="1"/>
    <col min="13571" max="13571" width="8.5703125" style="125" customWidth="1"/>
    <col min="13572" max="13572" width="68.42578125" style="125" customWidth="1"/>
    <col min="13573" max="13573" width="11.85546875" style="125" customWidth="1"/>
    <col min="13574" max="13574" width="15.42578125" style="125" customWidth="1"/>
    <col min="13575" max="13575" width="23.28515625" style="125" customWidth="1"/>
    <col min="13576" max="13579" width="0" style="125" hidden="1" customWidth="1"/>
    <col min="13580" max="13580" width="13" style="125" bestFit="1" customWidth="1"/>
    <col min="13581" max="13581" width="14.7109375" style="125" bestFit="1" customWidth="1"/>
    <col min="13582" max="13582" width="9.140625" style="125"/>
    <col min="13583" max="13583" width="12.42578125" style="125" bestFit="1" customWidth="1"/>
    <col min="13584" max="13824" width="9.140625" style="125"/>
    <col min="13825" max="13825" width="6.28515625" style="125" customWidth="1"/>
    <col min="13826" max="13826" width="0" style="125" hidden="1" customWidth="1"/>
    <col min="13827" max="13827" width="8.5703125" style="125" customWidth="1"/>
    <col min="13828" max="13828" width="68.42578125" style="125" customWidth="1"/>
    <col min="13829" max="13829" width="11.85546875" style="125" customWidth="1"/>
    <col min="13830" max="13830" width="15.42578125" style="125" customWidth="1"/>
    <col min="13831" max="13831" width="23.28515625" style="125" customWidth="1"/>
    <col min="13832" max="13835" width="0" style="125" hidden="1" customWidth="1"/>
    <col min="13836" max="13836" width="13" style="125" bestFit="1" customWidth="1"/>
    <col min="13837" max="13837" width="14.7109375" style="125" bestFit="1" customWidth="1"/>
    <col min="13838" max="13838" width="9.140625" style="125"/>
    <col min="13839" max="13839" width="12.42578125" style="125" bestFit="1" customWidth="1"/>
    <col min="13840" max="14080" width="9.140625" style="125"/>
    <col min="14081" max="14081" width="6.28515625" style="125" customWidth="1"/>
    <col min="14082" max="14082" width="0" style="125" hidden="1" customWidth="1"/>
    <col min="14083" max="14083" width="8.5703125" style="125" customWidth="1"/>
    <col min="14084" max="14084" width="68.42578125" style="125" customWidth="1"/>
    <col min="14085" max="14085" width="11.85546875" style="125" customWidth="1"/>
    <col min="14086" max="14086" width="15.42578125" style="125" customWidth="1"/>
    <col min="14087" max="14087" width="23.28515625" style="125" customWidth="1"/>
    <col min="14088" max="14091" width="0" style="125" hidden="1" customWidth="1"/>
    <col min="14092" max="14092" width="13" style="125" bestFit="1" customWidth="1"/>
    <col min="14093" max="14093" width="14.7109375" style="125" bestFit="1" customWidth="1"/>
    <col min="14094" max="14094" width="9.140625" style="125"/>
    <col min="14095" max="14095" width="12.42578125" style="125" bestFit="1" customWidth="1"/>
    <col min="14096" max="14336" width="9.140625" style="125"/>
    <col min="14337" max="14337" width="6.28515625" style="125" customWidth="1"/>
    <col min="14338" max="14338" width="0" style="125" hidden="1" customWidth="1"/>
    <col min="14339" max="14339" width="8.5703125" style="125" customWidth="1"/>
    <col min="14340" max="14340" width="68.42578125" style="125" customWidth="1"/>
    <col min="14341" max="14341" width="11.85546875" style="125" customWidth="1"/>
    <col min="14342" max="14342" width="15.42578125" style="125" customWidth="1"/>
    <col min="14343" max="14343" width="23.28515625" style="125" customWidth="1"/>
    <col min="14344" max="14347" width="0" style="125" hidden="1" customWidth="1"/>
    <col min="14348" max="14348" width="13" style="125" bestFit="1" customWidth="1"/>
    <col min="14349" max="14349" width="14.7109375" style="125" bestFit="1" customWidth="1"/>
    <col min="14350" max="14350" width="9.140625" style="125"/>
    <col min="14351" max="14351" width="12.42578125" style="125" bestFit="1" customWidth="1"/>
    <col min="14352" max="14592" width="9.140625" style="125"/>
    <col min="14593" max="14593" width="6.28515625" style="125" customWidth="1"/>
    <col min="14594" max="14594" width="0" style="125" hidden="1" customWidth="1"/>
    <col min="14595" max="14595" width="8.5703125" style="125" customWidth="1"/>
    <col min="14596" max="14596" width="68.42578125" style="125" customWidth="1"/>
    <col min="14597" max="14597" width="11.85546875" style="125" customWidth="1"/>
    <col min="14598" max="14598" width="15.42578125" style="125" customWidth="1"/>
    <col min="14599" max="14599" width="23.28515625" style="125" customWidth="1"/>
    <col min="14600" max="14603" width="0" style="125" hidden="1" customWidth="1"/>
    <col min="14604" max="14604" width="13" style="125" bestFit="1" customWidth="1"/>
    <col min="14605" max="14605" width="14.7109375" style="125" bestFit="1" customWidth="1"/>
    <col min="14606" max="14606" width="9.140625" style="125"/>
    <col min="14607" max="14607" width="12.42578125" style="125" bestFit="1" customWidth="1"/>
    <col min="14608" max="14848" width="9.140625" style="125"/>
    <col min="14849" max="14849" width="6.28515625" style="125" customWidth="1"/>
    <col min="14850" max="14850" width="0" style="125" hidden="1" customWidth="1"/>
    <col min="14851" max="14851" width="8.5703125" style="125" customWidth="1"/>
    <col min="14852" max="14852" width="68.42578125" style="125" customWidth="1"/>
    <col min="14853" max="14853" width="11.85546875" style="125" customWidth="1"/>
    <col min="14854" max="14854" width="15.42578125" style="125" customWidth="1"/>
    <col min="14855" max="14855" width="23.28515625" style="125" customWidth="1"/>
    <col min="14856" max="14859" width="0" style="125" hidden="1" customWidth="1"/>
    <col min="14860" max="14860" width="13" style="125" bestFit="1" customWidth="1"/>
    <col min="14861" max="14861" width="14.7109375" style="125" bestFit="1" customWidth="1"/>
    <col min="14862" max="14862" width="9.140625" style="125"/>
    <col min="14863" max="14863" width="12.42578125" style="125" bestFit="1" customWidth="1"/>
    <col min="14864" max="15104" width="9.140625" style="125"/>
    <col min="15105" max="15105" width="6.28515625" style="125" customWidth="1"/>
    <col min="15106" max="15106" width="0" style="125" hidden="1" customWidth="1"/>
    <col min="15107" max="15107" width="8.5703125" style="125" customWidth="1"/>
    <col min="15108" max="15108" width="68.42578125" style="125" customWidth="1"/>
    <col min="15109" max="15109" width="11.85546875" style="125" customWidth="1"/>
    <col min="15110" max="15110" width="15.42578125" style="125" customWidth="1"/>
    <col min="15111" max="15111" width="23.28515625" style="125" customWidth="1"/>
    <col min="15112" max="15115" width="0" style="125" hidden="1" customWidth="1"/>
    <col min="15116" max="15116" width="13" style="125" bestFit="1" customWidth="1"/>
    <col min="15117" max="15117" width="14.7109375" style="125" bestFit="1" customWidth="1"/>
    <col min="15118" max="15118" width="9.140625" style="125"/>
    <col min="15119" max="15119" width="12.42578125" style="125" bestFit="1" customWidth="1"/>
    <col min="15120" max="15360" width="9.140625" style="125"/>
    <col min="15361" max="15361" width="6.28515625" style="125" customWidth="1"/>
    <col min="15362" max="15362" width="0" style="125" hidden="1" customWidth="1"/>
    <col min="15363" max="15363" width="8.5703125" style="125" customWidth="1"/>
    <col min="15364" max="15364" width="68.42578125" style="125" customWidth="1"/>
    <col min="15365" max="15365" width="11.85546875" style="125" customWidth="1"/>
    <col min="15366" max="15366" width="15.42578125" style="125" customWidth="1"/>
    <col min="15367" max="15367" width="23.28515625" style="125" customWidth="1"/>
    <col min="15368" max="15371" width="0" style="125" hidden="1" customWidth="1"/>
    <col min="15372" max="15372" width="13" style="125" bestFit="1" customWidth="1"/>
    <col min="15373" max="15373" width="14.7109375" style="125" bestFit="1" customWidth="1"/>
    <col min="15374" max="15374" width="9.140625" style="125"/>
    <col min="15375" max="15375" width="12.42578125" style="125" bestFit="1" customWidth="1"/>
    <col min="15376" max="15616" width="9.140625" style="125"/>
    <col min="15617" max="15617" width="6.28515625" style="125" customWidth="1"/>
    <col min="15618" max="15618" width="0" style="125" hidden="1" customWidth="1"/>
    <col min="15619" max="15619" width="8.5703125" style="125" customWidth="1"/>
    <col min="15620" max="15620" width="68.42578125" style="125" customWidth="1"/>
    <col min="15621" max="15621" width="11.85546875" style="125" customWidth="1"/>
    <col min="15622" max="15622" width="15.42578125" style="125" customWidth="1"/>
    <col min="15623" max="15623" width="23.28515625" style="125" customWidth="1"/>
    <col min="15624" max="15627" width="0" style="125" hidden="1" customWidth="1"/>
    <col min="15628" max="15628" width="13" style="125" bestFit="1" customWidth="1"/>
    <col min="15629" max="15629" width="14.7109375" style="125" bestFit="1" customWidth="1"/>
    <col min="15630" max="15630" width="9.140625" style="125"/>
    <col min="15631" max="15631" width="12.42578125" style="125" bestFit="1" customWidth="1"/>
    <col min="15632" max="15872" width="9.140625" style="125"/>
    <col min="15873" max="15873" width="6.28515625" style="125" customWidth="1"/>
    <col min="15874" max="15874" width="0" style="125" hidden="1" customWidth="1"/>
    <col min="15875" max="15875" width="8.5703125" style="125" customWidth="1"/>
    <col min="15876" max="15876" width="68.42578125" style="125" customWidth="1"/>
    <col min="15877" max="15877" width="11.85546875" style="125" customWidth="1"/>
    <col min="15878" max="15878" width="15.42578125" style="125" customWidth="1"/>
    <col min="15879" max="15879" width="23.28515625" style="125" customWidth="1"/>
    <col min="15880" max="15883" width="0" style="125" hidden="1" customWidth="1"/>
    <col min="15884" max="15884" width="13" style="125" bestFit="1" customWidth="1"/>
    <col min="15885" max="15885" width="14.7109375" style="125" bestFit="1" customWidth="1"/>
    <col min="15886" max="15886" width="9.140625" style="125"/>
    <col min="15887" max="15887" width="12.42578125" style="125" bestFit="1" customWidth="1"/>
    <col min="15888" max="16128" width="9.140625" style="125"/>
    <col min="16129" max="16129" width="6.28515625" style="125" customWidth="1"/>
    <col min="16130" max="16130" width="0" style="125" hidden="1" customWidth="1"/>
    <col min="16131" max="16131" width="8.5703125" style="125" customWidth="1"/>
    <col min="16132" max="16132" width="68.42578125" style="125" customWidth="1"/>
    <col min="16133" max="16133" width="11.85546875" style="125" customWidth="1"/>
    <col min="16134" max="16134" width="15.42578125" style="125" customWidth="1"/>
    <col min="16135" max="16135" width="23.28515625" style="125" customWidth="1"/>
    <col min="16136" max="16139" width="0" style="125" hidden="1" customWidth="1"/>
    <col min="16140" max="16140" width="13" style="125" bestFit="1" customWidth="1"/>
    <col min="16141" max="16141" width="14.7109375" style="125" bestFit="1" customWidth="1"/>
    <col min="16142" max="16142" width="9.140625" style="125"/>
    <col min="16143" max="16143" width="12.42578125" style="125" bestFit="1" customWidth="1"/>
    <col min="16144" max="16384" width="9.140625" style="125"/>
  </cols>
  <sheetData>
    <row r="1" spans="1:15" ht="48.75" customHeight="1">
      <c r="A1" s="123" t="s">
        <v>853</v>
      </c>
      <c r="B1" s="123"/>
      <c r="C1" s="123"/>
      <c r="D1" s="123"/>
      <c r="E1" s="123"/>
      <c r="F1" s="123"/>
      <c r="G1" s="123"/>
      <c r="H1" s="123"/>
      <c r="I1" s="123"/>
      <c r="J1" s="123"/>
      <c r="K1" s="123"/>
    </row>
    <row r="2" spans="1:15" ht="22.5" customHeight="1">
      <c r="A2" s="126"/>
      <c r="B2" s="127"/>
      <c r="C2" s="128"/>
      <c r="D2" s="129" t="s">
        <v>185</v>
      </c>
      <c r="E2" s="126"/>
      <c r="F2" s="127"/>
      <c r="G2" s="128"/>
      <c r="H2" s="130"/>
      <c r="I2" s="130"/>
      <c r="J2" s="130"/>
      <c r="K2" s="130"/>
    </row>
    <row r="3" spans="1:15" s="137" customFormat="1" ht="49.5" customHeight="1">
      <c r="A3" s="131" t="s">
        <v>186</v>
      </c>
      <c r="B3" s="132"/>
      <c r="C3" s="132" t="s">
        <v>187</v>
      </c>
      <c r="D3" s="498" t="s">
        <v>188</v>
      </c>
      <c r="E3" s="498" t="s">
        <v>189</v>
      </c>
      <c r="F3" s="134" t="s">
        <v>190</v>
      </c>
      <c r="G3" s="134" t="s">
        <v>191</v>
      </c>
      <c r="H3" s="135" t="s">
        <v>190</v>
      </c>
      <c r="I3" s="135" t="s">
        <v>191</v>
      </c>
      <c r="J3" s="135" t="s">
        <v>190</v>
      </c>
      <c r="K3" s="135" t="s">
        <v>191</v>
      </c>
      <c r="L3" s="136"/>
    </row>
    <row r="4" spans="1:15" s="137" customFormat="1" ht="64.5" customHeight="1">
      <c r="A4" s="138">
        <v>1</v>
      </c>
      <c r="B4" s="139">
        <v>420</v>
      </c>
      <c r="C4" s="499" t="s">
        <v>37</v>
      </c>
      <c r="D4" s="500" t="s">
        <v>854</v>
      </c>
      <c r="E4" s="142">
        <f>[15]Detail!I10</f>
        <v>18</v>
      </c>
      <c r="F4" s="142">
        <v>42000</v>
      </c>
      <c r="G4" s="142">
        <f>E4*F4</f>
        <v>756000</v>
      </c>
      <c r="H4" s="143">
        <v>295</v>
      </c>
      <c r="I4" s="144">
        <f>B4*H4</f>
        <v>123900</v>
      </c>
      <c r="J4" s="145">
        <v>289</v>
      </c>
      <c r="K4" s="146">
        <f>B4*J4</f>
        <v>121380</v>
      </c>
      <c r="L4" s="136"/>
      <c r="O4" s="147"/>
    </row>
    <row r="5" spans="1:15" s="137" customFormat="1" ht="64.5" customHeight="1">
      <c r="A5" s="138">
        <v>2</v>
      </c>
      <c r="B5" s="139"/>
      <c r="C5" s="499" t="s">
        <v>215</v>
      </c>
      <c r="D5" s="500" t="s">
        <v>225</v>
      </c>
      <c r="E5" s="142">
        <f>[15]Detail!I13</f>
        <v>1</v>
      </c>
      <c r="F5" s="142">
        <v>25000</v>
      </c>
      <c r="G5" s="142">
        <f>E5*F5</f>
        <v>25000</v>
      </c>
      <c r="H5" s="143"/>
      <c r="I5" s="144"/>
      <c r="J5" s="145"/>
      <c r="K5" s="146"/>
      <c r="L5" s="136"/>
      <c r="O5" s="147"/>
    </row>
    <row r="6" spans="1:15" s="137" customFormat="1" ht="30" customHeight="1">
      <c r="A6" s="148"/>
      <c r="B6" s="143"/>
      <c r="C6" s="149"/>
      <c r="D6" s="501" t="s">
        <v>193</v>
      </c>
      <c r="E6" s="502"/>
      <c r="F6" s="143"/>
      <c r="G6" s="142">
        <f>SUM(G4:G5)</f>
        <v>781000</v>
      </c>
      <c r="H6" s="143"/>
      <c r="I6" s="144">
        <f>SUM(I4:I4)</f>
        <v>123900</v>
      </c>
      <c r="J6" s="143"/>
      <c r="K6" s="144">
        <f>SUM(K4:K4)</f>
        <v>121380</v>
      </c>
      <c r="L6" s="136"/>
    </row>
    <row r="7" spans="1:15" s="160" customFormat="1" ht="33.75" customHeight="1">
      <c r="A7" s="153">
        <v>3</v>
      </c>
      <c r="B7" s="139"/>
      <c r="C7" s="154"/>
      <c r="D7" s="501" t="s">
        <v>855</v>
      </c>
      <c r="E7" s="503" t="s">
        <v>195</v>
      </c>
      <c r="F7" s="503"/>
      <c r="G7" s="504">
        <f>G6*18%</f>
        <v>140580</v>
      </c>
      <c r="H7" s="157"/>
      <c r="I7" s="158"/>
      <c r="J7" s="157"/>
      <c r="K7" s="146"/>
      <c r="L7" s="159"/>
      <c r="M7" s="159"/>
      <c r="N7" s="159"/>
    </row>
    <row r="8" spans="1:15" s="160" customFormat="1" ht="31.5" customHeight="1">
      <c r="A8" s="153"/>
      <c r="B8" s="139"/>
      <c r="C8" s="154"/>
      <c r="D8" s="505" t="s">
        <v>196</v>
      </c>
      <c r="E8" s="506"/>
      <c r="F8" s="507" t="s">
        <v>26</v>
      </c>
      <c r="G8" s="167">
        <f>SUM(G6:G7)</f>
        <v>921580</v>
      </c>
      <c r="H8" s="157"/>
      <c r="I8" s="158"/>
      <c r="J8" s="157"/>
      <c r="K8" s="146"/>
      <c r="L8" s="159"/>
      <c r="M8" s="159"/>
      <c r="N8" s="159"/>
    </row>
    <row r="9" spans="1:15" ht="37.5" customHeight="1">
      <c r="A9" s="153">
        <v>4</v>
      </c>
      <c r="B9" s="143"/>
      <c r="C9" s="165"/>
      <c r="D9" s="508" t="s">
        <v>197</v>
      </c>
      <c r="E9" s="503" t="s">
        <v>195</v>
      </c>
      <c r="F9" s="503"/>
      <c r="G9" s="167">
        <f>G8*1%</f>
        <v>9215.8000000000011</v>
      </c>
      <c r="H9" s="168"/>
      <c r="I9" s="168"/>
      <c r="J9" s="168"/>
      <c r="K9" s="169"/>
    </row>
    <row r="10" spans="1:15" ht="34.5" customHeight="1">
      <c r="A10" s="153">
        <v>5</v>
      </c>
      <c r="B10" s="143"/>
      <c r="C10" s="165"/>
      <c r="D10" s="508" t="s">
        <v>156</v>
      </c>
      <c r="E10" s="503" t="s">
        <v>195</v>
      </c>
      <c r="F10" s="503"/>
      <c r="G10" s="167">
        <f>G8*2.5%</f>
        <v>23039.5</v>
      </c>
      <c r="H10" s="168"/>
      <c r="I10" s="168"/>
      <c r="J10" s="168"/>
      <c r="K10" s="168"/>
    </row>
    <row r="11" spans="1:15" ht="37.5" customHeight="1">
      <c r="A11" s="153">
        <v>6</v>
      </c>
      <c r="B11" s="143"/>
      <c r="C11" s="165"/>
      <c r="D11" s="170" t="s">
        <v>32</v>
      </c>
      <c r="E11" s="503" t="s">
        <v>195</v>
      </c>
      <c r="F11" s="503"/>
      <c r="G11" s="167">
        <f>G8*7.5%</f>
        <v>69118.5</v>
      </c>
      <c r="H11" s="168"/>
      <c r="I11" s="168"/>
      <c r="J11" s="168"/>
      <c r="K11" s="168"/>
    </row>
    <row r="12" spans="1:15" ht="33" customHeight="1">
      <c r="A12" s="165"/>
      <c r="B12" s="143"/>
      <c r="C12" s="165"/>
      <c r="D12" s="509" t="s">
        <v>198</v>
      </c>
      <c r="E12" s="510"/>
      <c r="F12" s="511" t="s">
        <v>26</v>
      </c>
      <c r="G12" s="174">
        <f>SUM(G8:G11)</f>
        <v>1022953.8</v>
      </c>
      <c r="H12" s="168"/>
      <c r="I12" s="168"/>
      <c r="J12" s="168"/>
      <c r="K12" s="168"/>
    </row>
    <row r="13" spans="1:15" ht="28.5" customHeight="1">
      <c r="A13" s="165"/>
      <c r="B13" s="143"/>
      <c r="C13" s="165"/>
      <c r="D13" s="509" t="s">
        <v>199</v>
      </c>
      <c r="E13" s="512"/>
      <c r="F13" s="511" t="s">
        <v>26</v>
      </c>
      <c r="G13" s="176">
        <v>1023000</v>
      </c>
      <c r="H13" s="168"/>
      <c r="I13" s="168"/>
      <c r="J13" s="168"/>
      <c r="K13" s="168"/>
    </row>
    <row r="56" ht="3.75" customHeight="1"/>
  </sheetData>
  <mergeCells count="7">
    <mergeCell ref="E11:F11"/>
    <mergeCell ref="A1:K1"/>
    <mergeCell ref="A2:C2"/>
    <mergeCell ref="E2:G2"/>
    <mergeCell ref="E7:F7"/>
    <mergeCell ref="E9:F9"/>
    <mergeCell ref="E10:F10"/>
  </mergeCells>
  <printOptions horizontalCentered="1"/>
  <pageMargins left="0.2" right="0.19685039370078741" top="0.24" bottom="0.21" header="0.19685039370078741" footer="0.19685039370078741"/>
  <pageSetup paperSize="9" scale="80" orientation="portrait" r:id="rId1"/>
  <headerFooter>
    <oddHeader>&amp;L&amp;F&amp;RPage&amp;P</oddHeader>
  </headerFooter>
  <colBreaks count="2" manualBreakCount="2">
    <brk id="7" max="14" man="1"/>
    <brk id="11" max="1048575" man="1"/>
  </colBreaks>
</worksheet>
</file>

<file path=xl/worksheets/sheet21.xml><?xml version="1.0" encoding="utf-8"?>
<worksheet xmlns="http://schemas.openxmlformats.org/spreadsheetml/2006/main" xmlns:r="http://schemas.openxmlformats.org/officeDocument/2006/relationships">
  <dimension ref="A1:J18"/>
  <sheetViews>
    <sheetView workbookViewId="0">
      <selection activeCell="F9" sqref="F9"/>
    </sheetView>
  </sheetViews>
  <sheetFormatPr defaultRowHeight="15.75"/>
  <cols>
    <col min="1" max="1" width="6.140625" style="514" customWidth="1"/>
    <col min="2" max="2" width="35.85546875" style="514" customWidth="1"/>
    <col min="3" max="3" width="5.28515625" style="514" customWidth="1"/>
    <col min="4" max="4" width="5" style="514" customWidth="1"/>
    <col min="5" max="5" width="4.7109375" style="514" customWidth="1"/>
    <col min="6" max="6" width="7.5703125" style="514" customWidth="1"/>
    <col min="7" max="7" width="6.28515625" style="514" customWidth="1"/>
    <col min="8" max="8" width="8.42578125" style="514" customWidth="1"/>
    <col min="9" max="9" width="8.85546875" style="514" customWidth="1"/>
    <col min="10" max="10" width="8.5703125" style="514" customWidth="1"/>
    <col min="11" max="256" width="9.140625" style="514"/>
    <col min="257" max="257" width="6.140625" style="514" customWidth="1"/>
    <col min="258" max="258" width="35.85546875" style="514" customWidth="1"/>
    <col min="259" max="259" width="5.28515625" style="514" customWidth="1"/>
    <col min="260" max="260" width="5" style="514" customWidth="1"/>
    <col min="261" max="261" width="4.7109375" style="514" customWidth="1"/>
    <col min="262" max="262" width="7.5703125" style="514" customWidth="1"/>
    <col min="263" max="263" width="6.28515625" style="514" customWidth="1"/>
    <col min="264" max="264" width="8.42578125" style="514" customWidth="1"/>
    <col min="265" max="265" width="8.85546875" style="514" customWidth="1"/>
    <col min="266" max="266" width="8.5703125" style="514" customWidth="1"/>
    <col min="267" max="512" width="9.140625" style="514"/>
    <col min="513" max="513" width="6.140625" style="514" customWidth="1"/>
    <col min="514" max="514" width="35.85546875" style="514" customWidth="1"/>
    <col min="515" max="515" width="5.28515625" style="514" customWidth="1"/>
    <col min="516" max="516" width="5" style="514" customWidth="1"/>
    <col min="517" max="517" width="4.7109375" style="514" customWidth="1"/>
    <col min="518" max="518" width="7.5703125" style="514" customWidth="1"/>
    <col min="519" max="519" width="6.28515625" style="514" customWidth="1"/>
    <col min="520" max="520" width="8.42578125" style="514" customWidth="1"/>
    <col min="521" max="521" width="8.85546875" style="514" customWidth="1"/>
    <col min="522" max="522" width="8.5703125" style="514" customWidth="1"/>
    <col min="523" max="768" width="9.140625" style="514"/>
    <col min="769" max="769" width="6.140625" style="514" customWidth="1"/>
    <col min="770" max="770" width="35.85546875" style="514" customWidth="1"/>
    <col min="771" max="771" width="5.28515625" style="514" customWidth="1"/>
    <col min="772" max="772" width="5" style="514" customWidth="1"/>
    <col min="773" max="773" width="4.7109375" style="514" customWidth="1"/>
    <col min="774" max="774" width="7.5703125" style="514" customWidth="1"/>
    <col min="775" max="775" width="6.28515625" style="514" customWidth="1"/>
    <col min="776" max="776" width="8.42578125" style="514" customWidth="1"/>
    <col min="777" max="777" width="8.85546875" style="514" customWidth="1"/>
    <col min="778" max="778" width="8.5703125" style="514" customWidth="1"/>
    <col min="779" max="1024" width="9.140625" style="514"/>
    <col min="1025" max="1025" width="6.140625" style="514" customWidth="1"/>
    <col min="1026" max="1026" width="35.85546875" style="514" customWidth="1"/>
    <col min="1027" max="1027" width="5.28515625" style="514" customWidth="1"/>
    <col min="1028" max="1028" width="5" style="514" customWidth="1"/>
    <col min="1029" max="1029" width="4.7109375" style="514" customWidth="1"/>
    <col min="1030" max="1030" width="7.5703125" style="514" customWidth="1"/>
    <col min="1031" max="1031" width="6.28515625" style="514" customWidth="1"/>
    <col min="1032" max="1032" width="8.42578125" style="514" customWidth="1"/>
    <col min="1033" max="1033" width="8.85546875" style="514" customWidth="1"/>
    <col min="1034" max="1034" width="8.5703125" style="514" customWidth="1"/>
    <col min="1035" max="1280" width="9.140625" style="514"/>
    <col min="1281" max="1281" width="6.140625" style="514" customWidth="1"/>
    <col min="1282" max="1282" width="35.85546875" style="514" customWidth="1"/>
    <col min="1283" max="1283" width="5.28515625" style="514" customWidth="1"/>
    <col min="1284" max="1284" width="5" style="514" customWidth="1"/>
    <col min="1285" max="1285" width="4.7109375" style="514" customWidth="1"/>
    <col min="1286" max="1286" width="7.5703125" style="514" customWidth="1"/>
    <col min="1287" max="1287" width="6.28515625" style="514" customWidth="1"/>
    <col min="1288" max="1288" width="8.42578125" style="514" customWidth="1"/>
    <col min="1289" max="1289" width="8.85546875" style="514" customWidth="1"/>
    <col min="1290" max="1290" width="8.5703125" style="514" customWidth="1"/>
    <col min="1291" max="1536" width="9.140625" style="514"/>
    <col min="1537" max="1537" width="6.140625" style="514" customWidth="1"/>
    <col min="1538" max="1538" width="35.85546875" style="514" customWidth="1"/>
    <col min="1539" max="1539" width="5.28515625" style="514" customWidth="1"/>
    <col min="1540" max="1540" width="5" style="514" customWidth="1"/>
    <col min="1541" max="1541" width="4.7109375" style="514" customWidth="1"/>
    <col min="1542" max="1542" width="7.5703125" style="514" customWidth="1"/>
    <col min="1543" max="1543" width="6.28515625" style="514" customWidth="1"/>
    <col min="1544" max="1544" width="8.42578125" style="514" customWidth="1"/>
    <col min="1545" max="1545" width="8.85546875" style="514" customWidth="1"/>
    <col min="1546" max="1546" width="8.5703125" style="514" customWidth="1"/>
    <col min="1547" max="1792" width="9.140625" style="514"/>
    <col min="1793" max="1793" width="6.140625" style="514" customWidth="1"/>
    <col min="1794" max="1794" width="35.85546875" style="514" customWidth="1"/>
    <col min="1795" max="1795" width="5.28515625" style="514" customWidth="1"/>
    <col min="1796" max="1796" width="5" style="514" customWidth="1"/>
    <col min="1797" max="1797" width="4.7109375" style="514" customWidth="1"/>
    <col min="1798" max="1798" width="7.5703125" style="514" customWidth="1"/>
    <col min="1799" max="1799" width="6.28515625" style="514" customWidth="1"/>
    <col min="1800" max="1800" width="8.42578125" style="514" customWidth="1"/>
    <col min="1801" max="1801" width="8.85546875" style="514" customWidth="1"/>
    <col min="1802" max="1802" width="8.5703125" style="514" customWidth="1"/>
    <col min="1803" max="2048" width="9.140625" style="514"/>
    <col min="2049" max="2049" width="6.140625" style="514" customWidth="1"/>
    <col min="2050" max="2050" width="35.85546875" style="514" customWidth="1"/>
    <col min="2051" max="2051" width="5.28515625" style="514" customWidth="1"/>
    <col min="2052" max="2052" width="5" style="514" customWidth="1"/>
    <col min="2053" max="2053" width="4.7109375" style="514" customWidth="1"/>
    <col min="2054" max="2054" width="7.5703125" style="514" customWidth="1"/>
    <col min="2055" max="2055" width="6.28515625" style="514" customWidth="1"/>
    <col min="2056" max="2056" width="8.42578125" style="514" customWidth="1"/>
    <col min="2057" max="2057" width="8.85546875" style="514" customWidth="1"/>
    <col min="2058" max="2058" width="8.5703125" style="514" customWidth="1"/>
    <col min="2059" max="2304" width="9.140625" style="514"/>
    <col min="2305" max="2305" width="6.140625" style="514" customWidth="1"/>
    <col min="2306" max="2306" width="35.85546875" style="514" customWidth="1"/>
    <col min="2307" max="2307" width="5.28515625" style="514" customWidth="1"/>
    <col min="2308" max="2308" width="5" style="514" customWidth="1"/>
    <col min="2309" max="2309" width="4.7109375" style="514" customWidth="1"/>
    <col min="2310" max="2310" width="7.5703125" style="514" customWidth="1"/>
    <col min="2311" max="2311" width="6.28515625" style="514" customWidth="1"/>
    <col min="2312" max="2312" width="8.42578125" style="514" customWidth="1"/>
    <col min="2313" max="2313" width="8.85546875" style="514" customWidth="1"/>
    <col min="2314" max="2314" width="8.5703125" style="514" customWidth="1"/>
    <col min="2315" max="2560" width="9.140625" style="514"/>
    <col min="2561" max="2561" width="6.140625" style="514" customWidth="1"/>
    <col min="2562" max="2562" width="35.85546875" style="514" customWidth="1"/>
    <col min="2563" max="2563" width="5.28515625" style="514" customWidth="1"/>
    <col min="2564" max="2564" width="5" style="514" customWidth="1"/>
    <col min="2565" max="2565" width="4.7109375" style="514" customWidth="1"/>
    <col min="2566" max="2566" width="7.5703125" style="514" customWidth="1"/>
    <col min="2567" max="2567" width="6.28515625" style="514" customWidth="1"/>
    <col min="2568" max="2568" width="8.42578125" style="514" customWidth="1"/>
    <col min="2569" max="2569" width="8.85546875" style="514" customWidth="1"/>
    <col min="2570" max="2570" width="8.5703125" style="514" customWidth="1"/>
    <col min="2571" max="2816" width="9.140625" style="514"/>
    <col min="2817" max="2817" width="6.140625" style="514" customWidth="1"/>
    <col min="2818" max="2818" width="35.85546875" style="514" customWidth="1"/>
    <col min="2819" max="2819" width="5.28515625" style="514" customWidth="1"/>
    <col min="2820" max="2820" width="5" style="514" customWidth="1"/>
    <col min="2821" max="2821" width="4.7109375" style="514" customWidth="1"/>
    <col min="2822" max="2822" width="7.5703125" style="514" customWidth="1"/>
    <col min="2823" max="2823" width="6.28515625" style="514" customWidth="1"/>
    <col min="2824" max="2824" width="8.42578125" style="514" customWidth="1"/>
    <col min="2825" max="2825" width="8.85546875" style="514" customWidth="1"/>
    <col min="2826" max="2826" width="8.5703125" style="514" customWidth="1"/>
    <col min="2827" max="3072" width="9.140625" style="514"/>
    <col min="3073" max="3073" width="6.140625" style="514" customWidth="1"/>
    <col min="3074" max="3074" width="35.85546875" style="514" customWidth="1"/>
    <col min="3075" max="3075" width="5.28515625" style="514" customWidth="1"/>
    <col min="3076" max="3076" width="5" style="514" customWidth="1"/>
    <col min="3077" max="3077" width="4.7109375" style="514" customWidth="1"/>
    <col min="3078" max="3078" width="7.5703125" style="514" customWidth="1"/>
    <col min="3079" max="3079" width="6.28515625" style="514" customWidth="1"/>
    <col min="3080" max="3080" width="8.42578125" style="514" customWidth="1"/>
    <col min="3081" max="3081" width="8.85546875" style="514" customWidth="1"/>
    <col min="3082" max="3082" width="8.5703125" style="514" customWidth="1"/>
    <col min="3083" max="3328" width="9.140625" style="514"/>
    <col min="3329" max="3329" width="6.140625" style="514" customWidth="1"/>
    <col min="3330" max="3330" width="35.85546875" style="514" customWidth="1"/>
    <col min="3331" max="3331" width="5.28515625" style="514" customWidth="1"/>
    <col min="3332" max="3332" width="5" style="514" customWidth="1"/>
    <col min="3333" max="3333" width="4.7109375" style="514" customWidth="1"/>
    <col min="3334" max="3334" width="7.5703125" style="514" customWidth="1"/>
    <col min="3335" max="3335" width="6.28515625" style="514" customWidth="1"/>
    <col min="3336" max="3336" width="8.42578125" style="514" customWidth="1"/>
    <col min="3337" max="3337" width="8.85546875" style="514" customWidth="1"/>
    <col min="3338" max="3338" width="8.5703125" style="514" customWidth="1"/>
    <col min="3339" max="3584" width="9.140625" style="514"/>
    <col min="3585" max="3585" width="6.140625" style="514" customWidth="1"/>
    <col min="3586" max="3586" width="35.85546875" style="514" customWidth="1"/>
    <col min="3587" max="3587" width="5.28515625" style="514" customWidth="1"/>
    <col min="3588" max="3588" width="5" style="514" customWidth="1"/>
    <col min="3589" max="3589" width="4.7109375" style="514" customWidth="1"/>
    <col min="3590" max="3590" width="7.5703125" style="514" customWidth="1"/>
    <col min="3591" max="3591" width="6.28515625" style="514" customWidth="1"/>
    <col min="3592" max="3592" width="8.42578125" style="514" customWidth="1"/>
    <col min="3593" max="3593" width="8.85546875" style="514" customWidth="1"/>
    <col min="3594" max="3594" width="8.5703125" style="514" customWidth="1"/>
    <col min="3595" max="3840" width="9.140625" style="514"/>
    <col min="3841" max="3841" width="6.140625" style="514" customWidth="1"/>
    <col min="3842" max="3842" width="35.85546875" style="514" customWidth="1"/>
    <col min="3843" max="3843" width="5.28515625" style="514" customWidth="1"/>
    <col min="3844" max="3844" width="5" style="514" customWidth="1"/>
    <col min="3845" max="3845" width="4.7109375" style="514" customWidth="1"/>
    <col min="3846" max="3846" width="7.5703125" style="514" customWidth="1"/>
    <col min="3847" max="3847" width="6.28515625" style="514" customWidth="1"/>
    <col min="3848" max="3848" width="8.42578125" style="514" customWidth="1"/>
    <col min="3849" max="3849" width="8.85546875" style="514" customWidth="1"/>
    <col min="3850" max="3850" width="8.5703125" style="514" customWidth="1"/>
    <col min="3851" max="4096" width="9.140625" style="514"/>
    <col min="4097" max="4097" width="6.140625" style="514" customWidth="1"/>
    <col min="4098" max="4098" width="35.85546875" style="514" customWidth="1"/>
    <col min="4099" max="4099" width="5.28515625" style="514" customWidth="1"/>
    <col min="4100" max="4100" width="5" style="514" customWidth="1"/>
    <col min="4101" max="4101" width="4.7109375" style="514" customWidth="1"/>
    <col min="4102" max="4102" width="7.5703125" style="514" customWidth="1"/>
    <col min="4103" max="4103" width="6.28515625" style="514" customWidth="1"/>
    <col min="4104" max="4104" width="8.42578125" style="514" customWidth="1"/>
    <col min="4105" max="4105" width="8.85546875" style="514" customWidth="1"/>
    <col min="4106" max="4106" width="8.5703125" style="514" customWidth="1"/>
    <col min="4107" max="4352" width="9.140625" style="514"/>
    <col min="4353" max="4353" width="6.140625" style="514" customWidth="1"/>
    <col min="4354" max="4354" width="35.85546875" style="514" customWidth="1"/>
    <col min="4355" max="4355" width="5.28515625" style="514" customWidth="1"/>
    <col min="4356" max="4356" width="5" style="514" customWidth="1"/>
    <col min="4357" max="4357" width="4.7109375" style="514" customWidth="1"/>
    <col min="4358" max="4358" width="7.5703125" style="514" customWidth="1"/>
    <col min="4359" max="4359" width="6.28515625" style="514" customWidth="1"/>
    <col min="4360" max="4360" width="8.42578125" style="514" customWidth="1"/>
    <col min="4361" max="4361" width="8.85546875" style="514" customWidth="1"/>
    <col min="4362" max="4362" width="8.5703125" style="514" customWidth="1"/>
    <col min="4363" max="4608" width="9.140625" style="514"/>
    <col min="4609" max="4609" width="6.140625" style="514" customWidth="1"/>
    <col min="4610" max="4610" width="35.85546875" style="514" customWidth="1"/>
    <col min="4611" max="4611" width="5.28515625" style="514" customWidth="1"/>
    <col min="4612" max="4612" width="5" style="514" customWidth="1"/>
    <col min="4613" max="4613" width="4.7109375" style="514" customWidth="1"/>
    <col min="4614" max="4614" width="7.5703125" style="514" customWidth="1"/>
    <col min="4615" max="4615" width="6.28515625" style="514" customWidth="1"/>
    <col min="4616" max="4616" width="8.42578125" style="514" customWidth="1"/>
    <col min="4617" max="4617" width="8.85546875" style="514" customWidth="1"/>
    <col min="4618" max="4618" width="8.5703125" style="514" customWidth="1"/>
    <col min="4619" max="4864" width="9.140625" style="514"/>
    <col min="4865" max="4865" width="6.140625" style="514" customWidth="1"/>
    <col min="4866" max="4866" width="35.85546875" style="514" customWidth="1"/>
    <col min="4867" max="4867" width="5.28515625" style="514" customWidth="1"/>
    <col min="4868" max="4868" width="5" style="514" customWidth="1"/>
    <col min="4869" max="4869" width="4.7109375" style="514" customWidth="1"/>
    <col min="4870" max="4870" width="7.5703125" style="514" customWidth="1"/>
    <col min="4871" max="4871" width="6.28515625" style="514" customWidth="1"/>
    <col min="4872" max="4872" width="8.42578125" style="514" customWidth="1"/>
    <col min="4873" max="4873" width="8.85546875" style="514" customWidth="1"/>
    <col min="4874" max="4874" width="8.5703125" style="514" customWidth="1"/>
    <col min="4875" max="5120" width="9.140625" style="514"/>
    <col min="5121" max="5121" width="6.140625" style="514" customWidth="1"/>
    <col min="5122" max="5122" width="35.85546875" style="514" customWidth="1"/>
    <col min="5123" max="5123" width="5.28515625" style="514" customWidth="1"/>
    <col min="5124" max="5124" width="5" style="514" customWidth="1"/>
    <col min="5125" max="5125" width="4.7109375" style="514" customWidth="1"/>
    <col min="5126" max="5126" width="7.5703125" style="514" customWidth="1"/>
    <col min="5127" max="5127" width="6.28515625" style="514" customWidth="1"/>
    <col min="5128" max="5128" width="8.42578125" style="514" customWidth="1"/>
    <col min="5129" max="5129" width="8.85546875" style="514" customWidth="1"/>
    <col min="5130" max="5130" width="8.5703125" style="514" customWidth="1"/>
    <col min="5131" max="5376" width="9.140625" style="514"/>
    <col min="5377" max="5377" width="6.140625" style="514" customWidth="1"/>
    <col min="5378" max="5378" width="35.85546875" style="514" customWidth="1"/>
    <col min="5379" max="5379" width="5.28515625" style="514" customWidth="1"/>
    <col min="5380" max="5380" width="5" style="514" customWidth="1"/>
    <col min="5381" max="5381" width="4.7109375" style="514" customWidth="1"/>
    <col min="5382" max="5382" width="7.5703125" style="514" customWidth="1"/>
    <col min="5383" max="5383" width="6.28515625" style="514" customWidth="1"/>
    <col min="5384" max="5384" width="8.42578125" style="514" customWidth="1"/>
    <col min="5385" max="5385" width="8.85546875" style="514" customWidth="1"/>
    <col min="5386" max="5386" width="8.5703125" style="514" customWidth="1"/>
    <col min="5387" max="5632" width="9.140625" style="514"/>
    <col min="5633" max="5633" width="6.140625" style="514" customWidth="1"/>
    <col min="5634" max="5634" width="35.85546875" style="514" customWidth="1"/>
    <col min="5635" max="5635" width="5.28515625" style="514" customWidth="1"/>
    <col min="5636" max="5636" width="5" style="514" customWidth="1"/>
    <col min="5637" max="5637" width="4.7109375" style="514" customWidth="1"/>
    <col min="5638" max="5638" width="7.5703125" style="514" customWidth="1"/>
    <col min="5639" max="5639" width="6.28515625" style="514" customWidth="1"/>
    <col min="5640" max="5640" width="8.42578125" style="514" customWidth="1"/>
    <col min="5641" max="5641" width="8.85546875" style="514" customWidth="1"/>
    <col min="5642" max="5642" width="8.5703125" style="514" customWidth="1"/>
    <col min="5643" max="5888" width="9.140625" style="514"/>
    <col min="5889" max="5889" width="6.140625" style="514" customWidth="1"/>
    <col min="5890" max="5890" width="35.85546875" style="514" customWidth="1"/>
    <col min="5891" max="5891" width="5.28515625" style="514" customWidth="1"/>
    <col min="5892" max="5892" width="5" style="514" customWidth="1"/>
    <col min="5893" max="5893" width="4.7109375" style="514" customWidth="1"/>
    <col min="5894" max="5894" width="7.5703125" style="514" customWidth="1"/>
    <col min="5895" max="5895" width="6.28515625" style="514" customWidth="1"/>
    <col min="5896" max="5896" width="8.42578125" style="514" customWidth="1"/>
    <col min="5897" max="5897" width="8.85546875" style="514" customWidth="1"/>
    <col min="5898" max="5898" width="8.5703125" style="514" customWidth="1"/>
    <col min="5899" max="6144" width="9.140625" style="514"/>
    <col min="6145" max="6145" width="6.140625" style="514" customWidth="1"/>
    <col min="6146" max="6146" width="35.85546875" style="514" customWidth="1"/>
    <col min="6147" max="6147" width="5.28515625" style="514" customWidth="1"/>
    <col min="6148" max="6148" width="5" style="514" customWidth="1"/>
    <col min="6149" max="6149" width="4.7109375" style="514" customWidth="1"/>
    <col min="6150" max="6150" width="7.5703125" style="514" customWidth="1"/>
    <col min="6151" max="6151" width="6.28515625" style="514" customWidth="1"/>
    <col min="6152" max="6152" width="8.42578125" style="514" customWidth="1"/>
    <col min="6153" max="6153" width="8.85546875" style="514" customWidth="1"/>
    <col min="6154" max="6154" width="8.5703125" style="514" customWidth="1"/>
    <col min="6155" max="6400" width="9.140625" style="514"/>
    <col min="6401" max="6401" width="6.140625" style="514" customWidth="1"/>
    <col min="6402" max="6402" width="35.85546875" style="514" customWidth="1"/>
    <col min="6403" max="6403" width="5.28515625" style="514" customWidth="1"/>
    <col min="6404" max="6404" width="5" style="514" customWidth="1"/>
    <col min="6405" max="6405" width="4.7109375" style="514" customWidth="1"/>
    <col min="6406" max="6406" width="7.5703125" style="514" customWidth="1"/>
    <col min="6407" max="6407" width="6.28515625" style="514" customWidth="1"/>
    <col min="6408" max="6408" width="8.42578125" style="514" customWidth="1"/>
    <col min="6409" max="6409" width="8.85546875" style="514" customWidth="1"/>
    <col min="6410" max="6410" width="8.5703125" style="514" customWidth="1"/>
    <col min="6411" max="6656" width="9.140625" style="514"/>
    <col min="6657" max="6657" width="6.140625" style="514" customWidth="1"/>
    <col min="6658" max="6658" width="35.85546875" style="514" customWidth="1"/>
    <col min="6659" max="6659" width="5.28515625" style="514" customWidth="1"/>
    <col min="6660" max="6660" width="5" style="514" customWidth="1"/>
    <col min="6661" max="6661" width="4.7109375" style="514" customWidth="1"/>
    <col min="6662" max="6662" width="7.5703125" style="514" customWidth="1"/>
    <col min="6663" max="6663" width="6.28515625" style="514" customWidth="1"/>
    <col min="6664" max="6664" width="8.42578125" style="514" customWidth="1"/>
    <col min="6665" max="6665" width="8.85546875" style="514" customWidth="1"/>
    <col min="6666" max="6666" width="8.5703125" style="514" customWidth="1"/>
    <col min="6667" max="6912" width="9.140625" style="514"/>
    <col min="6913" max="6913" width="6.140625" style="514" customWidth="1"/>
    <col min="6914" max="6914" width="35.85546875" style="514" customWidth="1"/>
    <col min="6915" max="6915" width="5.28515625" style="514" customWidth="1"/>
    <col min="6916" max="6916" width="5" style="514" customWidth="1"/>
    <col min="6917" max="6917" width="4.7109375" style="514" customWidth="1"/>
    <col min="6918" max="6918" width="7.5703125" style="514" customWidth="1"/>
    <col min="6919" max="6919" width="6.28515625" style="514" customWidth="1"/>
    <col min="6920" max="6920" width="8.42578125" style="514" customWidth="1"/>
    <col min="6921" max="6921" width="8.85546875" style="514" customWidth="1"/>
    <col min="6922" max="6922" width="8.5703125" style="514" customWidth="1"/>
    <col min="6923" max="7168" width="9.140625" style="514"/>
    <col min="7169" max="7169" width="6.140625" style="514" customWidth="1"/>
    <col min="7170" max="7170" width="35.85546875" style="514" customWidth="1"/>
    <col min="7171" max="7171" width="5.28515625" style="514" customWidth="1"/>
    <col min="7172" max="7172" width="5" style="514" customWidth="1"/>
    <col min="7173" max="7173" width="4.7109375" style="514" customWidth="1"/>
    <col min="7174" max="7174" width="7.5703125" style="514" customWidth="1"/>
    <col min="7175" max="7175" width="6.28515625" style="514" customWidth="1"/>
    <col min="7176" max="7176" width="8.42578125" style="514" customWidth="1"/>
    <col min="7177" max="7177" width="8.85546875" style="514" customWidth="1"/>
    <col min="7178" max="7178" width="8.5703125" style="514" customWidth="1"/>
    <col min="7179" max="7424" width="9.140625" style="514"/>
    <col min="7425" max="7425" width="6.140625" style="514" customWidth="1"/>
    <col min="7426" max="7426" width="35.85546875" style="514" customWidth="1"/>
    <col min="7427" max="7427" width="5.28515625" style="514" customWidth="1"/>
    <col min="7428" max="7428" width="5" style="514" customWidth="1"/>
    <col min="7429" max="7429" width="4.7109375" style="514" customWidth="1"/>
    <col min="7430" max="7430" width="7.5703125" style="514" customWidth="1"/>
    <col min="7431" max="7431" width="6.28515625" style="514" customWidth="1"/>
    <col min="7432" max="7432" width="8.42578125" style="514" customWidth="1"/>
    <col min="7433" max="7433" width="8.85546875" style="514" customWidth="1"/>
    <col min="7434" max="7434" width="8.5703125" style="514" customWidth="1"/>
    <col min="7435" max="7680" width="9.140625" style="514"/>
    <col min="7681" max="7681" width="6.140625" style="514" customWidth="1"/>
    <col min="7682" max="7682" width="35.85546875" style="514" customWidth="1"/>
    <col min="7683" max="7683" width="5.28515625" style="514" customWidth="1"/>
    <col min="7684" max="7684" width="5" style="514" customWidth="1"/>
    <col min="7685" max="7685" width="4.7109375" style="514" customWidth="1"/>
    <col min="7686" max="7686" width="7.5703125" style="514" customWidth="1"/>
    <col min="7687" max="7687" width="6.28515625" style="514" customWidth="1"/>
    <col min="7688" max="7688" width="8.42578125" style="514" customWidth="1"/>
    <col min="7689" max="7689" width="8.85546875" style="514" customWidth="1"/>
    <col min="7690" max="7690" width="8.5703125" style="514" customWidth="1"/>
    <col min="7691" max="7936" width="9.140625" style="514"/>
    <col min="7937" max="7937" width="6.140625" style="514" customWidth="1"/>
    <col min="7938" max="7938" width="35.85546875" style="514" customWidth="1"/>
    <col min="7939" max="7939" width="5.28515625" style="514" customWidth="1"/>
    <col min="7940" max="7940" width="5" style="514" customWidth="1"/>
    <col min="7941" max="7941" width="4.7109375" style="514" customWidth="1"/>
    <col min="7942" max="7942" width="7.5703125" style="514" customWidth="1"/>
    <col min="7943" max="7943" width="6.28515625" style="514" customWidth="1"/>
    <col min="7944" max="7944" width="8.42578125" style="514" customWidth="1"/>
    <col min="7945" max="7945" width="8.85546875" style="514" customWidth="1"/>
    <col min="7946" max="7946" width="8.5703125" style="514" customWidth="1"/>
    <col min="7947" max="8192" width="9.140625" style="514"/>
    <col min="8193" max="8193" width="6.140625" style="514" customWidth="1"/>
    <col min="8194" max="8194" width="35.85546875" style="514" customWidth="1"/>
    <col min="8195" max="8195" width="5.28515625" style="514" customWidth="1"/>
    <col min="8196" max="8196" width="5" style="514" customWidth="1"/>
    <col min="8197" max="8197" width="4.7109375" style="514" customWidth="1"/>
    <col min="8198" max="8198" width="7.5703125" style="514" customWidth="1"/>
    <col min="8199" max="8199" width="6.28515625" style="514" customWidth="1"/>
    <col min="8200" max="8200" width="8.42578125" style="514" customWidth="1"/>
    <col min="8201" max="8201" width="8.85546875" style="514" customWidth="1"/>
    <col min="8202" max="8202" width="8.5703125" style="514" customWidth="1"/>
    <col min="8203" max="8448" width="9.140625" style="514"/>
    <col min="8449" max="8449" width="6.140625" style="514" customWidth="1"/>
    <col min="8450" max="8450" width="35.85546875" style="514" customWidth="1"/>
    <col min="8451" max="8451" width="5.28515625" style="514" customWidth="1"/>
    <col min="8452" max="8452" width="5" style="514" customWidth="1"/>
    <col min="8453" max="8453" width="4.7109375" style="514" customWidth="1"/>
    <col min="8454" max="8454" width="7.5703125" style="514" customWidth="1"/>
    <col min="8455" max="8455" width="6.28515625" style="514" customWidth="1"/>
    <col min="8456" max="8456" width="8.42578125" style="514" customWidth="1"/>
    <col min="8457" max="8457" width="8.85546875" style="514" customWidth="1"/>
    <col min="8458" max="8458" width="8.5703125" style="514" customWidth="1"/>
    <col min="8459" max="8704" width="9.140625" style="514"/>
    <col min="8705" max="8705" width="6.140625" style="514" customWidth="1"/>
    <col min="8706" max="8706" width="35.85546875" style="514" customWidth="1"/>
    <col min="8707" max="8707" width="5.28515625" style="514" customWidth="1"/>
    <col min="8708" max="8708" width="5" style="514" customWidth="1"/>
    <col min="8709" max="8709" width="4.7109375" style="514" customWidth="1"/>
    <col min="8710" max="8710" width="7.5703125" style="514" customWidth="1"/>
    <col min="8711" max="8711" width="6.28515625" style="514" customWidth="1"/>
    <col min="8712" max="8712" width="8.42578125" style="514" customWidth="1"/>
    <col min="8713" max="8713" width="8.85546875" style="514" customWidth="1"/>
    <col min="8714" max="8714" width="8.5703125" style="514" customWidth="1"/>
    <col min="8715" max="8960" width="9.140625" style="514"/>
    <col min="8961" max="8961" width="6.140625" style="514" customWidth="1"/>
    <col min="8962" max="8962" width="35.85546875" style="514" customWidth="1"/>
    <col min="8963" max="8963" width="5.28515625" style="514" customWidth="1"/>
    <col min="8964" max="8964" width="5" style="514" customWidth="1"/>
    <col min="8965" max="8965" width="4.7109375" style="514" customWidth="1"/>
    <col min="8966" max="8966" width="7.5703125" style="514" customWidth="1"/>
    <col min="8967" max="8967" width="6.28515625" style="514" customWidth="1"/>
    <col min="8968" max="8968" width="8.42578125" style="514" customWidth="1"/>
    <col min="8969" max="8969" width="8.85546875" style="514" customWidth="1"/>
    <col min="8970" max="8970" width="8.5703125" style="514" customWidth="1"/>
    <col min="8971" max="9216" width="9.140625" style="514"/>
    <col min="9217" max="9217" width="6.140625" style="514" customWidth="1"/>
    <col min="9218" max="9218" width="35.85546875" style="514" customWidth="1"/>
    <col min="9219" max="9219" width="5.28515625" style="514" customWidth="1"/>
    <col min="9220" max="9220" width="5" style="514" customWidth="1"/>
    <col min="9221" max="9221" width="4.7109375" style="514" customWidth="1"/>
    <col min="9222" max="9222" width="7.5703125" style="514" customWidth="1"/>
    <col min="9223" max="9223" width="6.28515625" style="514" customWidth="1"/>
    <col min="9224" max="9224" width="8.42578125" style="514" customWidth="1"/>
    <col min="9225" max="9225" width="8.85546875" style="514" customWidth="1"/>
    <col min="9226" max="9226" width="8.5703125" style="514" customWidth="1"/>
    <col min="9227" max="9472" width="9.140625" style="514"/>
    <col min="9473" max="9473" width="6.140625" style="514" customWidth="1"/>
    <col min="9474" max="9474" width="35.85546875" style="514" customWidth="1"/>
    <col min="9475" max="9475" width="5.28515625" style="514" customWidth="1"/>
    <col min="9476" max="9476" width="5" style="514" customWidth="1"/>
    <col min="9477" max="9477" width="4.7109375" style="514" customWidth="1"/>
    <col min="9478" max="9478" width="7.5703125" style="514" customWidth="1"/>
    <col min="9479" max="9479" width="6.28515625" style="514" customWidth="1"/>
    <col min="9480" max="9480" width="8.42578125" style="514" customWidth="1"/>
    <col min="9481" max="9481" width="8.85546875" style="514" customWidth="1"/>
    <col min="9482" max="9482" width="8.5703125" style="514" customWidth="1"/>
    <col min="9483" max="9728" width="9.140625" style="514"/>
    <col min="9729" max="9729" width="6.140625" style="514" customWidth="1"/>
    <col min="9730" max="9730" width="35.85546875" style="514" customWidth="1"/>
    <col min="9731" max="9731" width="5.28515625" style="514" customWidth="1"/>
    <col min="9732" max="9732" width="5" style="514" customWidth="1"/>
    <col min="9733" max="9733" width="4.7109375" style="514" customWidth="1"/>
    <col min="9734" max="9734" width="7.5703125" style="514" customWidth="1"/>
    <col min="9735" max="9735" width="6.28515625" style="514" customWidth="1"/>
    <col min="9736" max="9736" width="8.42578125" style="514" customWidth="1"/>
    <col min="9737" max="9737" width="8.85546875" style="514" customWidth="1"/>
    <col min="9738" max="9738" width="8.5703125" style="514" customWidth="1"/>
    <col min="9739" max="9984" width="9.140625" style="514"/>
    <col min="9985" max="9985" width="6.140625" style="514" customWidth="1"/>
    <col min="9986" max="9986" width="35.85546875" style="514" customWidth="1"/>
    <col min="9987" max="9987" width="5.28515625" style="514" customWidth="1"/>
    <col min="9988" max="9988" width="5" style="514" customWidth="1"/>
    <col min="9989" max="9989" width="4.7109375" style="514" customWidth="1"/>
    <col min="9990" max="9990" width="7.5703125" style="514" customWidth="1"/>
    <col min="9991" max="9991" width="6.28515625" style="514" customWidth="1"/>
    <col min="9992" max="9992" width="8.42578125" style="514" customWidth="1"/>
    <col min="9993" max="9993" width="8.85546875" style="514" customWidth="1"/>
    <col min="9994" max="9994" width="8.5703125" style="514" customWidth="1"/>
    <col min="9995" max="10240" width="9.140625" style="514"/>
    <col min="10241" max="10241" width="6.140625" style="514" customWidth="1"/>
    <col min="10242" max="10242" width="35.85546875" style="514" customWidth="1"/>
    <col min="10243" max="10243" width="5.28515625" style="514" customWidth="1"/>
    <col min="10244" max="10244" width="5" style="514" customWidth="1"/>
    <col min="10245" max="10245" width="4.7109375" style="514" customWidth="1"/>
    <col min="10246" max="10246" width="7.5703125" style="514" customWidth="1"/>
    <col min="10247" max="10247" width="6.28515625" style="514" customWidth="1"/>
    <col min="10248" max="10248" width="8.42578125" style="514" customWidth="1"/>
    <col min="10249" max="10249" width="8.85546875" style="514" customWidth="1"/>
    <col min="10250" max="10250" width="8.5703125" style="514" customWidth="1"/>
    <col min="10251" max="10496" width="9.140625" style="514"/>
    <col min="10497" max="10497" width="6.140625" style="514" customWidth="1"/>
    <col min="10498" max="10498" width="35.85546875" style="514" customWidth="1"/>
    <col min="10499" max="10499" width="5.28515625" style="514" customWidth="1"/>
    <col min="10500" max="10500" width="5" style="514" customWidth="1"/>
    <col min="10501" max="10501" width="4.7109375" style="514" customWidth="1"/>
    <col min="10502" max="10502" width="7.5703125" style="514" customWidth="1"/>
    <col min="10503" max="10503" width="6.28515625" style="514" customWidth="1"/>
    <col min="10504" max="10504" width="8.42578125" style="514" customWidth="1"/>
    <col min="10505" max="10505" width="8.85546875" style="514" customWidth="1"/>
    <col min="10506" max="10506" width="8.5703125" style="514" customWidth="1"/>
    <col min="10507" max="10752" width="9.140625" style="514"/>
    <col min="10753" max="10753" width="6.140625" style="514" customWidth="1"/>
    <col min="10754" max="10754" width="35.85546875" style="514" customWidth="1"/>
    <col min="10755" max="10755" width="5.28515625" style="514" customWidth="1"/>
    <col min="10756" max="10756" width="5" style="514" customWidth="1"/>
    <col min="10757" max="10757" width="4.7109375" style="514" customWidth="1"/>
    <col min="10758" max="10758" width="7.5703125" style="514" customWidth="1"/>
    <col min="10759" max="10759" width="6.28515625" style="514" customWidth="1"/>
    <col min="10760" max="10760" width="8.42578125" style="514" customWidth="1"/>
    <col min="10761" max="10761" width="8.85546875" style="514" customWidth="1"/>
    <col min="10762" max="10762" width="8.5703125" style="514" customWidth="1"/>
    <col min="10763" max="11008" width="9.140625" style="514"/>
    <col min="11009" max="11009" width="6.140625" style="514" customWidth="1"/>
    <col min="11010" max="11010" width="35.85546875" style="514" customWidth="1"/>
    <col min="11011" max="11011" width="5.28515625" style="514" customWidth="1"/>
    <col min="11012" max="11012" width="5" style="514" customWidth="1"/>
    <col min="11013" max="11013" width="4.7109375" style="514" customWidth="1"/>
    <col min="11014" max="11014" width="7.5703125" style="514" customWidth="1"/>
    <col min="11015" max="11015" width="6.28515625" style="514" customWidth="1"/>
    <col min="11016" max="11016" width="8.42578125" style="514" customWidth="1"/>
    <col min="11017" max="11017" width="8.85546875" style="514" customWidth="1"/>
    <col min="11018" max="11018" width="8.5703125" style="514" customWidth="1"/>
    <col min="11019" max="11264" width="9.140625" style="514"/>
    <col min="11265" max="11265" width="6.140625" style="514" customWidth="1"/>
    <col min="11266" max="11266" width="35.85546875" style="514" customWidth="1"/>
    <col min="11267" max="11267" width="5.28515625" style="514" customWidth="1"/>
    <col min="11268" max="11268" width="5" style="514" customWidth="1"/>
    <col min="11269" max="11269" width="4.7109375" style="514" customWidth="1"/>
    <col min="11270" max="11270" width="7.5703125" style="514" customWidth="1"/>
    <col min="11271" max="11271" width="6.28515625" style="514" customWidth="1"/>
    <col min="11272" max="11272" width="8.42578125" style="514" customWidth="1"/>
    <col min="11273" max="11273" width="8.85546875" style="514" customWidth="1"/>
    <col min="11274" max="11274" width="8.5703125" style="514" customWidth="1"/>
    <col min="11275" max="11520" width="9.140625" style="514"/>
    <col min="11521" max="11521" width="6.140625" style="514" customWidth="1"/>
    <col min="11522" max="11522" width="35.85546875" style="514" customWidth="1"/>
    <col min="11523" max="11523" width="5.28515625" style="514" customWidth="1"/>
    <col min="11524" max="11524" width="5" style="514" customWidth="1"/>
    <col min="11525" max="11525" width="4.7109375" style="514" customWidth="1"/>
    <col min="11526" max="11526" width="7.5703125" style="514" customWidth="1"/>
    <col min="11527" max="11527" width="6.28515625" style="514" customWidth="1"/>
    <col min="11528" max="11528" width="8.42578125" style="514" customWidth="1"/>
    <col min="11529" max="11529" width="8.85546875" style="514" customWidth="1"/>
    <col min="11530" max="11530" width="8.5703125" style="514" customWidth="1"/>
    <col min="11531" max="11776" width="9.140625" style="514"/>
    <col min="11777" max="11777" width="6.140625" style="514" customWidth="1"/>
    <col min="11778" max="11778" width="35.85546875" style="514" customWidth="1"/>
    <col min="11779" max="11779" width="5.28515625" style="514" customWidth="1"/>
    <col min="11780" max="11780" width="5" style="514" customWidth="1"/>
    <col min="11781" max="11781" width="4.7109375" style="514" customWidth="1"/>
    <col min="11782" max="11782" width="7.5703125" style="514" customWidth="1"/>
    <col min="11783" max="11783" width="6.28515625" style="514" customWidth="1"/>
    <col min="11784" max="11784" width="8.42578125" style="514" customWidth="1"/>
    <col min="11785" max="11785" width="8.85546875" style="514" customWidth="1"/>
    <col min="11786" max="11786" width="8.5703125" style="514" customWidth="1"/>
    <col min="11787" max="12032" width="9.140625" style="514"/>
    <col min="12033" max="12033" width="6.140625" style="514" customWidth="1"/>
    <col min="12034" max="12034" width="35.85546875" style="514" customWidth="1"/>
    <col min="12035" max="12035" width="5.28515625" style="514" customWidth="1"/>
    <col min="12036" max="12036" width="5" style="514" customWidth="1"/>
    <col min="12037" max="12037" width="4.7109375" style="514" customWidth="1"/>
    <col min="12038" max="12038" width="7.5703125" style="514" customWidth="1"/>
    <col min="12039" max="12039" width="6.28515625" style="514" customWidth="1"/>
    <col min="12040" max="12040" width="8.42578125" style="514" customWidth="1"/>
    <col min="12041" max="12041" width="8.85546875" style="514" customWidth="1"/>
    <col min="12042" max="12042" width="8.5703125" style="514" customWidth="1"/>
    <col min="12043" max="12288" width="9.140625" style="514"/>
    <col min="12289" max="12289" width="6.140625" style="514" customWidth="1"/>
    <col min="12290" max="12290" width="35.85546875" style="514" customWidth="1"/>
    <col min="12291" max="12291" width="5.28515625" style="514" customWidth="1"/>
    <col min="12292" max="12292" width="5" style="514" customWidth="1"/>
    <col min="12293" max="12293" width="4.7109375" style="514" customWidth="1"/>
    <col min="12294" max="12294" width="7.5703125" style="514" customWidth="1"/>
    <col min="12295" max="12295" width="6.28515625" style="514" customWidth="1"/>
    <col min="12296" max="12296" width="8.42578125" style="514" customWidth="1"/>
    <col min="12297" max="12297" width="8.85546875" style="514" customWidth="1"/>
    <col min="12298" max="12298" width="8.5703125" style="514" customWidth="1"/>
    <col min="12299" max="12544" width="9.140625" style="514"/>
    <col min="12545" max="12545" width="6.140625" style="514" customWidth="1"/>
    <col min="12546" max="12546" width="35.85546875" style="514" customWidth="1"/>
    <col min="12547" max="12547" width="5.28515625" style="514" customWidth="1"/>
    <col min="12548" max="12548" width="5" style="514" customWidth="1"/>
    <col min="12549" max="12549" width="4.7109375" style="514" customWidth="1"/>
    <col min="12550" max="12550" width="7.5703125" style="514" customWidth="1"/>
    <col min="12551" max="12551" width="6.28515625" style="514" customWidth="1"/>
    <col min="12552" max="12552" width="8.42578125" style="514" customWidth="1"/>
    <col min="12553" max="12553" width="8.85546875" style="514" customWidth="1"/>
    <col min="12554" max="12554" width="8.5703125" style="514" customWidth="1"/>
    <col min="12555" max="12800" width="9.140625" style="514"/>
    <col min="12801" max="12801" width="6.140625" style="514" customWidth="1"/>
    <col min="12802" max="12802" width="35.85546875" style="514" customWidth="1"/>
    <col min="12803" max="12803" width="5.28515625" style="514" customWidth="1"/>
    <col min="12804" max="12804" width="5" style="514" customWidth="1"/>
    <col min="12805" max="12805" width="4.7109375" style="514" customWidth="1"/>
    <col min="12806" max="12806" width="7.5703125" style="514" customWidth="1"/>
    <col min="12807" max="12807" width="6.28515625" style="514" customWidth="1"/>
    <col min="12808" max="12808" width="8.42578125" style="514" customWidth="1"/>
    <col min="12809" max="12809" width="8.85546875" style="514" customWidth="1"/>
    <col min="12810" max="12810" width="8.5703125" style="514" customWidth="1"/>
    <col min="12811" max="13056" width="9.140625" style="514"/>
    <col min="13057" max="13057" width="6.140625" style="514" customWidth="1"/>
    <col min="13058" max="13058" width="35.85546875" style="514" customWidth="1"/>
    <col min="13059" max="13059" width="5.28515625" style="514" customWidth="1"/>
    <col min="13060" max="13060" width="5" style="514" customWidth="1"/>
    <col min="13061" max="13061" width="4.7109375" style="514" customWidth="1"/>
    <col min="13062" max="13062" width="7.5703125" style="514" customWidth="1"/>
    <col min="13063" max="13063" width="6.28515625" style="514" customWidth="1"/>
    <col min="13064" max="13064" width="8.42578125" style="514" customWidth="1"/>
    <col min="13065" max="13065" width="8.85546875" style="514" customWidth="1"/>
    <col min="13066" max="13066" width="8.5703125" style="514" customWidth="1"/>
    <col min="13067" max="13312" width="9.140625" style="514"/>
    <col min="13313" max="13313" width="6.140625" style="514" customWidth="1"/>
    <col min="13314" max="13314" width="35.85546875" style="514" customWidth="1"/>
    <col min="13315" max="13315" width="5.28515625" style="514" customWidth="1"/>
    <col min="13316" max="13316" width="5" style="514" customWidth="1"/>
    <col min="13317" max="13317" width="4.7109375" style="514" customWidth="1"/>
    <col min="13318" max="13318" width="7.5703125" style="514" customWidth="1"/>
    <col min="13319" max="13319" width="6.28515625" style="514" customWidth="1"/>
    <col min="13320" max="13320" width="8.42578125" style="514" customWidth="1"/>
    <col min="13321" max="13321" width="8.85546875" style="514" customWidth="1"/>
    <col min="13322" max="13322" width="8.5703125" style="514" customWidth="1"/>
    <col min="13323" max="13568" width="9.140625" style="514"/>
    <col min="13569" max="13569" width="6.140625" style="514" customWidth="1"/>
    <col min="13570" max="13570" width="35.85546875" style="514" customWidth="1"/>
    <col min="13571" max="13571" width="5.28515625" style="514" customWidth="1"/>
    <col min="13572" max="13572" width="5" style="514" customWidth="1"/>
    <col min="13573" max="13573" width="4.7109375" style="514" customWidth="1"/>
    <col min="13574" max="13574" width="7.5703125" style="514" customWidth="1"/>
    <col min="13575" max="13575" width="6.28515625" style="514" customWidth="1"/>
    <col min="13576" max="13576" width="8.42578125" style="514" customWidth="1"/>
    <col min="13577" max="13577" width="8.85546875" style="514" customWidth="1"/>
    <col min="13578" max="13578" width="8.5703125" style="514" customWidth="1"/>
    <col min="13579" max="13824" width="9.140625" style="514"/>
    <col min="13825" max="13825" width="6.140625" style="514" customWidth="1"/>
    <col min="13826" max="13826" width="35.85546875" style="514" customWidth="1"/>
    <col min="13827" max="13827" width="5.28515625" style="514" customWidth="1"/>
    <col min="13828" max="13828" width="5" style="514" customWidth="1"/>
    <col min="13829" max="13829" width="4.7109375" style="514" customWidth="1"/>
    <col min="13830" max="13830" width="7.5703125" style="514" customWidth="1"/>
    <col min="13831" max="13831" width="6.28515625" style="514" customWidth="1"/>
    <col min="13832" max="13832" width="8.42578125" style="514" customWidth="1"/>
    <col min="13833" max="13833" width="8.85546875" style="514" customWidth="1"/>
    <col min="13834" max="13834" width="8.5703125" style="514" customWidth="1"/>
    <col min="13835" max="14080" width="9.140625" style="514"/>
    <col min="14081" max="14081" width="6.140625" style="514" customWidth="1"/>
    <col min="14082" max="14082" width="35.85546875" style="514" customWidth="1"/>
    <col min="14083" max="14083" width="5.28515625" style="514" customWidth="1"/>
    <col min="14084" max="14084" width="5" style="514" customWidth="1"/>
    <col min="14085" max="14085" width="4.7109375" style="514" customWidth="1"/>
    <col min="14086" max="14086" width="7.5703125" style="514" customWidth="1"/>
    <col min="14087" max="14087" width="6.28515625" style="514" customWidth="1"/>
    <col min="14088" max="14088" width="8.42578125" style="514" customWidth="1"/>
    <col min="14089" max="14089" width="8.85546875" style="514" customWidth="1"/>
    <col min="14090" max="14090" width="8.5703125" style="514" customWidth="1"/>
    <col min="14091" max="14336" width="9.140625" style="514"/>
    <col min="14337" max="14337" width="6.140625" style="514" customWidth="1"/>
    <col min="14338" max="14338" width="35.85546875" style="514" customWidth="1"/>
    <col min="14339" max="14339" width="5.28515625" style="514" customWidth="1"/>
    <col min="14340" max="14340" width="5" style="514" customWidth="1"/>
    <col min="14341" max="14341" width="4.7109375" style="514" customWidth="1"/>
    <col min="14342" max="14342" width="7.5703125" style="514" customWidth="1"/>
    <col min="14343" max="14343" width="6.28515625" style="514" customWidth="1"/>
    <col min="14344" max="14344" width="8.42578125" style="514" customWidth="1"/>
    <col min="14345" max="14345" width="8.85546875" style="514" customWidth="1"/>
    <col min="14346" max="14346" width="8.5703125" style="514" customWidth="1"/>
    <col min="14347" max="14592" width="9.140625" style="514"/>
    <col min="14593" max="14593" width="6.140625" style="514" customWidth="1"/>
    <col min="14594" max="14594" width="35.85546875" style="514" customWidth="1"/>
    <col min="14595" max="14595" width="5.28515625" style="514" customWidth="1"/>
    <col min="14596" max="14596" width="5" style="514" customWidth="1"/>
    <col min="14597" max="14597" width="4.7109375" style="514" customWidth="1"/>
    <col min="14598" max="14598" width="7.5703125" style="514" customWidth="1"/>
    <col min="14599" max="14599" width="6.28515625" style="514" customWidth="1"/>
    <col min="14600" max="14600" width="8.42578125" style="514" customWidth="1"/>
    <col min="14601" max="14601" width="8.85546875" style="514" customWidth="1"/>
    <col min="14602" max="14602" width="8.5703125" style="514" customWidth="1"/>
    <col min="14603" max="14848" width="9.140625" style="514"/>
    <col min="14849" max="14849" width="6.140625" style="514" customWidth="1"/>
    <col min="14850" max="14850" width="35.85546875" style="514" customWidth="1"/>
    <col min="14851" max="14851" width="5.28515625" style="514" customWidth="1"/>
    <col min="14852" max="14852" width="5" style="514" customWidth="1"/>
    <col min="14853" max="14853" width="4.7109375" style="514" customWidth="1"/>
    <col min="14854" max="14854" width="7.5703125" style="514" customWidth="1"/>
    <col min="14855" max="14855" width="6.28515625" style="514" customWidth="1"/>
    <col min="14856" max="14856" width="8.42578125" style="514" customWidth="1"/>
    <col min="14857" max="14857" width="8.85546875" style="514" customWidth="1"/>
    <col min="14858" max="14858" width="8.5703125" style="514" customWidth="1"/>
    <col min="14859" max="15104" width="9.140625" style="514"/>
    <col min="15105" max="15105" width="6.140625" style="514" customWidth="1"/>
    <col min="15106" max="15106" width="35.85546875" style="514" customWidth="1"/>
    <col min="15107" max="15107" width="5.28515625" style="514" customWidth="1"/>
    <col min="15108" max="15108" width="5" style="514" customWidth="1"/>
    <col min="15109" max="15109" width="4.7109375" style="514" customWidth="1"/>
    <col min="15110" max="15110" width="7.5703125" style="514" customWidth="1"/>
    <col min="15111" max="15111" width="6.28515625" style="514" customWidth="1"/>
    <col min="15112" max="15112" width="8.42578125" style="514" customWidth="1"/>
    <col min="15113" max="15113" width="8.85546875" style="514" customWidth="1"/>
    <col min="15114" max="15114" width="8.5703125" style="514" customWidth="1"/>
    <col min="15115" max="15360" width="9.140625" style="514"/>
    <col min="15361" max="15361" width="6.140625" style="514" customWidth="1"/>
    <col min="15362" max="15362" width="35.85546875" style="514" customWidth="1"/>
    <col min="15363" max="15363" width="5.28515625" style="514" customWidth="1"/>
    <col min="15364" max="15364" width="5" style="514" customWidth="1"/>
    <col min="15365" max="15365" width="4.7109375" style="514" customWidth="1"/>
    <col min="15366" max="15366" width="7.5703125" style="514" customWidth="1"/>
    <col min="15367" max="15367" width="6.28515625" style="514" customWidth="1"/>
    <col min="15368" max="15368" width="8.42578125" style="514" customWidth="1"/>
    <col min="15369" max="15369" width="8.85546875" style="514" customWidth="1"/>
    <col min="15370" max="15370" width="8.5703125" style="514" customWidth="1"/>
    <col min="15371" max="15616" width="9.140625" style="514"/>
    <col min="15617" max="15617" width="6.140625" style="514" customWidth="1"/>
    <col min="15618" max="15618" width="35.85546875" style="514" customWidth="1"/>
    <col min="15619" max="15619" width="5.28515625" style="514" customWidth="1"/>
    <col min="15620" max="15620" width="5" style="514" customWidth="1"/>
    <col min="15621" max="15621" width="4.7109375" style="514" customWidth="1"/>
    <col min="15622" max="15622" width="7.5703125" style="514" customWidth="1"/>
    <col min="15623" max="15623" width="6.28515625" style="514" customWidth="1"/>
    <col min="15624" max="15624" width="8.42578125" style="514" customWidth="1"/>
    <col min="15625" max="15625" width="8.85546875" style="514" customWidth="1"/>
    <col min="15626" max="15626" width="8.5703125" style="514" customWidth="1"/>
    <col min="15627" max="15872" width="9.140625" style="514"/>
    <col min="15873" max="15873" width="6.140625" style="514" customWidth="1"/>
    <col min="15874" max="15874" width="35.85546875" style="514" customWidth="1"/>
    <col min="15875" max="15875" width="5.28515625" style="514" customWidth="1"/>
    <col min="15876" max="15876" width="5" style="514" customWidth="1"/>
    <col min="15877" max="15877" width="4.7109375" style="514" customWidth="1"/>
    <col min="15878" max="15878" width="7.5703125" style="514" customWidth="1"/>
    <col min="15879" max="15879" width="6.28515625" style="514" customWidth="1"/>
    <col min="15880" max="15880" width="8.42578125" style="514" customWidth="1"/>
    <col min="15881" max="15881" width="8.85546875" style="514" customWidth="1"/>
    <col min="15882" max="15882" width="8.5703125" style="514" customWidth="1"/>
    <col min="15883" max="16128" width="9.140625" style="514"/>
    <col min="16129" max="16129" width="6.140625" style="514" customWidth="1"/>
    <col min="16130" max="16130" width="35.85546875" style="514" customWidth="1"/>
    <col min="16131" max="16131" width="5.28515625" style="514" customWidth="1"/>
    <col min="16132" max="16132" width="5" style="514" customWidth="1"/>
    <col min="16133" max="16133" width="4.7109375" style="514" customWidth="1"/>
    <col min="16134" max="16134" width="7.5703125" style="514" customWidth="1"/>
    <col min="16135" max="16135" width="6.28515625" style="514" customWidth="1"/>
    <col min="16136" max="16136" width="8.42578125" style="514" customWidth="1"/>
    <col min="16137" max="16137" width="8.85546875" style="514" customWidth="1"/>
    <col min="16138" max="16138" width="8.5703125" style="514" customWidth="1"/>
    <col min="16139" max="16384" width="9.140625" style="514"/>
  </cols>
  <sheetData>
    <row r="1" spans="1:10">
      <c r="A1" s="513" t="s">
        <v>200</v>
      </c>
      <c r="B1" s="513"/>
      <c r="C1" s="513"/>
      <c r="D1" s="513"/>
      <c r="E1" s="513"/>
      <c r="F1" s="513"/>
      <c r="G1" s="513"/>
      <c r="H1" s="513"/>
      <c r="I1" s="513"/>
      <c r="J1" s="513"/>
    </row>
    <row r="2" spans="1:10">
      <c r="A2" s="513" t="s">
        <v>201</v>
      </c>
      <c r="B2" s="513"/>
      <c r="C2" s="513"/>
      <c r="D2" s="513"/>
      <c r="E2" s="513"/>
      <c r="F2" s="513"/>
      <c r="G2" s="513"/>
      <c r="H2" s="513"/>
      <c r="I2" s="513"/>
      <c r="J2" s="513"/>
    </row>
    <row r="3" spans="1:10">
      <c r="A3" s="513" t="s">
        <v>202</v>
      </c>
      <c r="B3" s="513"/>
      <c r="C3" s="513"/>
      <c r="D3" s="513"/>
      <c r="E3" s="513"/>
      <c r="F3" s="513"/>
      <c r="G3" s="513"/>
      <c r="H3" s="513"/>
      <c r="I3" s="513"/>
      <c r="J3" s="513"/>
    </row>
    <row r="4" spans="1:10">
      <c r="A4" s="513" t="s">
        <v>203</v>
      </c>
      <c r="B4" s="513"/>
      <c r="C4" s="513"/>
      <c r="D4" s="513"/>
      <c r="E4" s="513"/>
      <c r="F4" s="513"/>
      <c r="G4" s="513"/>
      <c r="H4" s="513"/>
      <c r="I4" s="513"/>
      <c r="J4" s="513"/>
    </row>
    <row r="5" spans="1:10" ht="44.25" customHeight="1">
      <c r="A5" s="184" t="s">
        <v>853</v>
      </c>
      <c r="B5" s="185"/>
      <c r="C5" s="185"/>
      <c r="D5" s="185"/>
      <c r="E5" s="185"/>
      <c r="F5" s="185"/>
      <c r="G5" s="185"/>
      <c r="H5" s="185"/>
      <c r="I5" s="185"/>
      <c r="J5" s="186"/>
    </row>
    <row r="6" spans="1:10" ht="31.5" customHeight="1">
      <c r="A6" s="515" t="s">
        <v>204</v>
      </c>
      <c r="B6" s="516" t="s">
        <v>205</v>
      </c>
      <c r="C6" s="517" t="s">
        <v>206</v>
      </c>
      <c r="D6" s="517"/>
      <c r="E6" s="517"/>
      <c r="F6" s="518" t="s">
        <v>207</v>
      </c>
      <c r="G6" s="519"/>
      <c r="H6" s="520"/>
      <c r="I6" s="521" t="s">
        <v>208</v>
      </c>
      <c r="J6" s="521"/>
    </row>
    <row r="7" spans="1:10" ht="14.25" customHeight="1">
      <c r="A7" s="515"/>
      <c r="B7" s="516"/>
      <c r="C7" s="517"/>
      <c r="D7" s="517"/>
      <c r="E7" s="517"/>
      <c r="F7" s="522" t="s">
        <v>5</v>
      </c>
      <c r="G7" s="522" t="s">
        <v>6</v>
      </c>
      <c r="H7" s="522" t="s">
        <v>7</v>
      </c>
      <c r="I7" s="521"/>
      <c r="J7" s="521"/>
    </row>
    <row r="8" spans="1:10" ht="51.75" customHeight="1">
      <c r="A8" s="523">
        <v>1</v>
      </c>
      <c r="B8" s="524" t="s">
        <v>854</v>
      </c>
      <c r="C8" s="525"/>
      <c r="D8" s="525"/>
      <c r="E8" s="525"/>
      <c r="F8" s="522"/>
      <c r="G8" s="522"/>
      <c r="H8" s="522"/>
      <c r="I8" s="522"/>
      <c r="J8" s="526"/>
    </row>
    <row r="9" spans="1:10" ht="19.5" customHeight="1">
      <c r="A9" s="523"/>
      <c r="B9" s="527" t="s">
        <v>210</v>
      </c>
      <c r="C9" s="525">
        <v>1</v>
      </c>
      <c r="D9" s="525" t="s">
        <v>28</v>
      </c>
      <c r="E9" s="525">
        <v>18</v>
      </c>
      <c r="F9" s="522"/>
      <c r="G9" s="522"/>
      <c r="H9" s="522"/>
      <c r="I9" s="522">
        <f>PRODUCT(C9:H9)</f>
        <v>18</v>
      </c>
      <c r="J9" s="526"/>
    </row>
    <row r="10" spans="1:10">
      <c r="A10" s="523"/>
      <c r="B10" s="527"/>
      <c r="C10" s="525"/>
      <c r="D10" s="525"/>
      <c r="E10" s="525"/>
      <c r="F10" s="522"/>
      <c r="G10" s="522"/>
      <c r="H10" s="528" t="s">
        <v>211</v>
      </c>
      <c r="I10" s="528">
        <f>SUM(I9:I9)</f>
        <v>18</v>
      </c>
      <c r="J10" s="529" t="s">
        <v>37</v>
      </c>
    </row>
    <row r="11" spans="1:10">
      <c r="A11" s="523">
        <v>2</v>
      </c>
      <c r="B11" s="527" t="s">
        <v>214</v>
      </c>
      <c r="C11" s="525"/>
      <c r="D11" s="525"/>
      <c r="E11" s="525"/>
      <c r="F11" s="522"/>
      <c r="G11" s="522"/>
      <c r="H11" s="522"/>
      <c r="I11" s="528"/>
      <c r="J11" s="529"/>
    </row>
    <row r="12" spans="1:10">
      <c r="A12" s="523"/>
      <c r="B12" s="527"/>
      <c r="C12" s="525">
        <v>1</v>
      </c>
      <c r="D12" s="525" t="s">
        <v>28</v>
      </c>
      <c r="E12" s="525">
        <v>1</v>
      </c>
      <c r="F12" s="522"/>
      <c r="G12" s="522"/>
      <c r="H12" s="522"/>
      <c r="I12" s="522">
        <f>PRODUCT(C12:H12)</f>
        <v>1</v>
      </c>
      <c r="J12" s="529"/>
    </row>
    <row r="13" spans="1:10">
      <c r="A13" s="523"/>
      <c r="B13" s="527"/>
      <c r="C13" s="525"/>
      <c r="D13" s="525"/>
      <c r="E13" s="525"/>
      <c r="F13" s="522"/>
      <c r="G13" s="522"/>
      <c r="H13" s="528" t="s">
        <v>211</v>
      </c>
      <c r="I13" s="528">
        <f>SUM(I12:I12)</f>
        <v>1</v>
      </c>
      <c r="J13" s="530" t="s">
        <v>215</v>
      </c>
    </row>
    <row r="14" spans="1:10">
      <c r="A14" s="523"/>
      <c r="B14" s="527"/>
      <c r="C14" s="525"/>
      <c r="D14" s="525"/>
      <c r="E14" s="525"/>
      <c r="F14" s="522"/>
      <c r="G14" s="522"/>
      <c r="H14" s="522"/>
      <c r="I14" s="528"/>
      <c r="J14" s="529"/>
    </row>
    <row r="15" spans="1:10">
      <c r="A15" s="523">
        <v>3</v>
      </c>
      <c r="B15" s="203" t="s">
        <v>216</v>
      </c>
      <c r="C15" s="525"/>
      <c r="D15" s="525"/>
      <c r="E15" s="525"/>
      <c r="F15" s="522"/>
      <c r="G15" s="522"/>
      <c r="H15" s="522"/>
      <c r="I15" s="531" t="s">
        <v>38</v>
      </c>
      <c r="J15" s="529"/>
    </row>
    <row r="16" spans="1:10" ht="27.75" customHeight="1">
      <c r="A16" s="523">
        <v>4</v>
      </c>
      <c r="B16" s="203" t="s">
        <v>217</v>
      </c>
      <c r="C16" s="525"/>
      <c r="D16" s="525"/>
      <c r="E16" s="525"/>
      <c r="F16" s="522"/>
      <c r="G16" s="522"/>
      <c r="H16" s="522"/>
      <c r="I16" s="531" t="s">
        <v>38</v>
      </c>
      <c r="J16" s="526"/>
    </row>
    <row r="17" spans="1:10" ht="41.25" customHeight="1">
      <c r="A17" s="523">
        <v>5</v>
      </c>
      <c r="B17" s="203" t="s">
        <v>218</v>
      </c>
      <c r="C17" s="525"/>
      <c r="D17" s="525"/>
      <c r="E17" s="525"/>
      <c r="F17" s="522"/>
      <c r="G17" s="522"/>
      <c r="H17" s="522"/>
      <c r="I17" s="531" t="s">
        <v>38</v>
      </c>
      <c r="J17" s="526"/>
    </row>
    <row r="18" spans="1:10" ht="26.25" customHeight="1">
      <c r="A18" s="523">
        <v>6</v>
      </c>
      <c r="B18" s="203" t="s">
        <v>219</v>
      </c>
      <c r="C18" s="525"/>
      <c r="D18" s="525"/>
      <c r="E18" s="525"/>
      <c r="F18" s="522"/>
      <c r="G18" s="522"/>
      <c r="H18" s="522"/>
      <c r="I18" s="531" t="s">
        <v>38</v>
      </c>
      <c r="J18" s="526"/>
    </row>
  </sheetData>
  <mergeCells count="10">
    <mergeCell ref="A1:J1"/>
    <mergeCell ref="A2:J2"/>
    <mergeCell ref="A3:J3"/>
    <mergeCell ref="A4:J4"/>
    <mergeCell ref="A5:J5"/>
    <mergeCell ref="A6:A7"/>
    <mergeCell ref="B6:B7"/>
    <mergeCell ref="C6:E7"/>
    <mergeCell ref="F6:H6"/>
    <mergeCell ref="I6:J7"/>
  </mergeCells>
  <pageMargins left="0.7" right="0.7" top="0.4"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J32"/>
  <sheetViews>
    <sheetView view="pageBreakPreview" zoomScale="115" zoomScaleSheetLayoutView="115" workbookViewId="0">
      <selection activeCell="C10" sqref="C10"/>
    </sheetView>
  </sheetViews>
  <sheetFormatPr defaultRowHeight="15.75"/>
  <cols>
    <col min="1" max="1" width="7" style="533" bestFit="1" customWidth="1"/>
    <col min="2" max="2" width="9.42578125" style="533" bestFit="1" customWidth="1"/>
    <col min="3" max="3" width="47.28515625" style="533" customWidth="1"/>
    <col min="4" max="4" width="11.85546875" style="533" customWidth="1"/>
    <col min="5" max="5" width="7.140625" style="533" customWidth="1"/>
    <col min="6" max="6" width="14.7109375" style="533" customWidth="1"/>
    <col min="7" max="10" width="9.140625" style="533" hidden="1" customWidth="1"/>
    <col min="11" max="16384" width="9.140625" style="533"/>
  </cols>
  <sheetData>
    <row r="1" spans="1:10" ht="24.75" customHeight="1">
      <c r="A1" s="532" t="s">
        <v>856</v>
      </c>
      <c r="B1" s="532"/>
      <c r="C1" s="532"/>
      <c r="D1" s="532"/>
      <c r="E1" s="532"/>
      <c r="F1" s="532"/>
      <c r="G1" s="532"/>
      <c r="H1" s="532"/>
      <c r="I1" s="532"/>
      <c r="J1" s="532"/>
    </row>
    <row r="2" spans="1:10" ht="16.5" customHeight="1">
      <c r="A2" s="532"/>
      <c r="B2" s="532"/>
      <c r="C2" s="532"/>
      <c r="D2" s="532"/>
      <c r="E2" s="532"/>
      <c r="F2" s="532"/>
      <c r="G2" s="532"/>
      <c r="H2" s="532"/>
      <c r="I2" s="532"/>
      <c r="J2" s="532"/>
    </row>
    <row r="3" spans="1:10" ht="15.75" customHeight="1">
      <c r="A3" s="534" t="s">
        <v>769</v>
      </c>
      <c r="B3" s="534"/>
      <c r="C3" s="534"/>
      <c r="D3" s="534"/>
      <c r="E3" s="534"/>
      <c r="F3" s="534"/>
      <c r="G3" s="535"/>
      <c r="H3" s="535"/>
      <c r="I3" s="535"/>
      <c r="J3" s="535"/>
    </row>
    <row r="4" spans="1:10" ht="29.25" customHeight="1">
      <c r="A4" s="536" t="s">
        <v>857</v>
      </c>
      <c r="B4" s="536" t="s">
        <v>189</v>
      </c>
      <c r="C4" s="536" t="s">
        <v>205</v>
      </c>
      <c r="D4" s="536" t="s">
        <v>190</v>
      </c>
      <c r="E4" s="536" t="s">
        <v>297</v>
      </c>
      <c r="F4" s="537" t="s">
        <v>191</v>
      </c>
    </row>
    <row r="5" spans="1:10" ht="45.75">
      <c r="A5" s="538">
        <v>1</v>
      </c>
      <c r="B5" s="539"/>
      <c r="C5" s="203" t="s">
        <v>858</v>
      </c>
      <c r="D5" s="540"/>
      <c r="E5" s="541"/>
      <c r="F5" s="540"/>
    </row>
    <row r="6" spans="1:10" ht="18" customHeight="1">
      <c r="A6" s="542"/>
      <c r="B6" s="543">
        <f>'[16]sullage drain det'!I12</f>
        <v>117.45</v>
      </c>
      <c r="C6" s="544" t="s">
        <v>859</v>
      </c>
      <c r="D6" s="540">
        <f>[16]Sheet1!F80</f>
        <v>159.38999999999999</v>
      </c>
      <c r="E6" s="538" t="s">
        <v>642</v>
      </c>
      <c r="F6" s="540">
        <f>B6*D6</f>
        <v>18720.355499999998</v>
      </c>
    </row>
    <row r="7" spans="1:10" ht="18" customHeight="1">
      <c r="A7" s="542"/>
      <c r="B7" s="543"/>
      <c r="C7" s="544"/>
      <c r="D7" s="545"/>
      <c r="E7" s="546"/>
      <c r="F7" s="540"/>
    </row>
    <row r="8" spans="1:10">
      <c r="A8" s="546">
        <v>2</v>
      </c>
      <c r="B8" s="547">
        <f>'[16]sullage drain det'!I18</f>
        <v>16</v>
      </c>
      <c r="C8" s="548" t="s">
        <v>860</v>
      </c>
      <c r="D8" s="547">
        <f>[16]Sheet1!F90</f>
        <v>340.84</v>
      </c>
      <c r="E8" s="546" t="s">
        <v>642</v>
      </c>
      <c r="F8" s="540">
        <f>B8*D8</f>
        <v>5453.44</v>
      </c>
    </row>
    <row r="9" spans="1:10">
      <c r="A9" s="546"/>
      <c r="B9" s="549"/>
      <c r="C9" s="538"/>
      <c r="D9" s="549"/>
      <c r="E9" s="546"/>
      <c r="F9" s="540"/>
    </row>
    <row r="10" spans="1:10">
      <c r="A10" s="546">
        <f>A8+1</f>
        <v>3</v>
      </c>
      <c r="B10" s="547">
        <f>'[16]sullage drain det'!I24</f>
        <v>16</v>
      </c>
      <c r="C10" s="548" t="s">
        <v>861</v>
      </c>
      <c r="D10" s="547">
        <f>[16]Sheet1!F104</f>
        <v>4314.4399999999996</v>
      </c>
      <c r="E10" s="546" t="s">
        <v>642</v>
      </c>
      <c r="F10" s="540">
        <f>B10*D10</f>
        <v>69031.039999999994</v>
      </c>
    </row>
    <row r="11" spans="1:10">
      <c r="A11" s="546"/>
      <c r="B11" s="549"/>
      <c r="C11" s="538"/>
      <c r="D11" s="549"/>
      <c r="E11" s="546"/>
      <c r="F11" s="547"/>
    </row>
    <row r="12" spans="1:10" ht="31.5">
      <c r="A12" s="546">
        <f>A10+1</f>
        <v>4</v>
      </c>
      <c r="B12" s="547">
        <f>'[16]sullage drain det'!I30</f>
        <v>71.099999999999994</v>
      </c>
      <c r="C12" s="550" t="s">
        <v>862</v>
      </c>
      <c r="D12" s="549">
        <f>[16]Sheet1!F120</f>
        <v>6291.53</v>
      </c>
      <c r="E12" s="546" t="s">
        <v>642</v>
      </c>
      <c r="F12" s="547">
        <f>PRODUCT(B12*D12)</f>
        <v>447327.78299999994</v>
      </c>
    </row>
    <row r="13" spans="1:10">
      <c r="A13" s="546"/>
      <c r="B13" s="549"/>
      <c r="C13" s="538"/>
      <c r="D13" s="549"/>
      <c r="E13" s="546"/>
      <c r="F13" s="547"/>
    </row>
    <row r="14" spans="1:10">
      <c r="A14" s="546">
        <v>5</v>
      </c>
      <c r="B14" s="547">
        <f>'[16]sullage drain det'!I38</f>
        <v>630.65</v>
      </c>
      <c r="C14" s="549" t="s">
        <v>863</v>
      </c>
      <c r="D14" s="547">
        <f>[16]Sheet1!F133</f>
        <v>227.66</v>
      </c>
      <c r="E14" s="546" t="s">
        <v>289</v>
      </c>
      <c r="F14" s="547">
        <f>PRODUCT(B14*D14)</f>
        <v>143573.77899999998</v>
      </c>
    </row>
    <row r="15" spans="1:10">
      <c r="A15" s="546"/>
      <c r="B15" s="547"/>
      <c r="C15" s="549"/>
      <c r="D15" s="549"/>
      <c r="E15" s="546"/>
      <c r="F15" s="547"/>
    </row>
    <row r="16" spans="1:10">
      <c r="A16" s="546">
        <v>6</v>
      </c>
      <c r="B16" s="547">
        <f>'[16]sullage drain det'!I43</f>
        <v>96.85</v>
      </c>
      <c r="C16" s="551" t="s">
        <v>864</v>
      </c>
      <c r="D16" s="549">
        <f>[16]Sheet1!F145</f>
        <v>468.79</v>
      </c>
      <c r="E16" s="546" t="s">
        <v>289</v>
      </c>
      <c r="F16" s="547">
        <f>SUM(B16*D16)</f>
        <v>45402.311499999996</v>
      </c>
    </row>
    <row r="17" spans="1:6">
      <c r="A17" s="546"/>
      <c r="B17" s="547"/>
      <c r="C17" s="551"/>
      <c r="D17" s="549"/>
      <c r="E17" s="546"/>
      <c r="F17" s="549"/>
    </row>
    <row r="18" spans="1:6">
      <c r="A18" s="546">
        <v>7</v>
      </c>
      <c r="B18" s="547">
        <f>'[16]sullage drain det'!I51</f>
        <v>630.65</v>
      </c>
      <c r="C18" s="551" t="s">
        <v>865</v>
      </c>
      <c r="D18" s="549">
        <f>[16]Sheet1!F159</f>
        <v>222.05</v>
      </c>
      <c r="E18" s="546" t="s">
        <v>247</v>
      </c>
      <c r="F18" s="547">
        <f>SUM(B18*D18)</f>
        <v>140035.83249999999</v>
      </c>
    </row>
    <row r="19" spans="1:6">
      <c r="A19" s="546"/>
      <c r="B19" s="547"/>
      <c r="C19" s="551"/>
      <c r="D19" s="549"/>
      <c r="E19" s="546"/>
      <c r="F19" s="549"/>
    </row>
    <row r="20" spans="1:6" ht="31.5">
      <c r="A20" s="546">
        <v>8</v>
      </c>
      <c r="B20" s="547"/>
      <c r="C20" s="552" t="s">
        <v>866</v>
      </c>
      <c r="D20" s="549"/>
      <c r="E20" s="546"/>
      <c r="F20" s="549"/>
    </row>
    <row r="21" spans="1:6">
      <c r="A21" s="546"/>
      <c r="B21" s="547">
        <f>'[16]sullage drain det'!I57</f>
        <v>266.8</v>
      </c>
      <c r="C21" s="551" t="s">
        <v>867</v>
      </c>
      <c r="D21" s="549">
        <f>[16]Sheet1!F171</f>
        <v>1552.9695827725438</v>
      </c>
      <c r="E21" s="546" t="s">
        <v>247</v>
      </c>
      <c r="F21" s="547">
        <f>SUM(B21*D21)</f>
        <v>414332.28468371474</v>
      </c>
    </row>
    <row r="22" spans="1:6">
      <c r="A22" s="546"/>
      <c r="B22" s="547"/>
      <c r="C22" s="551"/>
      <c r="D22" s="549"/>
      <c r="E22" s="549"/>
      <c r="F22" s="549"/>
    </row>
    <row r="23" spans="1:6" ht="31.5">
      <c r="A23" s="546">
        <v>9</v>
      </c>
      <c r="B23" s="547">
        <f>'[16]sullage drain det'!I61</f>
        <v>1.0669999999999999</v>
      </c>
      <c r="C23" s="553" t="s">
        <v>868</v>
      </c>
      <c r="D23" s="547">
        <f>[16]Sheet1!F184</f>
        <v>81012.5</v>
      </c>
      <c r="E23" s="546" t="s">
        <v>869</v>
      </c>
      <c r="F23" s="547">
        <f>SUM(B23*D23)</f>
        <v>86440.337499999994</v>
      </c>
    </row>
    <row r="24" spans="1:6">
      <c r="A24" s="549"/>
      <c r="B24" s="539"/>
      <c r="C24" s="538" t="s">
        <v>870</v>
      </c>
      <c r="D24" s="549"/>
      <c r="E24" s="549"/>
      <c r="F24" s="31">
        <f>SUM(F5:F23)</f>
        <v>1370317.1636837143</v>
      </c>
    </row>
    <row r="25" spans="1:6">
      <c r="A25" s="546">
        <v>10</v>
      </c>
      <c r="B25" s="539"/>
      <c r="C25" s="554" t="s">
        <v>871</v>
      </c>
      <c r="D25" s="549"/>
      <c r="E25" s="549"/>
      <c r="F25" s="547">
        <f>PRODUCT(F24*18%)</f>
        <v>246657.08946306858</v>
      </c>
    </row>
    <row r="26" spans="1:6">
      <c r="A26" s="546"/>
      <c r="B26" s="539"/>
      <c r="C26" s="555" t="s">
        <v>872</v>
      </c>
      <c r="D26" s="549"/>
      <c r="E26" s="549"/>
      <c r="F26" s="31">
        <f>SUM(F24+F25)</f>
        <v>1616974.253146783</v>
      </c>
    </row>
    <row r="27" spans="1:6">
      <c r="A27" s="546">
        <v>11</v>
      </c>
      <c r="B27" s="539"/>
      <c r="C27" s="541" t="s">
        <v>873</v>
      </c>
      <c r="D27" s="549"/>
      <c r="E27" s="549"/>
      <c r="F27" s="547">
        <f>PRODUCT(F26*1%)</f>
        <v>16169.742531467829</v>
      </c>
    </row>
    <row r="28" spans="1:6">
      <c r="A28" s="546">
        <v>12</v>
      </c>
      <c r="B28" s="539"/>
      <c r="C28" s="541" t="s">
        <v>874</v>
      </c>
      <c r="D28" s="549"/>
      <c r="E28" s="549"/>
      <c r="F28" s="547">
        <f>PRODUCT(F26*2.5%)</f>
        <v>40424.356328669579</v>
      </c>
    </row>
    <row r="29" spans="1:6">
      <c r="A29" s="546">
        <v>13</v>
      </c>
      <c r="B29" s="539"/>
      <c r="C29" s="541" t="s">
        <v>875</v>
      </c>
      <c r="D29" s="549"/>
      <c r="E29" s="549"/>
      <c r="F29" s="547">
        <f>PRODUCT(F26*7.5%)</f>
        <v>121273.06898600872</v>
      </c>
    </row>
    <row r="30" spans="1:6">
      <c r="A30" s="549"/>
      <c r="B30" s="556"/>
      <c r="C30" s="555" t="s">
        <v>876</v>
      </c>
      <c r="D30" s="549"/>
      <c r="E30" s="549"/>
      <c r="F30" s="547">
        <f>SUM(F26:F29)</f>
        <v>1794841.420992929</v>
      </c>
    </row>
    <row r="31" spans="1:6">
      <c r="A31" s="549"/>
      <c r="B31" s="549"/>
      <c r="C31" s="557" t="s">
        <v>491</v>
      </c>
      <c r="D31" s="549"/>
      <c r="E31" s="549"/>
      <c r="F31" s="31">
        <v>1794900</v>
      </c>
    </row>
    <row r="32" spans="1:6">
      <c r="A32" s="549"/>
      <c r="B32" s="549"/>
      <c r="C32" s="549"/>
      <c r="D32" s="549"/>
      <c r="E32" s="549"/>
      <c r="F32" s="549"/>
    </row>
  </sheetData>
  <mergeCells count="2">
    <mergeCell ref="A1:J2"/>
    <mergeCell ref="A3:F3"/>
  </mergeCells>
  <pageMargins left="0.31496062992125984" right="0.23622047244094491" top="0.78740157480314965" bottom="0.82677165354330717" header="0.19685039370078741" footer="0.19685039370078741"/>
  <pageSetup paperSize="9" orientation="portrait" verticalDpi="300" r:id="rId1"/>
  <drawing r:id="rId2"/>
</worksheet>
</file>

<file path=xl/worksheets/sheet23.xml><?xml version="1.0" encoding="utf-8"?>
<worksheet xmlns="http://schemas.openxmlformats.org/spreadsheetml/2006/main" xmlns:r="http://schemas.openxmlformats.org/officeDocument/2006/relationships">
  <sheetPr>
    <tabColor rgb="FF00B050"/>
  </sheetPr>
  <dimension ref="A1:M67"/>
  <sheetViews>
    <sheetView view="pageBreakPreview" zoomScale="91" zoomScaleSheetLayoutView="91" workbookViewId="0">
      <selection activeCell="I13" sqref="I13"/>
    </sheetView>
  </sheetViews>
  <sheetFormatPr defaultRowHeight="15.75"/>
  <cols>
    <col min="1" max="1" width="4.28515625" style="585" customWidth="1"/>
    <col min="2" max="2" width="49.28515625" style="558" customWidth="1"/>
    <col min="3" max="3" width="5.5703125" style="588" bestFit="1" customWidth="1"/>
    <col min="4" max="4" width="2.5703125" style="588" bestFit="1" customWidth="1"/>
    <col min="5" max="5" width="5.42578125" style="588" customWidth="1"/>
    <col min="6" max="6" width="9.42578125" style="558" bestFit="1" customWidth="1"/>
    <col min="7" max="7" width="9" style="558" bestFit="1" customWidth="1"/>
    <col min="8" max="8" width="6.85546875" style="558" bestFit="1" customWidth="1"/>
    <col min="9" max="9" width="10.42578125" style="558" customWidth="1"/>
    <col min="10" max="10" width="6.140625" style="558" bestFit="1" customWidth="1"/>
    <col min="11" max="11" width="9.140625" style="558"/>
    <col min="12" max="12" width="9.85546875" style="558" bestFit="1" customWidth="1"/>
    <col min="13" max="16384" width="9.140625" style="558"/>
  </cols>
  <sheetData>
    <row r="1" spans="1:10" ht="24" customHeight="1">
      <c r="A1" s="532" t="s">
        <v>11</v>
      </c>
      <c r="B1" s="532"/>
      <c r="C1" s="532"/>
      <c r="D1" s="532"/>
      <c r="E1" s="532"/>
      <c r="F1" s="532"/>
      <c r="G1" s="532"/>
      <c r="H1" s="532"/>
      <c r="I1" s="532"/>
      <c r="J1" s="532"/>
    </row>
    <row r="2" spans="1:10" ht="15.75" customHeight="1">
      <c r="A2" s="532" t="s">
        <v>12</v>
      </c>
      <c r="B2" s="532"/>
      <c r="C2" s="532"/>
      <c r="D2" s="532"/>
      <c r="E2" s="532"/>
      <c r="F2" s="532"/>
      <c r="G2" s="532"/>
      <c r="H2" s="532"/>
      <c r="I2" s="532"/>
      <c r="J2" s="532"/>
    </row>
    <row r="3" spans="1:10" ht="18" customHeight="1">
      <c r="A3" s="532" t="s">
        <v>856</v>
      </c>
      <c r="B3" s="532"/>
      <c r="C3" s="532"/>
      <c r="D3" s="532"/>
      <c r="E3" s="532"/>
      <c r="F3" s="532"/>
      <c r="G3" s="532"/>
      <c r="H3" s="532"/>
      <c r="I3" s="532"/>
      <c r="J3" s="532"/>
    </row>
    <row r="4" spans="1:10" ht="11.25" customHeight="1">
      <c r="A4" s="532"/>
      <c r="B4" s="532"/>
      <c r="C4" s="532"/>
      <c r="D4" s="532"/>
      <c r="E4" s="532"/>
      <c r="F4" s="532"/>
      <c r="G4" s="532"/>
      <c r="H4" s="532"/>
      <c r="I4" s="532"/>
      <c r="J4" s="532"/>
    </row>
    <row r="5" spans="1:10" ht="11.25" customHeight="1">
      <c r="A5" s="559"/>
      <c r="B5" s="559"/>
      <c r="C5" s="559"/>
      <c r="D5" s="559"/>
      <c r="E5" s="559"/>
      <c r="F5" s="559"/>
      <c r="G5" s="559"/>
      <c r="H5" s="559"/>
      <c r="I5" s="559"/>
      <c r="J5" s="559"/>
    </row>
    <row r="6" spans="1:10" ht="18.75" customHeight="1">
      <c r="A6" s="560" t="s">
        <v>203</v>
      </c>
      <c r="B6" s="560"/>
      <c r="C6" s="560"/>
      <c r="D6" s="560"/>
      <c r="E6" s="560"/>
      <c r="F6" s="560"/>
      <c r="G6" s="560"/>
      <c r="H6" s="560"/>
      <c r="I6" s="560"/>
      <c r="J6" s="560"/>
    </row>
    <row r="7" spans="1:10" ht="31.5">
      <c r="A7" s="561" t="s">
        <v>877</v>
      </c>
      <c r="B7" s="561" t="s">
        <v>205</v>
      </c>
      <c r="C7" s="562" t="s">
        <v>74</v>
      </c>
      <c r="D7" s="562"/>
      <c r="E7" s="562"/>
      <c r="F7" s="561" t="s">
        <v>5</v>
      </c>
      <c r="G7" s="561" t="s">
        <v>6</v>
      </c>
      <c r="H7" s="561" t="s">
        <v>7</v>
      </c>
      <c r="I7" s="563" t="s">
        <v>878</v>
      </c>
      <c r="J7" s="563"/>
    </row>
    <row r="8" spans="1:10" ht="39" customHeight="1">
      <c r="A8" s="564">
        <v>1</v>
      </c>
      <c r="B8" s="203" t="s">
        <v>858</v>
      </c>
      <c r="C8" s="565"/>
      <c r="D8" s="566"/>
      <c r="E8" s="565"/>
      <c r="F8" s="567"/>
      <c r="G8" s="567"/>
      <c r="H8" s="567"/>
      <c r="I8" s="567"/>
      <c r="J8" s="556"/>
    </row>
    <row r="9" spans="1:10">
      <c r="A9" s="568"/>
      <c r="B9" s="549" t="s">
        <v>879</v>
      </c>
      <c r="C9" s="569">
        <v>1</v>
      </c>
      <c r="D9" s="569" t="s">
        <v>28</v>
      </c>
      <c r="E9" s="569">
        <v>1</v>
      </c>
      <c r="F9" s="567">
        <f>6.5+9+9+15+30</f>
        <v>69.5</v>
      </c>
      <c r="G9" s="567">
        <f>0.23+0.3+0.23</f>
        <v>0.76</v>
      </c>
      <c r="H9" s="567">
        <v>0.6</v>
      </c>
      <c r="I9" s="547">
        <f>PRODUCT(C9:H9)</f>
        <v>31.692</v>
      </c>
      <c r="J9" s="556"/>
    </row>
    <row r="10" spans="1:10">
      <c r="A10" s="568"/>
      <c r="B10" s="549" t="s">
        <v>880</v>
      </c>
      <c r="C10" s="569">
        <v>1</v>
      </c>
      <c r="D10" s="569" t="s">
        <v>28</v>
      </c>
      <c r="E10" s="569">
        <v>1</v>
      </c>
      <c r="F10" s="567">
        <f>38+28+30+30+15</f>
        <v>141</v>
      </c>
      <c r="G10" s="567">
        <v>0.76</v>
      </c>
      <c r="H10" s="567">
        <v>0.8</v>
      </c>
      <c r="I10" s="547">
        <f t="shared" ref="I10" si="0">PRODUCT(C10:H10)</f>
        <v>85.728000000000009</v>
      </c>
      <c r="J10" s="556"/>
    </row>
    <row r="11" spans="1:10">
      <c r="A11" s="538"/>
      <c r="B11" s="538"/>
      <c r="C11" s="570"/>
      <c r="D11" s="570"/>
      <c r="E11" s="570"/>
      <c r="F11" s="571"/>
      <c r="G11" s="571"/>
      <c r="H11" s="571" t="s">
        <v>34</v>
      </c>
      <c r="I11" s="571">
        <f>SUM(I9:I10)</f>
        <v>117.42000000000002</v>
      </c>
      <c r="J11" s="556"/>
    </row>
    <row r="12" spans="1:10">
      <c r="A12" s="538"/>
      <c r="B12" s="538"/>
      <c r="C12" s="570"/>
      <c r="D12" s="570"/>
      <c r="E12" s="570"/>
      <c r="F12" s="571"/>
      <c r="G12" s="571"/>
      <c r="H12" s="572" t="s">
        <v>25</v>
      </c>
      <c r="I12" s="572">
        <v>117.45</v>
      </c>
      <c r="J12" s="573" t="s">
        <v>642</v>
      </c>
    </row>
    <row r="13" spans="1:10">
      <c r="A13" s="538"/>
      <c r="B13" s="538"/>
      <c r="C13" s="570"/>
      <c r="D13" s="570"/>
      <c r="E13" s="570"/>
      <c r="F13" s="571"/>
      <c r="G13" s="571"/>
      <c r="H13" s="571"/>
      <c r="I13" s="571"/>
      <c r="J13" s="556"/>
    </row>
    <row r="14" spans="1:10">
      <c r="A14" s="564">
        <v>2</v>
      </c>
      <c r="B14" s="548" t="s">
        <v>881</v>
      </c>
      <c r="C14" s="565"/>
      <c r="D14" s="566"/>
      <c r="E14" s="565"/>
      <c r="F14" s="567"/>
      <c r="G14" s="567"/>
      <c r="H14" s="567"/>
      <c r="I14" s="567"/>
      <c r="J14" s="556"/>
    </row>
    <row r="15" spans="1:10">
      <c r="A15" s="568"/>
      <c r="B15" s="549" t="s">
        <v>879</v>
      </c>
      <c r="C15" s="570">
        <v>1</v>
      </c>
      <c r="D15" s="569" t="s">
        <v>28</v>
      </c>
      <c r="E15" s="569">
        <v>1</v>
      </c>
      <c r="F15" s="567">
        <f>6.5+9+9+15+30</f>
        <v>69.5</v>
      </c>
      <c r="G15" s="567">
        <f>0.23+0.3+0.23</f>
        <v>0.76</v>
      </c>
      <c r="H15" s="567">
        <v>0.1</v>
      </c>
      <c r="I15" s="547">
        <f>PRODUCT(C15:H15)</f>
        <v>5.282</v>
      </c>
      <c r="J15" s="556"/>
    </row>
    <row r="16" spans="1:10">
      <c r="A16" s="568"/>
      <c r="B16" s="549" t="s">
        <v>880</v>
      </c>
      <c r="C16" s="569">
        <v>1</v>
      </c>
      <c r="D16" s="569" t="s">
        <v>28</v>
      </c>
      <c r="E16" s="569">
        <v>1</v>
      </c>
      <c r="F16" s="567">
        <f>38+28+30+30+15</f>
        <v>141</v>
      </c>
      <c r="G16" s="567">
        <v>0.76</v>
      </c>
      <c r="H16" s="567">
        <v>0.1</v>
      </c>
      <c r="I16" s="547">
        <f t="shared" ref="I16" si="1">PRODUCT(C16:H16)</f>
        <v>10.716000000000001</v>
      </c>
      <c r="J16" s="556"/>
    </row>
    <row r="17" spans="1:10">
      <c r="A17" s="538"/>
      <c r="B17" s="538"/>
      <c r="C17" s="570"/>
      <c r="D17" s="570"/>
      <c r="E17" s="570"/>
      <c r="F17" s="571"/>
      <c r="G17" s="571"/>
      <c r="H17" s="571" t="s">
        <v>34</v>
      </c>
      <c r="I17" s="571">
        <f>SUM(I15:I16)</f>
        <v>15.998000000000001</v>
      </c>
      <c r="J17" s="556"/>
    </row>
    <row r="18" spans="1:10">
      <c r="A18" s="538"/>
      <c r="B18" s="538"/>
      <c r="C18" s="570"/>
      <c r="D18" s="570"/>
      <c r="E18" s="570"/>
      <c r="F18" s="571"/>
      <c r="G18" s="571"/>
      <c r="H18" s="572" t="s">
        <v>25</v>
      </c>
      <c r="I18" s="572">
        <v>16</v>
      </c>
      <c r="J18" s="573" t="s">
        <v>642</v>
      </c>
    </row>
    <row r="19" spans="1:10">
      <c r="A19" s="538"/>
      <c r="B19" s="538"/>
      <c r="C19" s="570"/>
      <c r="D19" s="570"/>
      <c r="E19" s="570"/>
      <c r="F19" s="571"/>
      <c r="G19" s="571"/>
      <c r="H19" s="571"/>
      <c r="I19" s="571"/>
      <c r="J19" s="556"/>
    </row>
    <row r="20" spans="1:10">
      <c r="A20" s="574">
        <v>3</v>
      </c>
      <c r="B20" s="548" t="s">
        <v>861</v>
      </c>
      <c r="C20" s="565"/>
      <c r="D20" s="566"/>
      <c r="E20" s="565"/>
      <c r="F20" s="567"/>
      <c r="G20" s="567"/>
      <c r="H20" s="567"/>
      <c r="I20" s="567"/>
      <c r="J20" s="556"/>
    </row>
    <row r="21" spans="1:10">
      <c r="A21" s="575"/>
      <c r="B21" s="549" t="s">
        <v>879</v>
      </c>
      <c r="C21" s="570">
        <v>1</v>
      </c>
      <c r="D21" s="569" t="s">
        <v>28</v>
      </c>
      <c r="E21" s="569">
        <v>1</v>
      </c>
      <c r="F21" s="567">
        <f>6.5+9+9+15+30</f>
        <v>69.5</v>
      </c>
      <c r="G21" s="567">
        <f>0.23+0.3+0.23</f>
        <v>0.76</v>
      </c>
      <c r="H21" s="567">
        <v>0.1</v>
      </c>
      <c r="I21" s="547">
        <f>PRODUCT(C21:H21)</f>
        <v>5.282</v>
      </c>
      <c r="J21" s="556"/>
    </row>
    <row r="22" spans="1:10">
      <c r="A22" s="575"/>
      <c r="B22" s="549" t="s">
        <v>880</v>
      </c>
      <c r="C22" s="569">
        <v>1</v>
      </c>
      <c r="D22" s="569" t="s">
        <v>28</v>
      </c>
      <c r="E22" s="569">
        <v>1</v>
      </c>
      <c r="F22" s="567">
        <f>38+28+30+30+15</f>
        <v>141</v>
      </c>
      <c r="G22" s="567">
        <v>0.76</v>
      </c>
      <c r="H22" s="567">
        <v>0.1</v>
      </c>
      <c r="I22" s="547">
        <f t="shared" ref="I22" si="2">PRODUCT(C22:H22)</f>
        <v>10.716000000000001</v>
      </c>
      <c r="J22" s="556"/>
    </row>
    <row r="23" spans="1:10">
      <c r="A23" s="575"/>
      <c r="B23" s="538"/>
      <c r="C23" s="570"/>
      <c r="D23" s="570"/>
      <c r="E23" s="570"/>
      <c r="F23" s="571"/>
      <c r="G23" s="571"/>
      <c r="H23" s="571" t="s">
        <v>34</v>
      </c>
      <c r="I23" s="571">
        <f>SUM(I21:I22)</f>
        <v>15.998000000000001</v>
      </c>
      <c r="J23" s="556"/>
    </row>
    <row r="24" spans="1:10">
      <c r="A24" s="575"/>
      <c r="B24" s="538"/>
      <c r="C24" s="570"/>
      <c r="D24" s="570"/>
      <c r="E24" s="570"/>
      <c r="F24" s="571"/>
      <c r="G24" s="571"/>
      <c r="H24" s="572" t="s">
        <v>25</v>
      </c>
      <c r="I24" s="572">
        <v>16</v>
      </c>
      <c r="J24" s="573" t="s">
        <v>642</v>
      </c>
    </row>
    <row r="25" spans="1:10">
      <c r="A25" s="575"/>
      <c r="B25" s="538"/>
      <c r="C25" s="570"/>
      <c r="D25" s="570"/>
      <c r="E25" s="570"/>
      <c r="F25" s="571"/>
      <c r="G25" s="571"/>
      <c r="H25" s="572"/>
      <c r="I25" s="571"/>
      <c r="J25" s="573"/>
    </row>
    <row r="26" spans="1:10" ht="39" customHeight="1">
      <c r="A26" s="576">
        <v>4</v>
      </c>
      <c r="B26" s="550" t="s">
        <v>862</v>
      </c>
      <c r="C26" s="567"/>
      <c r="D26" s="566"/>
      <c r="E26" s="567"/>
      <c r="F26" s="567"/>
      <c r="G26" s="567"/>
      <c r="H26" s="577"/>
      <c r="I26" s="567"/>
      <c r="J26" s="556"/>
    </row>
    <row r="27" spans="1:10">
      <c r="A27" s="576"/>
      <c r="B27" s="549" t="s">
        <v>879</v>
      </c>
      <c r="C27" s="570">
        <v>1</v>
      </c>
      <c r="D27" s="569" t="s">
        <v>28</v>
      </c>
      <c r="E27" s="569">
        <v>2</v>
      </c>
      <c r="F27" s="567">
        <v>69.5</v>
      </c>
      <c r="G27" s="567">
        <v>0.23</v>
      </c>
      <c r="H27" s="567">
        <v>0.6</v>
      </c>
      <c r="I27" s="547">
        <f>PRODUCT(C27:H27)</f>
        <v>19.182000000000002</v>
      </c>
      <c r="J27" s="556"/>
    </row>
    <row r="28" spans="1:10">
      <c r="A28" s="576"/>
      <c r="B28" s="549" t="s">
        <v>880</v>
      </c>
      <c r="C28" s="569">
        <v>1</v>
      </c>
      <c r="D28" s="569" t="s">
        <v>28</v>
      </c>
      <c r="E28" s="569">
        <v>2</v>
      </c>
      <c r="F28" s="567">
        <v>141</v>
      </c>
      <c r="G28" s="567">
        <v>0.23</v>
      </c>
      <c r="H28" s="567">
        <v>0.8</v>
      </c>
      <c r="I28" s="547">
        <f t="shared" ref="I28" si="3">PRODUCT(C28:H28)</f>
        <v>51.888000000000005</v>
      </c>
      <c r="J28" s="556"/>
    </row>
    <row r="29" spans="1:10">
      <c r="A29" s="538"/>
      <c r="B29" s="549"/>
      <c r="C29" s="569"/>
      <c r="D29" s="569"/>
      <c r="E29" s="569"/>
      <c r="F29" s="567"/>
      <c r="G29" s="567"/>
      <c r="H29" s="571" t="s">
        <v>34</v>
      </c>
      <c r="I29" s="547">
        <f>SUM(I27:I28)</f>
        <v>71.070000000000007</v>
      </c>
      <c r="J29" s="556"/>
    </row>
    <row r="30" spans="1:10">
      <c r="A30" s="538"/>
      <c r="B30" s="549"/>
      <c r="C30" s="569"/>
      <c r="D30" s="569"/>
      <c r="E30" s="569"/>
      <c r="F30" s="567"/>
      <c r="G30" s="567"/>
      <c r="H30" s="572" t="s">
        <v>25</v>
      </c>
      <c r="I30" s="31">
        <v>71.099999999999994</v>
      </c>
      <c r="J30" s="573" t="s">
        <v>638</v>
      </c>
    </row>
    <row r="31" spans="1:10">
      <c r="A31" s="538"/>
      <c r="B31" s="549"/>
      <c r="C31" s="569"/>
      <c r="D31" s="569"/>
      <c r="E31" s="569"/>
      <c r="F31" s="567"/>
      <c r="G31" s="567"/>
      <c r="H31" s="567"/>
      <c r="I31" s="547"/>
      <c r="J31" s="556"/>
    </row>
    <row r="32" spans="1:10">
      <c r="A32" s="538">
        <v>5</v>
      </c>
      <c r="B32" s="549" t="s">
        <v>882</v>
      </c>
      <c r="C32" s="569"/>
      <c r="D32" s="569"/>
      <c r="E32" s="569"/>
      <c r="F32" s="567"/>
      <c r="G32" s="567"/>
      <c r="H32" s="567"/>
      <c r="I32" s="547"/>
      <c r="J32" s="556"/>
    </row>
    <row r="33" spans="1:13">
      <c r="A33" s="538"/>
      <c r="B33" s="549" t="s">
        <v>883</v>
      </c>
      <c r="C33" s="569">
        <v>2</v>
      </c>
      <c r="D33" s="569" t="s">
        <v>14</v>
      </c>
      <c r="E33" s="569">
        <v>2</v>
      </c>
      <c r="F33" s="567">
        <v>69.5</v>
      </c>
      <c r="G33" s="567"/>
      <c r="H33" s="567">
        <v>0.5</v>
      </c>
      <c r="I33" s="547">
        <f>PRODUCT(C33:H33)</f>
        <v>139</v>
      </c>
      <c r="J33" s="556"/>
    </row>
    <row r="34" spans="1:13">
      <c r="A34" s="538"/>
      <c r="B34" s="549" t="s">
        <v>884</v>
      </c>
      <c r="C34" s="569">
        <v>1</v>
      </c>
      <c r="D34" s="569" t="s">
        <v>14</v>
      </c>
      <c r="E34" s="569">
        <v>2</v>
      </c>
      <c r="F34" s="567">
        <v>69.5</v>
      </c>
      <c r="G34" s="567">
        <v>0.23</v>
      </c>
      <c r="H34" s="567"/>
      <c r="I34" s="547">
        <f>PRODUCT(C34:H34)</f>
        <v>31.970000000000002</v>
      </c>
      <c r="J34" s="556"/>
    </row>
    <row r="35" spans="1:13">
      <c r="A35" s="538"/>
      <c r="B35" s="549" t="s">
        <v>880</v>
      </c>
      <c r="C35" s="569">
        <v>2</v>
      </c>
      <c r="D35" s="569" t="s">
        <v>14</v>
      </c>
      <c r="E35" s="569">
        <v>2</v>
      </c>
      <c r="F35" s="567">
        <v>141</v>
      </c>
      <c r="G35" s="567"/>
      <c r="H35" s="567">
        <v>0.7</v>
      </c>
      <c r="I35" s="547">
        <f>PRODUCT(C35:H35)</f>
        <v>394.79999999999995</v>
      </c>
      <c r="J35" s="556"/>
    </row>
    <row r="36" spans="1:13">
      <c r="A36" s="538"/>
      <c r="B36" s="549" t="s">
        <v>885</v>
      </c>
      <c r="C36" s="569">
        <v>1</v>
      </c>
      <c r="D36" s="569" t="s">
        <v>14</v>
      </c>
      <c r="E36" s="569">
        <v>2</v>
      </c>
      <c r="F36" s="567">
        <v>141</v>
      </c>
      <c r="G36" s="567">
        <v>0.23</v>
      </c>
      <c r="H36" s="567"/>
      <c r="I36" s="547">
        <f>PRODUCT(C36:H36)</f>
        <v>64.86</v>
      </c>
      <c r="J36" s="556"/>
    </row>
    <row r="37" spans="1:13">
      <c r="A37" s="538"/>
      <c r="B37" s="549"/>
      <c r="C37" s="569"/>
      <c r="D37" s="569"/>
      <c r="E37" s="569"/>
      <c r="F37" s="567"/>
      <c r="G37" s="567"/>
      <c r="H37" s="571" t="s">
        <v>34</v>
      </c>
      <c r="I37" s="547">
        <f>SUM(I33:I36)</f>
        <v>630.63</v>
      </c>
      <c r="J37" s="556"/>
    </row>
    <row r="38" spans="1:13">
      <c r="A38" s="538"/>
      <c r="B38" s="549"/>
      <c r="C38" s="569"/>
      <c r="D38" s="569"/>
      <c r="E38" s="569"/>
      <c r="F38" s="567"/>
      <c r="G38" s="567"/>
      <c r="H38" s="572" t="s">
        <v>25</v>
      </c>
      <c r="I38" s="31">
        <v>630.65</v>
      </c>
      <c r="J38" s="556" t="s">
        <v>165</v>
      </c>
    </row>
    <row r="39" spans="1:13">
      <c r="A39" s="538">
        <v>6</v>
      </c>
      <c r="B39" s="550" t="s">
        <v>886</v>
      </c>
      <c r="C39" s="569"/>
      <c r="D39" s="569"/>
      <c r="E39" s="569"/>
      <c r="F39" s="567"/>
      <c r="G39" s="567"/>
      <c r="H39" s="567"/>
      <c r="I39" s="547"/>
      <c r="J39" s="556"/>
    </row>
    <row r="40" spans="1:13">
      <c r="A40" s="538"/>
      <c r="B40" s="549" t="s">
        <v>887</v>
      </c>
      <c r="C40" s="570">
        <v>1</v>
      </c>
      <c r="D40" s="569" t="s">
        <v>28</v>
      </c>
      <c r="E40" s="569">
        <v>2</v>
      </c>
      <c r="F40" s="567">
        <v>69.5</v>
      </c>
      <c r="G40" s="567">
        <v>0.23</v>
      </c>
      <c r="H40" s="567"/>
      <c r="I40" s="547">
        <f>PRODUCT(C40:H40)</f>
        <v>31.970000000000002</v>
      </c>
      <c r="J40" s="556"/>
    </row>
    <row r="41" spans="1:13">
      <c r="A41" s="538"/>
      <c r="B41" s="549" t="s">
        <v>880</v>
      </c>
      <c r="C41" s="569">
        <v>1</v>
      </c>
      <c r="D41" s="569" t="s">
        <v>28</v>
      </c>
      <c r="E41" s="569">
        <v>2</v>
      </c>
      <c r="F41" s="567">
        <v>141</v>
      </c>
      <c r="G41" s="567">
        <v>0.23</v>
      </c>
      <c r="H41" s="567"/>
      <c r="I41" s="547">
        <f t="shared" ref="I41" si="4">PRODUCT(C41:H41)</f>
        <v>64.86</v>
      </c>
      <c r="J41" s="556"/>
    </row>
    <row r="42" spans="1:13">
      <c r="A42" s="538"/>
      <c r="B42" s="549"/>
      <c r="C42" s="569"/>
      <c r="D42" s="569"/>
      <c r="E42" s="569"/>
      <c r="F42" s="567"/>
      <c r="G42" s="567"/>
      <c r="H42" s="571" t="s">
        <v>34</v>
      </c>
      <c r="I42" s="547">
        <f>SUM(I40:I41)</f>
        <v>96.83</v>
      </c>
      <c r="J42" s="556"/>
    </row>
    <row r="43" spans="1:13">
      <c r="A43" s="538"/>
      <c r="B43" s="549"/>
      <c r="C43" s="569"/>
      <c r="D43" s="569"/>
      <c r="E43" s="569"/>
      <c r="F43" s="567"/>
      <c r="G43" s="567"/>
      <c r="H43" s="572" t="s">
        <v>25</v>
      </c>
      <c r="I43" s="31">
        <v>96.85</v>
      </c>
      <c r="J43" s="573" t="s">
        <v>247</v>
      </c>
    </row>
    <row r="44" spans="1:13">
      <c r="A44" s="538"/>
      <c r="B44" s="549"/>
      <c r="C44" s="549"/>
      <c r="D44" s="549"/>
      <c r="E44" s="549"/>
      <c r="F44" s="549"/>
      <c r="G44" s="549"/>
      <c r="H44" s="549"/>
      <c r="I44" s="547"/>
      <c r="J44" s="549"/>
    </row>
    <row r="45" spans="1:13">
      <c r="A45" s="538">
        <v>7</v>
      </c>
      <c r="B45" s="552" t="s">
        <v>865</v>
      </c>
      <c r="C45" s="549"/>
      <c r="D45" s="549"/>
      <c r="E45" s="549"/>
      <c r="F45" s="549"/>
      <c r="G45" s="549"/>
      <c r="H45" s="549"/>
      <c r="I45" s="549"/>
      <c r="J45" s="549"/>
    </row>
    <row r="46" spans="1:13">
      <c r="A46" s="538"/>
      <c r="B46" s="549" t="s">
        <v>879</v>
      </c>
      <c r="C46" s="569">
        <v>2</v>
      </c>
      <c r="D46" s="569" t="s">
        <v>14</v>
      </c>
      <c r="E46" s="569">
        <v>2</v>
      </c>
      <c r="F46" s="567">
        <v>69.5</v>
      </c>
      <c r="G46" s="567"/>
      <c r="H46" s="567">
        <v>0.5</v>
      </c>
      <c r="I46" s="547">
        <f>PRODUCT(C46:H46)</f>
        <v>139</v>
      </c>
      <c r="J46" s="556"/>
    </row>
    <row r="47" spans="1:13">
      <c r="A47" s="538"/>
      <c r="B47" s="549" t="s">
        <v>884</v>
      </c>
      <c r="C47" s="569">
        <v>1</v>
      </c>
      <c r="D47" s="569" t="s">
        <v>14</v>
      </c>
      <c r="E47" s="569">
        <v>2</v>
      </c>
      <c r="F47" s="567">
        <v>69.5</v>
      </c>
      <c r="G47" s="567">
        <v>0.23</v>
      </c>
      <c r="H47" s="567"/>
      <c r="I47" s="547">
        <f>PRODUCT(C47:H47)</f>
        <v>31.970000000000002</v>
      </c>
      <c r="J47" s="556"/>
      <c r="M47" s="558">
        <f>208+502+111+153+118+167332+234</f>
        <v>168658</v>
      </c>
    </row>
    <row r="48" spans="1:13">
      <c r="A48" s="538"/>
      <c r="B48" s="549" t="s">
        <v>880</v>
      </c>
      <c r="C48" s="569">
        <v>2</v>
      </c>
      <c r="D48" s="569" t="s">
        <v>14</v>
      </c>
      <c r="E48" s="569">
        <v>2</v>
      </c>
      <c r="F48" s="567">
        <v>141</v>
      </c>
      <c r="G48" s="567"/>
      <c r="H48" s="567">
        <v>0.7</v>
      </c>
      <c r="I48" s="547">
        <f>PRODUCT(C48:H48)</f>
        <v>394.79999999999995</v>
      </c>
      <c r="J48" s="556"/>
    </row>
    <row r="49" spans="1:13">
      <c r="A49" s="538"/>
      <c r="B49" s="549" t="s">
        <v>885</v>
      </c>
      <c r="C49" s="569">
        <v>1</v>
      </c>
      <c r="D49" s="569" t="s">
        <v>14</v>
      </c>
      <c r="E49" s="569">
        <v>2</v>
      </c>
      <c r="F49" s="567">
        <v>141</v>
      </c>
      <c r="G49" s="567">
        <v>0.23</v>
      </c>
      <c r="H49" s="567"/>
      <c r="I49" s="547">
        <f>PRODUCT(C49:H49)</f>
        <v>64.86</v>
      </c>
      <c r="J49" s="556"/>
      <c r="M49" s="558">
        <f>208+502+111+154+119+167+332+141+95+235</f>
        <v>2064</v>
      </c>
    </row>
    <row r="50" spans="1:13">
      <c r="A50" s="538"/>
      <c r="B50" s="549"/>
      <c r="C50" s="569"/>
      <c r="D50" s="569"/>
      <c r="E50" s="569"/>
      <c r="F50" s="567"/>
      <c r="G50" s="567"/>
      <c r="H50" s="571" t="s">
        <v>34</v>
      </c>
      <c r="I50" s="547">
        <f>SUM(I46:I49)</f>
        <v>630.63</v>
      </c>
      <c r="J50" s="556"/>
    </row>
    <row r="51" spans="1:13">
      <c r="A51" s="538"/>
      <c r="B51" s="549"/>
      <c r="C51" s="569"/>
      <c r="D51" s="569"/>
      <c r="E51" s="569"/>
      <c r="F51" s="567"/>
      <c r="G51" s="567"/>
      <c r="H51" s="572" t="s">
        <v>25</v>
      </c>
      <c r="I51" s="31">
        <v>630.65</v>
      </c>
      <c r="J51" s="556" t="s">
        <v>165</v>
      </c>
    </row>
    <row r="52" spans="1:13">
      <c r="A52" s="538">
        <v>8</v>
      </c>
      <c r="B52" s="552" t="s">
        <v>888</v>
      </c>
      <c r="C52" s="569"/>
      <c r="D52" s="569"/>
      <c r="E52" s="569"/>
      <c r="F52" s="567"/>
      <c r="G52" s="567"/>
      <c r="H52" s="567"/>
      <c r="I52" s="547"/>
      <c r="J52" s="578"/>
    </row>
    <row r="53" spans="1:13">
      <c r="A53" s="538"/>
      <c r="B53" s="579" t="s">
        <v>889</v>
      </c>
      <c r="C53" s="569"/>
      <c r="D53" s="569"/>
      <c r="E53" s="569"/>
      <c r="F53" s="567"/>
      <c r="G53" s="567"/>
      <c r="H53" s="567"/>
      <c r="I53" s="547"/>
      <c r="J53" s="578"/>
    </row>
    <row r="54" spans="1:13">
      <c r="A54" s="538"/>
      <c r="B54" s="549" t="s">
        <v>879</v>
      </c>
      <c r="C54" s="570">
        <v>1</v>
      </c>
      <c r="D54" s="569" t="s">
        <v>28</v>
      </c>
      <c r="E54" s="569">
        <v>1</v>
      </c>
      <c r="F54" s="567">
        <v>116</v>
      </c>
      <c r="G54" s="567">
        <f>0.23+0.3+0.23</f>
        <v>0.76</v>
      </c>
      <c r="H54" s="567"/>
      <c r="I54" s="547">
        <f>PRODUCT(C54:H54)</f>
        <v>88.16</v>
      </c>
      <c r="J54" s="556"/>
    </row>
    <row r="55" spans="1:13">
      <c r="A55" s="538"/>
      <c r="B55" s="549" t="s">
        <v>880</v>
      </c>
      <c r="C55" s="569">
        <v>1</v>
      </c>
      <c r="D55" s="569" t="s">
        <v>28</v>
      </c>
      <c r="E55" s="569">
        <v>1</v>
      </c>
      <c r="F55" s="567">
        <v>235</v>
      </c>
      <c r="G55" s="567">
        <v>0.76</v>
      </c>
      <c r="H55" s="567"/>
      <c r="I55" s="547">
        <f t="shared" ref="I55" si="5">PRODUCT(C55:H55)</f>
        <v>178.6</v>
      </c>
      <c r="J55" s="556"/>
    </row>
    <row r="56" spans="1:13">
      <c r="A56" s="580"/>
      <c r="B56" s="549"/>
      <c r="C56" s="569"/>
      <c r="D56" s="569"/>
      <c r="E56" s="569">
        <v>1</v>
      </c>
      <c r="F56" s="567"/>
      <c r="G56" s="567"/>
      <c r="H56" s="571" t="s">
        <v>34</v>
      </c>
      <c r="I56" s="547">
        <f>SUM(I54:I55)</f>
        <v>266.76</v>
      </c>
      <c r="J56" s="556"/>
    </row>
    <row r="57" spans="1:13">
      <c r="A57" s="580"/>
      <c r="B57" s="581"/>
      <c r="C57" s="556"/>
      <c r="D57" s="556"/>
      <c r="E57" s="556"/>
      <c r="F57" s="581"/>
      <c r="G57" s="581"/>
      <c r="H57" s="572" t="s">
        <v>25</v>
      </c>
      <c r="I57" s="572">
        <v>266.8</v>
      </c>
      <c r="J57" s="573" t="s">
        <v>289</v>
      </c>
    </row>
    <row r="58" spans="1:13">
      <c r="A58" s="580"/>
      <c r="B58" s="581"/>
      <c r="C58" s="556"/>
      <c r="D58" s="556"/>
      <c r="E58" s="556"/>
      <c r="F58" s="581"/>
      <c r="G58" s="581"/>
      <c r="H58" s="572"/>
      <c r="I58" s="572"/>
      <c r="J58" s="573"/>
    </row>
    <row r="59" spans="1:13" ht="99">
      <c r="A59" s="580">
        <v>9</v>
      </c>
      <c r="B59" s="582" t="s">
        <v>890</v>
      </c>
      <c r="C59" s="556"/>
      <c r="D59" s="556"/>
      <c r="E59" s="556"/>
      <c r="F59" s="581"/>
      <c r="G59" s="581"/>
      <c r="H59" s="572"/>
      <c r="I59" s="572"/>
      <c r="J59" s="573"/>
    </row>
    <row r="60" spans="1:13" ht="31.5">
      <c r="A60" s="580"/>
      <c r="B60" s="581" t="s">
        <v>891</v>
      </c>
      <c r="C60" s="556">
        <v>1</v>
      </c>
      <c r="D60" s="556" t="s">
        <v>28</v>
      </c>
      <c r="E60" s="556">
        <v>1</v>
      </c>
      <c r="F60" s="581">
        <v>10.67</v>
      </c>
      <c r="G60" s="581">
        <v>100</v>
      </c>
      <c r="H60" s="583" t="s">
        <v>892</v>
      </c>
      <c r="I60" s="572">
        <f>10.67*100</f>
        <v>1067</v>
      </c>
      <c r="J60" s="573" t="s">
        <v>281</v>
      </c>
    </row>
    <row r="61" spans="1:13">
      <c r="A61" s="580"/>
      <c r="B61" s="581"/>
      <c r="C61" s="556"/>
      <c r="D61" s="556"/>
      <c r="E61" s="556"/>
      <c r="F61" s="581"/>
      <c r="G61" s="581"/>
      <c r="H61" s="572" t="s">
        <v>34</v>
      </c>
      <c r="I61" s="584">
        <f>I60/1000</f>
        <v>1.0669999999999999</v>
      </c>
      <c r="J61" s="573" t="s">
        <v>869</v>
      </c>
    </row>
    <row r="62" spans="1:13">
      <c r="A62" s="580">
        <v>10</v>
      </c>
      <c r="B62" s="554" t="s">
        <v>871</v>
      </c>
      <c r="C62" s="556"/>
      <c r="D62" s="556"/>
      <c r="E62" s="556"/>
      <c r="F62" s="581"/>
      <c r="G62" s="581"/>
      <c r="H62" s="581"/>
      <c r="I62" s="581"/>
      <c r="J62" s="581"/>
    </row>
    <row r="63" spans="1:13">
      <c r="A63" s="580"/>
      <c r="B63" s="581"/>
      <c r="C63" s="556"/>
      <c r="D63" s="556"/>
      <c r="E63" s="556"/>
      <c r="F63" s="581"/>
      <c r="G63" s="581"/>
      <c r="H63" s="581"/>
      <c r="I63" s="581"/>
      <c r="J63" s="581"/>
    </row>
    <row r="64" spans="1:13">
      <c r="A64" s="580">
        <v>11</v>
      </c>
      <c r="B64" s="541" t="s">
        <v>873</v>
      </c>
      <c r="C64" s="556"/>
      <c r="D64" s="556"/>
      <c r="E64" s="556"/>
      <c r="F64" s="581"/>
      <c r="G64" s="581"/>
      <c r="H64" s="581"/>
      <c r="I64" s="556" t="s">
        <v>30</v>
      </c>
      <c r="J64" s="581"/>
    </row>
    <row r="65" spans="1:10">
      <c r="A65" s="580">
        <v>12</v>
      </c>
      <c r="B65" s="541" t="s">
        <v>874</v>
      </c>
      <c r="C65" s="556"/>
      <c r="D65" s="556"/>
      <c r="E65" s="556"/>
      <c r="F65" s="581"/>
      <c r="G65" s="581"/>
      <c r="H65" s="581"/>
      <c r="I65" s="556" t="s">
        <v>30</v>
      </c>
      <c r="J65" s="581"/>
    </row>
    <row r="66" spans="1:10">
      <c r="A66" s="580">
        <v>13</v>
      </c>
      <c r="B66" s="541" t="s">
        <v>875</v>
      </c>
      <c r="C66" s="556"/>
      <c r="D66" s="556"/>
      <c r="E66" s="556"/>
      <c r="F66" s="581"/>
      <c r="G66" s="581"/>
      <c r="H66" s="581"/>
      <c r="I66" s="556" t="s">
        <v>30</v>
      </c>
      <c r="J66" s="581"/>
    </row>
    <row r="67" spans="1:10">
      <c r="B67" s="586"/>
      <c r="C67" s="587"/>
      <c r="D67" s="587"/>
      <c r="E67" s="587"/>
      <c r="F67" s="586"/>
      <c r="G67" s="586"/>
      <c r="H67" s="586"/>
      <c r="I67" s="586"/>
      <c r="J67" s="586"/>
    </row>
  </sheetData>
  <mergeCells count="5">
    <mergeCell ref="A1:J1"/>
    <mergeCell ref="A2:J2"/>
    <mergeCell ref="A3:J5"/>
    <mergeCell ref="A6:J6"/>
    <mergeCell ref="C7:E7"/>
  </mergeCells>
  <printOptions horizontalCentered="1"/>
  <pageMargins left="0.72" right="0.19685039370078741" top="0.38" bottom="0.26" header="0.31496062992125984" footer="0.31496062992125984"/>
  <pageSetup paperSize="9" scale="80" orientation="portrait" verticalDpi="300" r:id="rId1"/>
  <colBreaks count="1" manualBreakCount="1">
    <brk id="10" min="2" max="89" man="1"/>
  </colBreaks>
</worksheet>
</file>

<file path=xl/worksheets/sheet24.xml><?xml version="1.0" encoding="utf-8"?>
<worksheet xmlns="http://schemas.openxmlformats.org/spreadsheetml/2006/main" xmlns:r="http://schemas.openxmlformats.org/officeDocument/2006/relationships">
  <sheetPr>
    <tabColor rgb="FF00B050"/>
  </sheetPr>
  <dimension ref="A1:L160"/>
  <sheetViews>
    <sheetView view="pageBreakPreview" topLeftCell="A136" zoomScale="130" zoomScaleNormal="70" zoomScaleSheetLayoutView="130" workbookViewId="0">
      <selection activeCell="B98" sqref="B98"/>
    </sheetView>
  </sheetViews>
  <sheetFormatPr defaultRowHeight="16.5"/>
  <cols>
    <col min="1" max="1" width="5.5703125" style="646" customWidth="1"/>
    <col min="2" max="2" width="31.28515625" style="601" customWidth="1"/>
    <col min="3" max="3" width="6" style="647" customWidth="1"/>
    <col min="4" max="4" width="3.42578125" style="647" customWidth="1"/>
    <col min="5" max="5" width="5.7109375" style="647" customWidth="1"/>
    <col min="6" max="6" width="10.7109375" style="648" customWidth="1"/>
    <col min="7" max="7" width="9.5703125" style="648" customWidth="1"/>
    <col min="8" max="8" width="7.7109375" style="648" customWidth="1"/>
    <col min="9" max="9" width="10.28515625" style="648" customWidth="1"/>
    <col min="10" max="10" width="6.28515625" style="601" bestFit="1" customWidth="1"/>
    <col min="11" max="11" width="15.5703125" style="601" customWidth="1"/>
    <col min="12" max="12" width="27.140625" style="601" customWidth="1"/>
    <col min="13" max="13" width="9.140625" style="601"/>
    <col min="14" max="14" width="15.140625" style="601" bestFit="1" customWidth="1"/>
    <col min="15" max="256" width="9.140625" style="601"/>
    <col min="257" max="257" width="5.5703125" style="601" customWidth="1"/>
    <col min="258" max="258" width="31.28515625" style="601" customWidth="1"/>
    <col min="259" max="259" width="6" style="601" customWidth="1"/>
    <col min="260" max="260" width="3.42578125" style="601" customWidth="1"/>
    <col min="261" max="261" width="5.7109375" style="601" customWidth="1"/>
    <col min="262" max="262" width="10.7109375" style="601" customWidth="1"/>
    <col min="263" max="263" width="9.5703125" style="601" customWidth="1"/>
    <col min="264" max="264" width="7.7109375" style="601" customWidth="1"/>
    <col min="265" max="265" width="10.28515625" style="601" customWidth="1"/>
    <col min="266" max="266" width="6.28515625" style="601" bestFit="1" customWidth="1"/>
    <col min="267" max="267" width="15.5703125" style="601" customWidth="1"/>
    <col min="268" max="268" width="27.140625" style="601" customWidth="1"/>
    <col min="269" max="269" width="9.140625" style="601"/>
    <col min="270" max="270" width="15.140625" style="601" bestFit="1" customWidth="1"/>
    <col min="271" max="512" width="9.140625" style="601"/>
    <col min="513" max="513" width="5.5703125" style="601" customWidth="1"/>
    <col min="514" max="514" width="31.28515625" style="601" customWidth="1"/>
    <col min="515" max="515" width="6" style="601" customWidth="1"/>
    <col min="516" max="516" width="3.42578125" style="601" customWidth="1"/>
    <col min="517" max="517" width="5.7109375" style="601" customWidth="1"/>
    <col min="518" max="518" width="10.7109375" style="601" customWidth="1"/>
    <col min="519" max="519" width="9.5703125" style="601" customWidth="1"/>
    <col min="520" max="520" width="7.7109375" style="601" customWidth="1"/>
    <col min="521" max="521" width="10.28515625" style="601" customWidth="1"/>
    <col min="522" max="522" width="6.28515625" style="601" bestFit="1" customWidth="1"/>
    <col min="523" max="523" width="15.5703125" style="601" customWidth="1"/>
    <col min="524" max="524" width="27.140625" style="601" customWidth="1"/>
    <col min="525" max="525" width="9.140625" style="601"/>
    <col min="526" max="526" width="15.140625" style="601" bestFit="1" customWidth="1"/>
    <col min="527" max="768" width="9.140625" style="601"/>
    <col min="769" max="769" width="5.5703125" style="601" customWidth="1"/>
    <col min="770" max="770" width="31.28515625" style="601" customWidth="1"/>
    <col min="771" max="771" width="6" style="601" customWidth="1"/>
    <col min="772" max="772" width="3.42578125" style="601" customWidth="1"/>
    <col min="773" max="773" width="5.7109375" style="601" customWidth="1"/>
    <col min="774" max="774" width="10.7109375" style="601" customWidth="1"/>
    <col min="775" max="775" width="9.5703125" style="601" customWidth="1"/>
    <col min="776" max="776" width="7.7109375" style="601" customWidth="1"/>
    <col min="777" max="777" width="10.28515625" style="601" customWidth="1"/>
    <col min="778" max="778" width="6.28515625" style="601" bestFit="1" customWidth="1"/>
    <col min="779" max="779" width="15.5703125" style="601" customWidth="1"/>
    <col min="780" max="780" width="27.140625" style="601" customWidth="1"/>
    <col min="781" max="781" width="9.140625" style="601"/>
    <col min="782" max="782" width="15.140625" style="601" bestFit="1" customWidth="1"/>
    <col min="783" max="1024" width="9.140625" style="601"/>
    <col min="1025" max="1025" width="5.5703125" style="601" customWidth="1"/>
    <col min="1026" max="1026" width="31.28515625" style="601" customWidth="1"/>
    <col min="1027" max="1027" width="6" style="601" customWidth="1"/>
    <col min="1028" max="1028" width="3.42578125" style="601" customWidth="1"/>
    <col min="1029" max="1029" width="5.7109375" style="601" customWidth="1"/>
    <col min="1030" max="1030" width="10.7109375" style="601" customWidth="1"/>
    <col min="1031" max="1031" width="9.5703125" style="601" customWidth="1"/>
    <col min="1032" max="1032" width="7.7109375" style="601" customWidth="1"/>
    <col min="1033" max="1033" width="10.28515625" style="601" customWidth="1"/>
    <col min="1034" max="1034" width="6.28515625" style="601" bestFit="1" customWidth="1"/>
    <col min="1035" max="1035" width="15.5703125" style="601" customWidth="1"/>
    <col min="1036" max="1036" width="27.140625" style="601" customWidth="1"/>
    <col min="1037" max="1037" width="9.140625" style="601"/>
    <col min="1038" max="1038" width="15.140625" style="601" bestFit="1" customWidth="1"/>
    <col min="1039" max="1280" width="9.140625" style="601"/>
    <col min="1281" max="1281" width="5.5703125" style="601" customWidth="1"/>
    <col min="1282" max="1282" width="31.28515625" style="601" customWidth="1"/>
    <col min="1283" max="1283" width="6" style="601" customWidth="1"/>
    <col min="1284" max="1284" width="3.42578125" style="601" customWidth="1"/>
    <col min="1285" max="1285" width="5.7109375" style="601" customWidth="1"/>
    <col min="1286" max="1286" width="10.7109375" style="601" customWidth="1"/>
    <col min="1287" max="1287" width="9.5703125" style="601" customWidth="1"/>
    <col min="1288" max="1288" width="7.7109375" style="601" customWidth="1"/>
    <col min="1289" max="1289" width="10.28515625" style="601" customWidth="1"/>
    <col min="1290" max="1290" width="6.28515625" style="601" bestFit="1" customWidth="1"/>
    <col min="1291" max="1291" width="15.5703125" style="601" customWidth="1"/>
    <col min="1292" max="1292" width="27.140625" style="601" customWidth="1"/>
    <col min="1293" max="1293" width="9.140625" style="601"/>
    <col min="1294" max="1294" width="15.140625" style="601" bestFit="1" customWidth="1"/>
    <col min="1295" max="1536" width="9.140625" style="601"/>
    <col min="1537" max="1537" width="5.5703125" style="601" customWidth="1"/>
    <col min="1538" max="1538" width="31.28515625" style="601" customWidth="1"/>
    <col min="1539" max="1539" width="6" style="601" customWidth="1"/>
    <col min="1540" max="1540" width="3.42578125" style="601" customWidth="1"/>
    <col min="1541" max="1541" width="5.7109375" style="601" customWidth="1"/>
    <col min="1542" max="1542" width="10.7109375" style="601" customWidth="1"/>
    <col min="1543" max="1543" width="9.5703125" style="601" customWidth="1"/>
    <col min="1544" max="1544" width="7.7109375" style="601" customWidth="1"/>
    <col min="1545" max="1545" width="10.28515625" style="601" customWidth="1"/>
    <col min="1546" max="1546" width="6.28515625" style="601" bestFit="1" customWidth="1"/>
    <col min="1547" max="1547" width="15.5703125" style="601" customWidth="1"/>
    <col min="1548" max="1548" width="27.140625" style="601" customWidth="1"/>
    <col min="1549" max="1549" width="9.140625" style="601"/>
    <col min="1550" max="1550" width="15.140625" style="601" bestFit="1" customWidth="1"/>
    <col min="1551" max="1792" width="9.140625" style="601"/>
    <col min="1793" max="1793" width="5.5703125" style="601" customWidth="1"/>
    <col min="1794" max="1794" width="31.28515625" style="601" customWidth="1"/>
    <col min="1795" max="1795" width="6" style="601" customWidth="1"/>
    <col min="1796" max="1796" width="3.42578125" style="601" customWidth="1"/>
    <col min="1797" max="1797" width="5.7109375" style="601" customWidth="1"/>
    <col min="1798" max="1798" width="10.7109375" style="601" customWidth="1"/>
    <col min="1799" max="1799" width="9.5703125" style="601" customWidth="1"/>
    <col min="1800" max="1800" width="7.7109375" style="601" customWidth="1"/>
    <col min="1801" max="1801" width="10.28515625" style="601" customWidth="1"/>
    <col min="1802" max="1802" width="6.28515625" style="601" bestFit="1" customWidth="1"/>
    <col min="1803" max="1803" width="15.5703125" style="601" customWidth="1"/>
    <col min="1804" max="1804" width="27.140625" style="601" customWidth="1"/>
    <col min="1805" max="1805" width="9.140625" style="601"/>
    <col min="1806" max="1806" width="15.140625" style="601" bestFit="1" customWidth="1"/>
    <col min="1807" max="2048" width="9.140625" style="601"/>
    <col min="2049" max="2049" width="5.5703125" style="601" customWidth="1"/>
    <col min="2050" max="2050" width="31.28515625" style="601" customWidth="1"/>
    <col min="2051" max="2051" width="6" style="601" customWidth="1"/>
    <col min="2052" max="2052" width="3.42578125" style="601" customWidth="1"/>
    <col min="2053" max="2053" width="5.7109375" style="601" customWidth="1"/>
    <col min="2054" max="2054" width="10.7109375" style="601" customWidth="1"/>
    <col min="2055" max="2055" width="9.5703125" style="601" customWidth="1"/>
    <col min="2056" max="2056" width="7.7109375" style="601" customWidth="1"/>
    <col min="2057" max="2057" width="10.28515625" style="601" customWidth="1"/>
    <col min="2058" max="2058" width="6.28515625" style="601" bestFit="1" customWidth="1"/>
    <col min="2059" max="2059" width="15.5703125" style="601" customWidth="1"/>
    <col min="2060" max="2060" width="27.140625" style="601" customWidth="1"/>
    <col min="2061" max="2061" width="9.140625" style="601"/>
    <col min="2062" max="2062" width="15.140625" style="601" bestFit="1" customWidth="1"/>
    <col min="2063" max="2304" width="9.140625" style="601"/>
    <col min="2305" max="2305" width="5.5703125" style="601" customWidth="1"/>
    <col min="2306" max="2306" width="31.28515625" style="601" customWidth="1"/>
    <col min="2307" max="2307" width="6" style="601" customWidth="1"/>
    <col min="2308" max="2308" width="3.42578125" style="601" customWidth="1"/>
    <col min="2309" max="2309" width="5.7109375" style="601" customWidth="1"/>
    <col min="2310" max="2310" width="10.7109375" style="601" customWidth="1"/>
    <col min="2311" max="2311" width="9.5703125" style="601" customWidth="1"/>
    <col min="2312" max="2312" width="7.7109375" style="601" customWidth="1"/>
    <col min="2313" max="2313" width="10.28515625" style="601" customWidth="1"/>
    <col min="2314" max="2314" width="6.28515625" style="601" bestFit="1" customWidth="1"/>
    <col min="2315" max="2315" width="15.5703125" style="601" customWidth="1"/>
    <col min="2316" max="2316" width="27.140625" style="601" customWidth="1"/>
    <col min="2317" max="2317" width="9.140625" style="601"/>
    <col min="2318" max="2318" width="15.140625" style="601" bestFit="1" customWidth="1"/>
    <col min="2319" max="2560" width="9.140625" style="601"/>
    <col min="2561" max="2561" width="5.5703125" style="601" customWidth="1"/>
    <col min="2562" max="2562" width="31.28515625" style="601" customWidth="1"/>
    <col min="2563" max="2563" width="6" style="601" customWidth="1"/>
    <col min="2564" max="2564" width="3.42578125" style="601" customWidth="1"/>
    <col min="2565" max="2565" width="5.7109375" style="601" customWidth="1"/>
    <col min="2566" max="2566" width="10.7109375" style="601" customWidth="1"/>
    <col min="2567" max="2567" width="9.5703125" style="601" customWidth="1"/>
    <col min="2568" max="2568" width="7.7109375" style="601" customWidth="1"/>
    <col min="2569" max="2569" width="10.28515625" style="601" customWidth="1"/>
    <col min="2570" max="2570" width="6.28515625" style="601" bestFit="1" customWidth="1"/>
    <col min="2571" max="2571" width="15.5703125" style="601" customWidth="1"/>
    <col min="2572" max="2572" width="27.140625" style="601" customWidth="1"/>
    <col min="2573" max="2573" width="9.140625" style="601"/>
    <col min="2574" max="2574" width="15.140625" style="601" bestFit="1" customWidth="1"/>
    <col min="2575" max="2816" width="9.140625" style="601"/>
    <col min="2817" max="2817" width="5.5703125" style="601" customWidth="1"/>
    <col min="2818" max="2818" width="31.28515625" style="601" customWidth="1"/>
    <col min="2819" max="2819" width="6" style="601" customWidth="1"/>
    <col min="2820" max="2820" width="3.42578125" style="601" customWidth="1"/>
    <col min="2821" max="2821" width="5.7109375" style="601" customWidth="1"/>
    <col min="2822" max="2822" width="10.7109375" style="601" customWidth="1"/>
    <col min="2823" max="2823" width="9.5703125" style="601" customWidth="1"/>
    <col min="2824" max="2824" width="7.7109375" style="601" customWidth="1"/>
    <col min="2825" max="2825" width="10.28515625" style="601" customWidth="1"/>
    <col min="2826" max="2826" width="6.28515625" style="601" bestFit="1" customWidth="1"/>
    <col min="2827" max="2827" width="15.5703125" style="601" customWidth="1"/>
    <col min="2828" max="2828" width="27.140625" style="601" customWidth="1"/>
    <col min="2829" max="2829" width="9.140625" style="601"/>
    <col min="2830" max="2830" width="15.140625" style="601" bestFit="1" customWidth="1"/>
    <col min="2831" max="3072" width="9.140625" style="601"/>
    <col min="3073" max="3073" width="5.5703125" style="601" customWidth="1"/>
    <col min="3074" max="3074" width="31.28515625" style="601" customWidth="1"/>
    <col min="3075" max="3075" width="6" style="601" customWidth="1"/>
    <col min="3076" max="3076" width="3.42578125" style="601" customWidth="1"/>
    <col min="3077" max="3077" width="5.7109375" style="601" customWidth="1"/>
    <col min="3078" max="3078" width="10.7109375" style="601" customWidth="1"/>
    <col min="3079" max="3079" width="9.5703125" style="601" customWidth="1"/>
    <col min="3080" max="3080" width="7.7109375" style="601" customWidth="1"/>
    <col min="3081" max="3081" width="10.28515625" style="601" customWidth="1"/>
    <col min="3082" max="3082" width="6.28515625" style="601" bestFit="1" customWidth="1"/>
    <col min="3083" max="3083" width="15.5703125" style="601" customWidth="1"/>
    <col min="3084" max="3084" width="27.140625" style="601" customWidth="1"/>
    <col min="3085" max="3085" width="9.140625" style="601"/>
    <col min="3086" max="3086" width="15.140625" style="601" bestFit="1" customWidth="1"/>
    <col min="3087" max="3328" width="9.140625" style="601"/>
    <col min="3329" max="3329" width="5.5703125" style="601" customWidth="1"/>
    <col min="3330" max="3330" width="31.28515625" style="601" customWidth="1"/>
    <col min="3331" max="3331" width="6" style="601" customWidth="1"/>
    <col min="3332" max="3332" width="3.42578125" style="601" customWidth="1"/>
    <col min="3333" max="3333" width="5.7109375" style="601" customWidth="1"/>
    <col min="3334" max="3334" width="10.7109375" style="601" customWidth="1"/>
    <col min="3335" max="3335" width="9.5703125" style="601" customWidth="1"/>
    <col min="3336" max="3336" width="7.7109375" style="601" customWidth="1"/>
    <col min="3337" max="3337" width="10.28515625" style="601" customWidth="1"/>
    <col min="3338" max="3338" width="6.28515625" style="601" bestFit="1" customWidth="1"/>
    <col min="3339" max="3339" width="15.5703125" style="601" customWidth="1"/>
    <col min="3340" max="3340" width="27.140625" style="601" customWidth="1"/>
    <col min="3341" max="3341" width="9.140625" style="601"/>
    <col min="3342" max="3342" width="15.140625" style="601" bestFit="1" customWidth="1"/>
    <col min="3343" max="3584" width="9.140625" style="601"/>
    <col min="3585" max="3585" width="5.5703125" style="601" customWidth="1"/>
    <col min="3586" max="3586" width="31.28515625" style="601" customWidth="1"/>
    <col min="3587" max="3587" width="6" style="601" customWidth="1"/>
    <col min="3588" max="3588" width="3.42578125" style="601" customWidth="1"/>
    <col min="3589" max="3589" width="5.7109375" style="601" customWidth="1"/>
    <col min="3590" max="3590" width="10.7109375" style="601" customWidth="1"/>
    <col min="3591" max="3591" width="9.5703125" style="601" customWidth="1"/>
    <col min="3592" max="3592" width="7.7109375" style="601" customWidth="1"/>
    <col min="3593" max="3593" width="10.28515625" style="601" customWidth="1"/>
    <col min="3594" max="3594" width="6.28515625" style="601" bestFit="1" customWidth="1"/>
    <col min="3595" max="3595" width="15.5703125" style="601" customWidth="1"/>
    <col min="3596" max="3596" width="27.140625" style="601" customWidth="1"/>
    <col min="3597" max="3597" width="9.140625" style="601"/>
    <col min="3598" max="3598" width="15.140625" style="601" bestFit="1" customWidth="1"/>
    <col min="3599" max="3840" width="9.140625" style="601"/>
    <col min="3841" max="3841" width="5.5703125" style="601" customWidth="1"/>
    <col min="3842" max="3842" width="31.28515625" style="601" customWidth="1"/>
    <col min="3843" max="3843" width="6" style="601" customWidth="1"/>
    <col min="3844" max="3844" width="3.42578125" style="601" customWidth="1"/>
    <col min="3845" max="3845" width="5.7109375" style="601" customWidth="1"/>
    <col min="3846" max="3846" width="10.7109375" style="601" customWidth="1"/>
    <col min="3847" max="3847" width="9.5703125" style="601" customWidth="1"/>
    <col min="3848" max="3848" width="7.7109375" style="601" customWidth="1"/>
    <col min="3849" max="3849" width="10.28515625" style="601" customWidth="1"/>
    <col min="3850" max="3850" width="6.28515625" style="601" bestFit="1" customWidth="1"/>
    <col min="3851" max="3851" width="15.5703125" style="601" customWidth="1"/>
    <col min="3852" max="3852" width="27.140625" style="601" customWidth="1"/>
    <col min="3853" max="3853" width="9.140625" style="601"/>
    <col min="3854" max="3854" width="15.140625" style="601" bestFit="1" customWidth="1"/>
    <col min="3855" max="4096" width="9.140625" style="601"/>
    <col min="4097" max="4097" width="5.5703125" style="601" customWidth="1"/>
    <col min="4098" max="4098" width="31.28515625" style="601" customWidth="1"/>
    <col min="4099" max="4099" width="6" style="601" customWidth="1"/>
    <col min="4100" max="4100" width="3.42578125" style="601" customWidth="1"/>
    <col min="4101" max="4101" width="5.7109375" style="601" customWidth="1"/>
    <col min="4102" max="4102" width="10.7109375" style="601" customWidth="1"/>
    <col min="4103" max="4103" width="9.5703125" style="601" customWidth="1"/>
    <col min="4104" max="4104" width="7.7109375" style="601" customWidth="1"/>
    <col min="4105" max="4105" width="10.28515625" style="601" customWidth="1"/>
    <col min="4106" max="4106" width="6.28515625" style="601" bestFit="1" customWidth="1"/>
    <col min="4107" max="4107" width="15.5703125" style="601" customWidth="1"/>
    <col min="4108" max="4108" width="27.140625" style="601" customWidth="1"/>
    <col min="4109" max="4109" width="9.140625" style="601"/>
    <col min="4110" max="4110" width="15.140625" style="601" bestFit="1" customWidth="1"/>
    <col min="4111" max="4352" width="9.140625" style="601"/>
    <col min="4353" max="4353" width="5.5703125" style="601" customWidth="1"/>
    <col min="4354" max="4354" width="31.28515625" style="601" customWidth="1"/>
    <col min="4355" max="4355" width="6" style="601" customWidth="1"/>
    <col min="4356" max="4356" width="3.42578125" style="601" customWidth="1"/>
    <col min="4357" max="4357" width="5.7109375" style="601" customWidth="1"/>
    <col min="4358" max="4358" width="10.7109375" style="601" customWidth="1"/>
    <col min="4359" max="4359" width="9.5703125" style="601" customWidth="1"/>
    <col min="4360" max="4360" width="7.7109375" style="601" customWidth="1"/>
    <col min="4361" max="4361" width="10.28515625" style="601" customWidth="1"/>
    <col min="4362" max="4362" width="6.28515625" style="601" bestFit="1" customWidth="1"/>
    <col min="4363" max="4363" width="15.5703125" style="601" customWidth="1"/>
    <col min="4364" max="4364" width="27.140625" style="601" customWidth="1"/>
    <col min="4365" max="4365" width="9.140625" style="601"/>
    <col min="4366" max="4366" width="15.140625" style="601" bestFit="1" customWidth="1"/>
    <col min="4367" max="4608" width="9.140625" style="601"/>
    <col min="4609" max="4609" width="5.5703125" style="601" customWidth="1"/>
    <col min="4610" max="4610" width="31.28515625" style="601" customWidth="1"/>
    <col min="4611" max="4611" width="6" style="601" customWidth="1"/>
    <col min="4612" max="4612" width="3.42578125" style="601" customWidth="1"/>
    <col min="4613" max="4613" width="5.7109375" style="601" customWidth="1"/>
    <col min="4614" max="4614" width="10.7109375" style="601" customWidth="1"/>
    <col min="4615" max="4615" width="9.5703125" style="601" customWidth="1"/>
    <col min="4616" max="4616" width="7.7109375" style="601" customWidth="1"/>
    <col min="4617" max="4617" width="10.28515625" style="601" customWidth="1"/>
    <col min="4618" max="4618" width="6.28515625" style="601" bestFit="1" customWidth="1"/>
    <col min="4619" max="4619" width="15.5703125" style="601" customWidth="1"/>
    <col min="4620" max="4620" width="27.140625" style="601" customWidth="1"/>
    <col min="4621" max="4621" width="9.140625" style="601"/>
    <col min="4622" max="4622" width="15.140625" style="601" bestFit="1" customWidth="1"/>
    <col min="4623" max="4864" width="9.140625" style="601"/>
    <col min="4865" max="4865" width="5.5703125" style="601" customWidth="1"/>
    <col min="4866" max="4866" width="31.28515625" style="601" customWidth="1"/>
    <col min="4867" max="4867" width="6" style="601" customWidth="1"/>
    <col min="4868" max="4868" width="3.42578125" style="601" customWidth="1"/>
    <col min="4869" max="4869" width="5.7109375" style="601" customWidth="1"/>
    <col min="4870" max="4870" width="10.7109375" style="601" customWidth="1"/>
    <col min="4871" max="4871" width="9.5703125" style="601" customWidth="1"/>
    <col min="4872" max="4872" width="7.7109375" style="601" customWidth="1"/>
    <col min="4873" max="4873" width="10.28515625" style="601" customWidth="1"/>
    <col min="4874" max="4874" width="6.28515625" style="601" bestFit="1" customWidth="1"/>
    <col min="4875" max="4875" width="15.5703125" style="601" customWidth="1"/>
    <col min="4876" max="4876" width="27.140625" style="601" customWidth="1"/>
    <col min="4877" max="4877" width="9.140625" style="601"/>
    <col min="4878" max="4878" width="15.140625" style="601" bestFit="1" customWidth="1"/>
    <col min="4879" max="5120" width="9.140625" style="601"/>
    <col min="5121" max="5121" width="5.5703125" style="601" customWidth="1"/>
    <col min="5122" max="5122" width="31.28515625" style="601" customWidth="1"/>
    <col min="5123" max="5123" width="6" style="601" customWidth="1"/>
    <col min="5124" max="5124" width="3.42578125" style="601" customWidth="1"/>
    <col min="5125" max="5125" width="5.7109375" style="601" customWidth="1"/>
    <col min="5126" max="5126" width="10.7109375" style="601" customWidth="1"/>
    <col min="5127" max="5127" width="9.5703125" style="601" customWidth="1"/>
    <col min="5128" max="5128" width="7.7109375" style="601" customWidth="1"/>
    <col min="5129" max="5129" width="10.28515625" style="601" customWidth="1"/>
    <col min="5130" max="5130" width="6.28515625" style="601" bestFit="1" customWidth="1"/>
    <col min="5131" max="5131" width="15.5703125" style="601" customWidth="1"/>
    <col min="5132" max="5132" width="27.140625" style="601" customWidth="1"/>
    <col min="5133" max="5133" width="9.140625" style="601"/>
    <col min="5134" max="5134" width="15.140625" style="601" bestFit="1" customWidth="1"/>
    <col min="5135" max="5376" width="9.140625" style="601"/>
    <col min="5377" max="5377" width="5.5703125" style="601" customWidth="1"/>
    <col min="5378" max="5378" width="31.28515625" style="601" customWidth="1"/>
    <col min="5379" max="5379" width="6" style="601" customWidth="1"/>
    <col min="5380" max="5380" width="3.42578125" style="601" customWidth="1"/>
    <col min="5381" max="5381" width="5.7109375" style="601" customWidth="1"/>
    <col min="5382" max="5382" width="10.7109375" style="601" customWidth="1"/>
    <col min="5383" max="5383" width="9.5703125" style="601" customWidth="1"/>
    <col min="5384" max="5384" width="7.7109375" style="601" customWidth="1"/>
    <col min="5385" max="5385" width="10.28515625" style="601" customWidth="1"/>
    <col min="5386" max="5386" width="6.28515625" style="601" bestFit="1" customWidth="1"/>
    <col min="5387" max="5387" width="15.5703125" style="601" customWidth="1"/>
    <col min="5388" max="5388" width="27.140625" style="601" customWidth="1"/>
    <col min="5389" max="5389" width="9.140625" style="601"/>
    <col min="5390" max="5390" width="15.140625" style="601" bestFit="1" customWidth="1"/>
    <col min="5391" max="5632" width="9.140625" style="601"/>
    <col min="5633" max="5633" width="5.5703125" style="601" customWidth="1"/>
    <col min="5634" max="5634" width="31.28515625" style="601" customWidth="1"/>
    <col min="5635" max="5635" width="6" style="601" customWidth="1"/>
    <col min="5636" max="5636" width="3.42578125" style="601" customWidth="1"/>
    <col min="5637" max="5637" width="5.7109375" style="601" customWidth="1"/>
    <col min="5638" max="5638" width="10.7109375" style="601" customWidth="1"/>
    <col min="5639" max="5639" width="9.5703125" style="601" customWidth="1"/>
    <col min="5640" max="5640" width="7.7109375" style="601" customWidth="1"/>
    <col min="5641" max="5641" width="10.28515625" style="601" customWidth="1"/>
    <col min="5642" max="5642" width="6.28515625" style="601" bestFit="1" customWidth="1"/>
    <col min="5643" max="5643" width="15.5703125" style="601" customWidth="1"/>
    <col min="5644" max="5644" width="27.140625" style="601" customWidth="1"/>
    <col min="5645" max="5645" width="9.140625" style="601"/>
    <col min="5646" max="5646" width="15.140625" style="601" bestFit="1" customWidth="1"/>
    <col min="5647" max="5888" width="9.140625" style="601"/>
    <col min="5889" max="5889" width="5.5703125" style="601" customWidth="1"/>
    <col min="5890" max="5890" width="31.28515625" style="601" customWidth="1"/>
    <col min="5891" max="5891" width="6" style="601" customWidth="1"/>
    <col min="5892" max="5892" width="3.42578125" style="601" customWidth="1"/>
    <col min="5893" max="5893" width="5.7109375" style="601" customWidth="1"/>
    <col min="5894" max="5894" width="10.7109375" style="601" customWidth="1"/>
    <col min="5895" max="5895" width="9.5703125" style="601" customWidth="1"/>
    <col min="5896" max="5896" width="7.7109375" style="601" customWidth="1"/>
    <col min="5897" max="5897" width="10.28515625" style="601" customWidth="1"/>
    <col min="5898" max="5898" width="6.28515625" style="601" bestFit="1" customWidth="1"/>
    <col min="5899" max="5899" width="15.5703125" style="601" customWidth="1"/>
    <col min="5900" max="5900" width="27.140625" style="601" customWidth="1"/>
    <col min="5901" max="5901" width="9.140625" style="601"/>
    <col min="5902" max="5902" width="15.140625" style="601" bestFit="1" customWidth="1"/>
    <col min="5903" max="6144" width="9.140625" style="601"/>
    <col min="6145" max="6145" width="5.5703125" style="601" customWidth="1"/>
    <col min="6146" max="6146" width="31.28515625" style="601" customWidth="1"/>
    <col min="6147" max="6147" width="6" style="601" customWidth="1"/>
    <col min="6148" max="6148" width="3.42578125" style="601" customWidth="1"/>
    <col min="6149" max="6149" width="5.7109375" style="601" customWidth="1"/>
    <col min="6150" max="6150" width="10.7109375" style="601" customWidth="1"/>
    <col min="6151" max="6151" width="9.5703125" style="601" customWidth="1"/>
    <col min="6152" max="6152" width="7.7109375" style="601" customWidth="1"/>
    <col min="6153" max="6153" width="10.28515625" style="601" customWidth="1"/>
    <col min="6154" max="6154" width="6.28515625" style="601" bestFit="1" customWidth="1"/>
    <col min="6155" max="6155" width="15.5703125" style="601" customWidth="1"/>
    <col min="6156" max="6156" width="27.140625" style="601" customWidth="1"/>
    <col min="6157" max="6157" width="9.140625" style="601"/>
    <col min="6158" max="6158" width="15.140625" style="601" bestFit="1" customWidth="1"/>
    <col min="6159" max="6400" width="9.140625" style="601"/>
    <col min="6401" max="6401" width="5.5703125" style="601" customWidth="1"/>
    <col min="6402" max="6402" width="31.28515625" style="601" customWidth="1"/>
    <col min="6403" max="6403" width="6" style="601" customWidth="1"/>
    <col min="6404" max="6404" width="3.42578125" style="601" customWidth="1"/>
    <col min="6405" max="6405" width="5.7109375" style="601" customWidth="1"/>
    <col min="6406" max="6406" width="10.7109375" style="601" customWidth="1"/>
    <col min="6407" max="6407" width="9.5703125" style="601" customWidth="1"/>
    <col min="6408" max="6408" width="7.7109375" style="601" customWidth="1"/>
    <col min="6409" max="6409" width="10.28515625" style="601" customWidth="1"/>
    <col min="6410" max="6410" width="6.28515625" style="601" bestFit="1" customWidth="1"/>
    <col min="6411" max="6411" width="15.5703125" style="601" customWidth="1"/>
    <col min="6412" max="6412" width="27.140625" style="601" customWidth="1"/>
    <col min="6413" max="6413" width="9.140625" style="601"/>
    <col min="6414" max="6414" width="15.140625" style="601" bestFit="1" customWidth="1"/>
    <col min="6415" max="6656" width="9.140625" style="601"/>
    <col min="6657" max="6657" width="5.5703125" style="601" customWidth="1"/>
    <col min="6658" max="6658" width="31.28515625" style="601" customWidth="1"/>
    <col min="6659" max="6659" width="6" style="601" customWidth="1"/>
    <col min="6660" max="6660" width="3.42578125" style="601" customWidth="1"/>
    <col min="6661" max="6661" width="5.7109375" style="601" customWidth="1"/>
    <col min="6662" max="6662" width="10.7109375" style="601" customWidth="1"/>
    <col min="6663" max="6663" width="9.5703125" style="601" customWidth="1"/>
    <col min="6664" max="6664" width="7.7109375" style="601" customWidth="1"/>
    <col min="6665" max="6665" width="10.28515625" style="601" customWidth="1"/>
    <col min="6666" max="6666" width="6.28515625" style="601" bestFit="1" customWidth="1"/>
    <col min="6667" max="6667" width="15.5703125" style="601" customWidth="1"/>
    <col min="6668" max="6668" width="27.140625" style="601" customWidth="1"/>
    <col min="6669" max="6669" width="9.140625" style="601"/>
    <col min="6670" max="6670" width="15.140625" style="601" bestFit="1" customWidth="1"/>
    <col min="6671" max="6912" width="9.140625" style="601"/>
    <col min="6913" max="6913" width="5.5703125" style="601" customWidth="1"/>
    <col min="6914" max="6914" width="31.28515625" style="601" customWidth="1"/>
    <col min="6915" max="6915" width="6" style="601" customWidth="1"/>
    <col min="6916" max="6916" width="3.42578125" style="601" customWidth="1"/>
    <col min="6917" max="6917" width="5.7109375" style="601" customWidth="1"/>
    <col min="6918" max="6918" width="10.7109375" style="601" customWidth="1"/>
    <col min="6919" max="6919" width="9.5703125" style="601" customWidth="1"/>
    <col min="6920" max="6920" width="7.7109375" style="601" customWidth="1"/>
    <col min="6921" max="6921" width="10.28515625" style="601" customWidth="1"/>
    <col min="6922" max="6922" width="6.28515625" style="601" bestFit="1" customWidth="1"/>
    <col min="6923" max="6923" width="15.5703125" style="601" customWidth="1"/>
    <col min="6924" max="6924" width="27.140625" style="601" customWidth="1"/>
    <col min="6925" max="6925" width="9.140625" style="601"/>
    <col min="6926" max="6926" width="15.140625" style="601" bestFit="1" customWidth="1"/>
    <col min="6927" max="7168" width="9.140625" style="601"/>
    <col min="7169" max="7169" width="5.5703125" style="601" customWidth="1"/>
    <col min="7170" max="7170" width="31.28515625" style="601" customWidth="1"/>
    <col min="7171" max="7171" width="6" style="601" customWidth="1"/>
    <col min="7172" max="7172" width="3.42578125" style="601" customWidth="1"/>
    <col min="7173" max="7173" width="5.7109375" style="601" customWidth="1"/>
    <col min="7174" max="7174" width="10.7109375" style="601" customWidth="1"/>
    <col min="7175" max="7175" width="9.5703125" style="601" customWidth="1"/>
    <col min="7176" max="7176" width="7.7109375" style="601" customWidth="1"/>
    <col min="7177" max="7177" width="10.28515625" style="601" customWidth="1"/>
    <col min="7178" max="7178" width="6.28515625" style="601" bestFit="1" customWidth="1"/>
    <col min="7179" max="7179" width="15.5703125" style="601" customWidth="1"/>
    <col min="7180" max="7180" width="27.140625" style="601" customWidth="1"/>
    <col min="7181" max="7181" width="9.140625" style="601"/>
    <col min="7182" max="7182" width="15.140625" style="601" bestFit="1" customWidth="1"/>
    <col min="7183" max="7424" width="9.140625" style="601"/>
    <col min="7425" max="7425" width="5.5703125" style="601" customWidth="1"/>
    <col min="7426" max="7426" width="31.28515625" style="601" customWidth="1"/>
    <col min="7427" max="7427" width="6" style="601" customWidth="1"/>
    <col min="7428" max="7428" width="3.42578125" style="601" customWidth="1"/>
    <col min="7429" max="7429" width="5.7109375" style="601" customWidth="1"/>
    <col min="7430" max="7430" width="10.7109375" style="601" customWidth="1"/>
    <col min="7431" max="7431" width="9.5703125" style="601" customWidth="1"/>
    <col min="7432" max="7432" width="7.7109375" style="601" customWidth="1"/>
    <col min="7433" max="7433" width="10.28515625" style="601" customWidth="1"/>
    <col min="7434" max="7434" width="6.28515625" style="601" bestFit="1" customWidth="1"/>
    <col min="7435" max="7435" width="15.5703125" style="601" customWidth="1"/>
    <col min="7436" max="7436" width="27.140625" style="601" customWidth="1"/>
    <col min="7437" max="7437" width="9.140625" style="601"/>
    <col min="7438" max="7438" width="15.140625" style="601" bestFit="1" customWidth="1"/>
    <col min="7439" max="7680" width="9.140625" style="601"/>
    <col min="7681" max="7681" width="5.5703125" style="601" customWidth="1"/>
    <col min="7682" max="7682" width="31.28515625" style="601" customWidth="1"/>
    <col min="7683" max="7683" width="6" style="601" customWidth="1"/>
    <col min="7684" max="7684" width="3.42578125" style="601" customWidth="1"/>
    <col min="7685" max="7685" width="5.7109375" style="601" customWidth="1"/>
    <col min="7686" max="7686" width="10.7109375" style="601" customWidth="1"/>
    <col min="7687" max="7687" width="9.5703125" style="601" customWidth="1"/>
    <col min="7688" max="7688" width="7.7109375" style="601" customWidth="1"/>
    <col min="7689" max="7689" width="10.28515625" style="601" customWidth="1"/>
    <col min="7690" max="7690" width="6.28515625" style="601" bestFit="1" customWidth="1"/>
    <col min="7691" max="7691" width="15.5703125" style="601" customWidth="1"/>
    <col min="7692" max="7692" width="27.140625" style="601" customWidth="1"/>
    <col min="7693" max="7693" width="9.140625" style="601"/>
    <col min="7694" max="7694" width="15.140625" style="601" bestFit="1" customWidth="1"/>
    <col min="7695" max="7936" width="9.140625" style="601"/>
    <col min="7937" max="7937" width="5.5703125" style="601" customWidth="1"/>
    <col min="7938" max="7938" width="31.28515625" style="601" customWidth="1"/>
    <col min="7939" max="7939" width="6" style="601" customWidth="1"/>
    <col min="7940" max="7940" width="3.42578125" style="601" customWidth="1"/>
    <col min="7941" max="7941" width="5.7109375" style="601" customWidth="1"/>
    <col min="7942" max="7942" width="10.7109375" style="601" customWidth="1"/>
    <col min="7943" max="7943" width="9.5703125" style="601" customWidth="1"/>
    <col min="7944" max="7944" width="7.7109375" style="601" customWidth="1"/>
    <col min="7945" max="7945" width="10.28515625" style="601" customWidth="1"/>
    <col min="7946" max="7946" width="6.28515625" style="601" bestFit="1" customWidth="1"/>
    <col min="7947" max="7947" width="15.5703125" style="601" customWidth="1"/>
    <col min="7948" max="7948" width="27.140625" style="601" customWidth="1"/>
    <col min="7949" max="7949" width="9.140625" style="601"/>
    <col min="7950" max="7950" width="15.140625" style="601" bestFit="1" customWidth="1"/>
    <col min="7951" max="8192" width="9.140625" style="601"/>
    <col min="8193" max="8193" width="5.5703125" style="601" customWidth="1"/>
    <col min="8194" max="8194" width="31.28515625" style="601" customWidth="1"/>
    <col min="8195" max="8195" width="6" style="601" customWidth="1"/>
    <col min="8196" max="8196" width="3.42578125" style="601" customWidth="1"/>
    <col min="8197" max="8197" width="5.7109375" style="601" customWidth="1"/>
    <col min="8198" max="8198" width="10.7109375" style="601" customWidth="1"/>
    <col min="8199" max="8199" width="9.5703125" style="601" customWidth="1"/>
    <col min="8200" max="8200" width="7.7109375" style="601" customWidth="1"/>
    <col min="8201" max="8201" width="10.28515625" style="601" customWidth="1"/>
    <col min="8202" max="8202" width="6.28515625" style="601" bestFit="1" customWidth="1"/>
    <col min="8203" max="8203" width="15.5703125" style="601" customWidth="1"/>
    <col min="8204" max="8204" width="27.140625" style="601" customWidth="1"/>
    <col min="8205" max="8205" width="9.140625" style="601"/>
    <col min="8206" max="8206" width="15.140625" style="601" bestFit="1" customWidth="1"/>
    <col min="8207" max="8448" width="9.140625" style="601"/>
    <col min="8449" max="8449" width="5.5703125" style="601" customWidth="1"/>
    <col min="8450" max="8450" width="31.28515625" style="601" customWidth="1"/>
    <col min="8451" max="8451" width="6" style="601" customWidth="1"/>
    <col min="8452" max="8452" width="3.42578125" style="601" customWidth="1"/>
    <col min="8453" max="8453" width="5.7109375" style="601" customWidth="1"/>
    <col min="8454" max="8454" width="10.7109375" style="601" customWidth="1"/>
    <col min="8455" max="8455" width="9.5703125" style="601" customWidth="1"/>
    <col min="8456" max="8456" width="7.7109375" style="601" customWidth="1"/>
    <col min="8457" max="8457" width="10.28515625" style="601" customWidth="1"/>
    <col min="8458" max="8458" width="6.28515625" style="601" bestFit="1" customWidth="1"/>
    <col min="8459" max="8459" width="15.5703125" style="601" customWidth="1"/>
    <col min="8460" max="8460" width="27.140625" style="601" customWidth="1"/>
    <col min="8461" max="8461" width="9.140625" style="601"/>
    <col min="8462" max="8462" width="15.140625" style="601" bestFit="1" customWidth="1"/>
    <col min="8463" max="8704" width="9.140625" style="601"/>
    <col min="8705" max="8705" width="5.5703125" style="601" customWidth="1"/>
    <col min="8706" max="8706" width="31.28515625" style="601" customWidth="1"/>
    <col min="8707" max="8707" width="6" style="601" customWidth="1"/>
    <col min="8708" max="8708" width="3.42578125" style="601" customWidth="1"/>
    <col min="8709" max="8709" width="5.7109375" style="601" customWidth="1"/>
    <col min="8710" max="8710" width="10.7109375" style="601" customWidth="1"/>
    <col min="8711" max="8711" width="9.5703125" style="601" customWidth="1"/>
    <col min="8712" max="8712" width="7.7109375" style="601" customWidth="1"/>
    <col min="8713" max="8713" width="10.28515625" style="601" customWidth="1"/>
    <col min="8714" max="8714" width="6.28515625" style="601" bestFit="1" customWidth="1"/>
    <col min="8715" max="8715" width="15.5703125" style="601" customWidth="1"/>
    <col min="8716" max="8716" width="27.140625" style="601" customWidth="1"/>
    <col min="8717" max="8717" width="9.140625" style="601"/>
    <col min="8718" max="8718" width="15.140625" style="601" bestFit="1" customWidth="1"/>
    <col min="8719" max="8960" width="9.140625" style="601"/>
    <col min="8961" max="8961" width="5.5703125" style="601" customWidth="1"/>
    <col min="8962" max="8962" width="31.28515625" style="601" customWidth="1"/>
    <col min="8963" max="8963" width="6" style="601" customWidth="1"/>
    <col min="8964" max="8964" width="3.42578125" style="601" customWidth="1"/>
    <col min="8965" max="8965" width="5.7109375" style="601" customWidth="1"/>
    <col min="8966" max="8966" width="10.7109375" style="601" customWidth="1"/>
    <col min="8967" max="8967" width="9.5703125" style="601" customWidth="1"/>
    <col min="8968" max="8968" width="7.7109375" style="601" customWidth="1"/>
    <col min="8969" max="8969" width="10.28515625" style="601" customWidth="1"/>
    <col min="8970" max="8970" width="6.28515625" style="601" bestFit="1" customWidth="1"/>
    <col min="8971" max="8971" width="15.5703125" style="601" customWidth="1"/>
    <col min="8972" max="8972" width="27.140625" style="601" customWidth="1"/>
    <col min="8973" max="8973" width="9.140625" style="601"/>
    <col min="8974" max="8974" width="15.140625" style="601" bestFit="1" customWidth="1"/>
    <col min="8975" max="9216" width="9.140625" style="601"/>
    <col min="9217" max="9217" width="5.5703125" style="601" customWidth="1"/>
    <col min="9218" max="9218" width="31.28515625" style="601" customWidth="1"/>
    <col min="9219" max="9219" width="6" style="601" customWidth="1"/>
    <col min="9220" max="9220" width="3.42578125" style="601" customWidth="1"/>
    <col min="9221" max="9221" width="5.7109375" style="601" customWidth="1"/>
    <col min="9222" max="9222" width="10.7109375" style="601" customWidth="1"/>
    <col min="9223" max="9223" width="9.5703125" style="601" customWidth="1"/>
    <col min="9224" max="9224" width="7.7109375" style="601" customWidth="1"/>
    <col min="9225" max="9225" width="10.28515625" style="601" customWidth="1"/>
    <col min="9226" max="9226" width="6.28515625" style="601" bestFit="1" customWidth="1"/>
    <col min="9227" max="9227" width="15.5703125" style="601" customWidth="1"/>
    <col min="9228" max="9228" width="27.140625" style="601" customWidth="1"/>
    <col min="9229" max="9229" width="9.140625" style="601"/>
    <col min="9230" max="9230" width="15.140625" style="601" bestFit="1" customWidth="1"/>
    <col min="9231" max="9472" width="9.140625" style="601"/>
    <col min="9473" max="9473" width="5.5703125" style="601" customWidth="1"/>
    <col min="9474" max="9474" width="31.28515625" style="601" customWidth="1"/>
    <col min="9475" max="9475" width="6" style="601" customWidth="1"/>
    <col min="9476" max="9476" width="3.42578125" style="601" customWidth="1"/>
    <col min="9477" max="9477" width="5.7109375" style="601" customWidth="1"/>
    <col min="9478" max="9478" width="10.7109375" style="601" customWidth="1"/>
    <col min="9479" max="9479" width="9.5703125" style="601" customWidth="1"/>
    <col min="9480" max="9480" width="7.7109375" style="601" customWidth="1"/>
    <col min="9481" max="9481" width="10.28515625" style="601" customWidth="1"/>
    <col min="9482" max="9482" width="6.28515625" style="601" bestFit="1" customWidth="1"/>
    <col min="9483" max="9483" width="15.5703125" style="601" customWidth="1"/>
    <col min="9484" max="9484" width="27.140625" style="601" customWidth="1"/>
    <col min="9485" max="9485" width="9.140625" style="601"/>
    <col min="9486" max="9486" width="15.140625" style="601" bestFit="1" customWidth="1"/>
    <col min="9487" max="9728" width="9.140625" style="601"/>
    <col min="9729" max="9729" width="5.5703125" style="601" customWidth="1"/>
    <col min="9730" max="9730" width="31.28515625" style="601" customWidth="1"/>
    <col min="9731" max="9731" width="6" style="601" customWidth="1"/>
    <col min="9732" max="9732" width="3.42578125" style="601" customWidth="1"/>
    <col min="9733" max="9733" width="5.7109375" style="601" customWidth="1"/>
    <col min="9734" max="9734" width="10.7109375" style="601" customWidth="1"/>
    <col min="9735" max="9735" width="9.5703125" style="601" customWidth="1"/>
    <col min="9736" max="9736" width="7.7109375" style="601" customWidth="1"/>
    <col min="9737" max="9737" width="10.28515625" style="601" customWidth="1"/>
    <col min="9738" max="9738" width="6.28515625" style="601" bestFit="1" customWidth="1"/>
    <col min="9739" max="9739" width="15.5703125" style="601" customWidth="1"/>
    <col min="9740" max="9740" width="27.140625" style="601" customWidth="1"/>
    <col min="9741" max="9741" width="9.140625" style="601"/>
    <col min="9742" max="9742" width="15.140625" style="601" bestFit="1" customWidth="1"/>
    <col min="9743" max="9984" width="9.140625" style="601"/>
    <col min="9985" max="9985" width="5.5703125" style="601" customWidth="1"/>
    <col min="9986" max="9986" width="31.28515625" style="601" customWidth="1"/>
    <col min="9987" max="9987" width="6" style="601" customWidth="1"/>
    <col min="9988" max="9988" width="3.42578125" style="601" customWidth="1"/>
    <col min="9989" max="9989" width="5.7109375" style="601" customWidth="1"/>
    <col min="9990" max="9990" width="10.7109375" style="601" customWidth="1"/>
    <col min="9991" max="9991" width="9.5703125" style="601" customWidth="1"/>
    <col min="9992" max="9992" width="7.7109375" style="601" customWidth="1"/>
    <col min="9993" max="9993" width="10.28515625" style="601" customWidth="1"/>
    <col min="9994" max="9994" width="6.28515625" style="601" bestFit="1" customWidth="1"/>
    <col min="9995" max="9995" width="15.5703125" style="601" customWidth="1"/>
    <col min="9996" max="9996" width="27.140625" style="601" customWidth="1"/>
    <col min="9997" max="9997" width="9.140625" style="601"/>
    <col min="9998" max="9998" width="15.140625" style="601" bestFit="1" customWidth="1"/>
    <col min="9999" max="10240" width="9.140625" style="601"/>
    <col min="10241" max="10241" width="5.5703125" style="601" customWidth="1"/>
    <col min="10242" max="10242" width="31.28515625" style="601" customWidth="1"/>
    <col min="10243" max="10243" width="6" style="601" customWidth="1"/>
    <col min="10244" max="10244" width="3.42578125" style="601" customWidth="1"/>
    <col min="10245" max="10245" width="5.7109375" style="601" customWidth="1"/>
    <col min="10246" max="10246" width="10.7109375" style="601" customWidth="1"/>
    <col min="10247" max="10247" width="9.5703125" style="601" customWidth="1"/>
    <col min="10248" max="10248" width="7.7109375" style="601" customWidth="1"/>
    <col min="10249" max="10249" width="10.28515625" style="601" customWidth="1"/>
    <col min="10250" max="10250" width="6.28515625" style="601" bestFit="1" customWidth="1"/>
    <col min="10251" max="10251" width="15.5703125" style="601" customWidth="1"/>
    <col min="10252" max="10252" width="27.140625" style="601" customWidth="1"/>
    <col min="10253" max="10253" width="9.140625" style="601"/>
    <col min="10254" max="10254" width="15.140625" style="601" bestFit="1" customWidth="1"/>
    <col min="10255" max="10496" width="9.140625" style="601"/>
    <col min="10497" max="10497" width="5.5703125" style="601" customWidth="1"/>
    <col min="10498" max="10498" width="31.28515625" style="601" customWidth="1"/>
    <col min="10499" max="10499" width="6" style="601" customWidth="1"/>
    <col min="10500" max="10500" width="3.42578125" style="601" customWidth="1"/>
    <col min="10501" max="10501" width="5.7109375" style="601" customWidth="1"/>
    <col min="10502" max="10502" width="10.7109375" style="601" customWidth="1"/>
    <col min="10503" max="10503" width="9.5703125" style="601" customWidth="1"/>
    <col min="10504" max="10504" width="7.7109375" style="601" customWidth="1"/>
    <col min="10505" max="10505" width="10.28515625" style="601" customWidth="1"/>
    <col min="10506" max="10506" width="6.28515625" style="601" bestFit="1" customWidth="1"/>
    <col min="10507" max="10507" width="15.5703125" style="601" customWidth="1"/>
    <col min="10508" max="10508" width="27.140625" style="601" customWidth="1"/>
    <col min="10509" max="10509" width="9.140625" style="601"/>
    <col min="10510" max="10510" width="15.140625" style="601" bestFit="1" customWidth="1"/>
    <col min="10511" max="10752" width="9.140625" style="601"/>
    <col min="10753" max="10753" width="5.5703125" style="601" customWidth="1"/>
    <col min="10754" max="10754" width="31.28515625" style="601" customWidth="1"/>
    <col min="10755" max="10755" width="6" style="601" customWidth="1"/>
    <col min="10756" max="10756" width="3.42578125" style="601" customWidth="1"/>
    <col min="10757" max="10757" width="5.7109375" style="601" customWidth="1"/>
    <col min="10758" max="10758" width="10.7109375" style="601" customWidth="1"/>
    <col min="10759" max="10759" width="9.5703125" style="601" customWidth="1"/>
    <col min="10760" max="10760" width="7.7109375" style="601" customWidth="1"/>
    <col min="10761" max="10761" width="10.28515625" style="601" customWidth="1"/>
    <col min="10762" max="10762" width="6.28515625" style="601" bestFit="1" customWidth="1"/>
    <col min="10763" max="10763" width="15.5703125" style="601" customWidth="1"/>
    <col min="10764" max="10764" width="27.140625" style="601" customWidth="1"/>
    <col min="10765" max="10765" width="9.140625" style="601"/>
    <col min="10766" max="10766" width="15.140625" style="601" bestFit="1" customWidth="1"/>
    <col min="10767" max="11008" width="9.140625" style="601"/>
    <col min="11009" max="11009" width="5.5703125" style="601" customWidth="1"/>
    <col min="11010" max="11010" width="31.28515625" style="601" customWidth="1"/>
    <col min="11011" max="11011" width="6" style="601" customWidth="1"/>
    <col min="11012" max="11012" width="3.42578125" style="601" customWidth="1"/>
    <col min="11013" max="11013" width="5.7109375" style="601" customWidth="1"/>
    <col min="11014" max="11014" width="10.7109375" style="601" customWidth="1"/>
    <col min="11015" max="11015" width="9.5703125" style="601" customWidth="1"/>
    <col min="11016" max="11016" width="7.7109375" style="601" customWidth="1"/>
    <col min="11017" max="11017" width="10.28515625" style="601" customWidth="1"/>
    <col min="11018" max="11018" width="6.28515625" style="601" bestFit="1" customWidth="1"/>
    <col min="11019" max="11019" width="15.5703125" style="601" customWidth="1"/>
    <col min="11020" max="11020" width="27.140625" style="601" customWidth="1"/>
    <col min="11021" max="11021" width="9.140625" style="601"/>
    <col min="11022" max="11022" width="15.140625" style="601" bestFit="1" customWidth="1"/>
    <col min="11023" max="11264" width="9.140625" style="601"/>
    <col min="11265" max="11265" width="5.5703125" style="601" customWidth="1"/>
    <col min="11266" max="11266" width="31.28515625" style="601" customWidth="1"/>
    <col min="11267" max="11267" width="6" style="601" customWidth="1"/>
    <col min="11268" max="11268" width="3.42578125" style="601" customWidth="1"/>
    <col min="11269" max="11269" width="5.7109375" style="601" customWidth="1"/>
    <col min="11270" max="11270" width="10.7109375" style="601" customWidth="1"/>
    <col min="11271" max="11271" width="9.5703125" style="601" customWidth="1"/>
    <col min="11272" max="11272" width="7.7109375" style="601" customWidth="1"/>
    <col min="11273" max="11273" width="10.28515625" style="601" customWidth="1"/>
    <col min="11274" max="11274" width="6.28515625" style="601" bestFit="1" customWidth="1"/>
    <col min="11275" max="11275" width="15.5703125" style="601" customWidth="1"/>
    <col min="11276" max="11276" width="27.140625" style="601" customWidth="1"/>
    <col min="11277" max="11277" width="9.140625" style="601"/>
    <col min="11278" max="11278" width="15.140625" style="601" bestFit="1" customWidth="1"/>
    <col min="11279" max="11520" width="9.140625" style="601"/>
    <col min="11521" max="11521" width="5.5703125" style="601" customWidth="1"/>
    <col min="11522" max="11522" width="31.28515625" style="601" customWidth="1"/>
    <col min="11523" max="11523" width="6" style="601" customWidth="1"/>
    <col min="11524" max="11524" width="3.42578125" style="601" customWidth="1"/>
    <col min="11525" max="11525" width="5.7109375" style="601" customWidth="1"/>
    <col min="11526" max="11526" width="10.7109375" style="601" customWidth="1"/>
    <col min="11527" max="11527" width="9.5703125" style="601" customWidth="1"/>
    <col min="11528" max="11528" width="7.7109375" style="601" customWidth="1"/>
    <col min="11529" max="11529" width="10.28515625" style="601" customWidth="1"/>
    <col min="11530" max="11530" width="6.28515625" style="601" bestFit="1" customWidth="1"/>
    <col min="11531" max="11531" width="15.5703125" style="601" customWidth="1"/>
    <col min="11532" max="11532" width="27.140625" style="601" customWidth="1"/>
    <col min="11533" max="11533" width="9.140625" style="601"/>
    <col min="11534" max="11534" width="15.140625" style="601" bestFit="1" customWidth="1"/>
    <col min="11535" max="11776" width="9.140625" style="601"/>
    <col min="11777" max="11777" width="5.5703125" style="601" customWidth="1"/>
    <col min="11778" max="11778" width="31.28515625" style="601" customWidth="1"/>
    <col min="11779" max="11779" width="6" style="601" customWidth="1"/>
    <col min="11780" max="11780" width="3.42578125" style="601" customWidth="1"/>
    <col min="11781" max="11781" width="5.7109375" style="601" customWidth="1"/>
    <col min="11782" max="11782" width="10.7109375" style="601" customWidth="1"/>
    <col min="11783" max="11783" width="9.5703125" style="601" customWidth="1"/>
    <col min="11784" max="11784" width="7.7109375" style="601" customWidth="1"/>
    <col min="11785" max="11785" width="10.28515625" style="601" customWidth="1"/>
    <col min="11786" max="11786" width="6.28515625" style="601" bestFit="1" customWidth="1"/>
    <col min="11787" max="11787" width="15.5703125" style="601" customWidth="1"/>
    <col min="11788" max="11788" width="27.140625" style="601" customWidth="1"/>
    <col min="11789" max="11789" width="9.140625" style="601"/>
    <col min="11790" max="11790" width="15.140625" style="601" bestFit="1" customWidth="1"/>
    <col min="11791" max="12032" width="9.140625" style="601"/>
    <col min="12033" max="12033" width="5.5703125" style="601" customWidth="1"/>
    <col min="12034" max="12034" width="31.28515625" style="601" customWidth="1"/>
    <col min="12035" max="12035" width="6" style="601" customWidth="1"/>
    <col min="12036" max="12036" width="3.42578125" style="601" customWidth="1"/>
    <col min="12037" max="12037" width="5.7109375" style="601" customWidth="1"/>
    <col min="12038" max="12038" width="10.7109375" style="601" customWidth="1"/>
    <col min="12039" max="12039" width="9.5703125" style="601" customWidth="1"/>
    <col min="12040" max="12040" width="7.7109375" style="601" customWidth="1"/>
    <col min="12041" max="12041" width="10.28515625" style="601" customWidth="1"/>
    <col min="12042" max="12042" width="6.28515625" style="601" bestFit="1" customWidth="1"/>
    <col min="12043" max="12043" width="15.5703125" style="601" customWidth="1"/>
    <col min="12044" max="12044" width="27.140625" style="601" customWidth="1"/>
    <col min="12045" max="12045" width="9.140625" style="601"/>
    <col min="12046" max="12046" width="15.140625" style="601" bestFit="1" customWidth="1"/>
    <col min="12047" max="12288" width="9.140625" style="601"/>
    <col min="12289" max="12289" width="5.5703125" style="601" customWidth="1"/>
    <col min="12290" max="12290" width="31.28515625" style="601" customWidth="1"/>
    <col min="12291" max="12291" width="6" style="601" customWidth="1"/>
    <col min="12292" max="12292" width="3.42578125" style="601" customWidth="1"/>
    <col min="12293" max="12293" width="5.7109375" style="601" customWidth="1"/>
    <col min="12294" max="12294" width="10.7109375" style="601" customWidth="1"/>
    <col min="12295" max="12295" width="9.5703125" style="601" customWidth="1"/>
    <col min="12296" max="12296" width="7.7109375" style="601" customWidth="1"/>
    <col min="12297" max="12297" width="10.28515625" style="601" customWidth="1"/>
    <col min="12298" max="12298" width="6.28515625" style="601" bestFit="1" customWidth="1"/>
    <col min="12299" max="12299" width="15.5703125" style="601" customWidth="1"/>
    <col min="12300" max="12300" width="27.140625" style="601" customWidth="1"/>
    <col min="12301" max="12301" width="9.140625" style="601"/>
    <col min="12302" max="12302" width="15.140625" style="601" bestFit="1" customWidth="1"/>
    <col min="12303" max="12544" width="9.140625" style="601"/>
    <col min="12545" max="12545" width="5.5703125" style="601" customWidth="1"/>
    <col min="12546" max="12546" width="31.28515625" style="601" customWidth="1"/>
    <col min="12547" max="12547" width="6" style="601" customWidth="1"/>
    <col min="12548" max="12548" width="3.42578125" style="601" customWidth="1"/>
    <col min="12549" max="12549" width="5.7109375" style="601" customWidth="1"/>
    <col min="12550" max="12550" width="10.7109375" style="601" customWidth="1"/>
    <col min="12551" max="12551" width="9.5703125" style="601" customWidth="1"/>
    <col min="12552" max="12552" width="7.7109375" style="601" customWidth="1"/>
    <col min="12553" max="12553" width="10.28515625" style="601" customWidth="1"/>
    <col min="12554" max="12554" width="6.28515625" style="601" bestFit="1" customWidth="1"/>
    <col min="12555" max="12555" width="15.5703125" style="601" customWidth="1"/>
    <col min="12556" max="12556" width="27.140625" style="601" customWidth="1"/>
    <col min="12557" max="12557" width="9.140625" style="601"/>
    <col min="12558" max="12558" width="15.140625" style="601" bestFit="1" customWidth="1"/>
    <col min="12559" max="12800" width="9.140625" style="601"/>
    <col min="12801" max="12801" width="5.5703125" style="601" customWidth="1"/>
    <col min="12802" max="12802" width="31.28515625" style="601" customWidth="1"/>
    <col min="12803" max="12803" width="6" style="601" customWidth="1"/>
    <col min="12804" max="12804" width="3.42578125" style="601" customWidth="1"/>
    <col min="12805" max="12805" width="5.7109375" style="601" customWidth="1"/>
    <col min="12806" max="12806" width="10.7109375" style="601" customWidth="1"/>
    <col min="12807" max="12807" width="9.5703125" style="601" customWidth="1"/>
    <col min="12808" max="12808" width="7.7109375" style="601" customWidth="1"/>
    <col min="12809" max="12809" width="10.28515625" style="601" customWidth="1"/>
    <col min="12810" max="12810" width="6.28515625" style="601" bestFit="1" customWidth="1"/>
    <col min="12811" max="12811" width="15.5703125" style="601" customWidth="1"/>
    <col min="12812" max="12812" width="27.140625" style="601" customWidth="1"/>
    <col min="12813" max="12813" width="9.140625" style="601"/>
    <col min="12814" max="12814" width="15.140625" style="601" bestFit="1" customWidth="1"/>
    <col min="12815" max="13056" width="9.140625" style="601"/>
    <col min="13057" max="13057" width="5.5703125" style="601" customWidth="1"/>
    <col min="13058" max="13058" width="31.28515625" style="601" customWidth="1"/>
    <col min="13059" max="13059" width="6" style="601" customWidth="1"/>
    <col min="13060" max="13060" width="3.42578125" style="601" customWidth="1"/>
    <col min="13061" max="13061" width="5.7109375" style="601" customWidth="1"/>
    <col min="13062" max="13062" width="10.7109375" style="601" customWidth="1"/>
    <col min="13063" max="13063" width="9.5703125" style="601" customWidth="1"/>
    <col min="13064" max="13064" width="7.7109375" style="601" customWidth="1"/>
    <col min="13065" max="13065" width="10.28515625" style="601" customWidth="1"/>
    <col min="13066" max="13066" width="6.28515625" style="601" bestFit="1" customWidth="1"/>
    <col min="13067" max="13067" width="15.5703125" style="601" customWidth="1"/>
    <col min="13068" max="13068" width="27.140625" style="601" customWidth="1"/>
    <col min="13069" max="13069" width="9.140625" style="601"/>
    <col min="13070" max="13070" width="15.140625" style="601" bestFit="1" customWidth="1"/>
    <col min="13071" max="13312" width="9.140625" style="601"/>
    <col min="13313" max="13313" width="5.5703125" style="601" customWidth="1"/>
    <col min="13314" max="13314" width="31.28515625" style="601" customWidth="1"/>
    <col min="13315" max="13315" width="6" style="601" customWidth="1"/>
    <col min="13316" max="13316" width="3.42578125" style="601" customWidth="1"/>
    <col min="13317" max="13317" width="5.7109375" style="601" customWidth="1"/>
    <col min="13318" max="13318" width="10.7109375" style="601" customWidth="1"/>
    <col min="13319" max="13319" width="9.5703125" style="601" customWidth="1"/>
    <col min="13320" max="13320" width="7.7109375" style="601" customWidth="1"/>
    <col min="13321" max="13321" width="10.28515625" style="601" customWidth="1"/>
    <col min="13322" max="13322" width="6.28515625" style="601" bestFit="1" customWidth="1"/>
    <col min="13323" max="13323" width="15.5703125" style="601" customWidth="1"/>
    <col min="13324" max="13324" width="27.140625" style="601" customWidth="1"/>
    <col min="13325" max="13325" width="9.140625" style="601"/>
    <col min="13326" max="13326" width="15.140625" style="601" bestFit="1" customWidth="1"/>
    <col min="13327" max="13568" width="9.140625" style="601"/>
    <col min="13569" max="13569" width="5.5703125" style="601" customWidth="1"/>
    <col min="13570" max="13570" width="31.28515625" style="601" customWidth="1"/>
    <col min="13571" max="13571" width="6" style="601" customWidth="1"/>
    <col min="13572" max="13572" width="3.42578125" style="601" customWidth="1"/>
    <col min="13573" max="13573" width="5.7109375" style="601" customWidth="1"/>
    <col min="13574" max="13574" width="10.7109375" style="601" customWidth="1"/>
    <col min="13575" max="13575" width="9.5703125" style="601" customWidth="1"/>
    <col min="13576" max="13576" width="7.7109375" style="601" customWidth="1"/>
    <col min="13577" max="13577" width="10.28515625" style="601" customWidth="1"/>
    <col min="13578" max="13578" width="6.28515625" style="601" bestFit="1" customWidth="1"/>
    <col min="13579" max="13579" width="15.5703125" style="601" customWidth="1"/>
    <col min="13580" max="13580" width="27.140625" style="601" customWidth="1"/>
    <col min="13581" max="13581" width="9.140625" style="601"/>
    <col min="13582" max="13582" width="15.140625" style="601" bestFit="1" customWidth="1"/>
    <col min="13583" max="13824" width="9.140625" style="601"/>
    <col min="13825" max="13825" width="5.5703125" style="601" customWidth="1"/>
    <col min="13826" max="13826" width="31.28515625" style="601" customWidth="1"/>
    <col min="13827" max="13827" width="6" style="601" customWidth="1"/>
    <col min="13828" max="13828" width="3.42578125" style="601" customWidth="1"/>
    <col min="13829" max="13829" width="5.7109375" style="601" customWidth="1"/>
    <col min="13830" max="13830" width="10.7109375" style="601" customWidth="1"/>
    <col min="13831" max="13831" width="9.5703125" style="601" customWidth="1"/>
    <col min="13832" max="13832" width="7.7109375" style="601" customWidth="1"/>
    <col min="13833" max="13833" width="10.28515625" style="601" customWidth="1"/>
    <col min="13834" max="13834" width="6.28515625" style="601" bestFit="1" customWidth="1"/>
    <col min="13835" max="13835" width="15.5703125" style="601" customWidth="1"/>
    <col min="13836" max="13836" width="27.140625" style="601" customWidth="1"/>
    <col min="13837" max="13837" width="9.140625" style="601"/>
    <col min="13838" max="13838" width="15.140625" style="601" bestFit="1" customWidth="1"/>
    <col min="13839" max="14080" width="9.140625" style="601"/>
    <col min="14081" max="14081" width="5.5703125" style="601" customWidth="1"/>
    <col min="14082" max="14082" width="31.28515625" style="601" customWidth="1"/>
    <col min="14083" max="14083" width="6" style="601" customWidth="1"/>
    <col min="14084" max="14084" width="3.42578125" style="601" customWidth="1"/>
    <col min="14085" max="14085" width="5.7109375" style="601" customWidth="1"/>
    <col min="14086" max="14086" width="10.7109375" style="601" customWidth="1"/>
    <col min="14087" max="14087" width="9.5703125" style="601" customWidth="1"/>
    <col min="14088" max="14088" width="7.7109375" style="601" customWidth="1"/>
    <col min="14089" max="14089" width="10.28515625" style="601" customWidth="1"/>
    <col min="14090" max="14090" width="6.28515625" style="601" bestFit="1" customWidth="1"/>
    <col min="14091" max="14091" width="15.5703125" style="601" customWidth="1"/>
    <col min="14092" max="14092" width="27.140625" style="601" customWidth="1"/>
    <col min="14093" max="14093" width="9.140625" style="601"/>
    <col min="14094" max="14094" width="15.140625" style="601" bestFit="1" customWidth="1"/>
    <col min="14095" max="14336" width="9.140625" style="601"/>
    <col min="14337" max="14337" width="5.5703125" style="601" customWidth="1"/>
    <col min="14338" max="14338" width="31.28515625" style="601" customWidth="1"/>
    <col min="14339" max="14339" width="6" style="601" customWidth="1"/>
    <col min="14340" max="14340" width="3.42578125" style="601" customWidth="1"/>
    <col min="14341" max="14341" width="5.7109375" style="601" customWidth="1"/>
    <col min="14342" max="14342" width="10.7109375" style="601" customWidth="1"/>
    <col min="14343" max="14343" width="9.5703125" style="601" customWidth="1"/>
    <col min="14344" max="14344" width="7.7109375" style="601" customWidth="1"/>
    <col min="14345" max="14345" width="10.28515625" style="601" customWidth="1"/>
    <col min="14346" max="14346" width="6.28515625" style="601" bestFit="1" customWidth="1"/>
    <col min="14347" max="14347" width="15.5703125" style="601" customWidth="1"/>
    <col min="14348" max="14348" width="27.140625" style="601" customWidth="1"/>
    <col min="14349" max="14349" width="9.140625" style="601"/>
    <col min="14350" max="14350" width="15.140625" style="601" bestFit="1" customWidth="1"/>
    <col min="14351" max="14592" width="9.140625" style="601"/>
    <col min="14593" max="14593" width="5.5703125" style="601" customWidth="1"/>
    <col min="14594" max="14594" width="31.28515625" style="601" customWidth="1"/>
    <col min="14595" max="14595" width="6" style="601" customWidth="1"/>
    <col min="14596" max="14596" width="3.42578125" style="601" customWidth="1"/>
    <col min="14597" max="14597" width="5.7109375" style="601" customWidth="1"/>
    <col min="14598" max="14598" width="10.7109375" style="601" customWidth="1"/>
    <col min="14599" max="14599" width="9.5703125" style="601" customWidth="1"/>
    <col min="14600" max="14600" width="7.7109375" style="601" customWidth="1"/>
    <col min="14601" max="14601" width="10.28515625" style="601" customWidth="1"/>
    <col min="14602" max="14602" width="6.28515625" style="601" bestFit="1" customWidth="1"/>
    <col min="14603" max="14603" width="15.5703125" style="601" customWidth="1"/>
    <col min="14604" max="14604" width="27.140625" style="601" customWidth="1"/>
    <col min="14605" max="14605" width="9.140625" style="601"/>
    <col min="14606" max="14606" width="15.140625" style="601" bestFit="1" customWidth="1"/>
    <col min="14607" max="14848" width="9.140625" style="601"/>
    <col min="14849" max="14849" width="5.5703125" style="601" customWidth="1"/>
    <col min="14850" max="14850" width="31.28515625" style="601" customWidth="1"/>
    <col min="14851" max="14851" width="6" style="601" customWidth="1"/>
    <col min="14852" max="14852" width="3.42578125" style="601" customWidth="1"/>
    <col min="14853" max="14853" width="5.7109375" style="601" customWidth="1"/>
    <col min="14854" max="14854" width="10.7109375" style="601" customWidth="1"/>
    <col min="14855" max="14855" width="9.5703125" style="601" customWidth="1"/>
    <col min="14856" max="14856" width="7.7109375" style="601" customWidth="1"/>
    <col min="14857" max="14857" width="10.28515625" style="601" customWidth="1"/>
    <col min="14858" max="14858" width="6.28515625" style="601" bestFit="1" customWidth="1"/>
    <col min="14859" max="14859" width="15.5703125" style="601" customWidth="1"/>
    <col min="14860" max="14860" width="27.140625" style="601" customWidth="1"/>
    <col min="14861" max="14861" width="9.140625" style="601"/>
    <col min="14862" max="14862" width="15.140625" style="601" bestFit="1" customWidth="1"/>
    <col min="14863" max="15104" width="9.140625" style="601"/>
    <col min="15105" max="15105" width="5.5703125" style="601" customWidth="1"/>
    <col min="15106" max="15106" width="31.28515625" style="601" customWidth="1"/>
    <col min="15107" max="15107" width="6" style="601" customWidth="1"/>
    <col min="15108" max="15108" width="3.42578125" style="601" customWidth="1"/>
    <col min="15109" max="15109" width="5.7109375" style="601" customWidth="1"/>
    <col min="15110" max="15110" width="10.7109375" style="601" customWidth="1"/>
    <col min="15111" max="15111" width="9.5703125" style="601" customWidth="1"/>
    <col min="15112" max="15112" width="7.7109375" style="601" customWidth="1"/>
    <col min="15113" max="15113" width="10.28515625" style="601" customWidth="1"/>
    <col min="15114" max="15114" width="6.28515625" style="601" bestFit="1" customWidth="1"/>
    <col min="15115" max="15115" width="15.5703125" style="601" customWidth="1"/>
    <col min="15116" max="15116" width="27.140625" style="601" customWidth="1"/>
    <col min="15117" max="15117" width="9.140625" style="601"/>
    <col min="15118" max="15118" width="15.140625" style="601" bestFit="1" customWidth="1"/>
    <col min="15119" max="15360" width="9.140625" style="601"/>
    <col min="15361" max="15361" width="5.5703125" style="601" customWidth="1"/>
    <col min="15362" max="15362" width="31.28515625" style="601" customWidth="1"/>
    <col min="15363" max="15363" width="6" style="601" customWidth="1"/>
    <col min="15364" max="15364" width="3.42578125" style="601" customWidth="1"/>
    <col min="15365" max="15365" width="5.7109375" style="601" customWidth="1"/>
    <col min="15366" max="15366" width="10.7109375" style="601" customWidth="1"/>
    <col min="15367" max="15367" width="9.5703125" style="601" customWidth="1"/>
    <col min="15368" max="15368" width="7.7109375" style="601" customWidth="1"/>
    <col min="15369" max="15369" width="10.28515625" style="601" customWidth="1"/>
    <col min="15370" max="15370" width="6.28515625" style="601" bestFit="1" customWidth="1"/>
    <col min="15371" max="15371" width="15.5703125" style="601" customWidth="1"/>
    <col min="15372" max="15372" width="27.140625" style="601" customWidth="1"/>
    <col min="15373" max="15373" width="9.140625" style="601"/>
    <col min="15374" max="15374" width="15.140625" style="601" bestFit="1" customWidth="1"/>
    <col min="15375" max="15616" width="9.140625" style="601"/>
    <col min="15617" max="15617" width="5.5703125" style="601" customWidth="1"/>
    <col min="15618" max="15618" width="31.28515625" style="601" customWidth="1"/>
    <col min="15619" max="15619" width="6" style="601" customWidth="1"/>
    <col min="15620" max="15620" width="3.42578125" style="601" customWidth="1"/>
    <col min="15621" max="15621" width="5.7109375" style="601" customWidth="1"/>
    <col min="15622" max="15622" width="10.7109375" style="601" customWidth="1"/>
    <col min="15623" max="15623" width="9.5703125" style="601" customWidth="1"/>
    <col min="15624" max="15624" width="7.7109375" style="601" customWidth="1"/>
    <col min="15625" max="15625" width="10.28515625" style="601" customWidth="1"/>
    <col min="15626" max="15626" width="6.28515625" style="601" bestFit="1" customWidth="1"/>
    <col min="15627" max="15627" width="15.5703125" style="601" customWidth="1"/>
    <col min="15628" max="15628" width="27.140625" style="601" customWidth="1"/>
    <col min="15629" max="15629" width="9.140625" style="601"/>
    <col min="15630" max="15630" width="15.140625" style="601" bestFit="1" customWidth="1"/>
    <col min="15631" max="15872" width="9.140625" style="601"/>
    <col min="15873" max="15873" width="5.5703125" style="601" customWidth="1"/>
    <col min="15874" max="15874" width="31.28515625" style="601" customWidth="1"/>
    <col min="15875" max="15875" width="6" style="601" customWidth="1"/>
    <col min="15876" max="15876" width="3.42578125" style="601" customWidth="1"/>
    <col min="15877" max="15877" width="5.7109375" style="601" customWidth="1"/>
    <col min="15878" max="15878" width="10.7109375" style="601" customWidth="1"/>
    <col min="15879" max="15879" width="9.5703125" style="601" customWidth="1"/>
    <col min="15880" max="15880" width="7.7109375" style="601" customWidth="1"/>
    <col min="15881" max="15881" width="10.28515625" style="601" customWidth="1"/>
    <col min="15882" max="15882" width="6.28515625" style="601" bestFit="1" customWidth="1"/>
    <col min="15883" max="15883" width="15.5703125" style="601" customWidth="1"/>
    <col min="15884" max="15884" width="27.140625" style="601" customWidth="1"/>
    <col min="15885" max="15885" width="9.140625" style="601"/>
    <col min="15886" max="15886" width="15.140625" style="601" bestFit="1" customWidth="1"/>
    <col min="15887" max="16128" width="9.140625" style="601"/>
    <col min="16129" max="16129" width="5.5703125" style="601" customWidth="1"/>
    <col min="16130" max="16130" width="31.28515625" style="601" customWidth="1"/>
    <col min="16131" max="16131" width="6" style="601" customWidth="1"/>
    <col min="16132" max="16132" width="3.42578125" style="601" customWidth="1"/>
    <col min="16133" max="16133" width="5.7109375" style="601" customWidth="1"/>
    <col min="16134" max="16134" width="10.7109375" style="601" customWidth="1"/>
    <col min="16135" max="16135" width="9.5703125" style="601" customWidth="1"/>
    <col min="16136" max="16136" width="7.7109375" style="601" customWidth="1"/>
    <col min="16137" max="16137" width="10.28515625" style="601" customWidth="1"/>
    <col min="16138" max="16138" width="6.28515625" style="601" bestFit="1" customWidth="1"/>
    <col min="16139" max="16139" width="15.5703125" style="601" customWidth="1"/>
    <col min="16140" max="16140" width="27.140625" style="601" customWidth="1"/>
    <col min="16141" max="16141" width="9.140625" style="601"/>
    <col min="16142" max="16142" width="15.140625" style="601" bestFit="1" customWidth="1"/>
    <col min="16143" max="16384" width="9.140625" style="601"/>
  </cols>
  <sheetData>
    <row r="1" spans="1:11" s="592" customFormat="1" ht="36" customHeight="1">
      <c r="A1" s="589" t="s">
        <v>893</v>
      </c>
      <c r="B1" s="590"/>
      <c r="C1" s="590"/>
      <c r="D1" s="590"/>
      <c r="E1" s="590"/>
      <c r="F1" s="590"/>
      <c r="G1" s="590"/>
      <c r="H1" s="590"/>
      <c r="I1" s="590"/>
      <c r="J1" s="590"/>
      <c r="K1" s="591"/>
    </row>
    <row r="2" spans="1:11" s="592" customFormat="1" ht="25.5" customHeight="1">
      <c r="A2" s="593" t="s">
        <v>203</v>
      </c>
      <c r="B2" s="593"/>
      <c r="C2" s="593"/>
      <c r="D2" s="593"/>
      <c r="E2" s="593"/>
      <c r="F2" s="593"/>
      <c r="G2" s="593"/>
      <c r="H2" s="593"/>
      <c r="I2" s="593"/>
      <c r="J2" s="593"/>
    </row>
    <row r="3" spans="1:11" s="598" customFormat="1" ht="23.25" customHeight="1">
      <c r="A3" s="594" t="s">
        <v>296</v>
      </c>
      <c r="B3" s="594" t="s">
        <v>205</v>
      </c>
      <c r="C3" s="595" t="s">
        <v>37</v>
      </c>
      <c r="D3" s="595"/>
      <c r="E3" s="595"/>
      <c r="F3" s="596" t="s">
        <v>894</v>
      </c>
      <c r="G3" s="596"/>
      <c r="H3" s="596"/>
      <c r="I3" s="596" t="s">
        <v>4</v>
      </c>
      <c r="J3" s="597"/>
    </row>
    <row r="4" spans="1:11">
      <c r="A4" s="594"/>
      <c r="B4" s="594"/>
      <c r="C4" s="595"/>
      <c r="D4" s="595"/>
      <c r="E4" s="595"/>
      <c r="F4" s="599" t="s">
        <v>5</v>
      </c>
      <c r="G4" s="599" t="s">
        <v>6</v>
      </c>
      <c r="H4" s="599" t="s">
        <v>7</v>
      </c>
      <c r="I4" s="596"/>
      <c r="J4" s="597"/>
      <c r="K4" s="600"/>
    </row>
    <row r="5" spans="1:11" ht="35.25" customHeight="1">
      <c r="A5" s="602">
        <v>1</v>
      </c>
      <c r="B5" s="603" t="s">
        <v>895</v>
      </c>
      <c r="C5" s="602"/>
      <c r="D5" s="602"/>
      <c r="E5" s="602"/>
      <c r="F5" s="604"/>
      <c r="G5" s="604"/>
      <c r="H5" s="605"/>
      <c r="I5" s="604"/>
      <c r="J5" s="606"/>
    </row>
    <row r="6" spans="1:11" ht="20.25" customHeight="1">
      <c r="A6" s="602"/>
      <c r="B6" s="603" t="s">
        <v>859</v>
      </c>
      <c r="C6" s="602"/>
      <c r="D6" s="602"/>
      <c r="E6" s="602"/>
      <c r="F6" s="604"/>
      <c r="G6" s="604"/>
      <c r="H6" s="605"/>
      <c r="I6" s="604"/>
      <c r="J6" s="606"/>
    </row>
    <row r="7" spans="1:11" ht="20.25" customHeight="1">
      <c r="A7" s="602"/>
      <c r="B7" s="607" t="s">
        <v>896</v>
      </c>
      <c r="C7" s="602">
        <v>1</v>
      </c>
      <c r="D7" s="602" t="s">
        <v>28</v>
      </c>
      <c r="E7" s="602">
        <v>1</v>
      </c>
      <c r="F7" s="605" t="s">
        <v>897</v>
      </c>
      <c r="G7" s="604" t="s">
        <v>898</v>
      </c>
      <c r="H7" s="605">
        <v>2</v>
      </c>
      <c r="I7" s="604">
        <f>0.785*5.3*5.3*2</f>
        <v>44.101299999999995</v>
      </c>
      <c r="J7" s="606"/>
    </row>
    <row r="8" spans="1:11" ht="20.25" customHeight="1">
      <c r="A8" s="602"/>
      <c r="B8" s="607"/>
      <c r="C8" s="602"/>
      <c r="D8" s="602"/>
      <c r="E8" s="602"/>
      <c r="F8" s="604"/>
      <c r="G8" s="604"/>
      <c r="H8" s="605" t="s">
        <v>34</v>
      </c>
      <c r="I8" s="604">
        <v>44.5</v>
      </c>
      <c r="J8" s="606" t="s">
        <v>642</v>
      </c>
    </row>
    <row r="9" spans="1:11" ht="20.25" customHeight="1">
      <c r="A9" s="602"/>
      <c r="B9" s="607"/>
      <c r="C9" s="602"/>
      <c r="D9" s="602"/>
      <c r="E9" s="602"/>
      <c r="F9" s="604"/>
      <c r="G9" s="604"/>
      <c r="H9" s="605"/>
      <c r="I9" s="604"/>
      <c r="J9" s="606"/>
    </row>
    <row r="10" spans="1:11" ht="20.25" customHeight="1">
      <c r="A10" s="602">
        <v>2</v>
      </c>
      <c r="B10" s="608" t="s">
        <v>236</v>
      </c>
      <c r="C10" s="602"/>
      <c r="D10" s="602"/>
      <c r="E10" s="602"/>
      <c r="F10" s="604"/>
      <c r="G10" s="604"/>
      <c r="H10" s="605"/>
      <c r="I10" s="604"/>
      <c r="J10" s="606"/>
    </row>
    <row r="11" spans="1:11" ht="20.25" customHeight="1">
      <c r="A11" s="602"/>
      <c r="B11" s="607" t="s">
        <v>896</v>
      </c>
      <c r="C11" s="602">
        <v>1</v>
      </c>
      <c r="D11" s="602" t="s">
        <v>28</v>
      </c>
      <c r="E11" s="602">
        <v>1</v>
      </c>
      <c r="F11" s="605" t="s">
        <v>897</v>
      </c>
      <c r="G11" s="604" t="s">
        <v>898</v>
      </c>
      <c r="H11" s="605">
        <v>0.15</v>
      </c>
      <c r="I11" s="604">
        <f>0.785*5.3*5.3*0.15</f>
        <v>3.3075974999999995</v>
      </c>
      <c r="J11" s="606"/>
    </row>
    <row r="12" spans="1:11" ht="20.25" customHeight="1">
      <c r="A12" s="602"/>
      <c r="B12" s="607"/>
      <c r="C12" s="602"/>
      <c r="D12" s="602"/>
      <c r="E12" s="602"/>
      <c r="F12" s="604"/>
      <c r="G12" s="604"/>
      <c r="H12" s="605" t="s">
        <v>34</v>
      </c>
      <c r="I12" s="604">
        <v>3.35</v>
      </c>
      <c r="J12" s="606" t="s">
        <v>642</v>
      </c>
    </row>
    <row r="13" spans="1:11" ht="20.25" customHeight="1">
      <c r="A13" s="602"/>
      <c r="B13" s="607"/>
      <c r="C13" s="602"/>
      <c r="D13" s="602"/>
      <c r="E13" s="602"/>
      <c r="F13" s="604"/>
      <c r="G13" s="604"/>
      <c r="H13" s="605"/>
      <c r="I13" s="604"/>
      <c r="J13" s="606"/>
    </row>
    <row r="14" spans="1:11" ht="133.5" customHeight="1">
      <c r="A14" s="602">
        <v>3</v>
      </c>
      <c r="B14" s="607" t="s">
        <v>899</v>
      </c>
      <c r="C14" s="609"/>
      <c r="D14" s="609"/>
      <c r="E14" s="609"/>
      <c r="F14" s="609"/>
      <c r="G14" s="609"/>
      <c r="H14" s="604"/>
      <c r="I14" s="604"/>
      <c r="J14" s="606"/>
    </row>
    <row r="15" spans="1:11" ht="20.25" customHeight="1">
      <c r="A15" s="602"/>
      <c r="B15" s="607" t="s">
        <v>896</v>
      </c>
      <c r="C15" s="602">
        <v>1</v>
      </c>
      <c r="D15" s="602" t="s">
        <v>28</v>
      </c>
      <c r="E15" s="602">
        <v>1</v>
      </c>
      <c r="F15" s="605" t="s">
        <v>897</v>
      </c>
      <c r="G15" s="604" t="s">
        <v>898</v>
      </c>
      <c r="H15" s="605">
        <v>0.15</v>
      </c>
      <c r="I15" s="604">
        <f>0.785*5.3*5.3*0.15</f>
        <v>3.3075974999999995</v>
      </c>
      <c r="J15" s="606"/>
    </row>
    <row r="16" spans="1:11" ht="20.25" customHeight="1">
      <c r="A16" s="602"/>
      <c r="B16" s="607"/>
      <c r="C16" s="602"/>
      <c r="D16" s="602"/>
      <c r="E16" s="602"/>
      <c r="F16" s="604"/>
      <c r="G16" s="604"/>
      <c r="H16" s="610" t="s">
        <v>25</v>
      </c>
      <c r="I16" s="610">
        <v>3.4</v>
      </c>
      <c r="J16" s="611" t="s">
        <v>638</v>
      </c>
    </row>
    <row r="17" spans="1:12" ht="61.5" customHeight="1">
      <c r="A17" s="602">
        <v>4</v>
      </c>
      <c r="B17" s="607" t="s">
        <v>900</v>
      </c>
      <c r="C17" s="602"/>
      <c r="D17" s="602"/>
      <c r="E17" s="602"/>
      <c r="F17" s="604"/>
      <c r="G17" s="604"/>
      <c r="H17" s="605"/>
      <c r="I17" s="604"/>
      <c r="J17" s="606"/>
    </row>
    <row r="18" spans="1:12" ht="20.25" customHeight="1">
      <c r="A18" s="602"/>
      <c r="B18" s="607" t="s">
        <v>901</v>
      </c>
      <c r="C18" s="602"/>
      <c r="D18" s="602"/>
      <c r="E18" s="602"/>
      <c r="F18" s="604"/>
      <c r="G18" s="604"/>
      <c r="H18" s="605"/>
      <c r="I18" s="604"/>
      <c r="J18" s="606"/>
    </row>
    <row r="19" spans="1:12" ht="27.75" customHeight="1">
      <c r="A19" s="602"/>
      <c r="B19" s="607" t="s">
        <v>85</v>
      </c>
      <c r="C19" s="602">
        <v>1</v>
      </c>
      <c r="D19" s="602" t="s">
        <v>28</v>
      </c>
      <c r="E19" s="602">
        <v>2</v>
      </c>
      <c r="F19" s="604">
        <v>2.63</v>
      </c>
      <c r="G19" s="604">
        <v>0.23</v>
      </c>
      <c r="H19" s="605">
        <v>2.15</v>
      </c>
      <c r="I19" s="604">
        <f>C19*E19*F19*G19*H19</f>
        <v>2.60107</v>
      </c>
      <c r="J19" s="606"/>
      <c r="L19" s="612" t="s">
        <v>902</v>
      </c>
    </row>
    <row r="20" spans="1:12" ht="20.25" customHeight="1">
      <c r="A20" s="602"/>
      <c r="B20" s="607" t="s">
        <v>903</v>
      </c>
      <c r="C20" s="602">
        <v>-1</v>
      </c>
      <c r="D20" s="602" t="s">
        <v>28</v>
      </c>
      <c r="E20" s="602">
        <v>2</v>
      </c>
      <c r="F20" s="604">
        <v>0.9</v>
      </c>
      <c r="G20" s="604">
        <v>0.23</v>
      </c>
      <c r="H20" s="605">
        <v>2.1</v>
      </c>
      <c r="I20" s="604">
        <f>C20*E20*F20*G20*H20</f>
        <v>-0.86940000000000006</v>
      </c>
      <c r="J20" s="606"/>
    </row>
    <row r="21" spans="1:12" ht="20.25" customHeight="1">
      <c r="A21" s="602"/>
      <c r="B21" s="607"/>
      <c r="C21" s="602"/>
      <c r="D21" s="602"/>
      <c r="E21" s="602"/>
      <c r="F21" s="604"/>
      <c r="G21" s="604"/>
      <c r="H21" s="605" t="s">
        <v>34</v>
      </c>
      <c r="I21" s="604">
        <f>SUM(I19:I20)</f>
        <v>1.7316699999999998</v>
      </c>
      <c r="J21" s="606"/>
    </row>
    <row r="22" spans="1:12" ht="20.25" customHeight="1">
      <c r="A22" s="602"/>
      <c r="B22" s="607"/>
      <c r="C22" s="602"/>
      <c r="D22" s="602"/>
      <c r="E22" s="602"/>
      <c r="F22" s="604"/>
      <c r="G22" s="604"/>
      <c r="H22" s="613" t="s">
        <v>25</v>
      </c>
      <c r="I22" s="610">
        <v>1.75</v>
      </c>
      <c r="J22" s="611" t="s">
        <v>638</v>
      </c>
    </row>
    <row r="23" spans="1:12" ht="62.25" customHeight="1">
      <c r="A23" s="602">
        <v>5</v>
      </c>
      <c r="B23" s="607" t="s">
        <v>904</v>
      </c>
      <c r="C23" s="602"/>
      <c r="D23" s="602"/>
      <c r="E23" s="602"/>
      <c r="F23" s="604"/>
      <c r="G23" s="604"/>
      <c r="H23" s="605"/>
      <c r="I23" s="604"/>
      <c r="J23" s="606"/>
    </row>
    <row r="24" spans="1:12" ht="20.25" customHeight="1">
      <c r="A24" s="602"/>
      <c r="B24" s="607" t="s">
        <v>905</v>
      </c>
      <c r="C24" s="602"/>
      <c r="D24" s="602"/>
      <c r="E24" s="602"/>
      <c r="F24" s="604"/>
      <c r="G24" s="604"/>
      <c r="H24" s="605"/>
      <c r="I24" s="604"/>
      <c r="J24" s="606"/>
    </row>
    <row r="25" spans="1:12" ht="20.25" customHeight="1">
      <c r="A25" s="602"/>
      <c r="B25" s="607" t="s">
        <v>906</v>
      </c>
      <c r="C25" s="602">
        <v>1</v>
      </c>
      <c r="D25" s="602" t="s">
        <v>28</v>
      </c>
      <c r="E25" s="602">
        <v>2</v>
      </c>
      <c r="F25" s="604">
        <v>7.06</v>
      </c>
      <c r="G25" s="604"/>
      <c r="H25" s="605">
        <v>2.15</v>
      </c>
      <c r="I25" s="604">
        <f>C25*E25*F25*H25</f>
        <v>30.357999999999997</v>
      </c>
      <c r="J25" s="606"/>
      <c r="K25" s="601">
        <f>2.63+2.63+2.445+2.445</f>
        <v>10.15</v>
      </c>
    </row>
    <row r="26" spans="1:12" ht="20.25" customHeight="1">
      <c r="A26" s="602"/>
      <c r="B26" s="607" t="s">
        <v>907</v>
      </c>
      <c r="C26" s="602">
        <v>2</v>
      </c>
      <c r="D26" s="602" t="s">
        <v>28</v>
      </c>
      <c r="E26" s="602">
        <v>2</v>
      </c>
      <c r="F26" s="605">
        <v>0.115</v>
      </c>
      <c r="G26" s="604"/>
      <c r="H26" s="605">
        <v>2</v>
      </c>
      <c r="I26" s="604">
        <f>C26*E26*F26*H26</f>
        <v>0.92</v>
      </c>
      <c r="J26" s="606"/>
    </row>
    <row r="27" spans="1:12" ht="20.25" customHeight="1">
      <c r="A27" s="602"/>
      <c r="B27" s="607"/>
      <c r="C27" s="602"/>
      <c r="D27" s="602"/>
      <c r="E27" s="602"/>
      <c r="F27" s="604"/>
      <c r="G27" s="604"/>
      <c r="H27" s="605" t="s">
        <v>34</v>
      </c>
      <c r="I27" s="604">
        <f>SUM(I25:I26)</f>
        <v>31.277999999999999</v>
      </c>
      <c r="J27" s="606"/>
    </row>
    <row r="28" spans="1:12" ht="20.25" customHeight="1">
      <c r="A28" s="602"/>
      <c r="B28" s="607"/>
      <c r="C28" s="602"/>
      <c r="D28" s="602"/>
      <c r="E28" s="602"/>
      <c r="F28" s="604"/>
      <c r="G28" s="604"/>
      <c r="H28" s="613" t="s">
        <v>25</v>
      </c>
      <c r="I28" s="610">
        <v>31.3</v>
      </c>
      <c r="J28" s="611" t="s">
        <v>247</v>
      </c>
    </row>
    <row r="29" spans="1:12" ht="33" customHeight="1">
      <c r="A29" s="602">
        <v>6</v>
      </c>
      <c r="B29" s="607" t="s">
        <v>908</v>
      </c>
      <c r="C29" s="602"/>
      <c r="D29" s="602"/>
      <c r="E29" s="602"/>
      <c r="F29" s="604"/>
      <c r="G29" s="604"/>
      <c r="H29" s="613"/>
      <c r="I29" s="610"/>
      <c r="J29" s="611"/>
    </row>
    <row r="30" spans="1:12" ht="20.25" customHeight="1">
      <c r="A30" s="602"/>
      <c r="B30" s="607" t="s">
        <v>909</v>
      </c>
      <c r="C30" s="602">
        <v>1</v>
      </c>
      <c r="D30" s="602" t="s">
        <v>28</v>
      </c>
      <c r="E30" s="602">
        <v>1</v>
      </c>
      <c r="F30" s="604" t="s">
        <v>910</v>
      </c>
      <c r="G30" s="604"/>
      <c r="H30" s="605">
        <v>3</v>
      </c>
      <c r="I30" s="604">
        <f>3.14*4*3</f>
        <v>37.68</v>
      </c>
      <c r="J30" s="611"/>
    </row>
    <row r="31" spans="1:12" ht="20.25" customHeight="1">
      <c r="A31" s="602"/>
      <c r="B31" s="607" t="s">
        <v>911</v>
      </c>
      <c r="C31" s="602">
        <v>1</v>
      </c>
      <c r="D31" s="602" t="s">
        <v>28</v>
      </c>
      <c r="E31" s="602">
        <v>2</v>
      </c>
      <c r="F31" s="604" t="s">
        <v>912</v>
      </c>
      <c r="G31" s="604" t="s">
        <v>913</v>
      </c>
      <c r="H31" s="605"/>
      <c r="I31" s="604">
        <f>2*3.14/4*4*4</f>
        <v>25.12</v>
      </c>
      <c r="J31" s="611"/>
    </row>
    <row r="32" spans="1:12" ht="20.25" customHeight="1">
      <c r="A32" s="602"/>
      <c r="B32" s="607"/>
      <c r="C32" s="602"/>
      <c r="D32" s="602"/>
      <c r="E32" s="602"/>
      <c r="F32" s="604"/>
      <c r="G32" s="604"/>
      <c r="H32" s="605" t="s">
        <v>34</v>
      </c>
      <c r="I32" s="610">
        <f>SUM(I30:I31)</f>
        <v>62.8</v>
      </c>
      <c r="J32" s="611"/>
    </row>
    <row r="33" spans="1:11" ht="20.25" customHeight="1">
      <c r="A33" s="602"/>
      <c r="B33" s="607"/>
      <c r="C33" s="602"/>
      <c r="D33" s="602"/>
      <c r="E33" s="602"/>
      <c r="F33" s="604"/>
      <c r="G33" s="604"/>
      <c r="H33" s="613" t="s">
        <v>25</v>
      </c>
      <c r="I33" s="610">
        <v>62.8</v>
      </c>
      <c r="J33" s="611" t="s">
        <v>247</v>
      </c>
    </row>
    <row r="34" spans="1:11" ht="20.25" customHeight="1">
      <c r="A34" s="602"/>
      <c r="B34" s="607"/>
      <c r="C34" s="602"/>
      <c r="D34" s="602"/>
      <c r="E34" s="602"/>
      <c r="F34" s="604"/>
      <c r="G34" s="604"/>
      <c r="H34" s="613"/>
      <c r="I34" s="610"/>
      <c r="J34" s="611"/>
    </row>
    <row r="35" spans="1:11" ht="20.25" customHeight="1">
      <c r="A35" s="602">
        <v>7</v>
      </c>
      <c r="B35" s="607" t="s">
        <v>914</v>
      </c>
      <c r="C35" s="602"/>
      <c r="D35" s="602"/>
      <c r="E35" s="602"/>
      <c r="F35" s="604"/>
      <c r="G35" s="604"/>
      <c r="H35" s="613"/>
      <c r="I35" s="610"/>
      <c r="J35" s="611"/>
    </row>
    <row r="36" spans="1:11" ht="20.25" customHeight="1">
      <c r="A36" s="602"/>
      <c r="B36" s="607" t="s">
        <v>915</v>
      </c>
      <c r="C36" s="602">
        <v>1</v>
      </c>
      <c r="D36" s="602" t="s">
        <v>28</v>
      </c>
      <c r="E36" s="602">
        <v>1</v>
      </c>
      <c r="F36" s="604" t="s">
        <v>912</v>
      </c>
      <c r="G36" s="604" t="s">
        <v>916</v>
      </c>
      <c r="H36" s="605"/>
      <c r="I36" s="604">
        <f>1*3.14/4*4.2*4.2</f>
        <v>13.8474</v>
      </c>
      <c r="J36" s="611"/>
    </row>
    <row r="37" spans="1:11" ht="20.25" customHeight="1">
      <c r="A37" s="602"/>
      <c r="B37" s="607" t="s">
        <v>917</v>
      </c>
      <c r="C37" s="602">
        <v>1</v>
      </c>
      <c r="D37" s="602" t="s">
        <v>28</v>
      </c>
      <c r="E37" s="602">
        <v>2</v>
      </c>
      <c r="F37" s="604">
        <v>2.93</v>
      </c>
      <c r="G37" s="605">
        <v>3.05</v>
      </c>
      <c r="H37" s="613"/>
      <c r="I37" s="604">
        <f>C37*E37*F37*G37</f>
        <v>17.873000000000001</v>
      </c>
      <c r="J37" s="611"/>
    </row>
    <row r="38" spans="1:11" ht="20.25" customHeight="1">
      <c r="A38" s="602"/>
      <c r="B38" s="607"/>
      <c r="C38" s="602"/>
      <c r="D38" s="602"/>
      <c r="E38" s="602"/>
      <c r="F38" s="604"/>
      <c r="G38" s="604"/>
      <c r="H38" s="613" t="s">
        <v>34</v>
      </c>
      <c r="I38" s="610">
        <f>SUM(I36:I37)</f>
        <v>31.720400000000001</v>
      </c>
      <c r="J38" s="611"/>
    </row>
    <row r="39" spans="1:11" ht="20.25" customHeight="1">
      <c r="A39" s="602"/>
      <c r="B39" s="607"/>
      <c r="C39" s="602"/>
      <c r="D39" s="602"/>
      <c r="E39" s="602"/>
      <c r="F39" s="604"/>
      <c r="G39" s="604"/>
      <c r="H39" s="613" t="s">
        <v>491</v>
      </c>
      <c r="I39" s="610">
        <v>31.75</v>
      </c>
      <c r="J39" s="611" t="s">
        <v>289</v>
      </c>
    </row>
    <row r="40" spans="1:11" ht="25.5" customHeight="1">
      <c r="A40" s="602">
        <v>8</v>
      </c>
      <c r="B40" s="607" t="s">
        <v>245</v>
      </c>
      <c r="C40" s="602"/>
      <c r="D40" s="602"/>
      <c r="E40" s="602"/>
      <c r="F40" s="604"/>
      <c r="G40" s="604"/>
      <c r="H40" s="605"/>
      <c r="I40" s="604"/>
      <c r="J40" s="606"/>
    </row>
    <row r="41" spans="1:11" ht="20.25" customHeight="1">
      <c r="A41" s="602"/>
      <c r="B41" s="607" t="s">
        <v>918</v>
      </c>
      <c r="C41" s="602">
        <v>1</v>
      </c>
      <c r="D41" s="602" t="s">
        <v>28</v>
      </c>
      <c r="E41" s="602">
        <v>2</v>
      </c>
      <c r="F41" s="604">
        <v>9</v>
      </c>
      <c r="G41" s="604"/>
      <c r="H41" s="605">
        <v>2.08</v>
      </c>
      <c r="I41" s="604">
        <f>C41*E41*F41*H41</f>
        <v>37.44</v>
      </c>
      <c r="J41" s="606"/>
      <c r="K41" s="601">
        <f>4.3/2</f>
        <v>2.15</v>
      </c>
    </row>
    <row r="42" spans="1:11" ht="20.25" customHeight="1">
      <c r="A42" s="602"/>
      <c r="B42" s="607" t="s">
        <v>903</v>
      </c>
      <c r="C42" s="602">
        <v>-1</v>
      </c>
      <c r="D42" s="602" t="s">
        <v>28</v>
      </c>
      <c r="E42" s="602">
        <v>2</v>
      </c>
      <c r="F42" s="604">
        <v>0.9</v>
      </c>
      <c r="G42" s="604"/>
      <c r="H42" s="605">
        <v>2.1</v>
      </c>
      <c r="I42" s="604">
        <f>C42*E42*F42*H42</f>
        <v>-3.7800000000000002</v>
      </c>
      <c r="J42" s="606"/>
    </row>
    <row r="43" spans="1:11" ht="20.25" customHeight="1">
      <c r="A43" s="602"/>
      <c r="B43" s="607" t="s">
        <v>907</v>
      </c>
      <c r="C43" s="602">
        <v>2</v>
      </c>
      <c r="D43" s="602" t="s">
        <v>28</v>
      </c>
      <c r="E43" s="602">
        <v>2</v>
      </c>
      <c r="F43" s="604">
        <v>0.23</v>
      </c>
      <c r="G43" s="604"/>
      <c r="H43" s="605">
        <v>2</v>
      </c>
      <c r="I43" s="604">
        <f>C43*E43*F43*H43</f>
        <v>1.84</v>
      </c>
      <c r="J43" s="606"/>
    </row>
    <row r="44" spans="1:11" ht="20.25" customHeight="1">
      <c r="A44" s="602"/>
      <c r="B44" s="607" t="s">
        <v>919</v>
      </c>
      <c r="C44" s="602">
        <v>1</v>
      </c>
      <c r="D44" s="602" t="s">
        <v>28</v>
      </c>
      <c r="E44" s="602">
        <v>2</v>
      </c>
      <c r="F44" s="604">
        <v>10.15</v>
      </c>
      <c r="G44" s="604"/>
      <c r="H44" s="605">
        <v>2.15</v>
      </c>
      <c r="I44" s="604">
        <f>C44*E44*F44*H44</f>
        <v>43.645000000000003</v>
      </c>
      <c r="J44" s="606"/>
    </row>
    <row r="45" spans="1:11" ht="20.25" customHeight="1">
      <c r="A45" s="602"/>
      <c r="B45" s="607" t="s">
        <v>903</v>
      </c>
      <c r="C45" s="602">
        <v>-1</v>
      </c>
      <c r="D45" s="602" t="s">
        <v>28</v>
      </c>
      <c r="E45" s="602">
        <v>2</v>
      </c>
      <c r="F45" s="604">
        <v>0.9</v>
      </c>
      <c r="G45" s="604"/>
      <c r="H45" s="605">
        <v>2.1</v>
      </c>
      <c r="I45" s="604">
        <f>C45*E45*F45*H45</f>
        <v>-3.7800000000000002</v>
      </c>
      <c r="J45" s="606"/>
    </row>
    <row r="46" spans="1:11" ht="20.25" customHeight="1">
      <c r="A46" s="602"/>
      <c r="B46" s="607" t="s">
        <v>920</v>
      </c>
      <c r="C46" s="602">
        <v>1</v>
      </c>
      <c r="D46" s="602" t="s">
        <v>28</v>
      </c>
      <c r="E46" s="602">
        <v>2</v>
      </c>
      <c r="F46" s="604">
        <v>5.0999999999999996</v>
      </c>
      <c r="G46" s="604">
        <v>0.23</v>
      </c>
      <c r="H46" s="605"/>
      <c r="I46" s="604">
        <f>C46*E46*F46*G46</f>
        <v>2.3460000000000001</v>
      </c>
      <c r="J46" s="606"/>
    </row>
    <row r="47" spans="1:11" ht="20.25" customHeight="1">
      <c r="A47" s="602"/>
      <c r="B47" s="607" t="s">
        <v>921</v>
      </c>
      <c r="C47" s="602">
        <v>1</v>
      </c>
      <c r="D47" s="602" t="s">
        <v>28</v>
      </c>
      <c r="E47" s="602">
        <v>1</v>
      </c>
      <c r="F47" s="604" t="s">
        <v>922</v>
      </c>
      <c r="G47" s="604"/>
      <c r="H47" s="605">
        <v>2.1</v>
      </c>
      <c r="I47" s="604">
        <f>3.14*4.4*2.1</f>
        <v>29.013600000000007</v>
      </c>
      <c r="J47" s="606"/>
    </row>
    <row r="48" spans="1:11" ht="20.25" customHeight="1">
      <c r="A48" s="602"/>
      <c r="B48" s="607"/>
      <c r="C48" s="602"/>
      <c r="D48" s="602"/>
      <c r="E48" s="602"/>
      <c r="F48" s="604"/>
      <c r="G48" s="604"/>
      <c r="H48" s="605" t="s">
        <v>34</v>
      </c>
      <c r="I48" s="604">
        <f>SUM(I41:I47)</f>
        <v>106.72460000000002</v>
      </c>
      <c r="J48" s="606"/>
    </row>
    <row r="49" spans="1:10" ht="20.25" customHeight="1">
      <c r="A49" s="602"/>
      <c r="B49" s="607"/>
      <c r="C49" s="602"/>
      <c r="D49" s="602"/>
      <c r="E49" s="602"/>
      <c r="F49" s="604"/>
      <c r="G49" s="604"/>
      <c r="H49" s="613" t="s">
        <v>25</v>
      </c>
      <c r="I49" s="610">
        <v>106.75</v>
      </c>
      <c r="J49" s="611" t="s">
        <v>289</v>
      </c>
    </row>
    <row r="50" spans="1:10" ht="30" customHeight="1">
      <c r="A50" s="602">
        <v>9</v>
      </c>
      <c r="B50" s="607" t="s">
        <v>923</v>
      </c>
      <c r="C50" s="602"/>
      <c r="D50" s="602"/>
      <c r="E50" s="602"/>
      <c r="F50" s="604"/>
      <c r="G50" s="604"/>
      <c r="H50" s="605"/>
      <c r="I50" s="604"/>
      <c r="J50" s="606"/>
    </row>
    <row r="51" spans="1:10" ht="20.25" customHeight="1">
      <c r="A51" s="602"/>
      <c r="B51" s="607" t="s">
        <v>917</v>
      </c>
      <c r="C51" s="602">
        <v>1</v>
      </c>
      <c r="D51" s="602" t="s">
        <v>28</v>
      </c>
      <c r="E51" s="602">
        <v>2</v>
      </c>
      <c r="F51" s="604">
        <v>2.4</v>
      </c>
      <c r="G51" s="604">
        <v>2.1</v>
      </c>
      <c r="H51" s="605"/>
      <c r="I51" s="604">
        <f>C51*E51*F51*G51</f>
        <v>10.08</v>
      </c>
      <c r="J51" s="606"/>
    </row>
    <row r="52" spans="1:10" ht="20.25" customHeight="1">
      <c r="A52" s="602"/>
      <c r="B52" s="607" t="s">
        <v>924</v>
      </c>
      <c r="C52" s="602">
        <v>1</v>
      </c>
      <c r="D52" s="602" t="s">
        <v>28</v>
      </c>
      <c r="E52" s="602">
        <v>2</v>
      </c>
      <c r="F52" s="604">
        <v>2.93</v>
      </c>
      <c r="G52" s="604">
        <v>0.45</v>
      </c>
      <c r="H52" s="605"/>
      <c r="I52" s="604">
        <f>C52*E52*F52*G52</f>
        <v>2.637</v>
      </c>
      <c r="J52" s="606"/>
    </row>
    <row r="53" spans="1:10" ht="20.25" customHeight="1">
      <c r="A53" s="602"/>
      <c r="B53" s="607" t="s">
        <v>925</v>
      </c>
      <c r="C53" s="602">
        <v>1</v>
      </c>
      <c r="D53" s="602" t="s">
        <v>28</v>
      </c>
      <c r="E53" s="602">
        <v>2</v>
      </c>
      <c r="F53" s="604">
        <v>8.42</v>
      </c>
      <c r="G53" s="604">
        <v>0.15</v>
      </c>
      <c r="H53" s="605"/>
      <c r="I53" s="604">
        <f>C53*E53*F53*G53</f>
        <v>2.5259999999999998</v>
      </c>
      <c r="J53" s="606"/>
    </row>
    <row r="54" spans="1:10" ht="20.25" customHeight="1">
      <c r="A54" s="602"/>
      <c r="B54" s="607"/>
      <c r="C54" s="602"/>
      <c r="D54" s="602"/>
      <c r="E54" s="602"/>
      <c r="F54" s="604"/>
      <c r="G54" s="604"/>
      <c r="H54" s="605" t="s">
        <v>211</v>
      </c>
      <c r="I54" s="604">
        <f>SUM(I51:I53)</f>
        <v>15.243</v>
      </c>
      <c r="J54" s="606"/>
    </row>
    <row r="55" spans="1:10" ht="20.25" customHeight="1">
      <c r="A55" s="602"/>
      <c r="B55" s="607"/>
      <c r="C55" s="602"/>
      <c r="D55" s="602"/>
      <c r="E55" s="602"/>
      <c r="F55" s="604"/>
      <c r="G55" s="604"/>
      <c r="H55" s="613" t="s">
        <v>25</v>
      </c>
      <c r="I55" s="610">
        <v>15.3</v>
      </c>
      <c r="J55" s="611" t="s">
        <v>247</v>
      </c>
    </row>
    <row r="56" spans="1:10" ht="20.25" customHeight="1">
      <c r="A56" s="602">
        <v>10</v>
      </c>
      <c r="B56" s="607" t="s">
        <v>926</v>
      </c>
      <c r="C56" s="602"/>
      <c r="D56" s="602"/>
      <c r="E56" s="602"/>
      <c r="F56" s="604"/>
      <c r="G56" s="604"/>
      <c r="H56" s="605"/>
      <c r="I56" s="604"/>
      <c r="J56" s="606"/>
    </row>
    <row r="57" spans="1:10" ht="20.25" customHeight="1">
      <c r="A57" s="602"/>
      <c r="B57" s="607" t="s">
        <v>917</v>
      </c>
      <c r="C57" s="602">
        <v>1</v>
      </c>
      <c r="D57" s="602" t="s">
        <v>28</v>
      </c>
      <c r="E57" s="602">
        <v>2</v>
      </c>
      <c r="F57" s="604">
        <v>2.4</v>
      </c>
      <c r="G57" s="604">
        <v>2.1</v>
      </c>
      <c r="H57" s="605"/>
      <c r="I57" s="604">
        <f>C57*E57*F57*G57</f>
        <v>10.08</v>
      </c>
      <c r="J57" s="606"/>
    </row>
    <row r="58" spans="1:10" ht="20.25" customHeight="1">
      <c r="A58" s="602"/>
      <c r="B58" s="607"/>
      <c r="C58" s="602"/>
      <c r="D58" s="602"/>
      <c r="E58" s="602"/>
      <c r="F58" s="604"/>
      <c r="G58" s="604"/>
      <c r="H58" s="613" t="s">
        <v>25</v>
      </c>
      <c r="I58" s="610">
        <v>10.1</v>
      </c>
      <c r="J58" s="611" t="s">
        <v>247</v>
      </c>
    </row>
    <row r="59" spans="1:10" ht="20.25" customHeight="1">
      <c r="A59" s="602"/>
      <c r="B59" s="607"/>
      <c r="C59" s="602"/>
      <c r="D59" s="602"/>
      <c r="E59" s="602"/>
      <c r="F59" s="604"/>
      <c r="G59" s="604"/>
      <c r="H59" s="605"/>
      <c r="I59" s="604"/>
      <c r="J59" s="606"/>
    </row>
    <row r="60" spans="1:10" ht="31.5" customHeight="1">
      <c r="A60" s="602">
        <v>11</v>
      </c>
      <c r="B60" s="614" t="s">
        <v>927</v>
      </c>
      <c r="C60" s="602"/>
      <c r="D60" s="602"/>
      <c r="E60" s="602"/>
      <c r="F60" s="604"/>
      <c r="G60" s="604"/>
      <c r="H60" s="605"/>
      <c r="I60" s="604"/>
      <c r="J60" s="606"/>
    </row>
    <row r="61" spans="1:10" ht="20.25" customHeight="1">
      <c r="A61" s="602"/>
      <c r="B61" s="615" t="s">
        <v>928</v>
      </c>
      <c r="C61" s="602"/>
      <c r="D61" s="602"/>
      <c r="E61" s="602"/>
      <c r="F61" s="604"/>
      <c r="G61" s="604"/>
      <c r="H61" s="605"/>
      <c r="I61" s="604"/>
      <c r="J61" s="606"/>
    </row>
    <row r="62" spans="1:10" ht="20.25" customHeight="1">
      <c r="A62" s="602"/>
      <c r="B62" s="607" t="s">
        <v>929</v>
      </c>
      <c r="C62" s="602">
        <v>1</v>
      </c>
      <c r="D62" s="602" t="s">
        <v>28</v>
      </c>
      <c r="E62" s="602">
        <v>1</v>
      </c>
      <c r="F62" s="605" t="s">
        <v>897</v>
      </c>
      <c r="G62" s="604" t="s">
        <v>930</v>
      </c>
      <c r="H62" s="605">
        <v>0.25</v>
      </c>
      <c r="I62" s="604">
        <f>0.785*5*5*0.25</f>
        <v>4.90625</v>
      </c>
      <c r="J62" s="606"/>
    </row>
    <row r="63" spans="1:10" ht="20.25" customHeight="1">
      <c r="A63" s="602"/>
      <c r="B63" s="607" t="s">
        <v>931</v>
      </c>
      <c r="C63" s="602">
        <v>1</v>
      </c>
      <c r="D63" s="602" t="s">
        <v>28</v>
      </c>
      <c r="E63" s="602">
        <v>1</v>
      </c>
      <c r="F63" s="604" t="s">
        <v>932</v>
      </c>
      <c r="G63" s="604">
        <v>0.2</v>
      </c>
      <c r="H63" s="605">
        <v>3</v>
      </c>
      <c r="I63" s="604">
        <f>3.14*4.2*0.2*3</f>
        <v>7.9128000000000007</v>
      </c>
      <c r="J63" s="606"/>
    </row>
    <row r="64" spans="1:10" ht="20.25" customHeight="1">
      <c r="A64" s="602"/>
      <c r="B64" s="607" t="s">
        <v>933</v>
      </c>
      <c r="C64" s="602">
        <v>1</v>
      </c>
      <c r="D64" s="602" t="s">
        <v>28</v>
      </c>
      <c r="E64" s="602">
        <v>1</v>
      </c>
      <c r="F64" s="605" t="s">
        <v>897</v>
      </c>
      <c r="G64" s="604" t="s">
        <v>934</v>
      </c>
      <c r="H64" s="605">
        <v>0.15</v>
      </c>
      <c r="I64" s="604">
        <f>3.14/4*4.2*4.2*0.15</f>
        <v>2.0771099999999998</v>
      </c>
      <c r="J64" s="606"/>
    </row>
    <row r="65" spans="1:11" ht="20.25" customHeight="1">
      <c r="A65" s="602"/>
      <c r="B65" s="607" t="s">
        <v>935</v>
      </c>
      <c r="C65" s="602">
        <v>-1</v>
      </c>
      <c r="D65" s="602" t="s">
        <v>28</v>
      </c>
      <c r="E65" s="602">
        <v>2</v>
      </c>
      <c r="F65" s="605" t="s">
        <v>897</v>
      </c>
      <c r="G65" s="604" t="s">
        <v>936</v>
      </c>
      <c r="H65" s="605">
        <v>0.15</v>
      </c>
      <c r="I65" s="604">
        <f>-2*0.785*0.6*0.6*0.15</f>
        <v>-8.477999999999998E-2</v>
      </c>
      <c r="J65" s="606"/>
    </row>
    <row r="66" spans="1:11" ht="20.25" customHeight="1">
      <c r="A66" s="602"/>
      <c r="B66" s="607"/>
      <c r="C66" s="602"/>
      <c r="D66" s="602"/>
      <c r="E66" s="602"/>
      <c r="F66" s="604"/>
      <c r="G66" s="604"/>
      <c r="H66" s="605" t="s">
        <v>34</v>
      </c>
      <c r="I66" s="604">
        <f>SUM(I62:I65)</f>
        <v>14.81138</v>
      </c>
      <c r="J66" s="606"/>
    </row>
    <row r="67" spans="1:11" ht="20.25" customHeight="1">
      <c r="A67" s="602"/>
      <c r="B67" s="607"/>
      <c r="C67" s="602"/>
      <c r="D67" s="602"/>
      <c r="E67" s="602"/>
      <c r="F67" s="604"/>
      <c r="G67" s="604"/>
      <c r="H67" s="613" t="s">
        <v>491</v>
      </c>
      <c r="I67" s="610">
        <v>14.85</v>
      </c>
      <c r="J67" s="611" t="s">
        <v>642</v>
      </c>
      <c r="K67" s="616">
        <f>I67+I70</f>
        <v>17.100000000000001</v>
      </c>
    </row>
    <row r="68" spans="1:11" ht="20.25" customHeight="1">
      <c r="A68" s="602"/>
      <c r="B68" s="607" t="s">
        <v>905</v>
      </c>
      <c r="C68" s="602"/>
      <c r="D68" s="602"/>
      <c r="E68" s="602"/>
      <c r="F68" s="604"/>
      <c r="G68" s="604"/>
      <c r="H68" s="605"/>
      <c r="I68" s="604"/>
      <c r="J68" s="606"/>
    </row>
    <row r="69" spans="1:11" ht="20.25" customHeight="1">
      <c r="A69" s="602"/>
      <c r="B69" s="607" t="s">
        <v>937</v>
      </c>
      <c r="C69" s="602">
        <v>1</v>
      </c>
      <c r="D69" s="602" t="s">
        <v>28</v>
      </c>
      <c r="E69" s="602">
        <v>2</v>
      </c>
      <c r="F69" s="604">
        <v>2.93</v>
      </c>
      <c r="G69" s="605">
        <v>3.0449999999999999</v>
      </c>
      <c r="H69" s="605">
        <v>0.125</v>
      </c>
      <c r="I69" s="604">
        <f>C69*E69*F69*G69*H69</f>
        <v>2.2304625000000002</v>
      </c>
      <c r="J69" s="606"/>
    </row>
    <row r="70" spans="1:11" ht="20.25" customHeight="1">
      <c r="A70" s="602"/>
      <c r="B70" s="607"/>
      <c r="C70" s="602"/>
      <c r="D70" s="602"/>
      <c r="E70" s="602"/>
      <c r="F70" s="604"/>
      <c r="G70" s="604"/>
      <c r="H70" s="613" t="s">
        <v>25</v>
      </c>
      <c r="I70" s="610">
        <v>2.25</v>
      </c>
      <c r="J70" s="611" t="s">
        <v>638</v>
      </c>
    </row>
    <row r="71" spans="1:11" ht="20.25" customHeight="1">
      <c r="A71" s="602"/>
      <c r="B71" s="607"/>
      <c r="C71" s="602"/>
      <c r="D71" s="602"/>
      <c r="E71" s="602"/>
      <c r="F71" s="604"/>
      <c r="G71" s="604"/>
      <c r="H71" s="605"/>
      <c r="I71" s="604"/>
      <c r="J71" s="606"/>
    </row>
    <row r="72" spans="1:11" ht="20.25" customHeight="1">
      <c r="A72" s="602">
        <v>12</v>
      </c>
      <c r="B72" s="617" t="s">
        <v>938</v>
      </c>
      <c r="C72" s="602"/>
      <c r="D72" s="602"/>
      <c r="E72" s="602"/>
      <c r="F72" s="604"/>
      <c r="G72" s="604"/>
      <c r="H72" s="605"/>
      <c r="I72" s="604"/>
      <c r="J72" s="606"/>
    </row>
    <row r="73" spans="1:11" ht="56.25" customHeight="1">
      <c r="A73" s="602"/>
      <c r="B73" s="603" t="s">
        <v>939</v>
      </c>
      <c r="C73" s="602"/>
      <c r="D73" s="602"/>
      <c r="E73" s="602"/>
      <c r="F73" s="604"/>
      <c r="G73" s="604"/>
      <c r="H73" s="605"/>
      <c r="I73" s="604"/>
      <c r="J73" s="606"/>
    </row>
    <row r="74" spans="1:11" ht="20.25" customHeight="1">
      <c r="A74" s="602"/>
      <c r="B74" s="607" t="s">
        <v>937</v>
      </c>
      <c r="C74" s="602">
        <v>1</v>
      </c>
      <c r="D74" s="602" t="s">
        <v>28</v>
      </c>
      <c r="E74" s="602">
        <v>2</v>
      </c>
      <c r="F74" s="604">
        <v>2.4</v>
      </c>
      <c r="G74" s="604">
        <v>2.1</v>
      </c>
      <c r="H74" s="605"/>
      <c r="I74" s="604">
        <f>C74*E74*F74*G74</f>
        <v>10.08</v>
      </c>
      <c r="J74" s="606"/>
    </row>
    <row r="75" spans="1:11" ht="20.25" customHeight="1">
      <c r="A75" s="602"/>
      <c r="B75" s="607" t="s">
        <v>940</v>
      </c>
      <c r="C75" s="602">
        <v>1</v>
      </c>
      <c r="D75" s="602" t="s">
        <v>28</v>
      </c>
      <c r="E75" s="602">
        <v>2</v>
      </c>
      <c r="F75" s="604">
        <v>2.93</v>
      </c>
      <c r="G75" s="604">
        <v>0.45</v>
      </c>
      <c r="H75" s="605"/>
      <c r="I75" s="604">
        <f>C75*E75*F75*G75</f>
        <v>2.637</v>
      </c>
      <c r="J75" s="606"/>
    </row>
    <row r="76" spans="1:11" ht="20.25" customHeight="1">
      <c r="A76" s="602"/>
      <c r="B76" s="607" t="s">
        <v>941</v>
      </c>
      <c r="C76" s="602">
        <v>1</v>
      </c>
      <c r="D76" s="602" t="s">
        <v>28</v>
      </c>
      <c r="E76" s="602">
        <v>2</v>
      </c>
      <c r="F76" s="604">
        <v>8.42</v>
      </c>
      <c r="G76" s="604">
        <v>0.15</v>
      </c>
      <c r="H76" s="605"/>
      <c r="I76" s="604">
        <f>C76*E76*F76*G76</f>
        <v>2.5259999999999998</v>
      </c>
      <c r="J76" s="606"/>
    </row>
    <row r="77" spans="1:11" ht="20.25" customHeight="1">
      <c r="A77" s="602"/>
      <c r="B77" s="607" t="s">
        <v>942</v>
      </c>
      <c r="C77" s="602">
        <v>1</v>
      </c>
      <c r="D77" s="602" t="s">
        <v>28</v>
      </c>
      <c r="E77" s="602">
        <v>2</v>
      </c>
      <c r="F77" s="604">
        <v>11.95</v>
      </c>
      <c r="G77" s="604"/>
      <c r="H77" s="605">
        <v>0.125</v>
      </c>
      <c r="I77" s="604">
        <f>C77*E77*F77*H77</f>
        <v>2.9874999999999998</v>
      </c>
      <c r="J77" s="606"/>
    </row>
    <row r="78" spans="1:11" ht="20.25" customHeight="1">
      <c r="A78" s="602"/>
      <c r="B78" s="617"/>
      <c r="C78" s="602"/>
      <c r="D78" s="602"/>
      <c r="E78" s="602"/>
      <c r="F78" s="604"/>
      <c r="G78" s="604"/>
      <c r="H78" s="605" t="s">
        <v>34</v>
      </c>
      <c r="I78" s="604">
        <f>SUM(I74:I77)</f>
        <v>18.230499999999999</v>
      </c>
      <c r="J78" s="606"/>
    </row>
    <row r="79" spans="1:11" ht="20.25" customHeight="1">
      <c r="A79" s="602"/>
      <c r="B79" s="617"/>
      <c r="C79" s="602"/>
      <c r="D79" s="602"/>
      <c r="E79" s="602"/>
      <c r="F79" s="604"/>
      <c r="G79" s="604"/>
      <c r="H79" s="613" t="s">
        <v>491</v>
      </c>
      <c r="I79" s="610">
        <v>18.25</v>
      </c>
      <c r="J79" s="611" t="s">
        <v>289</v>
      </c>
    </row>
    <row r="80" spans="1:11" ht="15" customHeight="1">
      <c r="A80" s="602"/>
      <c r="B80" s="603" t="s">
        <v>943</v>
      </c>
      <c r="C80" s="602"/>
      <c r="D80" s="602"/>
      <c r="E80" s="602"/>
      <c r="F80" s="604"/>
      <c r="G80" s="604"/>
      <c r="H80" s="605"/>
      <c r="I80" s="604"/>
      <c r="J80" s="606"/>
    </row>
    <row r="81" spans="1:10" ht="20.25" customHeight="1">
      <c r="A81" s="602"/>
      <c r="B81" s="607" t="s">
        <v>944</v>
      </c>
      <c r="C81" s="602">
        <v>1</v>
      </c>
      <c r="D81" s="602" t="s">
        <v>28</v>
      </c>
      <c r="E81" s="602">
        <v>1</v>
      </c>
      <c r="F81" s="618" t="s">
        <v>945</v>
      </c>
      <c r="G81" s="604"/>
      <c r="H81" s="605">
        <v>0.25</v>
      </c>
      <c r="I81" s="604">
        <f>3.14*5*0.25</f>
        <v>3.9250000000000003</v>
      </c>
      <c r="J81" s="606"/>
    </row>
    <row r="82" spans="1:10" ht="20.25" customHeight="1">
      <c r="A82" s="602"/>
      <c r="B82" s="607" t="s">
        <v>921</v>
      </c>
      <c r="C82" s="602">
        <v>1</v>
      </c>
      <c r="D82" s="602" t="s">
        <v>28</v>
      </c>
      <c r="E82" s="602">
        <v>1</v>
      </c>
      <c r="F82" s="604" t="s">
        <v>922</v>
      </c>
      <c r="G82" s="604"/>
      <c r="H82" s="605">
        <v>3</v>
      </c>
      <c r="I82" s="604">
        <f>3.14*4.4*3</f>
        <v>41.448000000000008</v>
      </c>
      <c r="J82" s="606"/>
    </row>
    <row r="83" spans="1:10" ht="20.25" customHeight="1">
      <c r="A83" s="602"/>
      <c r="B83" s="607" t="s">
        <v>909</v>
      </c>
      <c r="C83" s="602">
        <v>1</v>
      </c>
      <c r="D83" s="602" t="s">
        <v>28</v>
      </c>
      <c r="E83" s="602">
        <v>1</v>
      </c>
      <c r="F83" s="604" t="s">
        <v>910</v>
      </c>
      <c r="G83" s="604"/>
      <c r="H83" s="605">
        <v>3</v>
      </c>
      <c r="I83" s="604">
        <f>3.14*4*3</f>
        <v>37.68</v>
      </c>
      <c r="J83" s="606"/>
    </row>
    <row r="84" spans="1:10" ht="20.25" customHeight="1">
      <c r="A84" s="602"/>
      <c r="B84" s="607" t="s">
        <v>946</v>
      </c>
      <c r="C84" s="602">
        <v>1</v>
      </c>
      <c r="D84" s="602" t="s">
        <v>28</v>
      </c>
      <c r="E84" s="602">
        <v>1</v>
      </c>
      <c r="F84" s="604" t="s">
        <v>912</v>
      </c>
      <c r="G84" s="604" t="s">
        <v>913</v>
      </c>
      <c r="H84" s="605"/>
      <c r="I84" s="604">
        <f>3.14/4*4*4</f>
        <v>12.56</v>
      </c>
      <c r="J84" s="606"/>
    </row>
    <row r="85" spans="1:10" ht="20.25" customHeight="1">
      <c r="A85" s="602"/>
      <c r="B85" s="607" t="s">
        <v>947</v>
      </c>
      <c r="C85" s="602">
        <v>-1</v>
      </c>
      <c r="D85" s="602" t="s">
        <v>28</v>
      </c>
      <c r="E85" s="602">
        <v>2</v>
      </c>
      <c r="F85" s="604" t="s">
        <v>897</v>
      </c>
      <c r="G85" s="604" t="s">
        <v>948</v>
      </c>
      <c r="H85" s="605"/>
      <c r="I85" s="604">
        <f>-2*3.14/4*0.6*0.6</f>
        <v>-0.56519999999999992</v>
      </c>
      <c r="J85" s="606"/>
    </row>
    <row r="86" spans="1:10" ht="20.25" customHeight="1">
      <c r="A86" s="602"/>
      <c r="B86" s="607" t="s">
        <v>949</v>
      </c>
      <c r="C86" s="602">
        <v>1</v>
      </c>
      <c r="D86" s="602" t="s">
        <v>28</v>
      </c>
      <c r="E86" s="602">
        <v>2</v>
      </c>
      <c r="F86" s="604">
        <v>2.4</v>
      </c>
      <c r="G86" s="604"/>
      <c r="H86" s="605">
        <v>0.15</v>
      </c>
      <c r="I86" s="604">
        <f>PRODUCT(C86:H86)</f>
        <v>0.72</v>
      </c>
      <c r="J86" s="606"/>
    </row>
    <row r="87" spans="1:10" ht="20.25" customHeight="1">
      <c r="A87" s="602"/>
      <c r="B87" s="607" t="s">
        <v>950</v>
      </c>
      <c r="C87" s="602">
        <v>1</v>
      </c>
      <c r="D87" s="602" t="s">
        <v>28</v>
      </c>
      <c r="E87" s="602">
        <v>1</v>
      </c>
      <c r="F87" s="604">
        <v>3.14</v>
      </c>
      <c r="G87" s="604">
        <v>4.4000000000000004</v>
      </c>
      <c r="H87" s="605">
        <v>0.15</v>
      </c>
      <c r="I87" s="604">
        <f>3.14*4.4*0.15</f>
        <v>2.0724000000000005</v>
      </c>
      <c r="J87" s="606"/>
    </row>
    <row r="88" spans="1:10" ht="20.25" customHeight="1">
      <c r="A88" s="602"/>
      <c r="B88" s="607"/>
      <c r="C88" s="602"/>
      <c r="D88" s="602"/>
      <c r="E88" s="602"/>
      <c r="F88" s="604"/>
      <c r="G88" s="604"/>
      <c r="H88" s="605" t="s">
        <v>211</v>
      </c>
      <c r="I88" s="604">
        <f>SUM(I81:I87)</f>
        <v>97.840199999999996</v>
      </c>
      <c r="J88" s="606"/>
    </row>
    <row r="89" spans="1:10" ht="20.25" customHeight="1">
      <c r="A89" s="602"/>
      <c r="B89" s="607"/>
      <c r="C89" s="602"/>
      <c r="D89" s="602"/>
      <c r="E89" s="602"/>
      <c r="F89" s="604"/>
      <c r="G89" s="604"/>
      <c r="H89" s="613" t="s">
        <v>491</v>
      </c>
      <c r="I89" s="610">
        <v>97.85</v>
      </c>
      <c r="J89" s="611" t="s">
        <v>289</v>
      </c>
    </row>
    <row r="90" spans="1:10" ht="20.25" customHeight="1">
      <c r="A90" s="602"/>
      <c r="B90" s="607"/>
      <c r="C90" s="602"/>
      <c r="D90" s="602"/>
      <c r="E90" s="602"/>
      <c r="F90" s="604"/>
      <c r="G90" s="604"/>
      <c r="H90" s="605"/>
      <c r="I90" s="604"/>
      <c r="J90" s="606"/>
    </row>
    <row r="91" spans="1:10" ht="27.75" customHeight="1">
      <c r="A91" s="602">
        <v>13</v>
      </c>
      <c r="B91" s="603" t="s">
        <v>951</v>
      </c>
      <c r="C91" s="602"/>
      <c r="D91" s="602"/>
      <c r="E91" s="602"/>
      <c r="F91" s="604"/>
      <c r="G91" s="604"/>
      <c r="H91" s="605"/>
      <c r="I91" s="604"/>
      <c r="J91" s="606"/>
    </row>
    <row r="92" spans="1:10" ht="20.25" customHeight="1">
      <c r="A92" s="602"/>
      <c r="B92" s="607" t="s">
        <v>918</v>
      </c>
      <c r="C92" s="602">
        <v>1</v>
      </c>
      <c r="D92" s="602" t="s">
        <v>28</v>
      </c>
      <c r="E92" s="602">
        <v>2</v>
      </c>
      <c r="F92" s="604">
        <v>9</v>
      </c>
      <c r="G92" s="604"/>
      <c r="H92" s="605">
        <v>2.08</v>
      </c>
      <c r="I92" s="604">
        <f>C92*E92*F92*H92</f>
        <v>37.44</v>
      </c>
      <c r="J92" s="606"/>
    </row>
    <row r="93" spans="1:10" ht="20.25" customHeight="1">
      <c r="A93" s="602"/>
      <c r="B93" s="607" t="s">
        <v>903</v>
      </c>
      <c r="C93" s="602">
        <v>-1</v>
      </c>
      <c r="D93" s="602" t="s">
        <v>28</v>
      </c>
      <c r="E93" s="602">
        <v>2</v>
      </c>
      <c r="F93" s="604">
        <v>0.9</v>
      </c>
      <c r="G93" s="604"/>
      <c r="H93" s="605">
        <v>2.1</v>
      </c>
      <c r="I93" s="604">
        <f>C93*E93*F93*H93</f>
        <v>-3.7800000000000002</v>
      </c>
      <c r="J93" s="606"/>
    </row>
    <row r="94" spans="1:10" ht="20.25" customHeight="1">
      <c r="A94" s="602"/>
      <c r="B94" s="607" t="s">
        <v>907</v>
      </c>
      <c r="C94" s="602">
        <v>2</v>
      </c>
      <c r="D94" s="602" t="s">
        <v>28</v>
      </c>
      <c r="E94" s="602">
        <v>2</v>
      </c>
      <c r="F94" s="604">
        <v>0.23</v>
      </c>
      <c r="G94" s="604"/>
      <c r="H94" s="605">
        <v>2</v>
      </c>
      <c r="I94" s="604">
        <f>C94*E94*F94*H94</f>
        <v>1.84</v>
      </c>
      <c r="J94" s="606"/>
    </row>
    <row r="95" spans="1:10" ht="20.25" customHeight="1">
      <c r="A95" s="602"/>
      <c r="B95" s="607"/>
      <c r="C95" s="602"/>
      <c r="D95" s="602"/>
      <c r="E95" s="602"/>
      <c r="F95" s="604"/>
      <c r="G95" s="604"/>
      <c r="H95" s="605" t="s">
        <v>34</v>
      </c>
      <c r="I95" s="604">
        <f>SUM(I92:I94)</f>
        <v>35.5</v>
      </c>
      <c r="J95" s="606"/>
    </row>
    <row r="96" spans="1:10" ht="20.25" customHeight="1">
      <c r="A96" s="602"/>
      <c r="B96" s="607"/>
      <c r="C96" s="602"/>
      <c r="D96" s="602"/>
      <c r="E96" s="602"/>
      <c r="F96" s="604"/>
      <c r="G96" s="604"/>
      <c r="H96" s="613" t="s">
        <v>25</v>
      </c>
      <c r="I96" s="610">
        <v>35.5</v>
      </c>
      <c r="J96" s="611" t="s">
        <v>247</v>
      </c>
    </row>
    <row r="97" spans="1:10" ht="20.25" customHeight="1">
      <c r="A97" s="602"/>
      <c r="B97" s="607"/>
      <c r="C97" s="602"/>
      <c r="D97" s="602"/>
      <c r="E97" s="602"/>
      <c r="F97" s="604"/>
      <c r="G97" s="604"/>
      <c r="H97" s="605"/>
      <c r="I97" s="604"/>
      <c r="J97" s="606"/>
    </row>
    <row r="98" spans="1:10" ht="30.75" customHeight="1">
      <c r="A98" s="602">
        <v>14</v>
      </c>
      <c r="B98" s="603" t="s">
        <v>952</v>
      </c>
      <c r="C98" s="602"/>
      <c r="D98" s="602"/>
      <c r="E98" s="602"/>
      <c r="F98" s="604"/>
      <c r="G98" s="604"/>
      <c r="H98" s="605"/>
      <c r="I98" s="604"/>
      <c r="J98" s="606"/>
    </row>
    <row r="99" spans="1:10" ht="20.25" customHeight="1">
      <c r="A99" s="602"/>
      <c r="B99" s="607" t="s">
        <v>953</v>
      </c>
      <c r="C99" s="602">
        <v>1</v>
      </c>
      <c r="D99" s="602" t="s">
        <v>28</v>
      </c>
      <c r="E99" s="602">
        <v>2</v>
      </c>
      <c r="F99" s="604">
        <v>10.15</v>
      </c>
      <c r="G99" s="604"/>
      <c r="H99" s="605">
        <v>2.15</v>
      </c>
      <c r="I99" s="604">
        <f>C99*E99*F99*H99</f>
        <v>43.645000000000003</v>
      </c>
      <c r="J99" s="606"/>
    </row>
    <row r="100" spans="1:10" ht="20.25" customHeight="1">
      <c r="A100" s="602"/>
      <c r="B100" s="607" t="s">
        <v>903</v>
      </c>
      <c r="C100" s="602">
        <v>-1</v>
      </c>
      <c r="D100" s="602" t="s">
        <v>28</v>
      </c>
      <c r="E100" s="602">
        <v>2</v>
      </c>
      <c r="F100" s="604">
        <v>0.9</v>
      </c>
      <c r="G100" s="604"/>
      <c r="H100" s="605">
        <v>2.1</v>
      </c>
      <c r="I100" s="604">
        <f>C100*E100*F100*H100</f>
        <v>-3.7800000000000002</v>
      </c>
      <c r="J100" s="606"/>
    </row>
    <row r="101" spans="1:10" ht="20.25" customHeight="1">
      <c r="A101" s="602"/>
      <c r="B101" s="607" t="s">
        <v>920</v>
      </c>
      <c r="C101" s="602">
        <v>1</v>
      </c>
      <c r="D101" s="602" t="s">
        <v>28</v>
      </c>
      <c r="E101" s="602">
        <v>2</v>
      </c>
      <c r="F101" s="604">
        <v>5.0999999999999996</v>
      </c>
      <c r="G101" s="604">
        <v>0.23</v>
      </c>
      <c r="H101" s="605"/>
      <c r="I101" s="604">
        <f>C101*E101*F101*G101</f>
        <v>2.3460000000000001</v>
      </c>
      <c r="J101" s="606"/>
    </row>
    <row r="102" spans="1:10" ht="20.25" customHeight="1">
      <c r="A102" s="602"/>
      <c r="B102" s="607" t="s">
        <v>924</v>
      </c>
      <c r="C102" s="602">
        <v>1</v>
      </c>
      <c r="D102" s="602" t="s">
        <v>28</v>
      </c>
      <c r="E102" s="602">
        <v>2</v>
      </c>
      <c r="F102" s="604">
        <v>2.93</v>
      </c>
      <c r="G102" s="604">
        <v>0.45</v>
      </c>
      <c r="H102" s="605"/>
      <c r="I102" s="604">
        <f>C102*E102*F102*G102</f>
        <v>2.637</v>
      </c>
      <c r="J102" s="606"/>
    </row>
    <row r="103" spans="1:10" ht="20.25" customHeight="1">
      <c r="A103" s="602"/>
      <c r="B103" s="607" t="s">
        <v>925</v>
      </c>
      <c r="C103" s="602">
        <v>1</v>
      </c>
      <c r="D103" s="602" t="s">
        <v>28</v>
      </c>
      <c r="E103" s="602">
        <v>2</v>
      </c>
      <c r="F103" s="604">
        <v>8.42</v>
      </c>
      <c r="G103" s="604">
        <v>0.15</v>
      </c>
      <c r="H103" s="605"/>
      <c r="I103" s="604">
        <f>C103*E103*F103*G103</f>
        <v>2.5259999999999998</v>
      </c>
      <c r="J103" s="606"/>
    </row>
    <row r="104" spans="1:10" ht="20.25" customHeight="1">
      <c r="A104" s="602"/>
      <c r="B104" s="607"/>
      <c r="C104" s="602"/>
      <c r="D104" s="602"/>
      <c r="E104" s="602"/>
      <c r="F104" s="604"/>
      <c r="G104" s="604"/>
      <c r="H104" s="605" t="s">
        <v>34</v>
      </c>
      <c r="I104" s="604">
        <f>SUM(I99:I103)</f>
        <v>47.373999999999995</v>
      </c>
      <c r="J104" s="606"/>
    </row>
    <row r="105" spans="1:10" ht="20.25" customHeight="1">
      <c r="A105" s="602"/>
      <c r="B105" s="607"/>
      <c r="C105" s="602"/>
      <c r="D105" s="602"/>
      <c r="E105" s="602"/>
      <c r="F105" s="604"/>
      <c r="G105" s="604"/>
      <c r="H105" s="613" t="s">
        <v>25</v>
      </c>
      <c r="I105" s="610">
        <v>47.4</v>
      </c>
      <c r="J105" s="611" t="s">
        <v>247</v>
      </c>
    </row>
    <row r="106" spans="1:10" ht="20.25" customHeight="1">
      <c r="A106" s="602"/>
      <c r="B106" s="607"/>
      <c r="C106" s="602"/>
      <c r="D106" s="602"/>
      <c r="E106" s="602"/>
      <c r="F106" s="604"/>
      <c r="G106" s="604"/>
      <c r="H106" s="605"/>
      <c r="I106" s="604"/>
      <c r="J106" s="606"/>
    </row>
    <row r="107" spans="1:10" ht="42.75" customHeight="1">
      <c r="A107" s="602">
        <v>15</v>
      </c>
      <c r="B107" s="619" t="s">
        <v>954</v>
      </c>
      <c r="C107" s="602"/>
      <c r="D107" s="602"/>
      <c r="E107" s="602"/>
      <c r="F107" s="604"/>
      <c r="G107" s="604"/>
      <c r="H107" s="605"/>
      <c r="I107" s="604"/>
      <c r="J107" s="606"/>
    </row>
    <row r="108" spans="1:10" ht="27" customHeight="1">
      <c r="A108" s="602"/>
      <c r="B108" s="607" t="s">
        <v>955</v>
      </c>
      <c r="C108" s="602">
        <v>1</v>
      </c>
      <c r="D108" s="602" t="s">
        <v>28</v>
      </c>
      <c r="E108" s="602">
        <v>1</v>
      </c>
      <c r="F108" s="620" t="s">
        <v>956</v>
      </c>
      <c r="G108" s="604"/>
      <c r="H108" s="605"/>
      <c r="I108" s="604">
        <f>17.1*110</f>
        <v>1881.0000000000002</v>
      </c>
      <c r="J108" s="606" t="s">
        <v>305</v>
      </c>
    </row>
    <row r="109" spans="1:10" ht="20.25" customHeight="1">
      <c r="A109" s="602"/>
      <c r="B109" s="607"/>
      <c r="C109" s="602"/>
      <c r="D109" s="602"/>
      <c r="E109" s="602"/>
      <c r="F109" s="604"/>
      <c r="G109" s="604"/>
      <c r="H109" s="605" t="s">
        <v>34</v>
      </c>
      <c r="I109" s="604">
        <f>I108/1000</f>
        <v>1.8810000000000002</v>
      </c>
      <c r="J109" s="606" t="s">
        <v>869</v>
      </c>
    </row>
    <row r="110" spans="1:10" ht="20.25" customHeight="1">
      <c r="A110" s="602"/>
      <c r="B110" s="607"/>
      <c r="C110" s="602"/>
      <c r="D110" s="602"/>
      <c r="E110" s="602"/>
      <c r="F110" s="604"/>
      <c r="G110" s="604"/>
      <c r="H110" s="613" t="s">
        <v>199</v>
      </c>
      <c r="I110" s="610">
        <v>1.9</v>
      </c>
      <c r="J110" s="611" t="s">
        <v>869</v>
      </c>
    </row>
    <row r="111" spans="1:10" ht="20.25" customHeight="1">
      <c r="A111" s="602"/>
      <c r="B111" s="607"/>
      <c r="C111" s="602"/>
      <c r="D111" s="602"/>
      <c r="E111" s="602"/>
      <c r="F111" s="604"/>
      <c r="G111" s="604"/>
      <c r="H111" s="605"/>
      <c r="I111" s="604"/>
      <c r="J111" s="606"/>
    </row>
    <row r="112" spans="1:10" ht="16.5" customHeight="1">
      <c r="A112" s="602">
        <v>16</v>
      </c>
      <c r="B112" s="603" t="s">
        <v>957</v>
      </c>
      <c r="C112" s="602"/>
      <c r="D112" s="602"/>
      <c r="E112" s="602"/>
      <c r="F112" s="604"/>
      <c r="G112" s="604"/>
      <c r="H112" s="605"/>
      <c r="I112" s="604"/>
      <c r="J112" s="606"/>
    </row>
    <row r="113" spans="1:10" ht="20.25" customHeight="1">
      <c r="A113" s="602"/>
      <c r="B113" s="607" t="s">
        <v>958</v>
      </c>
      <c r="C113" s="602">
        <v>2</v>
      </c>
      <c r="D113" s="602" t="s">
        <v>28</v>
      </c>
      <c r="E113" s="602">
        <v>7</v>
      </c>
      <c r="F113" s="604"/>
      <c r="G113" s="604"/>
      <c r="H113" s="605"/>
      <c r="I113" s="610">
        <f>PRODUCT(C113:H113)</f>
        <v>14</v>
      </c>
      <c r="J113" s="611" t="s">
        <v>2</v>
      </c>
    </row>
    <row r="114" spans="1:10" ht="20.25" customHeight="1">
      <c r="A114" s="602"/>
      <c r="B114" s="607"/>
      <c r="C114" s="602"/>
      <c r="D114" s="602"/>
      <c r="E114" s="602"/>
      <c r="F114" s="604"/>
      <c r="G114" s="604"/>
      <c r="H114" s="605"/>
      <c r="I114" s="604"/>
      <c r="J114" s="606"/>
    </row>
    <row r="115" spans="1:10" ht="24" customHeight="1">
      <c r="A115" s="602">
        <v>17</v>
      </c>
      <c r="B115" s="621" t="s">
        <v>959</v>
      </c>
      <c r="C115" s="602"/>
      <c r="D115" s="602"/>
      <c r="E115" s="602"/>
      <c r="F115" s="604"/>
      <c r="G115" s="604"/>
      <c r="H115" s="605"/>
      <c r="I115" s="604"/>
      <c r="J115" s="606"/>
    </row>
    <row r="116" spans="1:10" ht="20.25" customHeight="1">
      <c r="A116" s="602"/>
      <c r="B116" s="607" t="s">
        <v>958</v>
      </c>
      <c r="C116" s="602">
        <v>1</v>
      </c>
      <c r="D116" s="602" t="s">
        <v>28</v>
      </c>
      <c r="E116" s="602">
        <v>2</v>
      </c>
      <c r="F116" s="604"/>
      <c r="G116" s="604"/>
      <c r="H116" s="605"/>
      <c r="I116" s="610">
        <f>PRODUCT(C116:H116)</f>
        <v>2</v>
      </c>
      <c r="J116" s="611" t="s">
        <v>37</v>
      </c>
    </row>
    <row r="117" spans="1:10" ht="20.25" customHeight="1">
      <c r="A117" s="602"/>
      <c r="B117" s="607"/>
      <c r="C117" s="602"/>
      <c r="D117" s="602"/>
      <c r="E117" s="602"/>
      <c r="F117" s="604"/>
      <c r="G117" s="604"/>
      <c r="H117" s="605"/>
      <c r="I117" s="604"/>
      <c r="J117" s="606"/>
    </row>
    <row r="118" spans="1:10" ht="15" customHeight="1">
      <c r="A118" s="602">
        <v>18</v>
      </c>
      <c r="B118" s="621" t="s">
        <v>960</v>
      </c>
      <c r="C118" s="602"/>
      <c r="D118" s="602"/>
      <c r="E118" s="602"/>
      <c r="F118" s="604"/>
      <c r="G118" s="604"/>
      <c r="H118" s="605"/>
      <c r="I118" s="604"/>
      <c r="J118" s="606"/>
    </row>
    <row r="119" spans="1:10" ht="20.25" customHeight="1">
      <c r="A119" s="602"/>
      <c r="B119" s="607" t="s">
        <v>961</v>
      </c>
      <c r="C119" s="602">
        <v>1</v>
      </c>
      <c r="D119" s="602" t="s">
        <v>28</v>
      </c>
      <c r="E119" s="602">
        <v>1</v>
      </c>
      <c r="F119" s="604">
        <v>20</v>
      </c>
      <c r="G119" s="604">
        <v>0.15</v>
      </c>
      <c r="H119" s="605">
        <v>0.25</v>
      </c>
      <c r="I119" s="604">
        <f>PRODUCT(C119:H119)</f>
        <v>0.75</v>
      </c>
      <c r="J119" s="606"/>
    </row>
    <row r="120" spans="1:10" ht="20.25" customHeight="1">
      <c r="A120" s="602"/>
      <c r="B120" s="607" t="s">
        <v>961</v>
      </c>
      <c r="C120" s="602">
        <v>1</v>
      </c>
      <c r="D120" s="602" t="s">
        <v>28</v>
      </c>
      <c r="E120" s="602">
        <v>1</v>
      </c>
      <c r="F120" s="604">
        <v>17.600000000000001</v>
      </c>
      <c r="G120" s="604">
        <v>0.45</v>
      </c>
      <c r="H120" s="605">
        <v>2.2000000000000002</v>
      </c>
      <c r="I120" s="604">
        <f>PRODUCT(C120:H120)</f>
        <v>17.424000000000003</v>
      </c>
      <c r="J120" s="606"/>
    </row>
    <row r="121" spans="1:10" ht="20.25" customHeight="1">
      <c r="A121" s="602"/>
      <c r="B121" s="607"/>
      <c r="C121" s="602"/>
      <c r="D121" s="602"/>
      <c r="E121" s="602"/>
      <c r="F121" s="604"/>
      <c r="G121" s="604"/>
      <c r="H121" s="605" t="s">
        <v>34</v>
      </c>
      <c r="I121" s="604">
        <f>SUM(I119:I120)</f>
        <v>18.174000000000003</v>
      </c>
      <c r="J121" s="606"/>
    </row>
    <row r="122" spans="1:10" ht="20.25" customHeight="1">
      <c r="A122" s="602"/>
      <c r="B122" s="607"/>
      <c r="C122" s="602"/>
      <c r="D122" s="602"/>
      <c r="E122" s="602"/>
      <c r="F122" s="604"/>
      <c r="G122" s="604"/>
      <c r="H122" s="613" t="s">
        <v>491</v>
      </c>
      <c r="I122" s="610">
        <v>18.2</v>
      </c>
      <c r="J122" s="611" t="s">
        <v>642</v>
      </c>
    </row>
    <row r="123" spans="1:10" ht="20.25" customHeight="1">
      <c r="A123" s="602"/>
      <c r="B123" s="607"/>
      <c r="C123" s="602"/>
      <c r="D123" s="602"/>
      <c r="E123" s="602"/>
      <c r="F123" s="604"/>
      <c r="G123" s="604"/>
      <c r="H123" s="605"/>
      <c r="I123" s="604"/>
      <c r="J123" s="606"/>
    </row>
    <row r="124" spans="1:10" s="627" customFormat="1" ht="110.25" customHeight="1">
      <c r="A124" s="622">
        <v>19</v>
      </c>
      <c r="B124" s="623" t="s">
        <v>962</v>
      </c>
      <c r="C124" s="624"/>
      <c r="D124" s="624"/>
      <c r="E124" s="624"/>
      <c r="F124" s="624"/>
      <c r="G124" s="624"/>
      <c r="H124" s="624"/>
      <c r="I124" s="625"/>
      <c r="J124" s="626"/>
    </row>
    <row r="125" spans="1:10" s="627" customFormat="1" ht="20.25" customHeight="1">
      <c r="A125" s="628"/>
      <c r="B125" s="629" t="s">
        <v>963</v>
      </c>
      <c r="C125" s="624">
        <v>1</v>
      </c>
      <c r="D125" s="624" t="s">
        <v>14</v>
      </c>
      <c r="E125" s="624">
        <v>2</v>
      </c>
      <c r="F125" s="624"/>
      <c r="G125" s="624"/>
      <c r="H125" s="624"/>
      <c r="I125" s="625">
        <f>PRODUCT(C125:H125)</f>
        <v>2</v>
      </c>
      <c r="J125" s="626" t="s">
        <v>18</v>
      </c>
    </row>
    <row r="126" spans="1:10" s="627" customFormat="1" ht="20.25" customHeight="1">
      <c r="A126" s="622"/>
      <c r="B126" s="629"/>
      <c r="C126" s="624"/>
      <c r="D126" s="624"/>
      <c r="E126" s="624"/>
      <c r="F126" s="624"/>
      <c r="G126" s="624"/>
      <c r="H126" s="624"/>
      <c r="I126" s="625"/>
      <c r="J126" s="626"/>
    </row>
    <row r="127" spans="1:10" s="627" customFormat="1" ht="171.75" customHeight="1">
      <c r="A127" s="622">
        <v>20</v>
      </c>
      <c r="B127" s="623" t="s">
        <v>79</v>
      </c>
      <c r="C127" s="624"/>
      <c r="D127" s="624"/>
      <c r="E127" s="624"/>
      <c r="F127" s="624"/>
      <c r="G127" s="624"/>
      <c r="H127" s="624"/>
      <c r="I127" s="624"/>
      <c r="J127" s="626"/>
    </row>
    <row r="128" spans="1:10" s="627" customFormat="1" ht="20.25" customHeight="1">
      <c r="A128" s="622"/>
      <c r="B128" s="629" t="s">
        <v>964</v>
      </c>
      <c r="C128" s="624">
        <v>1</v>
      </c>
      <c r="D128" s="624" t="s">
        <v>14</v>
      </c>
      <c r="E128" s="624">
        <v>3</v>
      </c>
      <c r="F128" s="624"/>
      <c r="G128" s="624"/>
      <c r="H128" s="624"/>
      <c r="I128" s="625">
        <f>PRODUCT(C128:H128)</f>
        <v>3</v>
      </c>
      <c r="J128" s="626" t="s">
        <v>18</v>
      </c>
    </row>
    <row r="129" spans="1:10" ht="20.25" customHeight="1">
      <c r="A129" s="602"/>
      <c r="B129" s="607"/>
      <c r="C129" s="602"/>
      <c r="D129" s="602"/>
      <c r="E129" s="602"/>
      <c r="F129" s="604"/>
      <c r="G129" s="604"/>
      <c r="H129" s="605"/>
      <c r="I129" s="604"/>
      <c r="J129" s="606"/>
    </row>
    <row r="130" spans="1:10" ht="59.25" customHeight="1">
      <c r="A130" s="602">
        <v>21</v>
      </c>
      <c r="B130" s="623" t="s">
        <v>965</v>
      </c>
      <c r="C130" s="624">
        <v>1</v>
      </c>
      <c r="D130" s="624" t="s">
        <v>28</v>
      </c>
      <c r="E130" s="624">
        <v>3</v>
      </c>
      <c r="F130" s="624"/>
      <c r="G130" s="624"/>
      <c r="H130" s="624"/>
      <c r="I130" s="630">
        <f>PRODUCT(C130:H130)</f>
        <v>3</v>
      </c>
      <c r="J130" s="631" t="s">
        <v>18</v>
      </c>
    </row>
    <row r="131" spans="1:10" ht="20.25" customHeight="1">
      <c r="A131" s="602"/>
      <c r="B131" s="607"/>
      <c r="C131" s="602"/>
      <c r="D131" s="602"/>
      <c r="E131" s="602"/>
      <c r="F131" s="604"/>
      <c r="G131" s="604"/>
      <c r="H131" s="605"/>
      <c r="I131" s="604"/>
      <c r="J131" s="606"/>
    </row>
    <row r="132" spans="1:10" ht="52.5" customHeight="1">
      <c r="A132" s="602">
        <v>22</v>
      </c>
      <c r="B132" s="623" t="s">
        <v>966</v>
      </c>
      <c r="C132" s="624"/>
      <c r="D132" s="624"/>
      <c r="E132" s="624"/>
      <c r="F132" s="624"/>
      <c r="G132" s="624"/>
      <c r="H132" s="624"/>
      <c r="I132" s="624"/>
      <c r="J132" s="626"/>
    </row>
    <row r="133" spans="1:10" ht="20.25" customHeight="1">
      <c r="A133" s="602"/>
      <c r="B133" s="629" t="s">
        <v>967</v>
      </c>
      <c r="C133" s="624">
        <v>1</v>
      </c>
      <c r="D133" s="624" t="s">
        <v>28</v>
      </c>
      <c r="E133" s="624">
        <v>2</v>
      </c>
      <c r="F133" s="625">
        <v>35</v>
      </c>
      <c r="G133" s="624"/>
      <c r="H133" s="624"/>
      <c r="I133" s="625">
        <f>C133*E133*F133</f>
        <v>70</v>
      </c>
      <c r="J133" s="626"/>
    </row>
    <row r="134" spans="1:10" ht="20.25" customHeight="1">
      <c r="A134" s="602"/>
      <c r="B134" s="629" t="s">
        <v>968</v>
      </c>
      <c r="C134" s="624">
        <v>1</v>
      </c>
      <c r="D134" s="624" t="s">
        <v>28</v>
      </c>
      <c r="E134" s="624">
        <v>1</v>
      </c>
      <c r="F134" s="625">
        <v>25</v>
      </c>
      <c r="G134" s="624"/>
      <c r="H134" s="624"/>
      <c r="I134" s="625">
        <f>C134*E134*F134</f>
        <v>25</v>
      </c>
      <c r="J134" s="626"/>
    </row>
    <row r="135" spans="1:10" ht="20.25" customHeight="1">
      <c r="A135" s="602"/>
      <c r="B135" s="607"/>
      <c r="C135" s="602"/>
      <c r="D135" s="602"/>
      <c r="E135" s="602"/>
      <c r="F135" s="604"/>
      <c r="G135" s="604"/>
      <c r="H135" s="613" t="s">
        <v>34</v>
      </c>
      <c r="I135" s="632">
        <f>SUM(I133:I134)</f>
        <v>95</v>
      </c>
      <c r="J135" s="626" t="s">
        <v>15</v>
      </c>
    </row>
    <row r="136" spans="1:10" ht="115.5" customHeight="1">
      <c r="A136" s="602">
        <v>23</v>
      </c>
      <c r="B136" s="633" t="s">
        <v>969</v>
      </c>
      <c r="C136" s="602"/>
      <c r="D136" s="602"/>
      <c r="E136" s="602"/>
      <c r="F136" s="604"/>
      <c r="G136" s="604"/>
      <c r="H136" s="605"/>
      <c r="I136" s="604"/>
      <c r="J136" s="606"/>
    </row>
    <row r="137" spans="1:10" ht="20.25" customHeight="1">
      <c r="A137" s="602"/>
      <c r="B137" s="607" t="s">
        <v>958</v>
      </c>
      <c r="C137" s="602">
        <v>1</v>
      </c>
      <c r="D137" s="602" t="s">
        <v>28</v>
      </c>
      <c r="E137" s="602">
        <v>2</v>
      </c>
      <c r="F137" s="604">
        <v>3</v>
      </c>
      <c r="G137" s="604"/>
      <c r="H137" s="605"/>
      <c r="I137" s="604">
        <f>C137*E137*F137</f>
        <v>6</v>
      </c>
      <c r="J137" s="606" t="s">
        <v>15</v>
      </c>
    </row>
    <row r="138" spans="1:10" ht="20.25" customHeight="1">
      <c r="A138" s="602"/>
      <c r="B138" s="607"/>
      <c r="C138" s="602"/>
      <c r="D138" s="602"/>
      <c r="E138" s="602"/>
      <c r="F138" s="604"/>
      <c r="G138" s="604"/>
      <c r="H138" s="605"/>
      <c r="I138" s="604"/>
      <c r="J138" s="606"/>
    </row>
    <row r="139" spans="1:10" ht="66.75" customHeight="1">
      <c r="A139" s="602">
        <v>24</v>
      </c>
      <c r="B139" s="633" t="s">
        <v>970</v>
      </c>
      <c r="C139" s="602"/>
      <c r="D139" s="602"/>
      <c r="E139" s="602"/>
      <c r="F139" s="604"/>
      <c r="G139" s="604"/>
      <c r="H139" s="605"/>
      <c r="I139" s="604"/>
      <c r="J139" s="606"/>
    </row>
    <row r="140" spans="1:10" ht="20.25" customHeight="1">
      <c r="A140" s="602"/>
      <c r="B140" s="607" t="s">
        <v>83</v>
      </c>
      <c r="C140" s="602">
        <v>1</v>
      </c>
      <c r="D140" s="602" t="s">
        <v>28</v>
      </c>
      <c r="E140" s="602">
        <v>2</v>
      </c>
      <c r="F140" s="604">
        <v>0.9</v>
      </c>
      <c r="G140" s="604"/>
      <c r="H140" s="605">
        <v>2.1</v>
      </c>
      <c r="I140" s="604">
        <f>C140*E140*F140*H140</f>
        <v>3.7800000000000002</v>
      </c>
      <c r="J140" s="606"/>
    </row>
    <row r="141" spans="1:10" ht="20.25" customHeight="1">
      <c r="A141" s="602"/>
      <c r="B141" s="607" t="s">
        <v>971</v>
      </c>
      <c r="C141" s="602"/>
      <c r="D141" s="602"/>
      <c r="E141" s="602"/>
      <c r="F141" s="604"/>
      <c r="G141" s="604"/>
      <c r="H141" s="605" t="s">
        <v>34</v>
      </c>
      <c r="I141" s="604">
        <f>I140*35</f>
        <v>132.30000000000001</v>
      </c>
      <c r="J141" s="606"/>
    </row>
    <row r="142" spans="1:10" ht="20.25" customHeight="1">
      <c r="A142" s="602"/>
      <c r="B142" s="607"/>
      <c r="C142" s="602"/>
      <c r="D142" s="602"/>
      <c r="E142" s="602"/>
      <c r="F142" s="604"/>
      <c r="G142" s="604"/>
      <c r="H142" s="613" t="s">
        <v>491</v>
      </c>
      <c r="I142" s="610">
        <v>132.5</v>
      </c>
      <c r="J142" s="611" t="s">
        <v>281</v>
      </c>
    </row>
    <row r="143" spans="1:10" ht="64.5" customHeight="1">
      <c r="A143" s="602">
        <v>25</v>
      </c>
      <c r="B143" s="633" t="s">
        <v>972</v>
      </c>
      <c r="C143" s="602"/>
      <c r="D143" s="602"/>
      <c r="E143" s="602"/>
      <c r="F143" s="604"/>
      <c r="G143" s="604"/>
      <c r="H143" s="605"/>
      <c r="I143" s="604"/>
      <c r="J143" s="606"/>
    </row>
    <row r="144" spans="1:10" ht="20.25" customHeight="1">
      <c r="A144" s="602"/>
      <c r="B144" s="607" t="s">
        <v>83</v>
      </c>
      <c r="C144" s="602">
        <v>1</v>
      </c>
      <c r="D144" s="602" t="s">
        <v>28</v>
      </c>
      <c r="E144" s="602">
        <v>2</v>
      </c>
      <c r="F144" s="604">
        <v>0.9</v>
      </c>
      <c r="G144" s="604"/>
      <c r="H144" s="605">
        <v>2.1</v>
      </c>
      <c r="I144" s="604">
        <f>C144*E144*F144*H144</f>
        <v>3.7800000000000002</v>
      </c>
      <c r="J144" s="606"/>
    </row>
    <row r="145" spans="1:10" ht="20.25" customHeight="1">
      <c r="A145" s="602"/>
      <c r="B145" s="607"/>
      <c r="C145" s="602"/>
      <c r="D145" s="602"/>
      <c r="E145" s="602"/>
      <c r="F145" s="604"/>
      <c r="G145" s="604"/>
      <c r="H145" s="613" t="s">
        <v>25</v>
      </c>
      <c r="I145" s="610">
        <v>3.8</v>
      </c>
      <c r="J145" s="611" t="s">
        <v>247</v>
      </c>
    </row>
    <row r="146" spans="1:10" ht="109.5" customHeight="1">
      <c r="A146" s="602">
        <v>26</v>
      </c>
      <c r="B146" s="623" t="s">
        <v>973</v>
      </c>
      <c r="C146" s="602"/>
      <c r="D146" s="602"/>
      <c r="E146" s="602"/>
      <c r="F146" s="604"/>
      <c r="G146" s="604"/>
      <c r="H146" s="613"/>
      <c r="I146" s="610"/>
      <c r="J146" s="611"/>
    </row>
    <row r="147" spans="1:10" ht="20.25" customHeight="1">
      <c r="A147" s="602"/>
      <c r="B147" s="607" t="s">
        <v>974</v>
      </c>
      <c r="C147" s="624">
        <v>1</v>
      </c>
      <c r="D147" s="624" t="s">
        <v>14</v>
      </c>
      <c r="E147" s="624">
        <v>1</v>
      </c>
      <c r="F147" s="624"/>
      <c r="G147" s="624"/>
      <c r="H147" s="624"/>
      <c r="I147" s="625">
        <f>PRODUCT(C147:H147)</f>
        <v>1</v>
      </c>
      <c r="J147" s="626" t="s">
        <v>18</v>
      </c>
    </row>
    <row r="148" spans="1:10" ht="20.25" customHeight="1">
      <c r="A148" s="602"/>
      <c r="B148" s="607"/>
      <c r="C148" s="602"/>
      <c r="D148" s="602"/>
      <c r="E148" s="602"/>
      <c r="F148" s="604"/>
      <c r="G148" s="604"/>
      <c r="H148" s="613"/>
      <c r="I148" s="610"/>
      <c r="J148" s="611"/>
    </row>
    <row r="149" spans="1:10" ht="20.25" customHeight="1">
      <c r="A149" s="602">
        <v>27</v>
      </c>
      <c r="B149" s="607" t="s">
        <v>975</v>
      </c>
      <c r="C149" s="602"/>
      <c r="D149" s="602"/>
      <c r="E149" s="602"/>
      <c r="F149" s="604"/>
      <c r="G149" s="604"/>
      <c r="H149" s="613"/>
      <c r="I149" s="610"/>
      <c r="J149" s="611"/>
    </row>
    <row r="150" spans="1:10" ht="20.25" customHeight="1">
      <c r="A150" s="602"/>
      <c r="B150" s="607" t="s">
        <v>968</v>
      </c>
      <c r="C150" s="602">
        <v>1</v>
      </c>
      <c r="D150" s="602" t="s">
        <v>28</v>
      </c>
      <c r="E150" s="602">
        <v>1</v>
      </c>
      <c r="F150" s="604">
        <v>25</v>
      </c>
      <c r="G150" s="604"/>
      <c r="H150" s="613"/>
      <c r="I150" s="625">
        <f>PRODUCT(C150:H150)</f>
        <v>25</v>
      </c>
      <c r="J150" s="611" t="s">
        <v>15</v>
      </c>
    </row>
    <row r="151" spans="1:10" ht="20.25" customHeight="1">
      <c r="A151" s="602"/>
      <c r="B151" s="607"/>
      <c r="C151" s="602"/>
      <c r="D151" s="602"/>
      <c r="E151" s="602"/>
      <c r="F151" s="604"/>
      <c r="G151" s="604"/>
      <c r="H151" s="613"/>
      <c r="I151" s="610"/>
      <c r="J151" s="611"/>
    </row>
    <row r="152" spans="1:10" ht="14.25" customHeight="1">
      <c r="A152" s="602">
        <v>28</v>
      </c>
      <c r="B152" s="607" t="s">
        <v>783</v>
      </c>
      <c r="C152" s="634" t="s">
        <v>976</v>
      </c>
      <c r="D152" s="634"/>
      <c r="E152" s="634"/>
      <c r="F152" s="634"/>
      <c r="G152" s="604"/>
      <c r="H152" s="604"/>
      <c r="I152" s="604"/>
      <c r="J152" s="606"/>
    </row>
    <row r="153" spans="1:10" s="637" customFormat="1" ht="18" customHeight="1">
      <c r="A153" s="602">
        <v>29</v>
      </c>
      <c r="B153" s="635" t="s">
        <v>977</v>
      </c>
      <c r="C153" s="636" t="s">
        <v>976</v>
      </c>
      <c r="D153" s="636"/>
      <c r="E153" s="636"/>
      <c r="F153" s="636"/>
      <c r="G153" s="635"/>
      <c r="H153" s="635"/>
      <c r="I153" s="604"/>
      <c r="J153" s="635"/>
    </row>
    <row r="154" spans="1:10" s="637" customFormat="1" ht="24.75" customHeight="1">
      <c r="A154" s="602">
        <v>30</v>
      </c>
      <c r="B154" s="635" t="s">
        <v>156</v>
      </c>
      <c r="C154" s="638"/>
      <c r="D154" s="638"/>
      <c r="E154" s="638"/>
      <c r="F154" s="638"/>
      <c r="G154" s="635"/>
      <c r="H154" s="635"/>
      <c r="I154" s="604"/>
      <c r="J154" s="635"/>
    </row>
    <row r="155" spans="1:10" s="637" customFormat="1" ht="20.25" customHeight="1">
      <c r="A155" s="602">
        <v>31</v>
      </c>
      <c r="B155" s="635" t="s">
        <v>875</v>
      </c>
      <c r="C155" s="636" t="s">
        <v>976</v>
      </c>
      <c r="D155" s="636"/>
      <c r="E155" s="636"/>
      <c r="F155" s="636"/>
      <c r="G155" s="635"/>
      <c r="H155" s="635"/>
      <c r="I155" s="635"/>
      <c r="J155" s="635"/>
    </row>
    <row r="159" spans="1:10" s="641" customFormat="1">
      <c r="A159" s="639"/>
      <c r="B159" s="639"/>
      <c r="C159" s="639"/>
      <c r="D159" s="640"/>
      <c r="H159" s="642"/>
      <c r="I159" s="643"/>
      <c r="J159" s="643"/>
    </row>
    <row r="160" spans="1:10" s="641" customFormat="1">
      <c r="A160" s="644"/>
      <c r="B160" s="643"/>
      <c r="C160" s="645"/>
      <c r="D160" s="645"/>
      <c r="E160" s="645"/>
      <c r="F160" s="645"/>
      <c r="H160" s="642"/>
      <c r="I160" s="643"/>
      <c r="J160" s="643"/>
    </row>
  </sheetData>
  <mergeCells count="13">
    <mergeCell ref="C152:F152"/>
    <mergeCell ref="C153:F153"/>
    <mergeCell ref="C155:F155"/>
    <mergeCell ref="A159:C159"/>
    <mergeCell ref="C160:F160"/>
    <mergeCell ref="A1:J1"/>
    <mergeCell ref="A2:J2"/>
    <mergeCell ref="A3:A4"/>
    <mergeCell ref="B3:B4"/>
    <mergeCell ref="C3:E4"/>
    <mergeCell ref="F3:H3"/>
    <mergeCell ref="I3:I4"/>
    <mergeCell ref="J3:J4"/>
  </mergeCells>
  <pageMargins left="0.88" right="0.5" top="0.41" bottom="0.5" header="0.31496062992126" footer="0.31496062992126"/>
  <pageSetup paperSize="9" scale="90" orientation="portrait" r:id="rId1"/>
  <headerFooter>
    <oddHeader>&amp;R&amp;P</oddHeader>
  </headerFooter>
</worksheet>
</file>

<file path=xl/worksheets/sheet25.xml><?xml version="1.0" encoding="utf-8"?>
<worksheet xmlns="http://schemas.openxmlformats.org/spreadsheetml/2006/main" xmlns:r="http://schemas.openxmlformats.org/officeDocument/2006/relationships">
  <sheetPr>
    <tabColor rgb="FF00B050"/>
  </sheetPr>
  <dimension ref="A1:P3511"/>
  <sheetViews>
    <sheetView showZeros="0" view="pageBreakPreview" zoomScale="98" zoomScaleSheetLayoutView="98" workbookViewId="0">
      <selection activeCell="N5" sqref="N5"/>
    </sheetView>
  </sheetViews>
  <sheetFormatPr defaultRowHeight="18"/>
  <cols>
    <col min="1" max="1" width="7.5703125" style="687" customWidth="1"/>
    <col min="2" max="2" width="11.28515625" style="687" bestFit="1" customWidth="1"/>
    <col min="3" max="3" width="5.28515625" style="687" hidden="1" customWidth="1"/>
    <col min="4" max="4" width="57.28515625" style="687" customWidth="1"/>
    <col min="5" max="5" width="14.7109375" style="687" customWidth="1"/>
    <col min="6" max="6" width="8" style="687" customWidth="1"/>
    <col min="7" max="7" width="17.5703125" style="687" customWidth="1"/>
    <col min="8" max="8" width="13.42578125" style="641" hidden="1" customWidth="1"/>
    <col min="9" max="9" width="15.7109375" style="641" hidden="1" customWidth="1"/>
    <col min="10" max="10" width="0" style="641" hidden="1" customWidth="1"/>
    <col min="11" max="11" width="14.7109375" style="641" hidden="1" customWidth="1"/>
    <col min="12" max="12" width="0" style="641" hidden="1" customWidth="1"/>
    <col min="13" max="13" width="1.42578125" style="641" customWidth="1"/>
    <col min="14" max="14" width="12.7109375" style="641" bestFit="1" customWidth="1"/>
    <col min="15" max="15" width="12.5703125" style="641" bestFit="1" customWidth="1"/>
    <col min="16" max="16" width="13.7109375" style="641" bestFit="1" customWidth="1"/>
    <col min="17" max="256" width="9.140625" style="641"/>
    <col min="257" max="257" width="7.5703125" style="641" customWidth="1"/>
    <col min="258" max="258" width="11.28515625" style="641" bestFit="1" customWidth="1"/>
    <col min="259" max="259" width="0" style="641" hidden="1" customWidth="1"/>
    <col min="260" max="260" width="57.28515625" style="641" customWidth="1"/>
    <col min="261" max="261" width="14.7109375" style="641" customWidth="1"/>
    <col min="262" max="262" width="8" style="641" customWidth="1"/>
    <col min="263" max="263" width="17.5703125" style="641" customWidth="1"/>
    <col min="264" max="268" width="0" style="641" hidden="1" customWidth="1"/>
    <col min="269" max="269" width="1.42578125" style="641" customWidth="1"/>
    <col min="270" max="270" width="12.7109375" style="641" bestFit="1" customWidth="1"/>
    <col min="271" max="271" width="12.5703125" style="641" bestFit="1" customWidth="1"/>
    <col min="272" max="272" width="13.7109375" style="641" bestFit="1" customWidth="1"/>
    <col min="273" max="512" width="9.140625" style="641"/>
    <col min="513" max="513" width="7.5703125" style="641" customWidth="1"/>
    <col min="514" max="514" width="11.28515625" style="641" bestFit="1" customWidth="1"/>
    <col min="515" max="515" width="0" style="641" hidden="1" customWidth="1"/>
    <col min="516" max="516" width="57.28515625" style="641" customWidth="1"/>
    <col min="517" max="517" width="14.7109375" style="641" customWidth="1"/>
    <col min="518" max="518" width="8" style="641" customWidth="1"/>
    <col min="519" max="519" width="17.5703125" style="641" customWidth="1"/>
    <col min="520" max="524" width="0" style="641" hidden="1" customWidth="1"/>
    <col min="525" max="525" width="1.42578125" style="641" customWidth="1"/>
    <col min="526" max="526" width="12.7109375" style="641" bestFit="1" customWidth="1"/>
    <col min="527" max="527" width="12.5703125" style="641" bestFit="1" customWidth="1"/>
    <col min="528" max="528" width="13.7109375" style="641" bestFit="1" customWidth="1"/>
    <col min="529" max="768" width="9.140625" style="641"/>
    <col min="769" max="769" width="7.5703125" style="641" customWidth="1"/>
    <col min="770" max="770" width="11.28515625" style="641" bestFit="1" customWidth="1"/>
    <col min="771" max="771" width="0" style="641" hidden="1" customWidth="1"/>
    <col min="772" max="772" width="57.28515625" style="641" customWidth="1"/>
    <col min="773" max="773" width="14.7109375" style="641" customWidth="1"/>
    <col min="774" max="774" width="8" style="641" customWidth="1"/>
    <col min="775" max="775" width="17.5703125" style="641" customWidth="1"/>
    <col min="776" max="780" width="0" style="641" hidden="1" customWidth="1"/>
    <col min="781" max="781" width="1.42578125" style="641" customWidth="1"/>
    <col min="782" max="782" width="12.7109375" style="641" bestFit="1" customWidth="1"/>
    <col min="783" max="783" width="12.5703125" style="641" bestFit="1" customWidth="1"/>
    <col min="784" max="784" width="13.7109375" style="641" bestFit="1" customWidth="1"/>
    <col min="785" max="1024" width="9.140625" style="641"/>
    <col min="1025" max="1025" width="7.5703125" style="641" customWidth="1"/>
    <col min="1026" max="1026" width="11.28515625" style="641" bestFit="1" customWidth="1"/>
    <col min="1027" max="1027" width="0" style="641" hidden="1" customWidth="1"/>
    <col min="1028" max="1028" width="57.28515625" style="641" customWidth="1"/>
    <col min="1029" max="1029" width="14.7109375" style="641" customWidth="1"/>
    <col min="1030" max="1030" width="8" style="641" customWidth="1"/>
    <col min="1031" max="1031" width="17.5703125" style="641" customWidth="1"/>
    <col min="1032" max="1036" width="0" style="641" hidden="1" customWidth="1"/>
    <col min="1037" max="1037" width="1.42578125" style="641" customWidth="1"/>
    <col min="1038" max="1038" width="12.7109375" style="641" bestFit="1" customWidth="1"/>
    <col min="1039" max="1039" width="12.5703125" style="641" bestFit="1" customWidth="1"/>
    <col min="1040" max="1040" width="13.7109375" style="641" bestFit="1" customWidth="1"/>
    <col min="1041" max="1280" width="9.140625" style="641"/>
    <col min="1281" max="1281" width="7.5703125" style="641" customWidth="1"/>
    <col min="1282" max="1282" width="11.28515625" style="641" bestFit="1" customWidth="1"/>
    <col min="1283" max="1283" width="0" style="641" hidden="1" customWidth="1"/>
    <col min="1284" max="1284" width="57.28515625" style="641" customWidth="1"/>
    <col min="1285" max="1285" width="14.7109375" style="641" customWidth="1"/>
    <col min="1286" max="1286" width="8" style="641" customWidth="1"/>
    <col min="1287" max="1287" width="17.5703125" style="641" customWidth="1"/>
    <col min="1288" max="1292" width="0" style="641" hidden="1" customWidth="1"/>
    <col min="1293" max="1293" width="1.42578125" style="641" customWidth="1"/>
    <col min="1294" max="1294" width="12.7109375" style="641" bestFit="1" customWidth="1"/>
    <col min="1295" max="1295" width="12.5703125" style="641" bestFit="1" customWidth="1"/>
    <col min="1296" max="1296" width="13.7109375" style="641" bestFit="1" customWidth="1"/>
    <col min="1297" max="1536" width="9.140625" style="641"/>
    <col min="1537" max="1537" width="7.5703125" style="641" customWidth="1"/>
    <col min="1538" max="1538" width="11.28515625" style="641" bestFit="1" customWidth="1"/>
    <col min="1539" max="1539" width="0" style="641" hidden="1" customWidth="1"/>
    <col min="1540" max="1540" width="57.28515625" style="641" customWidth="1"/>
    <col min="1541" max="1541" width="14.7109375" style="641" customWidth="1"/>
    <col min="1542" max="1542" width="8" style="641" customWidth="1"/>
    <col min="1543" max="1543" width="17.5703125" style="641" customWidth="1"/>
    <col min="1544" max="1548" width="0" style="641" hidden="1" customWidth="1"/>
    <col min="1549" max="1549" width="1.42578125" style="641" customWidth="1"/>
    <col min="1550" max="1550" width="12.7109375" style="641" bestFit="1" customWidth="1"/>
    <col min="1551" max="1551" width="12.5703125" style="641" bestFit="1" customWidth="1"/>
    <col min="1552" max="1552" width="13.7109375" style="641" bestFit="1" customWidth="1"/>
    <col min="1553" max="1792" width="9.140625" style="641"/>
    <col min="1793" max="1793" width="7.5703125" style="641" customWidth="1"/>
    <col min="1794" max="1794" width="11.28515625" style="641" bestFit="1" customWidth="1"/>
    <col min="1795" max="1795" width="0" style="641" hidden="1" customWidth="1"/>
    <col min="1796" max="1796" width="57.28515625" style="641" customWidth="1"/>
    <col min="1797" max="1797" width="14.7109375" style="641" customWidth="1"/>
    <col min="1798" max="1798" width="8" style="641" customWidth="1"/>
    <col min="1799" max="1799" width="17.5703125" style="641" customWidth="1"/>
    <col min="1800" max="1804" width="0" style="641" hidden="1" customWidth="1"/>
    <col min="1805" max="1805" width="1.42578125" style="641" customWidth="1"/>
    <col min="1806" max="1806" width="12.7109375" style="641" bestFit="1" customWidth="1"/>
    <col min="1807" max="1807" width="12.5703125" style="641" bestFit="1" customWidth="1"/>
    <col min="1808" max="1808" width="13.7109375" style="641" bestFit="1" customWidth="1"/>
    <col min="1809" max="2048" width="9.140625" style="641"/>
    <col min="2049" max="2049" width="7.5703125" style="641" customWidth="1"/>
    <col min="2050" max="2050" width="11.28515625" style="641" bestFit="1" customWidth="1"/>
    <col min="2051" max="2051" width="0" style="641" hidden="1" customWidth="1"/>
    <col min="2052" max="2052" width="57.28515625" style="641" customWidth="1"/>
    <col min="2053" max="2053" width="14.7109375" style="641" customWidth="1"/>
    <col min="2054" max="2054" width="8" style="641" customWidth="1"/>
    <col min="2055" max="2055" width="17.5703125" style="641" customWidth="1"/>
    <col min="2056" max="2060" width="0" style="641" hidden="1" customWidth="1"/>
    <col min="2061" max="2061" width="1.42578125" style="641" customWidth="1"/>
    <col min="2062" max="2062" width="12.7109375" style="641" bestFit="1" customWidth="1"/>
    <col min="2063" max="2063" width="12.5703125" style="641" bestFit="1" customWidth="1"/>
    <col min="2064" max="2064" width="13.7109375" style="641" bestFit="1" customWidth="1"/>
    <col min="2065" max="2304" width="9.140625" style="641"/>
    <col min="2305" max="2305" width="7.5703125" style="641" customWidth="1"/>
    <col min="2306" max="2306" width="11.28515625" style="641" bestFit="1" customWidth="1"/>
    <col min="2307" max="2307" width="0" style="641" hidden="1" customWidth="1"/>
    <col min="2308" max="2308" width="57.28515625" style="641" customWidth="1"/>
    <col min="2309" max="2309" width="14.7109375" style="641" customWidth="1"/>
    <col min="2310" max="2310" width="8" style="641" customWidth="1"/>
    <col min="2311" max="2311" width="17.5703125" style="641" customWidth="1"/>
    <col min="2312" max="2316" width="0" style="641" hidden="1" customWidth="1"/>
    <col min="2317" max="2317" width="1.42578125" style="641" customWidth="1"/>
    <col min="2318" max="2318" width="12.7109375" style="641" bestFit="1" customWidth="1"/>
    <col min="2319" max="2319" width="12.5703125" style="641" bestFit="1" customWidth="1"/>
    <col min="2320" max="2320" width="13.7109375" style="641" bestFit="1" customWidth="1"/>
    <col min="2321" max="2560" width="9.140625" style="641"/>
    <col min="2561" max="2561" width="7.5703125" style="641" customWidth="1"/>
    <col min="2562" max="2562" width="11.28515625" style="641" bestFit="1" customWidth="1"/>
    <col min="2563" max="2563" width="0" style="641" hidden="1" customWidth="1"/>
    <col min="2564" max="2564" width="57.28515625" style="641" customWidth="1"/>
    <col min="2565" max="2565" width="14.7109375" style="641" customWidth="1"/>
    <col min="2566" max="2566" width="8" style="641" customWidth="1"/>
    <col min="2567" max="2567" width="17.5703125" style="641" customWidth="1"/>
    <col min="2568" max="2572" width="0" style="641" hidden="1" customWidth="1"/>
    <col min="2573" max="2573" width="1.42578125" style="641" customWidth="1"/>
    <col min="2574" max="2574" width="12.7109375" style="641" bestFit="1" customWidth="1"/>
    <col min="2575" max="2575" width="12.5703125" style="641" bestFit="1" customWidth="1"/>
    <col min="2576" max="2576" width="13.7109375" style="641" bestFit="1" customWidth="1"/>
    <col min="2577" max="2816" width="9.140625" style="641"/>
    <col min="2817" max="2817" width="7.5703125" style="641" customWidth="1"/>
    <col min="2818" max="2818" width="11.28515625" style="641" bestFit="1" customWidth="1"/>
    <col min="2819" max="2819" width="0" style="641" hidden="1" customWidth="1"/>
    <col min="2820" max="2820" width="57.28515625" style="641" customWidth="1"/>
    <col min="2821" max="2821" width="14.7109375" style="641" customWidth="1"/>
    <col min="2822" max="2822" width="8" style="641" customWidth="1"/>
    <col min="2823" max="2823" width="17.5703125" style="641" customWidth="1"/>
    <col min="2824" max="2828" width="0" style="641" hidden="1" customWidth="1"/>
    <col min="2829" max="2829" width="1.42578125" style="641" customWidth="1"/>
    <col min="2830" max="2830" width="12.7109375" style="641" bestFit="1" customWidth="1"/>
    <col min="2831" max="2831" width="12.5703125" style="641" bestFit="1" customWidth="1"/>
    <col min="2832" max="2832" width="13.7109375" style="641" bestFit="1" customWidth="1"/>
    <col min="2833" max="3072" width="9.140625" style="641"/>
    <col min="3073" max="3073" width="7.5703125" style="641" customWidth="1"/>
    <col min="3074" max="3074" width="11.28515625" style="641" bestFit="1" customWidth="1"/>
    <col min="3075" max="3075" width="0" style="641" hidden="1" customWidth="1"/>
    <col min="3076" max="3076" width="57.28515625" style="641" customWidth="1"/>
    <col min="3077" max="3077" width="14.7109375" style="641" customWidth="1"/>
    <col min="3078" max="3078" width="8" style="641" customWidth="1"/>
    <col min="3079" max="3079" width="17.5703125" style="641" customWidth="1"/>
    <col min="3080" max="3084" width="0" style="641" hidden="1" customWidth="1"/>
    <col min="3085" max="3085" width="1.42578125" style="641" customWidth="1"/>
    <col min="3086" max="3086" width="12.7109375" style="641" bestFit="1" customWidth="1"/>
    <col min="3087" max="3087" width="12.5703125" style="641" bestFit="1" customWidth="1"/>
    <col min="3088" max="3088" width="13.7109375" style="641" bestFit="1" customWidth="1"/>
    <col min="3089" max="3328" width="9.140625" style="641"/>
    <col min="3329" max="3329" width="7.5703125" style="641" customWidth="1"/>
    <col min="3330" max="3330" width="11.28515625" style="641" bestFit="1" customWidth="1"/>
    <col min="3331" max="3331" width="0" style="641" hidden="1" customWidth="1"/>
    <col min="3332" max="3332" width="57.28515625" style="641" customWidth="1"/>
    <col min="3333" max="3333" width="14.7109375" style="641" customWidth="1"/>
    <col min="3334" max="3334" width="8" style="641" customWidth="1"/>
    <col min="3335" max="3335" width="17.5703125" style="641" customWidth="1"/>
    <col min="3336" max="3340" width="0" style="641" hidden="1" customWidth="1"/>
    <col min="3341" max="3341" width="1.42578125" style="641" customWidth="1"/>
    <col min="3342" max="3342" width="12.7109375" style="641" bestFit="1" customWidth="1"/>
    <col min="3343" max="3343" width="12.5703125" style="641" bestFit="1" customWidth="1"/>
    <col min="3344" max="3344" width="13.7109375" style="641" bestFit="1" customWidth="1"/>
    <col min="3345" max="3584" width="9.140625" style="641"/>
    <col min="3585" max="3585" width="7.5703125" style="641" customWidth="1"/>
    <col min="3586" max="3586" width="11.28515625" style="641" bestFit="1" customWidth="1"/>
    <col min="3587" max="3587" width="0" style="641" hidden="1" customWidth="1"/>
    <col min="3588" max="3588" width="57.28515625" style="641" customWidth="1"/>
    <col min="3589" max="3589" width="14.7109375" style="641" customWidth="1"/>
    <col min="3590" max="3590" width="8" style="641" customWidth="1"/>
    <col min="3591" max="3591" width="17.5703125" style="641" customWidth="1"/>
    <col min="3592" max="3596" width="0" style="641" hidden="1" customWidth="1"/>
    <col min="3597" max="3597" width="1.42578125" style="641" customWidth="1"/>
    <col min="3598" max="3598" width="12.7109375" style="641" bestFit="1" customWidth="1"/>
    <col min="3599" max="3599" width="12.5703125" style="641" bestFit="1" customWidth="1"/>
    <col min="3600" max="3600" width="13.7109375" style="641" bestFit="1" customWidth="1"/>
    <col min="3601" max="3840" width="9.140625" style="641"/>
    <col min="3841" max="3841" width="7.5703125" style="641" customWidth="1"/>
    <col min="3842" max="3842" width="11.28515625" style="641" bestFit="1" customWidth="1"/>
    <col min="3843" max="3843" width="0" style="641" hidden="1" customWidth="1"/>
    <col min="3844" max="3844" width="57.28515625" style="641" customWidth="1"/>
    <col min="3845" max="3845" width="14.7109375" style="641" customWidth="1"/>
    <col min="3846" max="3846" width="8" style="641" customWidth="1"/>
    <col min="3847" max="3847" width="17.5703125" style="641" customWidth="1"/>
    <col min="3848" max="3852" width="0" style="641" hidden="1" customWidth="1"/>
    <col min="3853" max="3853" width="1.42578125" style="641" customWidth="1"/>
    <col min="3854" max="3854" width="12.7109375" style="641" bestFit="1" customWidth="1"/>
    <col min="3855" max="3855" width="12.5703125" style="641" bestFit="1" customWidth="1"/>
    <col min="3856" max="3856" width="13.7109375" style="641" bestFit="1" customWidth="1"/>
    <col min="3857" max="4096" width="9.140625" style="641"/>
    <col min="4097" max="4097" width="7.5703125" style="641" customWidth="1"/>
    <col min="4098" max="4098" width="11.28515625" style="641" bestFit="1" customWidth="1"/>
    <col min="4099" max="4099" width="0" style="641" hidden="1" customWidth="1"/>
    <col min="4100" max="4100" width="57.28515625" style="641" customWidth="1"/>
    <col min="4101" max="4101" width="14.7109375" style="641" customWidth="1"/>
    <col min="4102" max="4102" width="8" style="641" customWidth="1"/>
    <col min="4103" max="4103" width="17.5703125" style="641" customWidth="1"/>
    <col min="4104" max="4108" width="0" style="641" hidden="1" customWidth="1"/>
    <col min="4109" max="4109" width="1.42578125" style="641" customWidth="1"/>
    <col min="4110" max="4110" width="12.7109375" style="641" bestFit="1" customWidth="1"/>
    <col min="4111" max="4111" width="12.5703125" style="641" bestFit="1" customWidth="1"/>
    <col min="4112" max="4112" width="13.7109375" style="641" bestFit="1" customWidth="1"/>
    <col min="4113" max="4352" width="9.140625" style="641"/>
    <col min="4353" max="4353" width="7.5703125" style="641" customWidth="1"/>
    <col min="4354" max="4354" width="11.28515625" style="641" bestFit="1" customWidth="1"/>
    <col min="4355" max="4355" width="0" style="641" hidden="1" customWidth="1"/>
    <col min="4356" max="4356" width="57.28515625" style="641" customWidth="1"/>
    <col min="4357" max="4357" width="14.7109375" style="641" customWidth="1"/>
    <col min="4358" max="4358" width="8" style="641" customWidth="1"/>
    <col min="4359" max="4359" width="17.5703125" style="641" customWidth="1"/>
    <col min="4360" max="4364" width="0" style="641" hidden="1" customWidth="1"/>
    <col min="4365" max="4365" width="1.42578125" style="641" customWidth="1"/>
    <col min="4366" max="4366" width="12.7109375" style="641" bestFit="1" customWidth="1"/>
    <col min="4367" max="4367" width="12.5703125" style="641" bestFit="1" customWidth="1"/>
    <col min="4368" max="4368" width="13.7109375" style="641" bestFit="1" customWidth="1"/>
    <col min="4369" max="4608" width="9.140625" style="641"/>
    <col min="4609" max="4609" width="7.5703125" style="641" customWidth="1"/>
    <col min="4610" max="4610" width="11.28515625" style="641" bestFit="1" customWidth="1"/>
    <col min="4611" max="4611" width="0" style="641" hidden="1" customWidth="1"/>
    <col min="4612" max="4612" width="57.28515625" style="641" customWidth="1"/>
    <col min="4613" max="4613" width="14.7109375" style="641" customWidth="1"/>
    <col min="4614" max="4614" width="8" style="641" customWidth="1"/>
    <col min="4615" max="4615" width="17.5703125" style="641" customWidth="1"/>
    <col min="4616" max="4620" width="0" style="641" hidden="1" customWidth="1"/>
    <col min="4621" max="4621" width="1.42578125" style="641" customWidth="1"/>
    <col min="4622" max="4622" width="12.7109375" style="641" bestFit="1" customWidth="1"/>
    <col min="4623" max="4623" width="12.5703125" style="641" bestFit="1" customWidth="1"/>
    <col min="4624" max="4624" width="13.7109375" style="641" bestFit="1" customWidth="1"/>
    <col min="4625" max="4864" width="9.140625" style="641"/>
    <col min="4865" max="4865" width="7.5703125" style="641" customWidth="1"/>
    <col min="4866" max="4866" width="11.28515625" style="641" bestFit="1" customWidth="1"/>
    <col min="4867" max="4867" width="0" style="641" hidden="1" customWidth="1"/>
    <col min="4868" max="4868" width="57.28515625" style="641" customWidth="1"/>
    <col min="4869" max="4869" width="14.7109375" style="641" customWidth="1"/>
    <col min="4870" max="4870" width="8" style="641" customWidth="1"/>
    <col min="4871" max="4871" width="17.5703125" style="641" customWidth="1"/>
    <col min="4872" max="4876" width="0" style="641" hidden="1" customWidth="1"/>
    <col min="4877" max="4877" width="1.42578125" style="641" customWidth="1"/>
    <col min="4878" max="4878" width="12.7109375" style="641" bestFit="1" customWidth="1"/>
    <col min="4879" max="4879" width="12.5703125" style="641" bestFit="1" customWidth="1"/>
    <col min="4880" max="4880" width="13.7109375" style="641" bestFit="1" customWidth="1"/>
    <col min="4881" max="5120" width="9.140625" style="641"/>
    <col min="5121" max="5121" width="7.5703125" style="641" customWidth="1"/>
    <col min="5122" max="5122" width="11.28515625" style="641" bestFit="1" customWidth="1"/>
    <col min="5123" max="5123" width="0" style="641" hidden="1" customWidth="1"/>
    <col min="5124" max="5124" width="57.28515625" style="641" customWidth="1"/>
    <col min="5125" max="5125" width="14.7109375" style="641" customWidth="1"/>
    <col min="5126" max="5126" width="8" style="641" customWidth="1"/>
    <col min="5127" max="5127" width="17.5703125" style="641" customWidth="1"/>
    <col min="5128" max="5132" width="0" style="641" hidden="1" customWidth="1"/>
    <col min="5133" max="5133" width="1.42578125" style="641" customWidth="1"/>
    <col min="5134" max="5134" width="12.7109375" style="641" bestFit="1" customWidth="1"/>
    <col min="5135" max="5135" width="12.5703125" style="641" bestFit="1" customWidth="1"/>
    <col min="5136" max="5136" width="13.7109375" style="641" bestFit="1" customWidth="1"/>
    <col min="5137" max="5376" width="9.140625" style="641"/>
    <col min="5377" max="5377" width="7.5703125" style="641" customWidth="1"/>
    <col min="5378" max="5378" width="11.28515625" style="641" bestFit="1" customWidth="1"/>
    <col min="5379" max="5379" width="0" style="641" hidden="1" customWidth="1"/>
    <col min="5380" max="5380" width="57.28515625" style="641" customWidth="1"/>
    <col min="5381" max="5381" width="14.7109375" style="641" customWidth="1"/>
    <col min="5382" max="5382" width="8" style="641" customWidth="1"/>
    <col min="5383" max="5383" width="17.5703125" style="641" customWidth="1"/>
    <col min="5384" max="5388" width="0" style="641" hidden="1" customWidth="1"/>
    <col min="5389" max="5389" width="1.42578125" style="641" customWidth="1"/>
    <col min="5390" max="5390" width="12.7109375" style="641" bestFit="1" customWidth="1"/>
    <col min="5391" max="5391" width="12.5703125" style="641" bestFit="1" customWidth="1"/>
    <col min="5392" max="5392" width="13.7109375" style="641" bestFit="1" customWidth="1"/>
    <col min="5393" max="5632" width="9.140625" style="641"/>
    <col min="5633" max="5633" width="7.5703125" style="641" customWidth="1"/>
    <col min="5634" max="5634" width="11.28515625" style="641" bestFit="1" customWidth="1"/>
    <col min="5635" max="5635" width="0" style="641" hidden="1" customWidth="1"/>
    <col min="5636" max="5636" width="57.28515625" style="641" customWidth="1"/>
    <col min="5637" max="5637" width="14.7109375" style="641" customWidth="1"/>
    <col min="5638" max="5638" width="8" style="641" customWidth="1"/>
    <col min="5639" max="5639" width="17.5703125" style="641" customWidth="1"/>
    <col min="5640" max="5644" width="0" style="641" hidden="1" customWidth="1"/>
    <col min="5645" max="5645" width="1.42578125" style="641" customWidth="1"/>
    <col min="5646" max="5646" width="12.7109375" style="641" bestFit="1" customWidth="1"/>
    <col min="5647" max="5647" width="12.5703125" style="641" bestFit="1" customWidth="1"/>
    <col min="5648" max="5648" width="13.7109375" style="641" bestFit="1" customWidth="1"/>
    <col min="5649" max="5888" width="9.140625" style="641"/>
    <col min="5889" max="5889" width="7.5703125" style="641" customWidth="1"/>
    <col min="5890" max="5890" width="11.28515625" style="641" bestFit="1" customWidth="1"/>
    <col min="5891" max="5891" width="0" style="641" hidden="1" customWidth="1"/>
    <col min="5892" max="5892" width="57.28515625" style="641" customWidth="1"/>
    <col min="5893" max="5893" width="14.7109375" style="641" customWidth="1"/>
    <col min="5894" max="5894" width="8" style="641" customWidth="1"/>
    <col min="5895" max="5895" width="17.5703125" style="641" customWidth="1"/>
    <col min="5896" max="5900" width="0" style="641" hidden="1" customWidth="1"/>
    <col min="5901" max="5901" width="1.42578125" style="641" customWidth="1"/>
    <col min="5902" max="5902" width="12.7109375" style="641" bestFit="1" customWidth="1"/>
    <col min="5903" max="5903" width="12.5703125" style="641" bestFit="1" customWidth="1"/>
    <col min="5904" max="5904" width="13.7109375" style="641" bestFit="1" customWidth="1"/>
    <col min="5905" max="6144" width="9.140625" style="641"/>
    <col min="6145" max="6145" width="7.5703125" style="641" customWidth="1"/>
    <col min="6146" max="6146" width="11.28515625" style="641" bestFit="1" customWidth="1"/>
    <col min="6147" max="6147" width="0" style="641" hidden="1" customWidth="1"/>
    <col min="6148" max="6148" width="57.28515625" style="641" customWidth="1"/>
    <col min="6149" max="6149" width="14.7109375" style="641" customWidth="1"/>
    <col min="6150" max="6150" width="8" style="641" customWidth="1"/>
    <col min="6151" max="6151" width="17.5703125" style="641" customWidth="1"/>
    <col min="6152" max="6156" width="0" style="641" hidden="1" customWidth="1"/>
    <col min="6157" max="6157" width="1.42578125" style="641" customWidth="1"/>
    <col min="6158" max="6158" width="12.7109375" style="641" bestFit="1" customWidth="1"/>
    <col min="6159" max="6159" width="12.5703125" style="641" bestFit="1" customWidth="1"/>
    <col min="6160" max="6160" width="13.7109375" style="641" bestFit="1" customWidth="1"/>
    <col min="6161" max="6400" width="9.140625" style="641"/>
    <col min="6401" max="6401" width="7.5703125" style="641" customWidth="1"/>
    <col min="6402" max="6402" width="11.28515625" style="641" bestFit="1" customWidth="1"/>
    <col min="6403" max="6403" width="0" style="641" hidden="1" customWidth="1"/>
    <col min="6404" max="6404" width="57.28515625" style="641" customWidth="1"/>
    <col min="6405" max="6405" width="14.7109375" style="641" customWidth="1"/>
    <col min="6406" max="6406" width="8" style="641" customWidth="1"/>
    <col min="6407" max="6407" width="17.5703125" style="641" customWidth="1"/>
    <col min="6408" max="6412" width="0" style="641" hidden="1" customWidth="1"/>
    <col min="6413" max="6413" width="1.42578125" style="641" customWidth="1"/>
    <col min="6414" max="6414" width="12.7109375" style="641" bestFit="1" customWidth="1"/>
    <col min="6415" max="6415" width="12.5703125" style="641" bestFit="1" customWidth="1"/>
    <col min="6416" max="6416" width="13.7109375" style="641" bestFit="1" customWidth="1"/>
    <col min="6417" max="6656" width="9.140625" style="641"/>
    <col min="6657" max="6657" width="7.5703125" style="641" customWidth="1"/>
    <col min="6658" max="6658" width="11.28515625" style="641" bestFit="1" customWidth="1"/>
    <col min="6659" max="6659" width="0" style="641" hidden="1" customWidth="1"/>
    <col min="6660" max="6660" width="57.28515625" style="641" customWidth="1"/>
    <col min="6661" max="6661" width="14.7109375" style="641" customWidth="1"/>
    <col min="6662" max="6662" width="8" style="641" customWidth="1"/>
    <col min="6663" max="6663" width="17.5703125" style="641" customWidth="1"/>
    <col min="6664" max="6668" width="0" style="641" hidden="1" customWidth="1"/>
    <col min="6669" max="6669" width="1.42578125" style="641" customWidth="1"/>
    <col min="6670" max="6670" width="12.7109375" style="641" bestFit="1" customWidth="1"/>
    <col min="6671" max="6671" width="12.5703125" style="641" bestFit="1" customWidth="1"/>
    <col min="6672" max="6672" width="13.7109375" style="641" bestFit="1" customWidth="1"/>
    <col min="6673" max="6912" width="9.140625" style="641"/>
    <col min="6913" max="6913" width="7.5703125" style="641" customWidth="1"/>
    <col min="6914" max="6914" width="11.28515625" style="641" bestFit="1" customWidth="1"/>
    <col min="6915" max="6915" width="0" style="641" hidden="1" customWidth="1"/>
    <col min="6916" max="6916" width="57.28515625" style="641" customWidth="1"/>
    <col min="6917" max="6917" width="14.7109375" style="641" customWidth="1"/>
    <col min="6918" max="6918" width="8" style="641" customWidth="1"/>
    <col min="6919" max="6919" width="17.5703125" style="641" customWidth="1"/>
    <col min="6920" max="6924" width="0" style="641" hidden="1" customWidth="1"/>
    <col min="6925" max="6925" width="1.42578125" style="641" customWidth="1"/>
    <col min="6926" max="6926" width="12.7109375" style="641" bestFit="1" customWidth="1"/>
    <col min="6927" max="6927" width="12.5703125" style="641" bestFit="1" customWidth="1"/>
    <col min="6928" max="6928" width="13.7109375" style="641" bestFit="1" customWidth="1"/>
    <col min="6929" max="7168" width="9.140625" style="641"/>
    <col min="7169" max="7169" width="7.5703125" style="641" customWidth="1"/>
    <col min="7170" max="7170" width="11.28515625" style="641" bestFit="1" customWidth="1"/>
    <col min="7171" max="7171" width="0" style="641" hidden="1" customWidth="1"/>
    <col min="7172" max="7172" width="57.28515625" style="641" customWidth="1"/>
    <col min="7173" max="7173" width="14.7109375" style="641" customWidth="1"/>
    <col min="7174" max="7174" width="8" style="641" customWidth="1"/>
    <col min="7175" max="7175" width="17.5703125" style="641" customWidth="1"/>
    <col min="7176" max="7180" width="0" style="641" hidden="1" customWidth="1"/>
    <col min="7181" max="7181" width="1.42578125" style="641" customWidth="1"/>
    <col min="7182" max="7182" width="12.7109375" style="641" bestFit="1" customWidth="1"/>
    <col min="7183" max="7183" width="12.5703125" style="641" bestFit="1" customWidth="1"/>
    <col min="7184" max="7184" width="13.7109375" style="641" bestFit="1" customWidth="1"/>
    <col min="7185" max="7424" width="9.140625" style="641"/>
    <col min="7425" max="7425" width="7.5703125" style="641" customWidth="1"/>
    <col min="7426" max="7426" width="11.28515625" style="641" bestFit="1" customWidth="1"/>
    <col min="7427" max="7427" width="0" style="641" hidden="1" customWidth="1"/>
    <col min="7428" max="7428" width="57.28515625" style="641" customWidth="1"/>
    <col min="7429" max="7429" width="14.7109375" style="641" customWidth="1"/>
    <col min="7430" max="7430" width="8" style="641" customWidth="1"/>
    <col min="7431" max="7431" width="17.5703125" style="641" customWidth="1"/>
    <col min="7432" max="7436" width="0" style="641" hidden="1" customWidth="1"/>
    <col min="7437" max="7437" width="1.42578125" style="641" customWidth="1"/>
    <col min="7438" max="7438" width="12.7109375" style="641" bestFit="1" customWidth="1"/>
    <col min="7439" max="7439" width="12.5703125" style="641" bestFit="1" customWidth="1"/>
    <col min="7440" max="7440" width="13.7109375" style="641" bestFit="1" customWidth="1"/>
    <col min="7441" max="7680" width="9.140625" style="641"/>
    <col min="7681" max="7681" width="7.5703125" style="641" customWidth="1"/>
    <col min="7682" max="7682" width="11.28515625" style="641" bestFit="1" customWidth="1"/>
    <col min="7683" max="7683" width="0" style="641" hidden="1" customWidth="1"/>
    <col min="7684" max="7684" width="57.28515625" style="641" customWidth="1"/>
    <col min="7685" max="7685" width="14.7109375" style="641" customWidth="1"/>
    <col min="7686" max="7686" width="8" style="641" customWidth="1"/>
    <col min="7687" max="7687" width="17.5703125" style="641" customWidth="1"/>
    <col min="7688" max="7692" width="0" style="641" hidden="1" customWidth="1"/>
    <col min="7693" max="7693" width="1.42578125" style="641" customWidth="1"/>
    <col min="7694" max="7694" width="12.7109375" style="641" bestFit="1" customWidth="1"/>
    <col min="7695" max="7695" width="12.5703125" style="641" bestFit="1" customWidth="1"/>
    <col min="7696" max="7696" width="13.7109375" style="641" bestFit="1" customWidth="1"/>
    <col min="7697" max="7936" width="9.140625" style="641"/>
    <col min="7937" max="7937" width="7.5703125" style="641" customWidth="1"/>
    <col min="7938" max="7938" width="11.28515625" style="641" bestFit="1" customWidth="1"/>
    <col min="7939" max="7939" width="0" style="641" hidden="1" customWidth="1"/>
    <col min="7940" max="7940" width="57.28515625" style="641" customWidth="1"/>
    <col min="7941" max="7941" width="14.7109375" style="641" customWidth="1"/>
    <col min="7942" max="7942" width="8" style="641" customWidth="1"/>
    <col min="7943" max="7943" width="17.5703125" style="641" customWidth="1"/>
    <col min="7944" max="7948" width="0" style="641" hidden="1" customWidth="1"/>
    <col min="7949" max="7949" width="1.42578125" style="641" customWidth="1"/>
    <col min="7950" max="7950" width="12.7109375" style="641" bestFit="1" customWidth="1"/>
    <col min="7951" max="7951" width="12.5703125" style="641" bestFit="1" customWidth="1"/>
    <col min="7952" max="7952" width="13.7109375" style="641" bestFit="1" customWidth="1"/>
    <col min="7953" max="8192" width="9.140625" style="641"/>
    <col min="8193" max="8193" width="7.5703125" style="641" customWidth="1"/>
    <col min="8194" max="8194" width="11.28515625" style="641" bestFit="1" customWidth="1"/>
    <col min="8195" max="8195" width="0" style="641" hidden="1" customWidth="1"/>
    <col min="8196" max="8196" width="57.28515625" style="641" customWidth="1"/>
    <col min="8197" max="8197" width="14.7109375" style="641" customWidth="1"/>
    <col min="8198" max="8198" width="8" style="641" customWidth="1"/>
    <col min="8199" max="8199" width="17.5703125" style="641" customWidth="1"/>
    <col min="8200" max="8204" width="0" style="641" hidden="1" customWidth="1"/>
    <col min="8205" max="8205" width="1.42578125" style="641" customWidth="1"/>
    <col min="8206" max="8206" width="12.7109375" style="641" bestFit="1" customWidth="1"/>
    <col min="8207" max="8207" width="12.5703125" style="641" bestFit="1" customWidth="1"/>
    <col min="8208" max="8208" width="13.7109375" style="641" bestFit="1" customWidth="1"/>
    <col min="8209" max="8448" width="9.140625" style="641"/>
    <col min="8449" max="8449" width="7.5703125" style="641" customWidth="1"/>
    <col min="8450" max="8450" width="11.28515625" style="641" bestFit="1" customWidth="1"/>
    <col min="8451" max="8451" width="0" style="641" hidden="1" customWidth="1"/>
    <col min="8452" max="8452" width="57.28515625" style="641" customWidth="1"/>
    <col min="8453" max="8453" width="14.7109375" style="641" customWidth="1"/>
    <col min="8454" max="8454" width="8" style="641" customWidth="1"/>
    <col min="8455" max="8455" width="17.5703125" style="641" customWidth="1"/>
    <col min="8456" max="8460" width="0" style="641" hidden="1" customWidth="1"/>
    <col min="8461" max="8461" width="1.42578125" style="641" customWidth="1"/>
    <col min="8462" max="8462" width="12.7109375" style="641" bestFit="1" customWidth="1"/>
    <col min="8463" max="8463" width="12.5703125" style="641" bestFit="1" customWidth="1"/>
    <col min="8464" max="8464" width="13.7109375" style="641" bestFit="1" customWidth="1"/>
    <col min="8465" max="8704" width="9.140625" style="641"/>
    <col min="8705" max="8705" width="7.5703125" style="641" customWidth="1"/>
    <col min="8706" max="8706" width="11.28515625" style="641" bestFit="1" customWidth="1"/>
    <col min="8707" max="8707" width="0" style="641" hidden="1" customWidth="1"/>
    <col min="8708" max="8708" width="57.28515625" style="641" customWidth="1"/>
    <col min="8709" max="8709" width="14.7109375" style="641" customWidth="1"/>
    <col min="8710" max="8710" width="8" style="641" customWidth="1"/>
    <col min="8711" max="8711" width="17.5703125" style="641" customWidth="1"/>
    <col min="8712" max="8716" width="0" style="641" hidden="1" customWidth="1"/>
    <col min="8717" max="8717" width="1.42578125" style="641" customWidth="1"/>
    <col min="8718" max="8718" width="12.7109375" style="641" bestFit="1" customWidth="1"/>
    <col min="8719" max="8719" width="12.5703125" style="641" bestFit="1" customWidth="1"/>
    <col min="8720" max="8720" width="13.7109375" style="641" bestFit="1" customWidth="1"/>
    <col min="8721" max="8960" width="9.140625" style="641"/>
    <col min="8961" max="8961" width="7.5703125" style="641" customWidth="1"/>
    <col min="8962" max="8962" width="11.28515625" style="641" bestFit="1" customWidth="1"/>
    <col min="8963" max="8963" width="0" style="641" hidden="1" customWidth="1"/>
    <col min="8964" max="8964" width="57.28515625" style="641" customWidth="1"/>
    <col min="8965" max="8965" width="14.7109375" style="641" customWidth="1"/>
    <col min="8966" max="8966" width="8" style="641" customWidth="1"/>
    <col min="8967" max="8967" width="17.5703125" style="641" customWidth="1"/>
    <col min="8968" max="8972" width="0" style="641" hidden="1" customWidth="1"/>
    <col min="8973" max="8973" width="1.42578125" style="641" customWidth="1"/>
    <col min="8974" max="8974" width="12.7109375" style="641" bestFit="1" customWidth="1"/>
    <col min="8975" max="8975" width="12.5703125" style="641" bestFit="1" customWidth="1"/>
    <col min="8976" max="8976" width="13.7109375" style="641" bestFit="1" customWidth="1"/>
    <col min="8977" max="9216" width="9.140625" style="641"/>
    <col min="9217" max="9217" width="7.5703125" style="641" customWidth="1"/>
    <col min="9218" max="9218" width="11.28515625" style="641" bestFit="1" customWidth="1"/>
    <col min="9219" max="9219" width="0" style="641" hidden="1" customWidth="1"/>
    <col min="9220" max="9220" width="57.28515625" style="641" customWidth="1"/>
    <col min="9221" max="9221" width="14.7109375" style="641" customWidth="1"/>
    <col min="9222" max="9222" width="8" style="641" customWidth="1"/>
    <col min="9223" max="9223" width="17.5703125" style="641" customWidth="1"/>
    <col min="9224" max="9228" width="0" style="641" hidden="1" customWidth="1"/>
    <col min="9229" max="9229" width="1.42578125" style="641" customWidth="1"/>
    <col min="9230" max="9230" width="12.7109375" style="641" bestFit="1" customWidth="1"/>
    <col min="9231" max="9231" width="12.5703125" style="641" bestFit="1" customWidth="1"/>
    <col min="9232" max="9232" width="13.7109375" style="641" bestFit="1" customWidth="1"/>
    <col min="9233" max="9472" width="9.140625" style="641"/>
    <col min="9473" max="9473" width="7.5703125" style="641" customWidth="1"/>
    <col min="9474" max="9474" width="11.28515625" style="641" bestFit="1" customWidth="1"/>
    <col min="9475" max="9475" width="0" style="641" hidden="1" customWidth="1"/>
    <col min="9476" max="9476" width="57.28515625" style="641" customWidth="1"/>
    <col min="9477" max="9477" width="14.7109375" style="641" customWidth="1"/>
    <col min="9478" max="9478" width="8" style="641" customWidth="1"/>
    <col min="9479" max="9479" width="17.5703125" style="641" customWidth="1"/>
    <col min="9480" max="9484" width="0" style="641" hidden="1" customWidth="1"/>
    <col min="9485" max="9485" width="1.42578125" style="641" customWidth="1"/>
    <col min="9486" max="9486" width="12.7109375" style="641" bestFit="1" customWidth="1"/>
    <col min="9487" max="9487" width="12.5703125" style="641" bestFit="1" customWidth="1"/>
    <col min="9488" max="9488" width="13.7109375" style="641" bestFit="1" customWidth="1"/>
    <col min="9489" max="9728" width="9.140625" style="641"/>
    <col min="9729" max="9729" width="7.5703125" style="641" customWidth="1"/>
    <col min="9730" max="9730" width="11.28515625" style="641" bestFit="1" customWidth="1"/>
    <col min="9731" max="9731" width="0" style="641" hidden="1" customWidth="1"/>
    <col min="9732" max="9732" width="57.28515625" style="641" customWidth="1"/>
    <col min="9733" max="9733" width="14.7109375" style="641" customWidth="1"/>
    <col min="9734" max="9734" width="8" style="641" customWidth="1"/>
    <col min="9735" max="9735" width="17.5703125" style="641" customWidth="1"/>
    <col min="9736" max="9740" width="0" style="641" hidden="1" customWidth="1"/>
    <col min="9741" max="9741" width="1.42578125" style="641" customWidth="1"/>
    <col min="9742" max="9742" width="12.7109375" style="641" bestFit="1" customWidth="1"/>
    <col min="9743" max="9743" width="12.5703125" style="641" bestFit="1" customWidth="1"/>
    <col min="9744" max="9744" width="13.7109375" style="641" bestFit="1" customWidth="1"/>
    <col min="9745" max="9984" width="9.140625" style="641"/>
    <col min="9985" max="9985" width="7.5703125" style="641" customWidth="1"/>
    <col min="9986" max="9986" width="11.28515625" style="641" bestFit="1" customWidth="1"/>
    <col min="9987" max="9987" width="0" style="641" hidden="1" customWidth="1"/>
    <col min="9988" max="9988" width="57.28515625" style="641" customWidth="1"/>
    <col min="9989" max="9989" width="14.7109375" style="641" customWidth="1"/>
    <col min="9990" max="9990" width="8" style="641" customWidth="1"/>
    <col min="9991" max="9991" width="17.5703125" style="641" customWidth="1"/>
    <col min="9992" max="9996" width="0" style="641" hidden="1" customWidth="1"/>
    <col min="9997" max="9997" width="1.42578125" style="641" customWidth="1"/>
    <col min="9998" max="9998" width="12.7109375" style="641" bestFit="1" customWidth="1"/>
    <col min="9999" max="9999" width="12.5703125" style="641" bestFit="1" customWidth="1"/>
    <col min="10000" max="10000" width="13.7109375" style="641" bestFit="1" customWidth="1"/>
    <col min="10001" max="10240" width="9.140625" style="641"/>
    <col min="10241" max="10241" width="7.5703125" style="641" customWidth="1"/>
    <col min="10242" max="10242" width="11.28515625" style="641" bestFit="1" customWidth="1"/>
    <col min="10243" max="10243" width="0" style="641" hidden="1" customWidth="1"/>
    <col min="10244" max="10244" width="57.28515625" style="641" customWidth="1"/>
    <col min="10245" max="10245" width="14.7109375" style="641" customWidth="1"/>
    <col min="10246" max="10246" width="8" style="641" customWidth="1"/>
    <col min="10247" max="10247" width="17.5703125" style="641" customWidth="1"/>
    <col min="10248" max="10252" width="0" style="641" hidden="1" customWidth="1"/>
    <col min="10253" max="10253" width="1.42578125" style="641" customWidth="1"/>
    <col min="10254" max="10254" width="12.7109375" style="641" bestFit="1" customWidth="1"/>
    <col min="10255" max="10255" width="12.5703125" style="641" bestFit="1" customWidth="1"/>
    <col min="10256" max="10256" width="13.7109375" style="641" bestFit="1" customWidth="1"/>
    <col min="10257" max="10496" width="9.140625" style="641"/>
    <col min="10497" max="10497" width="7.5703125" style="641" customWidth="1"/>
    <col min="10498" max="10498" width="11.28515625" style="641" bestFit="1" customWidth="1"/>
    <col min="10499" max="10499" width="0" style="641" hidden="1" customWidth="1"/>
    <col min="10500" max="10500" width="57.28515625" style="641" customWidth="1"/>
    <col min="10501" max="10501" width="14.7109375" style="641" customWidth="1"/>
    <col min="10502" max="10502" width="8" style="641" customWidth="1"/>
    <col min="10503" max="10503" width="17.5703125" style="641" customWidth="1"/>
    <col min="10504" max="10508" width="0" style="641" hidden="1" customWidth="1"/>
    <col min="10509" max="10509" width="1.42578125" style="641" customWidth="1"/>
    <col min="10510" max="10510" width="12.7109375" style="641" bestFit="1" customWidth="1"/>
    <col min="10511" max="10511" width="12.5703125" style="641" bestFit="1" customWidth="1"/>
    <col min="10512" max="10512" width="13.7109375" style="641" bestFit="1" customWidth="1"/>
    <col min="10513" max="10752" width="9.140625" style="641"/>
    <col min="10753" max="10753" width="7.5703125" style="641" customWidth="1"/>
    <col min="10754" max="10754" width="11.28515625" style="641" bestFit="1" customWidth="1"/>
    <col min="10755" max="10755" width="0" style="641" hidden="1" customWidth="1"/>
    <col min="10756" max="10756" width="57.28515625" style="641" customWidth="1"/>
    <col min="10757" max="10757" width="14.7109375" style="641" customWidth="1"/>
    <col min="10758" max="10758" width="8" style="641" customWidth="1"/>
    <col min="10759" max="10759" width="17.5703125" style="641" customWidth="1"/>
    <col min="10760" max="10764" width="0" style="641" hidden="1" customWidth="1"/>
    <col min="10765" max="10765" width="1.42578125" style="641" customWidth="1"/>
    <col min="10766" max="10766" width="12.7109375" style="641" bestFit="1" customWidth="1"/>
    <col min="10767" max="10767" width="12.5703125" style="641" bestFit="1" customWidth="1"/>
    <col min="10768" max="10768" width="13.7109375" style="641" bestFit="1" customWidth="1"/>
    <col min="10769" max="11008" width="9.140625" style="641"/>
    <col min="11009" max="11009" width="7.5703125" style="641" customWidth="1"/>
    <col min="11010" max="11010" width="11.28515625" style="641" bestFit="1" customWidth="1"/>
    <col min="11011" max="11011" width="0" style="641" hidden="1" customWidth="1"/>
    <col min="11012" max="11012" width="57.28515625" style="641" customWidth="1"/>
    <col min="11013" max="11013" width="14.7109375" style="641" customWidth="1"/>
    <col min="11014" max="11014" width="8" style="641" customWidth="1"/>
    <col min="11015" max="11015" width="17.5703125" style="641" customWidth="1"/>
    <col min="11016" max="11020" width="0" style="641" hidden="1" customWidth="1"/>
    <col min="11021" max="11021" width="1.42578125" style="641" customWidth="1"/>
    <col min="11022" max="11022" width="12.7109375" style="641" bestFit="1" customWidth="1"/>
    <col min="11023" max="11023" width="12.5703125" style="641" bestFit="1" customWidth="1"/>
    <col min="11024" max="11024" width="13.7109375" style="641" bestFit="1" customWidth="1"/>
    <col min="11025" max="11264" width="9.140625" style="641"/>
    <col min="11265" max="11265" width="7.5703125" style="641" customWidth="1"/>
    <col min="11266" max="11266" width="11.28515625" style="641" bestFit="1" customWidth="1"/>
    <col min="11267" max="11267" width="0" style="641" hidden="1" customWidth="1"/>
    <col min="11268" max="11268" width="57.28515625" style="641" customWidth="1"/>
    <col min="11269" max="11269" width="14.7109375" style="641" customWidth="1"/>
    <col min="11270" max="11270" width="8" style="641" customWidth="1"/>
    <col min="11271" max="11271" width="17.5703125" style="641" customWidth="1"/>
    <col min="11272" max="11276" width="0" style="641" hidden="1" customWidth="1"/>
    <col min="11277" max="11277" width="1.42578125" style="641" customWidth="1"/>
    <col min="11278" max="11278" width="12.7109375" style="641" bestFit="1" customWidth="1"/>
    <col min="11279" max="11279" width="12.5703125" style="641" bestFit="1" customWidth="1"/>
    <col min="11280" max="11280" width="13.7109375" style="641" bestFit="1" customWidth="1"/>
    <col min="11281" max="11520" width="9.140625" style="641"/>
    <col min="11521" max="11521" width="7.5703125" style="641" customWidth="1"/>
    <col min="11522" max="11522" width="11.28515625" style="641" bestFit="1" customWidth="1"/>
    <col min="11523" max="11523" width="0" style="641" hidden="1" customWidth="1"/>
    <col min="11524" max="11524" width="57.28515625" style="641" customWidth="1"/>
    <col min="11525" max="11525" width="14.7109375" style="641" customWidth="1"/>
    <col min="11526" max="11526" width="8" style="641" customWidth="1"/>
    <col min="11527" max="11527" width="17.5703125" style="641" customWidth="1"/>
    <col min="11528" max="11532" width="0" style="641" hidden="1" customWidth="1"/>
    <col min="11533" max="11533" width="1.42578125" style="641" customWidth="1"/>
    <col min="11534" max="11534" width="12.7109375" style="641" bestFit="1" customWidth="1"/>
    <col min="11535" max="11535" width="12.5703125" style="641" bestFit="1" customWidth="1"/>
    <col min="11536" max="11536" width="13.7109375" style="641" bestFit="1" customWidth="1"/>
    <col min="11537" max="11776" width="9.140625" style="641"/>
    <col min="11777" max="11777" width="7.5703125" style="641" customWidth="1"/>
    <col min="11778" max="11778" width="11.28515625" style="641" bestFit="1" customWidth="1"/>
    <col min="11779" max="11779" width="0" style="641" hidden="1" customWidth="1"/>
    <col min="11780" max="11780" width="57.28515625" style="641" customWidth="1"/>
    <col min="11781" max="11781" width="14.7109375" style="641" customWidth="1"/>
    <col min="11782" max="11782" width="8" style="641" customWidth="1"/>
    <col min="11783" max="11783" width="17.5703125" style="641" customWidth="1"/>
    <col min="11784" max="11788" width="0" style="641" hidden="1" customWidth="1"/>
    <col min="11789" max="11789" width="1.42578125" style="641" customWidth="1"/>
    <col min="11790" max="11790" width="12.7109375" style="641" bestFit="1" customWidth="1"/>
    <col min="11791" max="11791" width="12.5703125" style="641" bestFit="1" customWidth="1"/>
    <col min="11792" max="11792" width="13.7109375" style="641" bestFit="1" customWidth="1"/>
    <col min="11793" max="12032" width="9.140625" style="641"/>
    <col min="12033" max="12033" width="7.5703125" style="641" customWidth="1"/>
    <col min="12034" max="12034" width="11.28515625" style="641" bestFit="1" customWidth="1"/>
    <col min="12035" max="12035" width="0" style="641" hidden="1" customWidth="1"/>
    <col min="12036" max="12036" width="57.28515625" style="641" customWidth="1"/>
    <col min="12037" max="12037" width="14.7109375" style="641" customWidth="1"/>
    <col min="12038" max="12038" width="8" style="641" customWidth="1"/>
    <col min="12039" max="12039" width="17.5703125" style="641" customWidth="1"/>
    <col min="12040" max="12044" width="0" style="641" hidden="1" customWidth="1"/>
    <col min="12045" max="12045" width="1.42578125" style="641" customWidth="1"/>
    <col min="12046" max="12046" width="12.7109375" style="641" bestFit="1" customWidth="1"/>
    <col min="12047" max="12047" width="12.5703125" style="641" bestFit="1" customWidth="1"/>
    <col min="12048" max="12048" width="13.7109375" style="641" bestFit="1" customWidth="1"/>
    <col min="12049" max="12288" width="9.140625" style="641"/>
    <col min="12289" max="12289" width="7.5703125" style="641" customWidth="1"/>
    <col min="12290" max="12290" width="11.28515625" style="641" bestFit="1" customWidth="1"/>
    <col min="12291" max="12291" width="0" style="641" hidden="1" customWidth="1"/>
    <col min="12292" max="12292" width="57.28515625" style="641" customWidth="1"/>
    <col min="12293" max="12293" width="14.7109375" style="641" customWidth="1"/>
    <col min="12294" max="12294" width="8" style="641" customWidth="1"/>
    <col min="12295" max="12295" width="17.5703125" style="641" customWidth="1"/>
    <col min="12296" max="12300" width="0" style="641" hidden="1" customWidth="1"/>
    <col min="12301" max="12301" width="1.42578125" style="641" customWidth="1"/>
    <col min="12302" max="12302" width="12.7109375" style="641" bestFit="1" customWidth="1"/>
    <col min="12303" max="12303" width="12.5703125" style="641" bestFit="1" customWidth="1"/>
    <col min="12304" max="12304" width="13.7109375" style="641" bestFit="1" customWidth="1"/>
    <col min="12305" max="12544" width="9.140625" style="641"/>
    <col min="12545" max="12545" width="7.5703125" style="641" customWidth="1"/>
    <col min="12546" max="12546" width="11.28515625" style="641" bestFit="1" customWidth="1"/>
    <col min="12547" max="12547" width="0" style="641" hidden="1" customWidth="1"/>
    <col min="12548" max="12548" width="57.28515625" style="641" customWidth="1"/>
    <col min="12549" max="12549" width="14.7109375" style="641" customWidth="1"/>
    <col min="12550" max="12550" width="8" style="641" customWidth="1"/>
    <col min="12551" max="12551" width="17.5703125" style="641" customWidth="1"/>
    <col min="12552" max="12556" width="0" style="641" hidden="1" customWidth="1"/>
    <col min="12557" max="12557" width="1.42578125" style="641" customWidth="1"/>
    <col min="12558" max="12558" width="12.7109375" style="641" bestFit="1" customWidth="1"/>
    <col min="12559" max="12559" width="12.5703125" style="641" bestFit="1" customWidth="1"/>
    <col min="12560" max="12560" width="13.7109375" style="641" bestFit="1" customWidth="1"/>
    <col min="12561" max="12800" width="9.140625" style="641"/>
    <col min="12801" max="12801" width="7.5703125" style="641" customWidth="1"/>
    <col min="12802" max="12802" width="11.28515625" style="641" bestFit="1" customWidth="1"/>
    <col min="12803" max="12803" width="0" style="641" hidden="1" customWidth="1"/>
    <col min="12804" max="12804" width="57.28515625" style="641" customWidth="1"/>
    <col min="12805" max="12805" width="14.7109375" style="641" customWidth="1"/>
    <col min="12806" max="12806" width="8" style="641" customWidth="1"/>
    <col min="12807" max="12807" width="17.5703125" style="641" customWidth="1"/>
    <col min="12808" max="12812" width="0" style="641" hidden="1" customWidth="1"/>
    <col min="12813" max="12813" width="1.42578125" style="641" customWidth="1"/>
    <col min="12814" max="12814" width="12.7109375" style="641" bestFit="1" customWidth="1"/>
    <col min="12815" max="12815" width="12.5703125" style="641" bestFit="1" customWidth="1"/>
    <col min="12816" max="12816" width="13.7109375" style="641" bestFit="1" customWidth="1"/>
    <col min="12817" max="13056" width="9.140625" style="641"/>
    <col min="13057" max="13057" width="7.5703125" style="641" customWidth="1"/>
    <col min="13058" max="13058" width="11.28515625" style="641" bestFit="1" customWidth="1"/>
    <col min="13059" max="13059" width="0" style="641" hidden="1" customWidth="1"/>
    <col min="13060" max="13060" width="57.28515625" style="641" customWidth="1"/>
    <col min="13061" max="13061" width="14.7109375" style="641" customWidth="1"/>
    <col min="13062" max="13062" width="8" style="641" customWidth="1"/>
    <col min="13063" max="13063" width="17.5703125" style="641" customWidth="1"/>
    <col min="13064" max="13068" width="0" style="641" hidden="1" customWidth="1"/>
    <col min="13069" max="13069" width="1.42578125" style="641" customWidth="1"/>
    <col min="13070" max="13070" width="12.7109375" style="641" bestFit="1" customWidth="1"/>
    <col min="13071" max="13071" width="12.5703125" style="641" bestFit="1" customWidth="1"/>
    <col min="13072" max="13072" width="13.7109375" style="641" bestFit="1" customWidth="1"/>
    <col min="13073" max="13312" width="9.140625" style="641"/>
    <col min="13313" max="13313" width="7.5703125" style="641" customWidth="1"/>
    <col min="13314" max="13314" width="11.28515625" style="641" bestFit="1" customWidth="1"/>
    <col min="13315" max="13315" width="0" style="641" hidden="1" customWidth="1"/>
    <col min="13316" max="13316" width="57.28515625" style="641" customWidth="1"/>
    <col min="13317" max="13317" width="14.7109375" style="641" customWidth="1"/>
    <col min="13318" max="13318" width="8" style="641" customWidth="1"/>
    <col min="13319" max="13319" width="17.5703125" style="641" customWidth="1"/>
    <col min="13320" max="13324" width="0" style="641" hidden="1" customWidth="1"/>
    <col min="13325" max="13325" width="1.42578125" style="641" customWidth="1"/>
    <col min="13326" max="13326" width="12.7109375" style="641" bestFit="1" customWidth="1"/>
    <col min="13327" max="13327" width="12.5703125" style="641" bestFit="1" customWidth="1"/>
    <col min="13328" max="13328" width="13.7109375" style="641" bestFit="1" customWidth="1"/>
    <col min="13329" max="13568" width="9.140625" style="641"/>
    <col min="13569" max="13569" width="7.5703125" style="641" customWidth="1"/>
    <col min="13570" max="13570" width="11.28515625" style="641" bestFit="1" customWidth="1"/>
    <col min="13571" max="13571" width="0" style="641" hidden="1" customWidth="1"/>
    <col min="13572" max="13572" width="57.28515625" style="641" customWidth="1"/>
    <col min="13573" max="13573" width="14.7109375" style="641" customWidth="1"/>
    <col min="13574" max="13574" width="8" style="641" customWidth="1"/>
    <col min="13575" max="13575" width="17.5703125" style="641" customWidth="1"/>
    <col min="13576" max="13580" width="0" style="641" hidden="1" customWidth="1"/>
    <col min="13581" max="13581" width="1.42578125" style="641" customWidth="1"/>
    <col min="13582" max="13582" width="12.7109375" style="641" bestFit="1" customWidth="1"/>
    <col min="13583" max="13583" width="12.5703125" style="641" bestFit="1" customWidth="1"/>
    <col min="13584" max="13584" width="13.7109375" style="641" bestFit="1" customWidth="1"/>
    <col min="13585" max="13824" width="9.140625" style="641"/>
    <col min="13825" max="13825" width="7.5703125" style="641" customWidth="1"/>
    <col min="13826" max="13826" width="11.28515625" style="641" bestFit="1" customWidth="1"/>
    <col min="13827" max="13827" width="0" style="641" hidden="1" customWidth="1"/>
    <col min="13828" max="13828" width="57.28515625" style="641" customWidth="1"/>
    <col min="13829" max="13829" width="14.7109375" style="641" customWidth="1"/>
    <col min="13830" max="13830" width="8" style="641" customWidth="1"/>
    <col min="13831" max="13831" width="17.5703125" style="641" customWidth="1"/>
    <col min="13832" max="13836" width="0" style="641" hidden="1" customWidth="1"/>
    <col min="13837" max="13837" width="1.42578125" style="641" customWidth="1"/>
    <col min="13838" max="13838" width="12.7109375" style="641" bestFit="1" customWidth="1"/>
    <col min="13839" max="13839" width="12.5703125" style="641" bestFit="1" customWidth="1"/>
    <col min="13840" max="13840" width="13.7109375" style="641" bestFit="1" customWidth="1"/>
    <col min="13841" max="14080" width="9.140625" style="641"/>
    <col min="14081" max="14081" width="7.5703125" style="641" customWidth="1"/>
    <col min="14082" max="14082" width="11.28515625" style="641" bestFit="1" customWidth="1"/>
    <col min="14083" max="14083" width="0" style="641" hidden="1" customWidth="1"/>
    <col min="14084" max="14084" width="57.28515625" style="641" customWidth="1"/>
    <col min="14085" max="14085" width="14.7109375" style="641" customWidth="1"/>
    <col min="14086" max="14086" width="8" style="641" customWidth="1"/>
    <col min="14087" max="14087" width="17.5703125" style="641" customWidth="1"/>
    <col min="14088" max="14092" width="0" style="641" hidden="1" customWidth="1"/>
    <col min="14093" max="14093" width="1.42578125" style="641" customWidth="1"/>
    <col min="14094" max="14094" width="12.7109375" style="641" bestFit="1" customWidth="1"/>
    <col min="14095" max="14095" width="12.5703125" style="641" bestFit="1" customWidth="1"/>
    <col min="14096" max="14096" width="13.7109375" style="641" bestFit="1" customWidth="1"/>
    <col min="14097" max="14336" width="9.140625" style="641"/>
    <col min="14337" max="14337" width="7.5703125" style="641" customWidth="1"/>
    <col min="14338" max="14338" width="11.28515625" style="641" bestFit="1" customWidth="1"/>
    <col min="14339" max="14339" width="0" style="641" hidden="1" customWidth="1"/>
    <col min="14340" max="14340" width="57.28515625" style="641" customWidth="1"/>
    <col min="14341" max="14341" width="14.7109375" style="641" customWidth="1"/>
    <col min="14342" max="14342" width="8" style="641" customWidth="1"/>
    <col min="14343" max="14343" width="17.5703125" style="641" customWidth="1"/>
    <col min="14344" max="14348" width="0" style="641" hidden="1" customWidth="1"/>
    <col min="14349" max="14349" width="1.42578125" style="641" customWidth="1"/>
    <col min="14350" max="14350" width="12.7109375" style="641" bestFit="1" customWidth="1"/>
    <col min="14351" max="14351" width="12.5703125" style="641" bestFit="1" customWidth="1"/>
    <col min="14352" max="14352" width="13.7109375" style="641" bestFit="1" customWidth="1"/>
    <col min="14353" max="14592" width="9.140625" style="641"/>
    <col min="14593" max="14593" width="7.5703125" style="641" customWidth="1"/>
    <col min="14594" max="14594" width="11.28515625" style="641" bestFit="1" customWidth="1"/>
    <col min="14595" max="14595" width="0" style="641" hidden="1" customWidth="1"/>
    <col min="14596" max="14596" width="57.28515625" style="641" customWidth="1"/>
    <col min="14597" max="14597" width="14.7109375" style="641" customWidth="1"/>
    <col min="14598" max="14598" width="8" style="641" customWidth="1"/>
    <col min="14599" max="14599" width="17.5703125" style="641" customWidth="1"/>
    <col min="14600" max="14604" width="0" style="641" hidden="1" customWidth="1"/>
    <col min="14605" max="14605" width="1.42578125" style="641" customWidth="1"/>
    <col min="14606" max="14606" width="12.7109375" style="641" bestFit="1" customWidth="1"/>
    <col min="14607" max="14607" width="12.5703125" style="641" bestFit="1" customWidth="1"/>
    <col min="14608" max="14608" width="13.7109375" style="641" bestFit="1" customWidth="1"/>
    <col min="14609" max="14848" width="9.140625" style="641"/>
    <col min="14849" max="14849" width="7.5703125" style="641" customWidth="1"/>
    <col min="14850" max="14850" width="11.28515625" style="641" bestFit="1" customWidth="1"/>
    <col min="14851" max="14851" width="0" style="641" hidden="1" customWidth="1"/>
    <col min="14852" max="14852" width="57.28515625" style="641" customWidth="1"/>
    <col min="14853" max="14853" width="14.7109375" style="641" customWidth="1"/>
    <col min="14854" max="14854" width="8" style="641" customWidth="1"/>
    <col min="14855" max="14855" width="17.5703125" style="641" customWidth="1"/>
    <col min="14856" max="14860" width="0" style="641" hidden="1" customWidth="1"/>
    <col min="14861" max="14861" width="1.42578125" style="641" customWidth="1"/>
    <col min="14862" max="14862" width="12.7109375" style="641" bestFit="1" customWidth="1"/>
    <col min="14863" max="14863" width="12.5703125" style="641" bestFit="1" customWidth="1"/>
    <col min="14864" max="14864" width="13.7109375" style="641" bestFit="1" customWidth="1"/>
    <col min="14865" max="15104" width="9.140625" style="641"/>
    <col min="15105" max="15105" width="7.5703125" style="641" customWidth="1"/>
    <col min="15106" max="15106" width="11.28515625" style="641" bestFit="1" customWidth="1"/>
    <col min="15107" max="15107" width="0" style="641" hidden="1" customWidth="1"/>
    <col min="15108" max="15108" width="57.28515625" style="641" customWidth="1"/>
    <col min="15109" max="15109" width="14.7109375" style="641" customWidth="1"/>
    <col min="15110" max="15110" width="8" style="641" customWidth="1"/>
    <col min="15111" max="15111" width="17.5703125" style="641" customWidth="1"/>
    <col min="15112" max="15116" width="0" style="641" hidden="1" customWidth="1"/>
    <col min="15117" max="15117" width="1.42578125" style="641" customWidth="1"/>
    <col min="15118" max="15118" width="12.7109375" style="641" bestFit="1" customWidth="1"/>
    <col min="15119" max="15119" width="12.5703125" style="641" bestFit="1" customWidth="1"/>
    <col min="15120" max="15120" width="13.7109375" style="641" bestFit="1" customWidth="1"/>
    <col min="15121" max="15360" width="9.140625" style="641"/>
    <col min="15361" max="15361" width="7.5703125" style="641" customWidth="1"/>
    <col min="15362" max="15362" width="11.28515625" style="641" bestFit="1" customWidth="1"/>
    <col min="15363" max="15363" width="0" style="641" hidden="1" customWidth="1"/>
    <col min="15364" max="15364" width="57.28515625" style="641" customWidth="1"/>
    <col min="15365" max="15365" width="14.7109375" style="641" customWidth="1"/>
    <col min="15366" max="15366" width="8" style="641" customWidth="1"/>
    <col min="15367" max="15367" width="17.5703125" style="641" customWidth="1"/>
    <col min="15368" max="15372" width="0" style="641" hidden="1" customWidth="1"/>
    <col min="15373" max="15373" width="1.42578125" style="641" customWidth="1"/>
    <col min="15374" max="15374" width="12.7109375" style="641" bestFit="1" customWidth="1"/>
    <col min="15375" max="15375" width="12.5703125" style="641" bestFit="1" customWidth="1"/>
    <col min="15376" max="15376" width="13.7109375" style="641" bestFit="1" customWidth="1"/>
    <col min="15377" max="15616" width="9.140625" style="641"/>
    <col min="15617" max="15617" width="7.5703125" style="641" customWidth="1"/>
    <col min="15618" max="15618" width="11.28515625" style="641" bestFit="1" customWidth="1"/>
    <col min="15619" max="15619" width="0" style="641" hidden="1" customWidth="1"/>
    <col min="15620" max="15620" width="57.28515625" style="641" customWidth="1"/>
    <col min="15621" max="15621" width="14.7109375" style="641" customWidth="1"/>
    <col min="15622" max="15622" width="8" style="641" customWidth="1"/>
    <col min="15623" max="15623" width="17.5703125" style="641" customWidth="1"/>
    <col min="15624" max="15628" width="0" style="641" hidden="1" customWidth="1"/>
    <col min="15629" max="15629" width="1.42578125" style="641" customWidth="1"/>
    <col min="15630" max="15630" width="12.7109375" style="641" bestFit="1" customWidth="1"/>
    <col min="15631" max="15631" width="12.5703125" style="641" bestFit="1" customWidth="1"/>
    <col min="15632" max="15632" width="13.7109375" style="641" bestFit="1" customWidth="1"/>
    <col min="15633" max="15872" width="9.140625" style="641"/>
    <col min="15873" max="15873" width="7.5703125" style="641" customWidth="1"/>
    <col min="15874" max="15874" width="11.28515625" style="641" bestFit="1" customWidth="1"/>
    <col min="15875" max="15875" width="0" style="641" hidden="1" customWidth="1"/>
    <col min="15876" max="15876" width="57.28515625" style="641" customWidth="1"/>
    <col min="15877" max="15877" width="14.7109375" style="641" customWidth="1"/>
    <col min="15878" max="15878" width="8" style="641" customWidth="1"/>
    <col min="15879" max="15879" width="17.5703125" style="641" customWidth="1"/>
    <col min="15880" max="15884" width="0" style="641" hidden="1" customWidth="1"/>
    <col min="15885" max="15885" width="1.42578125" style="641" customWidth="1"/>
    <col min="15886" max="15886" width="12.7109375" style="641" bestFit="1" customWidth="1"/>
    <col min="15887" max="15887" width="12.5703125" style="641" bestFit="1" customWidth="1"/>
    <col min="15888" max="15888" width="13.7109375" style="641" bestFit="1" customWidth="1"/>
    <col min="15889" max="16128" width="9.140625" style="641"/>
    <col min="16129" max="16129" width="7.5703125" style="641" customWidth="1"/>
    <col min="16130" max="16130" width="11.28515625" style="641" bestFit="1" customWidth="1"/>
    <col min="16131" max="16131" width="0" style="641" hidden="1" customWidth="1"/>
    <col min="16132" max="16132" width="57.28515625" style="641" customWidth="1"/>
    <col min="16133" max="16133" width="14.7109375" style="641" customWidth="1"/>
    <col min="16134" max="16134" width="8" style="641" customWidth="1"/>
    <col min="16135" max="16135" width="17.5703125" style="641" customWidth="1"/>
    <col min="16136" max="16140" width="0" style="641" hidden="1" customWidth="1"/>
    <col min="16141" max="16141" width="1.42578125" style="641" customWidth="1"/>
    <col min="16142" max="16142" width="12.7109375" style="641" bestFit="1" customWidth="1"/>
    <col min="16143" max="16143" width="12.5703125" style="641" bestFit="1" customWidth="1"/>
    <col min="16144" max="16144" width="13.7109375" style="641" bestFit="1" customWidth="1"/>
    <col min="16145" max="16384" width="9.140625" style="641"/>
  </cols>
  <sheetData>
    <row r="1" spans="1:13" ht="52.5" customHeight="1">
      <c r="A1" s="649" t="s">
        <v>978</v>
      </c>
      <c r="B1" s="649"/>
      <c r="C1" s="649"/>
      <c r="D1" s="649"/>
      <c r="E1" s="649"/>
      <c r="F1" s="649"/>
      <c r="G1" s="649"/>
      <c r="H1" s="649"/>
      <c r="I1" s="649"/>
      <c r="J1" s="649"/>
      <c r="K1" s="649"/>
      <c r="L1" s="649"/>
      <c r="M1" s="649"/>
    </row>
    <row r="2" spans="1:13" ht="21.75" customHeight="1">
      <c r="A2" s="650" t="s">
        <v>185</v>
      </c>
      <c r="B2" s="650"/>
      <c r="C2" s="650"/>
      <c r="D2" s="650"/>
      <c r="E2" s="650"/>
      <c r="F2" s="650"/>
      <c r="G2" s="650"/>
      <c r="H2" s="651"/>
      <c r="I2" s="651"/>
      <c r="J2" s="651"/>
      <c r="K2" s="651"/>
      <c r="L2" s="651"/>
      <c r="M2" s="651"/>
    </row>
    <row r="3" spans="1:13" ht="14.25" customHeight="1">
      <c r="A3" s="652" t="s">
        <v>186</v>
      </c>
      <c r="B3" s="653" t="s">
        <v>189</v>
      </c>
      <c r="C3" s="653"/>
      <c r="D3" s="653" t="s">
        <v>979</v>
      </c>
      <c r="E3" s="653" t="s">
        <v>190</v>
      </c>
      <c r="F3" s="653" t="s">
        <v>297</v>
      </c>
      <c r="G3" s="653" t="s">
        <v>191</v>
      </c>
      <c r="H3" s="654" t="s">
        <v>980</v>
      </c>
      <c r="I3" s="655"/>
      <c r="J3" s="656" t="s">
        <v>981</v>
      </c>
      <c r="K3" s="656"/>
      <c r="L3" s="656" t="s">
        <v>34</v>
      </c>
      <c r="M3" s="656"/>
    </row>
    <row r="4" spans="1:13" ht="18.75" customHeight="1">
      <c r="A4" s="652"/>
      <c r="B4" s="653"/>
      <c r="C4" s="653"/>
      <c r="D4" s="653"/>
      <c r="E4" s="653"/>
      <c r="F4" s="653"/>
      <c r="G4" s="653"/>
      <c r="H4" s="657" t="s">
        <v>189</v>
      </c>
      <c r="I4" s="658" t="s">
        <v>191</v>
      </c>
      <c r="J4" s="659" t="s">
        <v>189</v>
      </c>
      <c r="K4" s="659" t="s">
        <v>191</v>
      </c>
      <c r="L4" s="659" t="s">
        <v>189</v>
      </c>
      <c r="M4" s="659" t="s">
        <v>191</v>
      </c>
    </row>
    <row r="5" spans="1:13" ht="42.75" customHeight="1">
      <c r="A5" s="660">
        <v>1</v>
      </c>
      <c r="B5" s="661"/>
      <c r="C5" s="662"/>
      <c r="D5" s="663" t="str">
        <f>'[20]detail estimate main'!B5</f>
        <v>Earth work excavation for Open foundation (excluding refilling)</v>
      </c>
      <c r="E5" s="661"/>
      <c r="F5" s="664"/>
      <c r="G5" s="661"/>
      <c r="H5" s="657"/>
      <c r="I5" s="658"/>
      <c r="J5" s="659"/>
      <c r="K5" s="659"/>
      <c r="L5" s="659"/>
      <c r="M5" s="659"/>
    </row>
    <row r="6" spans="1:13" ht="52.5" customHeight="1">
      <c r="A6" s="660"/>
      <c r="B6" s="661">
        <f>'[20]detail estimate main'!I8</f>
        <v>44.5</v>
      </c>
      <c r="C6" s="662"/>
      <c r="D6" s="665" t="str">
        <f>'[20]detail estimate main'!B6</f>
        <v>a. 0 to 2 mt.</v>
      </c>
      <c r="E6" s="661">
        <f>'[20]print final data'!F80</f>
        <v>106.26</v>
      </c>
      <c r="F6" s="664" t="s">
        <v>642</v>
      </c>
      <c r="G6" s="661">
        <f>B6*E6</f>
        <v>4728.5700000000006</v>
      </c>
      <c r="H6" s="657"/>
      <c r="I6" s="658"/>
      <c r="J6" s="659"/>
      <c r="K6" s="659"/>
      <c r="L6" s="659"/>
      <c r="M6" s="659"/>
    </row>
    <row r="7" spans="1:13" ht="52.5" customHeight="1">
      <c r="A7" s="660">
        <v>2</v>
      </c>
      <c r="B7" s="661">
        <f>'[20]detail estimate main'!I12</f>
        <v>3.35</v>
      </c>
      <c r="C7" s="662"/>
      <c r="D7" s="663" t="str">
        <f>'[20]detail estimate main'!B10</f>
        <v>Supplying and filling stonedust</v>
      </c>
      <c r="E7" s="661">
        <f>'[20]print final data'!F90</f>
        <v>340.84</v>
      </c>
      <c r="F7" s="664" t="s">
        <v>642</v>
      </c>
      <c r="G7" s="661">
        <f>B7*E7</f>
        <v>1141.8139999999999</v>
      </c>
      <c r="H7" s="657"/>
      <c r="I7" s="658"/>
      <c r="J7" s="659"/>
      <c r="K7" s="659"/>
      <c r="L7" s="659"/>
      <c r="M7" s="659"/>
    </row>
    <row r="8" spans="1:13" ht="147" customHeight="1">
      <c r="A8" s="660">
        <v>3</v>
      </c>
      <c r="B8" s="661">
        <f>'[20]detail estimate main'!I16</f>
        <v>3.4</v>
      </c>
      <c r="C8" s="662"/>
      <c r="D8" s="663" t="str">
        <f>'[20]detail estimate main'!B14</f>
        <v>Plain cement concrete 1:5:10 (One of cement, five of sand 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v>
      </c>
      <c r="E8" s="661">
        <f>'[20]print final data'!F104</f>
        <v>4314.4399999999996</v>
      </c>
      <c r="F8" s="664" t="s">
        <v>642</v>
      </c>
      <c r="G8" s="661">
        <f>B8*E8</f>
        <v>14669.095999999998</v>
      </c>
      <c r="H8" s="657"/>
      <c r="I8" s="658"/>
      <c r="J8" s="659"/>
      <c r="K8" s="659"/>
      <c r="L8" s="659"/>
      <c r="M8" s="659"/>
    </row>
    <row r="9" spans="1:13" ht="40.5" customHeight="1">
      <c r="A9" s="660">
        <v>4</v>
      </c>
      <c r="B9" s="661"/>
      <c r="C9" s="662"/>
      <c r="D9" s="663" t="s">
        <v>900</v>
      </c>
      <c r="E9" s="661"/>
      <c r="F9" s="664"/>
      <c r="G9" s="661"/>
      <c r="H9" s="657"/>
      <c r="I9" s="658"/>
      <c r="J9" s="659"/>
      <c r="K9" s="659"/>
      <c r="L9" s="659"/>
      <c r="M9" s="659"/>
    </row>
    <row r="10" spans="1:13" ht="40.5" customHeight="1">
      <c r="A10" s="660"/>
      <c r="B10" s="661">
        <f>'[20]detail estimate main'!I22</f>
        <v>1.75</v>
      </c>
      <c r="C10" s="662"/>
      <c r="D10" s="663" t="str">
        <f>'[20]detail estimate main'!B18</f>
        <v>a. In Ground floor</v>
      </c>
      <c r="E10" s="661">
        <f>'[20]print final data'!F122</f>
        <v>6309.12</v>
      </c>
      <c r="F10" s="664" t="s">
        <v>638</v>
      </c>
      <c r="G10" s="661">
        <f>B10*E10</f>
        <v>11040.96</v>
      </c>
      <c r="H10" s="657"/>
      <c r="I10" s="658"/>
      <c r="J10" s="659"/>
      <c r="K10" s="659"/>
      <c r="L10" s="659"/>
      <c r="M10" s="659"/>
    </row>
    <row r="11" spans="1:13" ht="55.5" customHeight="1">
      <c r="A11" s="660">
        <v>5</v>
      </c>
      <c r="B11" s="661"/>
      <c r="C11" s="662"/>
      <c r="D11" s="663" t="str">
        <f>'[20]detail estimate main'!B23</f>
        <v>Brick partition work in C.M. 1:4 using chamber Burnt bricks of size 23 x 11.4 x 7.5 cm (9" x 4 1/2"x 3") 114 mm tk (B.P.)</v>
      </c>
      <c r="E11" s="661"/>
      <c r="F11" s="664"/>
      <c r="G11" s="661"/>
      <c r="H11" s="657"/>
      <c r="I11" s="658"/>
      <c r="J11" s="659"/>
      <c r="K11" s="659"/>
      <c r="L11" s="659"/>
      <c r="M11" s="659"/>
    </row>
    <row r="12" spans="1:13" ht="40.5" customHeight="1">
      <c r="A12" s="660"/>
      <c r="B12" s="661">
        <f>'[20]detail estimate main'!I28</f>
        <v>31.3</v>
      </c>
      <c r="C12" s="662"/>
      <c r="D12" s="663" t="str">
        <f>'[20]detail estimate main'!B24</f>
        <v>b. In Ground floor</v>
      </c>
      <c r="E12" s="661">
        <f>'[20]print final data'!F134</f>
        <v>807.32</v>
      </c>
      <c r="F12" s="664" t="s">
        <v>247</v>
      </c>
      <c r="G12" s="661">
        <f t="shared" ref="G12:G17" si="0">B12*E12</f>
        <v>25269.116000000002</v>
      </c>
      <c r="H12" s="657"/>
      <c r="I12" s="658"/>
      <c r="J12" s="659"/>
      <c r="K12" s="659"/>
      <c r="L12" s="659"/>
      <c r="M12" s="659"/>
    </row>
    <row r="13" spans="1:13" ht="40.5" customHeight="1">
      <c r="A13" s="660">
        <v>6</v>
      </c>
      <c r="B13" s="661">
        <f>'[20]detail estimate main'!I33</f>
        <v>62.8</v>
      </c>
      <c r="C13" s="662"/>
      <c r="D13" s="663" t="s">
        <v>908</v>
      </c>
      <c r="E13" s="661">
        <f>'[20]print final data'!F147</f>
        <v>468.79</v>
      </c>
      <c r="F13" s="664" t="s">
        <v>247</v>
      </c>
      <c r="G13" s="661">
        <f t="shared" si="0"/>
        <v>29440.011999999999</v>
      </c>
      <c r="H13" s="657"/>
      <c r="I13" s="658"/>
      <c r="J13" s="659"/>
      <c r="K13" s="659"/>
      <c r="L13" s="659"/>
      <c r="M13" s="659"/>
    </row>
    <row r="14" spans="1:13" ht="40.5" customHeight="1">
      <c r="A14" s="660">
        <v>7</v>
      </c>
      <c r="B14" s="661">
        <f>'[20]detail estimate main'!I39</f>
        <v>31.75</v>
      </c>
      <c r="C14" s="662"/>
      <c r="D14" s="663" t="str">
        <f>'[20]detail estimate main'!B35</f>
        <v>Ellispattern</v>
      </c>
      <c r="E14" s="661">
        <f>'[20]print final data'!F163</f>
        <v>427.34</v>
      </c>
      <c r="F14" s="664" t="s">
        <v>247</v>
      </c>
      <c r="G14" s="661">
        <f t="shared" si="0"/>
        <v>13568.045</v>
      </c>
      <c r="H14" s="657"/>
      <c r="I14" s="658"/>
      <c r="J14" s="659"/>
      <c r="K14" s="659"/>
      <c r="L14" s="659"/>
      <c r="M14" s="659"/>
    </row>
    <row r="15" spans="1:13" ht="40.5" customHeight="1">
      <c r="A15" s="660">
        <v>8</v>
      </c>
      <c r="B15" s="661">
        <f>'[20]detail estimate main'!I49</f>
        <v>106.75</v>
      </c>
      <c r="C15" s="662"/>
      <c r="D15" s="663" t="str">
        <f>'[20]detail estimate main'!B40</f>
        <v>Plastering in C.M. 1:5, 12 mm tk.</v>
      </c>
      <c r="E15" s="661">
        <f>'[20]print final data'!F176</f>
        <v>227.66</v>
      </c>
      <c r="F15" s="664" t="s">
        <v>247</v>
      </c>
      <c r="G15" s="661">
        <f t="shared" si="0"/>
        <v>24302.704999999998</v>
      </c>
      <c r="H15" s="657"/>
      <c r="I15" s="658"/>
      <c r="J15" s="659"/>
      <c r="K15" s="659"/>
      <c r="L15" s="659"/>
      <c r="M15" s="659"/>
    </row>
    <row r="16" spans="1:13" ht="40.5" customHeight="1">
      <c r="A16" s="660">
        <v>9</v>
      </c>
      <c r="B16" s="661">
        <f>'[20]detail estimate main'!I55</f>
        <v>15.3</v>
      </c>
      <c r="C16" s="662"/>
      <c r="D16" s="663" t="str">
        <f>'[20]detail estimate main'!B50</f>
        <v>Spl. Ceiling plastering in C.M. 1:3,
 10 mm tk.</v>
      </c>
      <c r="E16" s="661">
        <f>'[20]print final data'!F188</f>
        <v>265.68</v>
      </c>
      <c r="F16" s="664" t="s">
        <v>247</v>
      </c>
      <c r="G16" s="661">
        <f t="shared" si="0"/>
        <v>4064.9040000000005</v>
      </c>
      <c r="H16" s="657"/>
      <c r="I16" s="658"/>
      <c r="J16" s="659"/>
      <c r="K16" s="659"/>
      <c r="L16" s="659"/>
      <c r="M16" s="659"/>
    </row>
    <row r="17" spans="1:13" ht="40.5" customHeight="1">
      <c r="A17" s="660">
        <v>10</v>
      </c>
      <c r="B17" s="661">
        <f>'[20]detail estimate main'!I58</f>
        <v>10.1</v>
      </c>
      <c r="C17" s="662"/>
      <c r="D17" s="663" t="str">
        <f>'[20]detail estimate main'!B56</f>
        <v>White washing 3 coats  (slaked)</v>
      </c>
      <c r="E17" s="661">
        <f>'[20]print final data'!F200</f>
        <v>43.02</v>
      </c>
      <c r="F17" s="664" t="s">
        <v>247</v>
      </c>
      <c r="G17" s="661">
        <f t="shared" si="0"/>
        <v>434.50200000000001</v>
      </c>
      <c r="H17" s="657"/>
      <c r="I17" s="658"/>
      <c r="J17" s="659"/>
      <c r="K17" s="659"/>
      <c r="L17" s="659"/>
      <c r="M17" s="659"/>
    </row>
    <row r="18" spans="1:13" ht="69.75" customHeight="1">
      <c r="A18" s="660">
        <v>11</v>
      </c>
      <c r="B18" s="661"/>
      <c r="C18" s="662"/>
      <c r="D18" s="663" t="str">
        <f>'[20]detail estimate main'!B60</f>
        <v>Standardised concrete Mix M25 Grade Concrete</v>
      </c>
      <c r="E18" s="661"/>
      <c r="F18" s="664"/>
      <c r="G18" s="661"/>
      <c r="H18" s="657"/>
      <c r="I18" s="658"/>
      <c r="J18" s="659"/>
      <c r="K18" s="659"/>
      <c r="L18" s="659"/>
      <c r="M18" s="659"/>
    </row>
    <row r="19" spans="1:13" ht="43.5" customHeight="1">
      <c r="A19" s="660"/>
      <c r="B19" s="661">
        <f>'[20]detail estimate main'!I67</f>
        <v>14.85</v>
      </c>
      <c r="C19" s="662"/>
      <c r="D19" s="663" t="str">
        <f>'[20]detail estimate main'!B61</f>
        <v>a. In Foundation and basement</v>
      </c>
      <c r="E19" s="661">
        <f>'[20]print final data'!F216</f>
        <v>7441.73</v>
      </c>
      <c r="F19" s="664" t="s">
        <v>642</v>
      </c>
      <c r="G19" s="661">
        <f>B19*E19</f>
        <v>110509.6905</v>
      </c>
      <c r="H19" s="657"/>
      <c r="I19" s="658"/>
      <c r="J19" s="659"/>
      <c r="K19" s="659"/>
      <c r="L19" s="659"/>
      <c r="M19" s="659"/>
    </row>
    <row r="20" spans="1:13" ht="43.5" customHeight="1">
      <c r="A20" s="660"/>
      <c r="B20" s="661">
        <f>'[20]detail estimate main'!I70</f>
        <v>2.25</v>
      </c>
      <c r="C20" s="662"/>
      <c r="D20" s="666" t="str">
        <f>'[20]detail estimate main'!B68</f>
        <v>b. In Ground floor</v>
      </c>
      <c r="E20" s="661">
        <f>'[20]print final data'!F218</f>
        <v>7555.36</v>
      </c>
      <c r="F20" s="664" t="s">
        <v>642</v>
      </c>
      <c r="G20" s="661">
        <f>B20*E20</f>
        <v>16999.559999999998</v>
      </c>
      <c r="H20" s="657"/>
      <c r="I20" s="658"/>
      <c r="J20" s="659"/>
      <c r="K20" s="659"/>
      <c r="L20" s="659"/>
      <c r="M20" s="659"/>
    </row>
    <row r="21" spans="1:13" ht="42" customHeight="1">
      <c r="A21" s="660">
        <v>12</v>
      </c>
      <c r="B21" s="661"/>
      <c r="C21" s="662"/>
      <c r="D21" s="667" t="s">
        <v>938</v>
      </c>
      <c r="E21" s="661"/>
      <c r="F21" s="664"/>
      <c r="G21" s="661">
        <f t="shared" ref="G21:G39" si="1">B21*E21</f>
        <v>0</v>
      </c>
      <c r="H21" s="657"/>
      <c r="I21" s="658"/>
      <c r="J21" s="659"/>
      <c r="K21" s="659"/>
      <c r="L21" s="659"/>
      <c r="M21" s="659"/>
    </row>
    <row r="22" spans="1:13" ht="54" customHeight="1">
      <c r="A22" s="660"/>
      <c r="B22" s="661">
        <f>'[20]detail estimate main'!I79</f>
        <v>18.25</v>
      </c>
      <c r="C22" s="662"/>
      <c r="D22" s="663" t="str">
        <f>'[20]detail estimate main'!B73</f>
        <v>b.Plain surfaces such as Roof slab,floorslab,Beams,lintels,lofts,sill slab,staircase,portico slab and other similar works</v>
      </c>
      <c r="E22" s="661">
        <f>'[20]print final data'!D231</f>
        <v>900.96</v>
      </c>
      <c r="F22" s="664" t="s">
        <v>247</v>
      </c>
      <c r="G22" s="661">
        <f t="shared" si="1"/>
        <v>16442.52</v>
      </c>
      <c r="H22" s="657"/>
      <c r="I22" s="658"/>
      <c r="J22" s="659"/>
      <c r="K22" s="659"/>
      <c r="L22" s="659"/>
      <c r="M22" s="659"/>
    </row>
    <row r="23" spans="1:13" ht="39.75" customHeight="1">
      <c r="A23" s="660"/>
      <c r="B23" s="661">
        <f>'[20]detail estimate main'!I89</f>
        <v>97.85</v>
      </c>
      <c r="C23" s="662"/>
      <c r="D23" s="663" t="str">
        <f>'[20]detail estimate main'!B80</f>
        <v>f.Curved surface</v>
      </c>
      <c r="E23" s="661">
        <f>'[20]print final data'!D235</f>
        <v>1351.44</v>
      </c>
      <c r="F23" s="664" t="s">
        <v>289</v>
      </c>
      <c r="G23" s="661">
        <f t="shared" si="1"/>
        <v>132238.40400000001</v>
      </c>
      <c r="H23" s="657"/>
      <c r="I23" s="658"/>
      <c r="J23" s="659"/>
      <c r="K23" s="659"/>
      <c r="L23" s="659"/>
      <c r="M23" s="659"/>
    </row>
    <row r="24" spans="1:13" ht="39.75" customHeight="1">
      <c r="A24" s="660">
        <v>13</v>
      </c>
      <c r="B24" s="661">
        <f>'[20]detail estimate main'!I96</f>
        <v>35.5</v>
      </c>
      <c r="C24" s="662"/>
      <c r="D24" s="663" t="str">
        <f>'[20]detail estimate main'!B91</f>
        <v xml:space="preserve">Two coat of OBD over one coat white cement for inner walls </v>
      </c>
      <c r="E24" s="661">
        <f>'[20]print final data'!F249</f>
        <v>119.37</v>
      </c>
      <c r="F24" s="664" t="s">
        <v>247</v>
      </c>
      <c r="G24" s="661">
        <f t="shared" si="1"/>
        <v>4237.6350000000002</v>
      </c>
      <c r="H24" s="657"/>
      <c r="I24" s="658"/>
      <c r="J24" s="659"/>
      <c r="K24" s="659"/>
      <c r="L24" s="659"/>
      <c r="M24" s="659"/>
    </row>
    <row r="25" spans="1:13" ht="39.75" customHeight="1">
      <c r="A25" s="660">
        <v>14</v>
      </c>
      <c r="B25" s="661">
        <f>'[20]detail estimate main'!I105</f>
        <v>47.4</v>
      </c>
      <c r="C25" s="662"/>
      <c r="D25" s="663" t="str">
        <f>'[20]detail estimate main'!B98</f>
        <v>Plastic Emulsion PAINT including primer for outer walls</v>
      </c>
      <c r="E25" s="661">
        <f>'[20]print final data'!F262</f>
        <v>222.05</v>
      </c>
      <c r="F25" s="664" t="s">
        <v>289</v>
      </c>
      <c r="G25" s="661">
        <f t="shared" si="1"/>
        <v>10525.17</v>
      </c>
      <c r="H25" s="657"/>
      <c r="I25" s="658"/>
      <c r="J25" s="659"/>
      <c r="K25" s="659"/>
      <c r="L25" s="659"/>
      <c r="M25" s="659"/>
    </row>
    <row r="26" spans="1:13" ht="69.75" customHeight="1">
      <c r="A26" s="660">
        <v>15</v>
      </c>
      <c r="B26" s="661">
        <f>'[20]detail estimate main'!I110</f>
        <v>1.9</v>
      </c>
      <c r="C26" s="662"/>
      <c r="D26" s="663" t="str">
        <f>'[20]detail estimate main'!B107</f>
        <v xml:space="preserve">Fabrication of Mild steel / RTS grills (without cement slurry) for all sizes of rods.
</v>
      </c>
      <c r="E26" s="661">
        <f>'[20]print final data'!F274</f>
        <v>81012.5</v>
      </c>
      <c r="F26" s="664" t="s">
        <v>869</v>
      </c>
      <c r="G26" s="661">
        <f t="shared" si="1"/>
        <v>153923.75</v>
      </c>
      <c r="H26" s="657"/>
      <c r="I26" s="658"/>
      <c r="J26" s="659"/>
      <c r="K26" s="659"/>
      <c r="L26" s="659"/>
      <c r="M26" s="659"/>
    </row>
    <row r="27" spans="1:13" ht="69.75" customHeight="1">
      <c r="A27" s="660">
        <v>16</v>
      </c>
      <c r="B27" s="661">
        <f>'[20]detail estimate main'!I113</f>
        <v>14</v>
      </c>
      <c r="C27" s="662"/>
      <c r="D27" s="663" t="str">
        <f>'[20]detail estimate main'!B112</f>
        <v>C.I. Steps ( 5 kg)</v>
      </c>
      <c r="E27" s="661">
        <f>'[20]print final data'!F276</f>
        <v>30</v>
      </c>
      <c r="F27" s="664" t="s">
        <v>37</v>
      </c>
      <c r="G27" s="661">
        <f t="shared" si="1"/>
        <v>420</v>
      </c>
      <c r="H27" s="657"/>
      <c r="I27" s="658"/>
      <c r="J27" s="659"/>
      <c r="K27" s="659"/>
      <c r="L27" s="659"/>
      <c r="M27" s="659"/>
    </row>
    <row r="28" spans="1:13" ht="69.75" customHeight="1">
      <c r="A28" s="660">
        <v>17</v>
      </c>
      <c r="B28" s="661">
        <f>'[20]detail estimate main'!I116</f>
        <v>2</v>
      </c>
      <c r="C28" s="662"/>
      <c r="D28" s="663" t="s">
        <v>982</v>
      </c>
      <c r="E28" s="661">
        <v>2675</v>
      </c>
      <c r="F28" s="664" t="s">
        <v>37</v>
      </c>
      <c r="G28" s="661">
        <f t="shared" si="1"/>
        <v>5350</v>
      </c>
      <c r="H28" s="657"/>
      <c r="I28" s="658"/>
      <c r="J28" s="659"/>
      <c r="K28" s="659"/>
      <c r="L28" s="659"/>
      <c r="M28" s="659"/>
    </row>
    <row r="29" spans="1:13" ht="69.75" customHeight="1">
      <c r="A29" s="660">
        <v>18</v>
      </c>
      <c r="B29" s="661">
        <f>'[20]detail estimate main'!I122</f>
        <v>18.2</v>
      </c>
      <c r="C29" s="662"/>
      <c r="D29" s="663" t="str">
        <f>'[20]detail estimate main'!B118</f>
        <v>Filling with Excavated Earth</v>
      </c>
      <c r="E29" s="661">
        <f>'[20]print final data'!F282</f>
        <v>36.96</v>
      </c>
      <c r="F29" s="664" t="s">
        <v>642</v>
      </c>
      <c r="G29" s="661">
        <f t="shared" si="1"/>
        <v>672.67200000000003</v>
      </c>
      <c r="H29" s="657"/>
      <c r="I29" s="658"/>
      <c r="J29" s="659"/>
      <c r="K29" s="659"/>
      <c r="L29" s="659"/>
      <c r="M29" s="659"/>
    </row>
    <row r="30" spans="1:13" ht="128.25" customHeight="1">
      <c r="A30" s="660">
        <v>19</v>
      </c>
      <c r="B30" s="661">
        <f>'[20]detail estimate main'!I125</f>
        <v>2</v>
      </c>
      <c r="C30" s="662"/>
      <c r="D30" s="663" t="s">
        <v>983</v>
      </c>
      <c r="E30" s="661">
        <v>30855</v>
      </c>
      <c r="F30" s="664" t="s">
        <v>18</v>
      </c>
      <c r="G30" s="661">
        <f t="shared" si="1"/>
        <v>61710</v>
      </c>
      <c r="H30" s="657"/>
      <c r="I30" s="658"/>
      <c r="J30" s="659"/>
      <c r="K30" s="659"/>
      <c r="L30" s="659"/>
      <c r="M30" s="659"/>
    </row>
    <row r="31" spans="1:13" ht="21" customHeight="1">
      <c r="A31" s="660"/>
      <c r="B31" s="661"/>
      <c r="C31" s="662"/>
      <c r="D31" s="668" t="s">
        <v>984</v>
      </c>
      <c r="E31" s="661"/>
      <c r="F31" s="664"/>
      <c r="G31" s="661">
        <f t="shared" si="1"/>
        <v>0</v>
      </c>
      <c r="H31" s="657"/>
      <c r="I31" s="658"/>
      <c r="J31" s="659"/>
      <c r="K31" s="659"/>
      <c r="L31" s="659"/>
      <c r="M31" s="659"/>
    </row>
    <row r="32" spans="1:13" ht="127.5" customHeight="1">
      <c r="A32" s="660">
        <v>20</v>
      </c>
      <c r="B32" s="661">
        <f>'[20]detail estimate main'!I128</f>
        <v>3</v>
      </c>
      <c r="C32" s="662"/>
      <c r="D32" s="669" t="s">
        <v>985</v>
      </c>
      <c r="E32" s="661">
        <v>10051.1</v>
      </c>
      <c r="F32" s="664" t="s">
        <v>18</v>
      </c>
      <c r="G32" s="661">
        <f t="shared" si="1"/>
        <v>30153.300000000003</v>
      </c>
      <c r="H32" s="657"/>
      <c r="I32" s="658"/>
      <c r="J32" s="659"/>
      <c r="K32" s="659"/>
      <c r="L32" s="659"/>
      <c r="M32" s="659"/>
    </row>
    <row r="33" spans="1:13" ht="28.5" customHeight="1">
      <c r="A33" s="660"/>
      <c r="B33" s="661"/>
      <c r="C33" s="662"/>
      <c r="D33" s="668" t="s">
        <v>986</v>
      </c>
      <c r="E33" s="661"/>
      <c r="F33" s="664"/>
      <c r="G33" s="661">
        <f t="shared" si="1"/>
        <v>0</v>
      </c>
      <c r="H33" s="657"/>
      <c r="I33" s="658"/>
      <c r="J33" s="659"/>
      <c r="K33" s="659"/>
      <c r="L33" s="659"/>
      <c r="M33" s="659"/>
    </row>
    <row r="34" spans="1:13" ht="72.75" customHeight="1">
      <c r="A34" s="660">
        <v>21</v>
      </c>
      <c r="B34" s="661">
        <f>'[20]detail estimate main'!I130</f>
        <v>3</v>
      </c>
      <c r="C34" s="662"/>
      <c r="D34" s="670" t="str">
        <f>'[20]detail estimate main'!B130</f>
        <v>Supply and delivery of three phase panel board. D.O.L with two level guard and auto start with voltmeter and ameter and all other including labour charges and materials etc., all complete</v>
      </c>
      <c r="E34" s="661">
        <v>14095</v>
      </c>
      <c r="F34" s="664" t="s">
        <v>18</v>
      </c>
      <c r="G34" s="661">
        <f t="shared" si="1"/>
        <v>42285</v>
      </c>
      <c r="H34" s="657"/>
      <c r="I34" s="658"/>
      <c r="J34" s="659"/>
      <c r="K34" s="659"/>
      <c r="L34" s="659"/>
      <c r="M34" s="659"/>
    </row>
    <row r="35" spans="1:13" ht="27" customHeight="1">
      <c r="A35" s="660"/>
      <c r="B35" s="661"/>
      <c r="C35" s="662"/>
      <c r="D35" s="668" t="s">
        <v>987</v>
      </c>
      <c r="E35" s="661"/>
      <c r="F35" s="664"/>
      <c r="G35" s="661">
        <f t="shared" si="1"/>
        <v>0</v>
      </c>
      <c r="H35" s="657"/>
      <c r="I35" s="658"/>
      <c r="J35" s="659"/>
      <c r="K35" s="659"/>
      <c r="L35" s="659"/>
      <c r="M35" s="659"/>
    </row>
    <row r="36" spans="1:13" ht="69.75" customHeight="1">
      <c r="A36" s="660">
        <v>22</v>
      </c>
      <c r="B36" s="661">
        <f>'[20]detail estimate main'!I135</f>
        <v>95</v>
      </c>
      <c r="C36" s="662"/>
      <c r="D36" s="663" t="str">
        <f>'[20]detail estimate main'!B132</f>
        <v>Supplying and laying 3 core 4 sqmm FLAT COPPER CABLE with ISI mark including cost of all materials specials etc. all complete.</v>
      </c>
      <c r="E36" s="661">
        <f>'[20]print final data'!F290</f>
        <v>196</v>
      </c>
      <c r="F36" s="664" t="s">
        <v>15</v>
      </c>
      <c r="G36" s="661">
        <f t="shared" si="1"/>
        <v>18620</v>
      </c>
      <c r="H36" s="657"/>
      <c r="I36" s="658"/>
      <c r="J36" s="659"/>
      <c r="K36" s="659"/>
      <c r="L36" s="659"/>
      <c r="M36" s="659"/>
    </row>
    <row r="37" spans="1:13" ht="150.75" customHeight="1">
      <c r="A37" s="660">
        <v>23</v>
      </c>
      <c r="B37" s="661">
        <f>'[20]detail estimate main'!I137</f>
        <v>6</v>
      </c>
      <c r="C37" s="662"/>
      <c r="D37" s="663" t="str">
        <f>'[20]detail estimate main'!B136</f>
        <v xml:space="preserve">Supply and fixing of 40mm dia UPVC Pipes of best approved quality, with ISI mark including cost and conveyence and fixing in position etc., all complete in all respects complying with relevant standard specification and as directed by the departmental officer (The brand and quality of the 'U' PVC pipe should be got approved from EE before use) </v>
      </c>
      <c r="E37" s="661">
        <v>127.4</v>
      </c>
      <c r="F37" s="664" t="s">
        <v>15</v>
      </c>
      <c r="G37" s="661">
        <f t="shared" si="1"/>
        <v>764.40000000000009</v>
      </c>
      <c r="H37" s="657"/>
      <c r="I37" s="658"/>
      <c r="J37" s="659"/>
      <c r="K37" s="659"/>
      <c r="L37" s="659"/>
      <c r="M37" s="659"/>
    </row>
    <row r="38" spans="1:13" ht="23.25" customHeight="1">
      <c r="A38" s="660"/>
      <c r="B38" s="661"/>
      <c r="C38" s="662"/>
      <c r="D38" s="671" t="s">
        <v>988</v>
      </c>
      <c r="E38" s="661"/>
      <c r="F38" s="672"/>
      <c r="G38" s="661">
        <f t="shared" si="1"/>
        <v>0</v>
      </c>
      <c r="H38" s="673"/>
      <c r="I38" s="674"/>
      <c r="J38" s="673"/>
      <c r="K38" s="673"/>
      <c r="L38" s="673"/>
      <c r="M38" s="673"/>
    </row>
    <row r="39" spans="1:13" ht="78" customHeight="1">
      <c r="A39" s="660">
        <v>24</v>
      </c>
      <c r="B39" s="661">
        <f>'[20]detail estimate main'!I142</f>
        <v>132.5</v>
      </c>
      <c r="C39" s="662"/>
      <c r="D39" s="663" t="str">
        <f>'[20]detail estimate main'!B139</f>
        <v>Supplying and fixing Mild Steel grills as per the design approved to verandah enclosure or gate including one coat of primer and labour for fixing in position etc. all complete.</v>
      </c>
      <c r="E39" s="661">
        <f>'[20]print final data'!F292</f>
        <v>62.6</v>
      </c>
      <c r="F39" s="672" t="s">
        <v>281</v>
      </c>
      <c r="G39" s="661">
        <f t="shared" si="1"/>
        <v>8294.5</v>
      </c>
      <c r="H39" s="673"/>
      <c r="I39" s="674"/>
      <c r="J39" s="673"/>
      <c r="K39" s="673"/>
      <c r="L39" s="673"/>
      <c r="M39" s="673"/>
    </row>
    <row r="40" spans="1:13" ht="73.5" customHeight="1">
      <c r="A40" s="660">
        <v>25</v>
      </c>
      <c r="B40" s="661">
        <f>'[20]detail estimate main'!I145</f>
        <v>3.8</v>
      </c>
      <c r="C40" s="662"/>
      <c r="D40" s="663" t="str">
        <f>'[20]detail estimate main'!B143</f>
        <v xml:space="preserve">Painting the new Iron work and other similar works such as PVC /ASTM Pipes, Kerb Stone and grills with two coats of approved first class synthetic enamel ready mixed paint </v>
      </c>
      <c r="E40" s="661">
        <f>'[20]print final data'!F305</f>
        <v>133.44</v>
      </c>
      <c r="F40" s="672" t="s">
        <v>247</v>
      </c>
      <c r="G40" s="661">
        <f>B40*E40</f>
        <v>507.07199999999995</v>
      </c>
      <c r="H40" s="673"/>
      <c r="I40" s="674"/>
      <c r="J40" s="673"/>
      <c r="K40" s="673"/>
      <c r="L40" s="673"/>
      <c r="M40" s="673"/>
    </row>
    <row r="41" spans="1:13" ht="171" customHeight="1">
      <c r="A41" s="660">
        <v>26</v>
      </c>
      <c r="B41" s="661">
        <v>1</v>
      </c>
      <c r="C41" s="662"/>
      <c r="D41" s="663" t="str">
        <f>'[20]detail estimate main'!B146</f>
        <v xml:space="preserve">Supply and Delivery of openwell submersible motor Pumpset with ISI mark IS 8034 without Panel Board of 7.5 H.P capacity 75 LPM X 150 m of electric motor pump set with accessories at bore well for Three phase  operation etc..,all complete and as directed by the departmental officiers.(The brand of pumpset should got approved by the Executive Engineer before erection). </v>
      </c>
      <c r="E41" s="661">
        <v>99091</v>
      </c>
      <c r="F41" s="672" t="s">
        <v>18</v>
      </c>
      <c r="G41" s="661">
        <f>B41*E41</f>
        <v>99091</v>
      </c>
      <c r="H41" s="673"/>
      <c r="I41" s="674"/>
      <c r="J41" s="673"/>
      <c r="K41" s="673"/>
      <c r="L41" s="673"/>
      <c r="M41" s="673"/>
    </row>
    <row r="42" spans="1:13" ht="59.25" customHeight="1">
      <c r="A42" s="660">
        <v>27</v>
      </c>
      <c r="B42" s="661">
        <f>'[20]detail estimate main'!I150</f>
        <v>25</v>
      </c>
      <c r="C42" s="662"/>
      <c r="D42" s="663" t="str">
        <f>'[20]detail estimate main'!B149</f>
        <v>Supplying and Fixing of 100mm dia</v>
      </c>
      <c r="E42" s="661">
        <v>905</v>
      </c>
      <c r="F42" s="672" t="s">
        <v>15</v>
      </c>
      <c r="G42" s="661">
        <f>B42*E42</f>
        <v>22625</v>
      </c>
      <c r="H42" s="673"/>
      <c r="I42" s="674"/>
      <c r="J42" s="673"/>
      <c r="K42" s="673"/>
      <c r="L42" s="673"/>
      <c r="M42" s="673"/>
    </row>
    <row r="43" spans="1:13" ht="35.25" customHeight="1">
      <c r="A43" s="675"/>
      <c r="B43" s="661"/>
      <c r="C43" s="676"/>
      <c r="D43" s="677" t="s">
        <v>989</v>
      </c>
      <c r="E43" s="678"/>
      <c r="F43" s="679"/>
      <c r="G43" s="680">
        <f>SUM(G6:G42)</f>
        <v>864029.3975000002</v>
      </c>
      <c r="H43" s="681" t="e">
        <f>SUM(#REF!)</f>
        <v>#REF!</v>
      </c>
      <c r="I43" s="681" t="e">
        <f>SUM(#REF!)</f>
        <v>#REF!</v>
      </c>
      <c r="J43" s="681" t="e">
        <f>SUM(#REF!)</f>
        <v>#REF!</v>
      </c>
      <c r="K43" s="682" t="e">
        <f>SUM(#REF!)</f>
        <v>#REF!</v>
      </c>
      <c r="L43" s="681" t="e">
        <f>SUM(#REF!)</f>
        <v>#REF!</v>
      </c>
      <c r="M43" s="681" t="e">
        <f>SUM(#REF!)</f>
        <v>#REF!</v>
      </c>
    </row>
    <row r="44" spans="1:13" ht="35.25" customHeight="1">
      <c r="A44" s="675">
        <v>28</v>
      </c>
      <c r="B44" s="661"/>
      <c r="C44" s="676"/>
      <c r="D44" s="677" t="s">
        <v>990</v>
      </c>
      <c r="E44" s="683" t="s">
        <v>30</v>
      </c>
      <c r="F44" s="683"/>
      <c r="G44" s="680">
        <f>G43*18%</f>
        <v>155525.29155000002</v>
      </c>
      <c r="H44" s="681"/>
      <c r="I44" s="681"/>
      <c r="J44" s="681"/>
      <c r="K44" s="682"/>
      <c r="L44" s="681"/>
      <c r="M44" s="681"/>
    </row>
    <row r="45" spans="1:13" ht="35.25" customHeight="1">
      <c r="A45" s="675"/>
      <c r="B45" s="661"/>
      <c r="C45" s="676"/>
      <c r="D45" s="677" t="s">
        <v>991</v>
      </c>
      <c r="E45" s="683"/>
      <c r="F45" s="683"/>
      <c r="G45" s="680">
        <f>SUM(G43:G44)</f>
        <v>1019554.6890500002</v>
      </c>
      <c r="H45" s="681"/>
      <c r="I45" s="681"/>
      <c r="J45" s="681"/>
      <c r="K45" s="682"/>
      <c r="L45" s="681"/>
      <c r="M45" s="681"/>
    </row>
    <row r="46" spans="1:13" ht="51" customHeight="1">
      <c r="A46" s="675">
        <v>29</v>
      </c>
      <c r="B46" s="664"/>
      <c r="C46" s="664"/>
      <c r="D46" s="684" t="s">
        <v>977</v>
      </c>
      <c r="E46" s="683" t="s">
        <v>195</v>
      </c>
      <c r="F46" s="683"/>
      <c r="G46" s="680">
        <f>G45*1%</f>
        <v>10195.546890500002</v>
      </c>
    </row>
    <row r="47" spans="1:13" ht="39" customHeight="1">
      <c r="A47" s="675">
        <v>30</v>
      </c>
      <c r="B47" s="664"/>
      <c r="C47" s="664"/>
      <c r="D47" s="684" t="s">
        <v>156</v>
      </c>
      <c r="E47" s="683" t="s">
        <v>195</v>
      </c>
      <c r="F47" s="683"/>
      <c r="G47" s="680">
        <f>G45*2.5%</f>
        <v>25488.867226250004</v>
      </c>
    </row>
    <row r="48" spans="1:13" ht="51" customHeight="1">
      <c r="A48" s="675">
        <v>31</v>
      </c>
      <c r="B48" s="664"/>
      <c r="C48" s="664"/>
      <c r="D48" s="684" t="s">
        <v>875</v>
      </c>
      <c r="E48" s="683" t="s">
        <v>195</v>
      </c>
      <c r="F48" s="683"/>
      <c r="G48" s="680">
        <f>G45*7.5%</f>
        <v>76466.601678750012</v>
      </c>
    </row>
    <row r="49" spans="1:16" ht="31.5" customHeight="1">
      <c r="A49" s="664"/>
      <c r="B49" s="664"/>
      <c r="C49" s="664"/>
      <c r="D49" s="677" t="s">
        <v>992</v>
      </c>
      <c r="E49" s="685"/>
      <c r="F49" s="685"/>
      <c r="G49" s="680">
        <f>SUM(G45:G48)</f>
        <v>1131705.7048455002</v>
      </c>
      <c r="N49" s="686"/>
      <c r="O49" s="686"/>
      <c r="P49" s="686"/>
    </row>
    <row r="50" spans="1:16">
      <c r="D50" s="688"/>
      <c r="E50" s="689" t="s">
        <v>491</v>
      </c>
      <c r="F50" s="689"/>
      <c r="G50" s="690">
        <v>1131800</v>
      </c>
    </row>
    <row r="51" spans="1:16">
      <c r="D51" s="688"/>
    </row>
    <row r="52" spans="1:16">
      <c r="D52" s="688"/>
    </row>
    <row r="53" spans="1:16">
      <c r="D53" s="688"/>
    </row>
    <row r="54" spans="1:16">
      <c r="D54" s="688"/>
    </row>
    <row r="55" spans="1:16">
      <c r="A55" s="691"/>
      <c r="B55" s="691"/>
      <c r="C55" s="691"/>
      <c r="D55" s="689"/>
      <c r="F55" s="692"/>
      <c r="G55" s="692"/>
    </row>
    <row r="56" spans="1:16">
      <c r="A56" s="691"/>
      <c r="B56" s="691"/>
      <c r="D56" s="689"/>
      <c r="F56" s="692"/>
      <c r="G56" s="692"/>
    </row>
    <row r="3456" spans="1:11">
      <c r="A3456" s="641"/>
      <c r="B3456" s="641"/>
      <c r="C3456" s="641"/>
      <c r="D3456" s="641"/>
      <c r="E3456" s="641"/>
      <c r="F3456" s="693"/>
      <c r="G3456" s="693"/>
      <c r="H3456" s="694"/>
      <c r="I3456" s="694"/>
      <c r="J3456" s="694"/>
      <c r="K3456" s="694"/>
    </row>
    <row r="3457" spans="1:11">
      <c r="A3457" s="641"/>
      <c r="B3457" s="641"/>
      <c r="C3457" s="641"/>
      <c r="D3457" s="641"/>
      <c r="E3457" s="641"/>
      <c r="F3457" s="693"/>
      <c r="G3457" s="693"/>
      <c r="H3457" s="694"/>
      <c r="I3457" s="694"/>
      <c r="J3457" s="694"/>
      <c r="K3457" s="694"/>
    </row>
    <row r="3458" spans="1:11">
      <c r="A3458" s="641"/>
      <c r="B3458" s="641"/>
      <c r="C3458" s="641"/>
      <c r="D3458" s="641"/>
      <c r="E3458" s="641"/>
      <c r="F3458" s="693"/>
      <c r="G3458" s="693"/>
      <c r="H3458" s="694"/>
      <c r="I3458" s="694"/>
      <c r="J3458" s="694"/>
      <c r="K3458" s="694"/>
    </row>
    <row r="3459" spans="1:11">
      <c r="A3459" s="641"/>
      <c r="B3459" s="641"/>
      <c r="C3459" s="641"/>
      <c r="D3459" s="641"/>
      <c r="E3459" s="641"/>
      <c r="F3459" s="693"/>
      <c r="G3459" s="693"/>
      <c r="H3459" s="694"/>
      <c r="I3459" s="694"/>
      <c r="J3459" s="694"/>
      <c r="K3459" s="694"/>
    </row>
    <row r="3460" spans="1:11">
      <c r="A3460" s="641"/>
      <c r="B3460" s="641"/>
      <c r="C3460" s="641"/>
      <c r="D3460" s="641"/>
      <c r="E3460" s="641"/>
      <c r="F3460" s="693"/>
      <c r="G3460" s="693"/>
      <c r="H3460" s="694"/>
      <c r="I3460" s="694"/>
      <c r="J3460" s="694"/>
      <c r="K3460" s="694"/>
    </row>
    <row r="3461" spans="1:11">
      <c r="A3461" s="641"/>
      <c r="B3461" s="641"/>
      <c r="C3461" s="641"/>
      <c r="D3461" s="641"/>
      <c r="E3461" s="641"/>
      <c r="F3461" s="693">
        <v>180</v>
      </c>
      <c r="G3461" s="693"/>
      <c r="H3461" s="694" t="s">
        <v>15</v>
      </c>
      <c r="I3461" s="694"/>
      <c r="J3461" s="694" t="s">
        <v>15</v>
      </c>
      <c r="K3461" s="694" t="e">
        <f>F3461*#REF!</f>
        <v>#REF!</v>
      </c>
    </row>
    <row r="3462" spans="1:11">
      <c r="A3462" s="641"/>
      <c r="B3462" s="641"/>
      <c r="C3462" s="641"/>
      <c r="D3462" s="641"/>
      <c r="E3462" s="641"/>
      <c r="F3462" s="693">
        <v>90</v>
      </c>
      <c r="G3462" s="693"/>
      <c r="H3462" s="694" t="s">
        <v>15</v>
      </c>
      <c r="I3462" s="694"/>
      <c r="J3462" s="694" t="s">
        <v>15</v>
      </c>
      <c r="K3462" s="694" t="e">
        <f>F3462*#REF!</f>
        <v>#REF!</v>
      </c>
    </row>
    <row r="3463" spans="1:11">
      <c r="A3463" s="641"/>
      <c r="B3463" s="641"/>
      <c r="C3463" s="641"/>
      <c r="D3463" s="641"/>
      <c r="E3463" s="641"/>
      <c r="F3463" s="693">
        <v>3</v>
      </c>
      <c r="G3463" s="693"/>
      <c r="H3463" s="694" t="s">
        <v>100</v>
      </c>
      <c r="I3463" s="694"/>
      <c r="J3463" s="694" t="s">
        <v>100</v>
      </c>
      <c r="K3463" s="694" t="e">
        <f>F3463*#REF!</f>
        <v>#REF!</v>
      </c>
    </row>
    <row r="3464" spans="1:11">
      <c r="A3464" s="641"/>
      <c r="B3464" s="641"/>
      <c r="C3464" s="641"/>
      <c r="D3464" s="641"/>
      <c r="E3464" s="641"/>
      <c r="F3464" s="693">
        <v>90</v>
      </c>
      <c r="G3464" s="693"/>
      <c r="H3464" s="694" t="s">
        <v>15</v>
      </c>
      <c r="I3464" s="694"/>
      <c r="J3464" s="694" t="s">
        <v>98</v>
      </c>
      <c r="K3464" s="694" t="e">
        <f>F3464*#REF!</f>
        <v>#REF!</v>
      </c>
    </row>
    <row r="3465" spans="1:11">
      <c r="A3465" s="641"/>
      <c r="B3465" s="641"/>
      <c r="C3465" s="641"/>
      <c r="D3465" s="641"/>
      <c r="E3465" s="641"/>
      <c r="F3465" s="693"/>
      <c r="G3465" s="693"/>
      <c r="H3465" s="694"/>
      <c r="I3465" s="694"/>
      <c r="J3465" s="694"/>
      <c r="K3465" s="694">
        <v>4340</v>
      </c>
    </row>
    <row r="3466" spans="1:11">
      <c r="A3466" s="641"/>
      <c r="B3466" s="641"/>
      <c r="C3466" s="641"/>
      <c r="D3466" s="641"/>
      <c r="E3466" s="641"/>
      <c r="F3466" s="693"/>
      <c r="G3466" s="693"/>
      <c r="H3466" s="694"/>
      <c r="I3466" s="694"/>
      <c r="J3466" s="694"/>
      <c r="K3466" s="694" t="e">
        <f>SUM(K3461:K3465)</f>
        <v>#REF!</v>
      </c>
    </row>
    <row r="3467" spans="1:11">
      <c r="A3467" s="641"/>
      <c r="B3467" s="641"/>
      <c r="C3467" s="641"/>
      <c r="D3467" s="641"/>
      <c r="E3467" s="641"/>
      <c r="F3467" s="693"/>
      <c r="G3467" s="693"/>
      <c r="H3467" s="694"/>
      <c r="I3467" s="694"/>
      <c r="J3467" s="694"/>
      <c r="K3467" s="694">
        <v>5.5</v>
      </c>
    </row>
    <row r="3468" spans="1:11">
      <c r="A3468" s="641"/>
      <c r="B3468" s="641"/>
      <c r="C3468" s="641"/>
      <c r="D3468" s="641"/>
      <c r="E3468" s="641"/>
      <c r="F3468" s="693"/>
      <c r="G3468" s="693"/>
      <c r="H3468" s="694"/>
      <c r="I3468" s="694"/>
      <c r="J3468" s="694"/>
      <c r="K3468" s="695" t="e">
        <f>SUM(K3466:K3467)</f>
        <v>#REF!</v>
      </c>
    </row>
    <row r="3469" spans="1:11">
      <c r="A3469" s="641"/>
      <c r="B3469" s="641"/>
      <c r="C3469" s="641"/>
      <c r="D3469" s="641"/>
      <c r="E3469" s="641"/>
      <c r="F3469" s="693"/>
      <c r="G3469" s="693"/>
      <c r="H3469" s="694"/>
      <c r="I3469" s="694"/>
      <c r="J3469" s="694"/>
      <c r="K3469" s="673" t="e">
        <f>K3468/90</f>
        <v>#REF!</v>
      </c>
    </row>
    <row r="3470" spans="1:11">
      <c r="A3470" s="641"/>
      <c r="B3470" s="641"/>
      <c r="C3470" s="641"/>
      <c r="D3470" s="641"/>
      <c r="E3470" s="641"/>
      <c r="F3470" s="693"/>
      <c r="G3470" s="693"/>
      <c r="H3470" s="694"/>
      <c r="I3470" s="694"/>
      <c r="J3470" s="694"/>
      <c r="K3470" s="694"/>
    </row>
    <row r="3471" spans="1:11">
      <c r="A3471" s="641"/>
      <c r="B3471" s="641"/>
      <c r="C3471" s="641"/>
      <c r="D3471" s="641"/>
      <c r="E3471" s="641"/>
      <c r="F3471" s="693"/>
      <c r="G3471" s="693"/>
      <c r="H3471" s="694"/>
      <c r="I3471" s="694"/>
      <c r="J3471" s="694"/>
      <c r="K3471" s="694"/>
    </row>
    <row r="3472" spans="1:11">
      <c r="A3472" s="641"/>
      <c r="B3472" s="641"/>
      <c r="C3472" s="641"/>
      <c r="D3472" s="641"/>
      <c r="E3472" s="641"/>
      <c r="F3472" s="693"/>
      <c r="G3472" s="693"/>
      <c r="H3472" s="694"/>
      <c r="I3472" s="694"/>
      <c r="J3472" s="694"/>
      <c r="K3472" s="694"/>
    </row>
    <row r="3473" spans="1:11">
      <c r="A3473" s="641"/>
      <c r="B3473" s="641"/>
      <c r="C3473" s="641"/>
      <c r="D3473" s="641"/>
      <c r="E3473" s="641"/>
      <c r="F3473" s="693"/>
      <c r="G3473" s="693"/>
      <c r="H3473" s="694"/>
      <c r="I3473" s="694"/>
      <c r="J3473" s="694"/>
      <c r="K3473" s="694"/>
    </row>
    <row r="3474" spans="1:11">
      <c r="A3474" s="641"/>
      <c r="B3474" s="641"/>
      <c r="C3474" s="641"/>
      <c r="D3474" s="641"/>
      <c r="E3474" s="641"/>
      <c r="F3474" s="693"/>
      <c r="G3474" s="693"/>
      <c r="H3474" s="694"/>
      <c r="I3474" s="694"/>
      <c r="J3474" s="694"/>
      <c r="K3474" s="694"/>
    </row>
    <row r="3475" spans="1:11">
      <c r="A3475" s="641"/>
      <c r="B3475" s="641"/>
      <c r="C3475" s="641"/>
      <c r="D3475" s="641"/>
      <c r="E3475" s="641"/>
      <c r="F3475" s="693"/>
      <c r="G3475" s="693"/>
      <c r="H3475" s="694"/>
      <c r="I3475" s="694"/>
      <c r="J3475" s="694"/>
      <c r="K3475" s="694"/>
    </row>
    <row r="3476" spans="1:11">
      <c r="A3476" s="641"/>
      <c r="B3476" s="641"/>
      <c r="C3476" s="641"/>
      <c r="D3476" s="641"/>
      <c r="E3476" s="641"/>
      <c r="F3476" s="693"/>
      <c r="G3476" s="693"/>
      <c r="H3476" s="694"/>
      <c r="I3476" s="694"/>
      <c r="J3476" s="694"/>
      <c r="K3476" s="694" t="e">
        <f>K3466</f>
        <v>#REF!</v>
      </c>
    </row>
    <row r="3477" spans="1:11">
      <c r="A3477" s="641"/>
      <c r="B3477" s="641"/>
      <c r="C3477" s="641"/>
      <c r="D3477" s="641"/>
      <c r="E3477" s="641"/>
      <c r="F3477" s="693">
        <v>360</v>
      </c>
      <c r="G3477" s="693"/>
      <c r="H3477" s="694" t="s">
        <v>15</v>
      </c>
      <c r="I3477" s="696"/>
      <c r="J3477" s="694" t="s">
        <v>15</v>
      </c>
      <c r="K3477" s="694" t="e">
        <f>F3477*#REF!</f>
        <v>#REF!</v>
      </c>
    </row>
    <row r="3478" spans="1:11">
      <c r="A3478" s="641"/>
      <c r="B3478" s="641"/>
      <c r="C3478" s="641"/>
      <c r="D3478" s="641"/>
      <c r="E3478" s="641"/>
      <c r="F3478" s="693">
        <v>360</v>
      </c>
      <c r="G3478" s="693"/>
      <c r="H3478" s="694" t="s">
        <v>15</v>
      </c>
      <c r="I3478" s="694"/>
      <c r="J3478" s="694" t="s">
        <v>98</v>
      </c>
      <c r="K3478" s="694" t="e">
        <f>F3478*#REF!</f>
        <v>#REF!</v>
      </c>
    </row>
    <row r="3479" spans="1:11">
      <c r="A3479" s="641"/>
      <c r="B3479" s="641"/>
      <c r="C3479" s="641"/>
      <c r="D3479" s="641"/>
      <c r="E3479" s="641"/>
      <c r="F3479" s="693"/>
      <c r="G3479" s="693"/>
      <c r="H3479" s="694"/>
      <c r="I3479" s="694"/>
      <c r="J3479" s="694"/>
      <c r="K3479" s="694">
        <v>14.5</v>
      </c>
    </row>
    <row r="3480" spans="1:11">
      <c r="A3480" s="641"/>
      <c r="B3480" s="641"/>
      <c r="C3480" s="641"/>
      <c r="D3480" s="641"/>
      <c r="E3480" s="641"/>
      <c r="F3480" s="693"/>
      <c r="G3480" s="693"/>
      <c r="H3480" s="694"/>
      <c r="I3480" s="694"/>
      <c r="J3480" s="694"/>
      <c r="K3480" s="695" t="e">
        <f>K3476+K3477-K3478+K3479</f>
        <v>#REF!</v>
      </c>
    </row>
    <row r="3481" spans="1:11">
      <c r="A3481" s="641"/>
      <c r="B3481" s="641"/>
      <c r="C3481" s="641"/>
      <c r="D3481" s="641"/>
      <c r="E3481" s="641"/>
      <c r="F3481" s="693"/>
      <c r="G3481" s="693"/>
      <c r="H3481" s="694"/>
      <c r="I3481" s="694"/>
      <c r="J3481" s="694"/>
      <c r="K3481" s="673" t="e">
        <f>K3480/90</f>
        <v>#REF!</v>
      </c>
    </row>
    <row r="3482" spans="1:11">
      <c r="A3482" s="641"/>
      <c r="B3482" s="641"/>
      <c r="C3482" s="641"/>
      <c r="D3482" s="641"/>
      <c r="E3482" s="641"/>
      <c r="F3482" s="693"/>
      <c r="G3482" s="693"/>
      <c r="H3482" s="694"/>
      <c r="I3482" s="694"/>
      <c r="J3482" s="694"/>
      <c r="K3482" s="673"/>
    </row>
    <row r="3483" spans="1:11">
      <c r="A3483" s="641"/>
      <c r="B3483" s="641"/>
      <c r="C3483" s="641"/>
      <c r="D3483" s="641"/>
      <c r="E3483" s="641"/>
      <c r="F3483" s="693"/>
      <c r="G3483" s="693"/>
      <c r="H3483" s="694"/>
      <c r="I3483" s="694"/>
      <c r="J3483" s="694"/>
      <c r="K3483" s="673"/>
    </row>
    <row r="3484" spans="1:11">
      <c r="A3484" s="641"/>
      <c r="B3484" s="641"/>
      <c r="C3484" s="641"/>
      <c r="D3484" s="641"/>
      <c r="E3484" s="641"/>
      <c r="F3484" s="697"/>
      <c r="G3484" s="697"/>
      <c r="H3484" s="698"/>
      <c r="I3484" s="699"/>
      <c r="J3484" s="699"/>
      <c r="K3484" s="699"/>
    </row>
    <row r="3485" spans="1:11">
      <c r="A3485" s="641"/>
      <c r="B3485" s="641"/>
      <c r="C3485" s="641"/>
      <c r="D3485" s="641"/>
      <c r="E3485" s="641"/>
      <c r="F3485" s="697"/>
      <c r="G3485" s="697"/>
      <c r="H3485" s="699"/>
      <c r="I3485" s="699"/>
      <c r="J3485" s="699"/>
      <c r="K3485" s="699"/>
    </row>
    <row r="3486" spans="1:11">
      <c r="A3486" s="641"/>
      <c r="B3486" s="641"/>
      <c r="C3486" s="641"/>
      <c r="D3486" s="641"/>
      <c r="E3486" s="641"/>
      <c r="F3486" s="700">
        <v>1</v>
      </c>
      <c r="G3486" s="700"/>
      <c r="H3486" s="698" t="s">
        <v>15</v>
      </c>
      <c r="I3486" s="698"/>
      <c r="J3486" s="698" t="s">
        <v>15</v>
      </c>
      <c r="K3486" s="698" t="e">
        <f>(F3486*#REF!)</f>
        <v>#REF!</v>
      </c>
    </row>
    <row r="3487" spans="1:11">
      <c r="A3487" s="641"/>
      <c r="B3487" s="641"/>
      <c r="C3487" s="641"/>
      <c r="D3487" s="641"/>
      <c r="E3487" s="641"/>
      <c r="F3487" s="700">
        <v>1</v>
      </c>
      <c r="G3487" s="700"/>
      <c r="H3487" s="698" t="s">
        <v>38</v>
      </c>
      <c r="I3487" s="698"/>
      <c r="J3487" s="698" t="s">
        <v>38</v>
      </c>
      <c r="K3487" s="698" t="e">
        <f>(F3487*#REF!)</f>
        <v>#REF!</v>
      </c>
    </row>
    <row r="3488" spans="1:11">
      <c r="A3488" s="641"/>
      <c r="B3488" s="641"/>
      <c r="C3488" s="641"/>
      <c r="D3488" s="641"/>
      <c r="E3488" s="641"/>
      <c r="F3488" s="700">
        <v>1</v>
      </c>
      <c r="G3488" s="700"/>
      <c r="H3488" s="698" t="s">
        <v>15</v>
      </c>
      <c r="I3488" s="698"/>
      <c r="J3488" s="698" t="s">
        <v>15</v>
      </c>
      <c r="K3488" s="698" t="e">
        <f>(F3488*#REF!)</f>
        <v>#REF!</v>
      </c>
    </row>
    <row r="3489" spans="1:11">
      <c r="A3489" s="641"/>
      <c r="B3489" s="641"/>
      <c r="C3489" s="641"/>
      <c r="D3489" s="641"/>
      <c r="E3489" s="641"/>
      <c r="F3489" s="697"/>
      <c r="G3489" s="697"/>
      <c r="H3489" s="699"/>
      <c r="I3489" s="698"/>
      <c r="J3489" s="699"/>
      <c r="K3489" s="698" t="s">
        <v>40</v>
      </c>
    </row>
    <row r="3490" spans="1:11">
      <c r="A3490" s="641"/>
      <c r="B3490" s="641"/>
      <c r="C3490" s="641"/>
      <c r="D3490" s="641"/>
      <c r="E3490" s="641"/>
      <c r="F3490" s="697"/>
      <c r="G3490" s="697"/>
      <c r="H3490" s="699"/>
      <c r="I3490" s="699"/>
      <c r="J3490" s="699"/>
      <c r="K3490" s="701" t="e">
        <f>SUM(K3486:K3488)</f>
        <v>#REF!</v>
      </c>
    </row>
    <row r="3491" spans="1:11">
      <c r="A3491" s="641"/>
      <c r="B3491" s="641"/>
      <c r="C3491" s="641"/>
      <c r="D3491" s="641"/>
      <c r="E3491" s="641"/>
      <c r="F3491" s="697"/>
      <c r="G3491" s="697"/>
      <c r="H3491" s="699"/>
      <c r="I3491" s="698"/>
      <c r="J3491" s="699"/>
      <c r="K3491" s="698" t="s">
        <v>72</v>
      </c>
    </row>
    <row r="3492" spans="1:11">
      <c r="A3492" s="641"/>
      <c r="B3492" s="641"/>
      <c r="C3492" s="641"/>
      <c r="D3492" s="641"/>
      <c r="E3492" s="641"/>
      <c r="F3492" s="697"/>
      <c r="G3492" s="697"/>
      <c r="H3492" s="699"/>
      <c r="I3492" s="699"/>
      <c r="J3492" s="699"/>
      <c r="K3492" s="699"/>
    </row>
    <row r="3493" spans="1:11">
      <c r="A3493" s="641"/>
      <c r="B3493" s="641"/>
      <c r="C3493" s="641"/>
      <c r="D3493" s="641"/>
      <c r="E3493" s="641"/>
      <c r="F3493" s="697"/>
      <c r="G3493" s="697"/>
      <c r="H3493" s="698"/>
      <c r="I3493" s="699"/>
      <c r="J3493" s="699"/>
      <c r="K3493" s="699"/>
    </row>
    <row r="3494" spans="1:11">
      <c r="A3494" s="641"/>
      <c r="B3494" s="641"/>
      <c r="C3494" s="641"/>
      <c r="D3494" s="641"/>
      <c r="E3494" s="641"/>
      <c r="F3494" s="697"/>
      <c r="G3494" s="697"/>
      <c r="H3494" s="699"/>
      <c r="I3494" s="699"/>
      <c r="J3494" s="699"/>
      <c r="K3494" s="699"/>
    </row>
    <row r="3495" spans="1:11">
      <c r="A3495" s="641"/>
      <c r="B3495" s="641"/>
      <c r="C3495" s="641"/>
      <c r="D3495" s="641"/>
      <c r="E3495" s="641"/>
      <c r="F3495" s="700">
        <v>1</v>
      </c>
      <c r="G3495" s="700"/>
      <c r="H3495" s="698" t="s">
        <v>15</v>
      </c>
      <c r="I3495" s="698"/>
      <c r="J3495" s="698" t="s">
        <v>15</v>
      </c>
      <c r="K3495" s="698" t="e">
        <f>(F3495*#REF!)</f>
        <v>#REF!</v>
      </c>
    </row>
    <row r="3496" spans="1:11">
      <c r="A3496" s="641"/>
      <c r="B3496" s="641"/>
      <c r="C3496" s="641"/>
      <c r="D3496" s="641"/>
      <c r="E3496" s="641"/>
      <c r="F3496" s="700">
        <v>1</v>
      </c>
      <c r="G3496" s="700"/>
      <c r="H3496" s="698" t="s">
        <v>38</v>
      </c>
      <c r="I3496" s="698"/>
      <c r="J3496" s="698" t="s">
        <v>38</v>
      </c>
      <c r="K3496" s="698" t="e">
        <f>(F3496*#REF!)</f>
        <v>#REF!</v>
      </c>
    </row>
    <row r="3497" spans="1:11">
      <c r="A3497" s="641"/>
      <c r="B3497" s="641"/>
      <c r="C3497" s="641"/>
      <c r="D3497" s="641"/>
      <c r="E3497" s="641"/>
      <c r="F3497" s="700">
        <v>1</v>
      </c>
      <c r="G3497" s="700"/>
      <c r="H3497" s="698" t="s">
        <v>15</v>
      </c>
      <c r="I3497" s="698"/>
      <c r="J3497" s="698" t="s">
        <v>15</v>
      </c>
      <c r="K3497" s="698" t="e">
        <f>(F3497*#REF!)</f>
        <v>#REF!</v>
      </c>
    </row>
    <row r="3498" spans="1:11">
      <c r="A3498" s="641"/>
      <c r="B3498" s="641"/>
      <c r="C3498" s="641"/>
      <c r="D3498" s="641"/>
      <c r="E3498" s="641"/>
      <c r="F3498" s="697"/>
      <c r="G3498" s="697"/>
      <c r="H3498" s="699"/>
      <c r="I3498" s="698"/>
      <c r="J3498" s="699"/>
      <c r="K3498" s="698" t="s">
        <v>40</v>
      </c>
    </row>
    <row r="3499" spans="1:11">
      <c r="A3499" s="641"/>
      <c r="B3499" s="641"/>
      <c r="C3499" s="641"/>
      <c r="D3499" s="641"/>
      <c r="E3499" s="641"/>
      <c r="F3499" s="697"/>
      <c r="G3499" s="697"/>
      <c r="H3499" s="699"/>
      <c r="I3499" s="699"/>
      <c r="J3499" s="699"/>
      <c r="K3499" s="701" t="e">
        <f>SUM(K3495:K3497)</f>
        <v>#REF!</v>
      </c>
    </row>
    <row r="3500" spans="1:11">
      <c r="A3500" s="641"/>
      <c r="B3500" s="641"/>
      <c r="C3500" s="641"/>
      <c r="D3500" s="641"/>
      <c r="E3500" s="641"/>
      <c r="F3500" s="697"/>
      <c r="G3500" s="697"/>
      <c r="H3500" s="699"/>
      <c r="I3500" s="698"/>
      <c r="J3500" s="699"/>
      <c r="K3500" s="698" t="s">
        <v>72</v>
      </c>
    </row>
    <row r="3501" spans="1:11">
      <c r="A3501" s="641"/>
      <c r="B3501" s="641"/>
      <c r="C3501" s="641"/>
      <c r="D3501" s="641"/>
      <c r="E3501" s="641"/>
      <c r="F3501" s="697"/>
      <c r="G3501" s="697"/>
      <c r="H3501" s="699"/>
      <c r="I3501" s="699"/>
      <c r="J3501" s="699"/>
      <c r="K3501" s="699"/>
    </row>
    <row r="3502" spans="1:11">
      <c r="A3502" s="641"/>
      <c r="B3502" s="641"/>
      <c r="C3502" s="641"/>
      <c r="D3502" s="641"/>
      <c r="E3502" s="641"/>
      <c r="F3502" s="697"/>
      <c r="G3502" s="697"/>
      <c r="H3502" s="699"/>
      <c r="I3502" s="699"/>
      <c r="J3502" s="699"/>
      <c r="K3502" s="699"/>
    </row>
    <row r="3503" spans="1:11">
      <c r="A3503" s="641"/>
      <c r="B3503" s="641"/>
      <c r="C3503" s="641"/>
      <c r="D3503" s="641"/>
      <c r="E3503" s="641"/>
      <c r="F3503" s="697"/>
      <c r="G3503" s="697"/>
      <c r="H3503" s="699"/>
      <c r="I3503" s="699"/>
      <c r="J3503" s="699"/>
      <c r="K3503" s="699"/>
    </row>
    <row r="3504" spans="1:11">
      <c r="A3504" s="641"/>
      <c r="B3504" s="641"/>
      <c r="C3504" s="641"/>
      <c r="D3504" s="641"/>
      <c r="E3504" s="641"/>
      <c r="F3504" s="697"/>
      <c r="G3504" s="697"/>
      <c r="H3504" s="698"/>
      <c r="I3504" s="699"/>
      <c r="J3504" s="699"/>
      <c r="K3504" s="699"/>
    </row>
    <row r="3505" spans="1:11">
      <c r="A3505" s="641"/>
      <c r="B3505" s="641"/>
      <c r="C3505" s="641"/>
      <c r="D3505" s="641"/>
      <c r="E3505" s="641"/>
      <c r="F3505" s="697"/>
      <c r="G3505" s="697"/>
      <c r="H3505" s="699"/>
      <c r="I3505" s="699"/>
      <c r="J3505" s="699"/>
      <c r="K3505" s="699"/>
    </row>
    <row r="3506" spans="1:11">
      <c r="A3506" s="641"/>
      <c r="B3506" s="641"/>
      <c r="C3506" s="641"/>
      <c r="D3506" s="641"/>
      <c r="E3506" s="641"/>
      <c r="F3506" s="700">
        <v>1</v>
      </c>
      <c r="G3506" s="700"/>
      <c r="H3506" s="698" t="s">
        <v>15</v>
      </c>
      <c r="I3506" s="698"/>
      <c r="J3506" s="698" t="s">
        <v>15</v>
      </c>
      <c r="K3506" s="698" t="e">
        <f>(F3506*#REF!)</f>
        <v>#REF!</v>
      </c>
    </row>
    <row r="3507" spans="1:11">
      <c r="A3507" s="641"/>
      <c r="B3507" s="641"/>
      <c r="C3507" s="641"/>
      <c r="D3507" s="641"/>
      <c r="E3507" s="641"/>
      <c r="F3507" s="700">
        <v>1</v>
      </c>
      <c r="G3507" s="700"/>
      <c r="H3507" s="698" t="s">
        <v>38</v>
      </c>
      <c r="I3507" s="698"/>
      <c r="J3507" s="698" t="s">
        <v>38</v>
      </c>
      <c r="K3507" s="698" t="e">
        <f>(F3507*#REF!)</f>
        <v>#REF!</v>
      </c>
    </row>
    <row r="3508" spans="1:11">
      <c r="A3508" s="641"/>
      <c r="B3508" s="641"/>
      <c r="C3508" s="641"/>
      <c r="D3508" s="641"/>
      <c r="E3508" s="641"/>
      <c r="F3508" s="700">
        <v>1</v>
      </c>
      <c r="G3508" s="700"/>
      <c r="H3508" s="698" t="s">
        <v>15</v>
      </c>
      <c r="I3508" s="698"/>
      <c r="J3508" s="698" t="s">
        <v>15</v>
      </c>
      <c r="K3508" s="698" t="e">
        <f>(F3508*#REF!)</f>
        <v>#REF!</v>
      </c>
    </row>
    <row r="3509" spans="1:11">
      <c r="A3509" s="641"/>
      <c r="B3509" s="641"/>
      <c r="C3509" s="641"/>
      <c r="D3509" s="641"/>
      <c r="E3509" s="641"/>
      <c r="F3509" s="697"/>
      <c r="G3509" s="697"/>
      <c r="H3509" s="699"/>
      <c r="I3509" s="698"/>
      <c r="J3509" s="699"/>
      <c r="K3509" s="698" t="s">
        <v>40</v>
      </c>
    </row>
    <row r="3510" spans="1:11">
      <c r="A3510" s="641"/>
      <c r="B3510" s="641"/>
      <c r="C3510" s="641"/>
      <c r="D3510" s="641"/>
      <c r="E3510" s="641"/>
      <c r="F3510" s="697"/>
      <c r="G3510" s="697"/>
      <c r="H3510" s="699"/>
      <c r="I3510" s="699"/>
      <c r="J3510" s="699"/>
      <c r="K3510" s="701" t="e">
        <f>SUM(K3506:K3508)</f>
        <v>#REF!</v>
      </c>
    </row>
    <row r="3511" spans="1:11">
      <c r="A3511" s="641"/>
      <c r="B3511" s="641"/>
      <c r="C3511" s="641"/>
      <c r="D3511" s="641"/>
      <c r="E3511" s="641"/>
      <c r="F3511" s="697"/>
      <c r="G3511" s="697"/>
      <c r="H3511" s="699"/>
      <c r="I3511" s="698"/>
      <c r="J3511" s="699"/>
      <c r="K3511" s="698" t="s">
        <v>72</v>
      </c>
    </row>
  </sheetData>
  <mergeCells count="22">
    <mergeCell ref="E48:F48"/>
    <mergeCell ref="E49:F49"/>
    <mergeCell ref="A55:C55"/>
    <mergeCell ref="F55:G55"/>
    <mergeCell ref="A56:B56"/>
    <mergeCell ref="F56:G56"/>
    <mergeCell ref="L3:M3"/>
    <mergeCell ref="E43:F43"/>
    <mergeCell ref="E44:F44"/>
    <mergeCell ref="E45:F45"/>
    <mergeCell ref="E46:F46"/>
    <mergeCell ref="E47:F47"/>
    <mergeCell ref="A1:M1"/>
    <mergeCell ref="A2:M2"/>
    <mergeCell ref="A3:A4"/>
    <mergeCell ref="B3:C4"/>
    <mergeCell ref="D3:D4"/>
    <mergeCell ref="E3:E4"/>
    <mergeCell ref="F3:F4"/>
    <mergeCell ref="G3:G4"/>
    <mergeCell ref="H3:I3"/>
    <mergeCell ref="J3:K3"/>
  </mergeCells>
  <pageMargins left="0.82677165354330695" right="0.39370078740157499" top="0.43307086614173201" bottom="0.19" header="0.31496062992126" footer="0.22"/>
  <pageSetup paperSize="9" scale="83" fitToHeight="5" orientation="portrait" r:id="rId1"/>
  <colBreaks count="1" manualBreakCount="1">
    <brk id="7" max="56" man="1"/>
  </colBreaks>
</worksheet>
</file>

<file path=xl/worksheets/sheet26.xml><?xml version="1.0" encoding="utf-8"?>
<worksheet xmlns="http://schemas.openxmlformats.org/spreadsheetml/2006/main" xmlns:r="http://schemas.openxmlformats.org/officeDocument/2006/relationships">
  <dimension ref="A1:N67"/>
  <sheetViews>
    <sheetView showZeros="0" tabSelected="1" view="pageBreakPreview" topLeftCell="A18" zoomScale="90" zoomScaleSheetLayoutView="90" workbookViewId="0">
      <selection activeCell="D21" sqref="D21:E21"/>
    </sheetView>
  </sheetViews>
  <sheetFormatPr defaultRowHeight="15.75"/>
  <cols>
    <col min="1" max="1" width="6.28515625" style="177" customWidth="1"/>
    <col min="2" max="2" width="10.42578125" style="178" customWidth="1"/>
    <col min="3" max="3" width="59.7109375" style="179" customWidth="1"/>
    <col min="4" max="4" width="15.5703125" style="179" customWidth="1"/>
    <col min="5" max="5" width="9.7109375" style="180" customWidth="1"/>
    <col min="6" max="6" width="22.5703125" style="124" customWidth="1"/>
    <col min="7" max="7" width="14.85546875" style="124" hidden="1" customWidth="1"/>
    <col min="8" max="8" width="14.85546875" style="181" hidden="1" customWidth="1"/>
    <col min="9" max="9" width="13" style="124" hidden="1" customWidth="1"/>
    <col min="10" max="10" width="15.85546875" style="124" hidden="1" customWidth="1"/>
    <col min="11" max="11" width="13" style="124" bestFit="1" customWidth="1"/>
    <col min="12" max="12" width="14.7109375" style="125" bestFit="1" customWidth="1"/>
    <col min="13" max="13" width="9.140625" style="125"/>
    <col min="14" max="14" width="12.42578125" style="125" bestFit="1" customWidth="1"/>
    <col min="15" max="255" width="9.140625" style="125"/>
    <col min="256" max="256" width="6.28515625" style="125" customWidth="1"/>
    <col min="257" max="257" width="0" style="125" hidden="1" customWidth="1"/>
    <col min="258" max="258" width="8.5703125" style="125" customWidth="1"/>
    <col min="259" max="259" width="68.42578125" style="125" customWidth="1"/>
    <col min="260" max="260" width="11.85546875" style="125" customWidth="1"/>
    <col min="261" max="261" width="15.42578125" style="125" customWidth="1"/>
    <col min="262" max="262" width="23.28515625" style="125" customWidth="1"/>
    <col min="263" max="266" width="0" style="125" hidden="1" customWidth="1"/>
    <col min="267" max="267" width="13" style="125" bestFit="1" customWidth="1"/>
    <col min="268" max="268" width="14.7109375" style="125" bestFit="1" customWidth="1"/>
    <col min="269" max="269" width="9.140625" style="125"/>
    <col min="270" max="270" width="12.42578125" style="125" bestFit="1" customWidth="1"/>
    <col min="271" max="511" width="9.140625" style="125"/>
    <col min="512" max="512" width="6.28515625" style="125" customWidth="1"/>
    <col min="513" max="513" width="0" style="125" hidden="1" customWidth="1"/>
    <col min="514" max="514" width="8.5703125" style="125" customWidth="1"/>
    <col min="515" max="515" width="68.42578125" style="125" customWidth="1"/>
    <col min="516" max="516" width="11.85546875" style="125" customWidth="1"/>
    <col min="517" max="517" width="15.42578125" style="125" customWidth="1"/>
    <col min="518" max="518" width="23.28515625" style="125" customWidth="1"/>
    <col min="519" max="522" width="0" style="125" hidden="1" customWidth="1"/>
    <col min="523" max="523" width="13" style="125" bestFit="1" customWidth="1"/>
    <col min="524" max="524" width="14.7109375" style="125" bestFit="1" customWidth="1"/>
    <col min="525" max="525" width="9.140625" style="125"/>
    <col min="526" max="526" width="12.42578125" style="125" bestFit="1" customWidth="1"/>
    <col min="527" max="767" width="9.140625" style="125"/>
    <col min="768" max="768" width="6.28515625" style="125" customWidth="1"/>
    <col min="769" max="769" width="0" style="125" hidden="1" customWidth="1"/>
    <col min="770" max="770" width="8.5703125" style="125" customWidth="1"/>
    <col min="771" max="771" width="68.42578125" style="125" customWidth="1"/>
    <col min="772" max="772" width="11.85546875" style="125" customWidth="1"/>
    <col min="773" max="773" width="15.42578125" style="125" customWidth="1"/>
    <col min="774" max="774" width="23.28515625" style="125" customWidth="1"/>
    <col min="775" max="778" width="0" style="125" hidden="1" customWidth="1"/>
    <col min="779" max="779" width="13" style="125" bestFit="1" customWidth="1"/>
    <col min="780" max="780" width="14.7109375" style="125" bestFit="1" customWidth="1"/>
    <col min="781" max="781" width="9.140625" style="125"/>
    <col min="782" max="782" width="12.42578125" style="125" bestFit="1" customWidth="1"/>
    <col min="783" max="1023" width="9.140625" style="125"/>
    <col min="1024" max="1024" width="6.28515625" style="125" customWidth="1"/>
    <col min="1025" max="1025" width="0" style="125" hidden="1" customWidth="1"/>
    <col min="1026" max="1026" width="8.5703125" style="125" customWidth="1"/>
    <col min="1027" max="1027" width="68.42578125" style="125" customWidth="1"/>
    <col min="1028" max="1028" width="11.85546875" style="125" customWidth="1"/>
    <col min="1029" max="1029" width="15.42578125" style="125" customWidth="1"/>
    <col min="1030" max="1030" width="23.28515625" style="125" customWidth="1"/>
    <col min="1031" max="1034" width="0" style="125" hidden="1" customWidth="1"/>
    <col min="1035" max="1035" width="13" style="125" bestFit="1" customWidth="1"/>
    <col min="1036" max="1036" width="14.7109375" style="125" bestFit="1" customWidth="1"/>
    <col min="1037" max="1037" width="9.140625" style="125"/>
    <col min="1038" max="1038" width="12.42578125" style="125" bestFit="1" customWidth="1"/>
    <col min="1039" max="1279" width="9.140625" style="125"/>
    <col min="1280" max="1280" width="6.28515625" style="125" customWidth="1"/>
    <col min="1281" max="1281" width="0" style="125" hidden="1" customWidth="1"/>
    <col min="1282" max="1282" width="8.5703125" style="125" customWidth="1"/>
    <col min="1283" max="1283" width="68.42578125" style="125" customWidth="1"/>
    <col min="1284" max="1284" width="11.85546875" style="125" customWidth="1"/>
    <col min="1285" max="1285" width="15.42578125" style="125" customWidth="1"/>
    <col min="1286" max="1286" width="23.28515625" style="125" customWidth="1"/>
    <col min="1287" max="1290" width="0" style="125" hidden="1" customWidth="1"/>
    <col min="1291" max="1291" width="13" style="125" bestFit="1" customWidth="1"/>
    <col min="1292" max="1292" width="14.7109375" style="125" bestFit="1" customWidth="1"/>
    <col min="1293" max="1293" width="9.140625" style="125"/>
    <col min="1294" max="1294" width="12.42578125" style="125" bestFit="1" customWidth="1"/>
    <col min="1295" max="1535" width="9.140625" style="125"/>
    <col min="1536" max="1536" width="6.28515625" style="125" customWidth="1"/>
    <col min="1537" max="1537" width="0" style="125" hidden="1" customWidth="1"/>
    <col min="1538" max="1538" width="8.5703125" style="125" customWidth="1"/>
    <col min="1539" max="1539" width="68.42578125" style="125" customWidth="1"/>
    <col min="1540" max="1540" width="11.85546875" style="125" customWidth="1"/>
    <col min="1541" max="1541" width="15.42578125" style="125" customWidth="1"/>
    <col min="1542" max="1542" width="23.28515625" style="125" customWidth="1"/>
    <col min="1543" max="1546" width="0" style="125" hidden="1" customWidth="1"/>
    <col min="1547" max="1547" width="13" style="125" bestFit="1" customWidth="1"/>
    <col min="1548" max="1548" width="14.7109375" style="125" bestFit="1" customWidth="1"/>
    <col min="1549" max="1549" width="9.140625" style="125"/>
    <col min="1550" max="1550" width="12.42578125" style="125" bestFit="1" customWidth="1"/>
    <col min="1551" max="1791" width="9.140625" style="125"/>
    <col min="1792" max="1792" width="6.28515625" style="125" customWidth="1"/>
    <col min="1793" max="1793" width="0" style="125" hidden="1" customWidth="1"/>
    <col min="1794" max="1794" width="8.5703125" style="125" customWidth="1"/>
    <col min="1795" max="1795" width="68.42578125" style="125" customWidth="1"/>
    <col min="1796" max="1796" width="11.85546875" style="125" customWidth="1"/>
    <col min="1797" max="1797" width="15.42578125" style="125" customWidth="1"/>
    <col min="1798" max="1798" width="23.28515625" style="125" customWidth="1"/>
    <col min="1799" max="1802" width="0" style="125" hidden="1" customWidth="1"/>
    <col min="1803" max="1803" width="13" style="125" bestFit="1" customWidth="1"/>
    <col min="1804" max="1804" width="14.7109375" style="125" bestFit="1" customWidth="1"/>
    <col min="1805" max="1805" width="9.140625" style="125"/>
    <col min="1806" max="1806" width="12.42578125" style="125" bestFit="1" customWidth="1"/>
    <col min="1807" max="2047" width="9.140625" style="125"/>
    <col min="2048" max="2048" width="6.28515625" style="125" customWidth="1"/>
    <col min="2049" max="2049" width="0" style="125" hidden="1" customWidth="1"/>
    <col min="2050" max="2050" width="8.5703125" style="125" customWidth="1"/>
    <col min="2051" max="2051" width="68.42578125" style="125" customWidth="1"/>
    <col min="2052" max="2052" width="11.85546875" style="125" customWidth="1"/>
    <col min="2053" max="2053" width="15.42578125" style="125" customWidth="1"/>
    <col min="2054" max="2054" width="23.28515625" style="125" customWidth="1"/>
    <col min="2055" max="2058" width="0" style="125" hidden="1" customWidth="1"/>
    <col min="2059" max="2059" width="13" style="125" bestFit="1" customWidth="1"/>
    <col min="2060" max="2060" width="14.7109375" style="125" bestFit="1" customWidth="1"/>
    <col min="2061" max="2061" width="9.140625" style="125"/>
    <col min="2062" max="2062" width="12.42578125" style="125" bestFit="1" customWidth="1"/>
    <col min="2063" max="2303" width="9.140625" style="125"/>
    <col min="2304" max="2304" width="6.28515625" style="125" customWidth="1"/>
    <col min="2305" max="2305" width="0" style="125" hidden="1" customWidth="1"/>
    <col min="2306" max="2306" width="8.5703125" style="125" customWidth="1"/>
    <col min="2307" max="2307" width="68.42578125" style="125" customWidth="1"/>
    <col min="2308" max="2308" width="11.85546875" style="125" customWidth="1"/>
    <col min="2309" max="2309" width="15.42578125" style="125" customWidth="1"/>
    <col min="2310" max="2310" width="23.28515625" style="125" customWidth="1"/>
    <col min="2311" max="2314" width="0" style="125" hidden="1" customWidth="1"/>
    <col min="2315" max="2315" width="13" style="125" bestFit="1" customWidth="1"/>
    <col min="2316" max="2316" width="14.7109375" style="125" bestFit="1" customWidth="1"/>
    <col min="2317" max="2317" width="9.140625" style="125"/>
    <col min="2318" max="2318" width="12.42578125" style="125" bestFit="1" customWidth="1"/>
    <col min="2319" max="2559" width="9.140625" style="125"/>
    <col min="2560" max="2560" width="6.28515625" style="125" customWidth="1"/>
    <col min="2561" max="2561" width="0" style="125" hidden="1" customWidth="1"/>
    <col min="2562" max="2562" width="8.5703125" style="125" customWidth="1"/>
    <col min="2563" max="2563" width="68.42578125" style="125" customWidth="1"/>
    <col min="2564" max="2564" width="11.85546875" style="125" customWidth="1"/>
    <col min="2565" max="2565" width="15.42578125" style="125" customWidth="1"/>
    <col min="2566" max="2566" width="23.28515625" style="125" customWidth="1"/>
    <col min="2567" max="2570" width="0" style="125" hidden="1" customWidth="1"/>
    <col min="2571" max="2571" width="13" style="125" bestFit="1" customWidth="1"/>
    <col min="2572" max="2572" width="14.7109375" style="125" bestFit="1" customWidth="1"/>
    <col min="2573" max="2573" width="9.140625" style="125"/>
    <col min="2574" max="2574" width="12.42578125" style="125" bestFit="1" customWidth="1"/>
    <col min="2575" max="2815" width="9.140625" style="125"/>
    <col min="2816" max="2816" width="6.28515625" style="125" customWidth="1"/>
    <col min="2817" max="2817" width="0" style="125" hidden="1" customWidth="1"/>
    <col min="2818" max="2818" width="8.5703125" style="125" customWidth="1"/>
    <col min="2819" max="2819" width="68.42578125" style="125" customWidth="1"/>
    <col min="2820" max="2820" width="11.85546875" style="125" customWidth="1"/>
    <col min="2821" max="2821" width="15.42578125" style="125" customWidth="1"/>
    <col min="2822" max="2822" width="23.28515625" style="125" customWidth="1"/>
    <col min="2823" max="2826" width="0" style="125" hidden="1" customWidth="1"/>
    <col min="2827" max="2827" width="13" style="125" bestFit="1" customWidth="1"/>
    <col min="2828" max="2828" width="14.7109375" style="125" bestFit="1" customWidth="1"/>
    <col min="2829" max="2829" width="9.140625" style="125"/>
    <col min="2830" max="2830" width="12.42578125" style="125" bestFit="1" customWidth="1"/>
    <col min="2831" max="3071" width="9.140625" style="125"/>
    <col min="3072" max="3072" width="6.28515625" style="125" customWidth="1"/>
    <col min="3073" max="3073" width="0" style="125" hidden="1" customWidth="1"/>
    <col min="3074" max="3074" width="8.5703125" style="125" customWidth="1"/>
    <col min="3075" max="3075" width="68.42578125" style="125" customWidth="1"/>
    <col min="3076" max="3076" width="11.85546875" style="125" customWidth="1"/>
    <col min="3077" max="3077" width="15.42578125" style="125" customWidth="1"/>
    <col min="3078" max="3078" width="23.28515625" style="125" customWidth="1"/>
    <col min="3079" max="3082" width="0" style="125" hidden="1" customWidth="1"/>
    <col min="3083" max="3083" width="13" style="125" bestFit="1" customWidth="1"/>
    <col min="3084" max="3084" width="14.7109375" style="125" bestFit="1" customWidth="1"/>
    <col min="3085" max="3085" width="9.140625" style="125"/>
    <col min="3086" max="3086" width="12.42578125" style="125" bestFit="1" customWidth="1"/>
    <col min="3087" max="3327" width="9.140625" style="125"/>
    <col min="3328" max="3328" width="6.28515625" style="125" customWidth="1"/>
    <col min="3329" max="3329" width="0" style="125" hidden="1" customWidth="1"/>
    <col min="3330" max="3330" width="8.5703125" style="125" customWidth="1"/>
    <col min="3331" max="3331" width="68.42578125" style="125" customWidth="1"/>
    <col min="3332" max="3332" width="11.85546875" style="125" customWidth="1"/>
    <col min="3333" max="3333" width="15.42578125" style="125" customWidth="1"/>
    <col min="3334" max="3334" width="23.28515625" style="125" customWidth="1"/>
    <col min="3335" max="3338" width="0" style="125" hidden="1" customWidth="1"/>
    <col min="3339" max="3339" width="13" style="125" bestFit="1" customWidth="1"/>
    <col min="3340" max="3340" width="14.7109375" style="125" bestFit="1" customWidth="1"/>
    <col min="3341" max="3341" width="9.140625" style="125"/>
    <col min="3342" max="3342" width="12.42578125" style="125" bestFit="1" customWidth="1"/>
    <col min="3343" max="3583" width="9.140625" style="125"/>
    <col min="3584" max="3584" width="6.28515625" style="125" customWidth="1"/>
    <col min="3585" max="3585" width="0" style="125" hidden="1" customWidth="1"/>
    <col min="3586" max="3586" width="8.5703125" style="125" customWidth="1"/>
    <col min="3587" max="3587" width="68.42578125" style="125" customWidth="1"/>
    <col min="3588" max="3588" width="11.85546875" style="125" customWidth="1"/>
    <col min="3589" max="3589" width="15.42578125" style="125" customWidth="1"/>
    <col min="3590" max="3590" width="23.28515625" style="125" customWidth="1"/>
    <col min="3591" max="3594" width="0" style="125" hidden="1" customWidth="1"/>
    <col min="3595" max="3595" width="13" style="125" bestFit="1" customWidth="1"/>
    <col min="3596" max="3596" width="14.7109375" style="125" bestFit="1" customWidth="1"/>
    <col min="3597" max="3597" width="9.140625" style="125"/>
    <col min="3598" max="3598" width="12.42578125" style="125" bestFit="1" customWidth="1"/>
    <col min="3599" max="3839" width="9.140625" style="125"/>
    <col min="3840" max="3840" width="6.28515625" style="125" customWidth="1"/>
    <col min="3841" max="3841" width="0" style="125" hidden="1" customWidth="1"/>
    <col min="3842" max="3842" width="8.5703125" style="125" customWidth="1"/>
    <col min="3843" max="3843" width="68.42578125" style="125" customWidth="1"/>
    <col min="3844" max="3844" width="11.85546875" style="125" customWidth="1"/>
    <col min="3845" max="3845" width="15.42578125" style="125" customWidth="1"/>
    <col min="3846" max="3846" width="23.28515625" style="125" customWidth="1"/>
    <col min="3847" max="3850" width="0" style="125" hidden="1" customWidth="1"/>
    <col min="3851" max="3851" width="13" style="125" bestFit="1" customWidth="1"/>
    <col min="3852" max="3852" width="14.7109375" style="125" bestFit="1" customWidth="1"/>
    <col min="3853" max="3853" width="9.140625" style="125"/>
    <col min="3854" max="3854" width="12.42578125" style="125" bestFit="1" customWidth="1"/>
    <col min="3855" max="4095" width="9.140625" style="125"/>
    <col min="4096" max="4096" width="6.28515625" style="125" customWidth="1"/>
    <col min="4097" max="4097" width="0" style="125" hidden="1" customWidth="1"/>
    <col min="4098" max="4098" width="8.5703125" style="125" customWidth="1"/>
    <col min="4099" max="4099" width="68.42578125" style="125" customWidth="1"/>
    <col min="4100" max="4100" width="11.85546875" style="125" customWidth="1"/>
    <col min="4101" max="4101" width="15.42578125" style="125" customWidth="1"/>
    <col min="4102" max="4102" width="23.28515625" style="125" customWidth="1"/>
    <col min="4103" max="4106" width="0" style="125" hidden="1" customWidth="1"/>
    <col min="4107" max="4107" width="13" style="125" bestFit="1" customWidth="1"/>
    <col min="4108" max="4108" width="14.7109375" style="125" bestFit="1" customWidth="1"/>
    <col min="4109" max="4109" width="9.140625" style="125"/>
    <col min="4110" max="4110" width="12.42578125" style="125" bestFit="1" customWidth="1"/>
    <col min="4111" max="4351" width="9.140625" style="125"/>
    <col min="4352" max="4352" width="6.28515625" style="125" customWidth="1"/>
    <col min="4353" max="4353" width="0" style="125" hidden="1" customWidth="1"/>
    <col min="4354" max="4354" width="8.5703125" style="125" customWidth="1"/>
    <col min="4355" max="4355" width="68.42578125" style="125" customWidth="1"/>
    <col min="4356" max="4356" width="11.85546875" style="125" customWidth="1"/>
    <col min="4357" max="4357" width="15.42578125" style="125" customWidth="1"/>
    <col min="4358" max="4358" width="23.28515625" style="125" customWidth="1"/>
    <col min="4359" max="4362" width="0" style="125" hidden="1" customWidth="1"/>
    <col min="4363" max="4363" width="13" style="125" bestFit="1" customWidth="1"/>
    <col min="4364" max="4364" width="14.7109375" style="125" bestFit="1" customWidth="1"/>
    <col min="4365" max="4365" width="9.140625" style="125"/>
    <col min="4366" max="4366" width="12.42578125" style="125" bestFit="1" customWidth="1"/>
    <col min="4367" max="4607" width="9.140625" style="125"/>
    <col min="4608" max="4608" width="6.28515625" style="125" customWidth="1"/>
    <col min="4609" max="4609" width="0" style="125" hidden="1" customWidth="1"/>
    <col min="4610" max="4610" width="8.5703125" style="125" customWidth="1"/>
    <col min="4611" max="4611" width="68.42578125" style="125" customWidth="1"/>
    <col min="4612" max="4612" width="11.85546875" style="125" customWidth="1"/>
    <col min="4613" max="4613" width="15.42578125" style="125" customWidth="1"/>
    <col min="4614" max="4614" width="23.28515625" style="125" customWidth="1"/>
    <col min="4615" max="4618" width="0" style="125" hidden="1" customWidth="1"/>
    <col min="4619" max="4619" width="13" style="125" bestFit="1" customWidth="1"/>
    <col min="4620" max="4620" width="14.7109375" style="125" bestFit="1" customWidth="1"/>
    <col min="4621" max="4621" width="9.140625" style="125"/>
    <col min="4622" max="4622" width="12.42578125" style="125" bestFit="1" customWidth="1"/>
    <col min="4623" max="4863" width="9.140625" style="125"/>
    <col min="4864" max="4864" width="6.28515625" style="125" customWidth="1"/>
    <col min="4865" max="4865" width="0" style="125" hidden="1" customWidth="1"/>
    <col min="4866" max="4866" width="8.5703125" style="125" customWidth="1"/>
    <col min="4867" max="4867" width="68.42578125" style="125" customWidth="1"/>
    <col min="4868" max="4868" width="11.85546875" style="125" customWidth="1"/>
    <col min="4869" max="4869" width="15.42578125" style="125" customWidth="1"/>
    <col min="4870" max="4870" width="23.28515625" style="125" customWidth="1"/>
    <col min="4871" max="4874" width="0" style="125" hidden="1" customWidth="1"/>
    <col min="4875" max="4875" width="13" style="125" bestFit="1" customWidth="1"/>
    <col min="4876" max="4876" width="14.7109375" style="125" bestFit="1" customWidth="1"/>
    <col min="4877" max="4877" width="9.140625" style="125"/>
    <col min="4878" max="4878" width="12.42578125" style="125" bestFit="1" customWidth="1"/>
    <col min="4879" max="5119" width="9.140625" style="125"/>
    <col min="5120" max="5120" width="6.28515625" style="125" customWidth="1"/>
    <col min="5121" max="5121" width="0" style="125" hidden="1" customWidth="1"/>
    <col min="5122" max="5122" width="8.5703125" style="125" customWidth="1"/>
    <col min="5123" max="5123" width="68.42578125" style="125" customWidth="1"/>
    <col min="5124" max="5124" width="11.85546875" style="125" customWidth="1"/>
    <col min="5125" max="5125" width="15.42578125" style="125" customWidth="1"/>
    <col min="5126" max="5126" width="23.28515625" style="125" customWidth="1"/>
    <col min="5127" max="5130" width="0" style="125" hidden="1" customWidth="1"/>
    <col min="5131" max="5131" width="13" style="125" bestFit="1" customWidth="1"/>
    <col min="5132" max="5132" width="14.7109375" style="125" bestFit="1" customWidth="1"/>
    <col min="5133" max="5133" width="9.140625" style="125"/>
    <col min="5134" max="5134" width="12.42578125" style="125" bestFit="1" customWidth="1"/>
    <col min="5135" max="5375" width="9.140625" style="125"/>
    <col min="5376" max="5376" width="6.28515625" style="125" customWidth="1"/>
    <col min="5377" max="5377" width="0" style="125" hidden="1" customWidth="1"/>
    <col min="5378" max="5378" width="8.5703125" style="125" customWidth="1"/>
    <col min="5379" max="5379" width="68.42578125" style="125" customWidth="1"/>
    <col min="5380" max="5380" width="11.85546875" style="125" customWidth="1"/>
    <col min="5381" max="5381" width="15.42578125" style="125" customWidth="1"/>
    <col min="5382" max="5382" width="23.28515625" style="125" customWidth="1"/>
    <col min="5383" max="5386" width="0" style="125" hidden="1" customWidth="1"/>
    <col min="5387" max="5387" width="13" style="125" bestFit="1" customWidth="1"/>
    <col min="5388" max="5388" width="14.7109375" style="125" bestFit="1" customWidth="1"/>
    <col min="5389" max="5389" width="9.140625" style="125"/>
    <col min="5390" max="5390" width="12.42578125" style="125" bestFit="1" customWidth="1"/>
    <col min="5391" max="5631" width="9.140625" style="125"/>
    <col min="5632" max="5632" width="6.28515625" style="125" customWidth="1"/>
    <col min="5633" max="5633" width="0" style="125" hidden="1" customWidth="1"/>
    <col min="5634" max="5634" width="8.5703125" style="125" customWidth="1"/>
    <col min="5635" max="5635" width="68.42578125" style="125" customWidth="1"/>
    <col min="5636" max="5636" width="11.85546875" style="125" customWidth="1"/>
    <col min="5637" max="5637" width="15.42578125" style="125" customWidth="1"/>
    <col min="5638" max="5638" width="23.28515625" style="125" customWidth="1"/>
    <col min="5639" max="5642" width="0" style="125" hidden="1" customWidth="1"/>
    <col min="5643" max="5643" width="13" style="125" bestFit="1" customWidth="1"/>
    <col min="5644" max="5644" width="14.7109375" style="125" bestFit="1" customWidth="1"/>
    <col min="5645" max="5645" width="9.140625" style="125"/>
    <col min="5646" max="5646" width="12.42578125" style="125" bestFit="1" customWidth="1"/>
    <col min="5647" max="5887" width="9.140625" style="125"/>
    <col min="5888" max="5888" width="6.28515625" style="125" customWidth="1"/>
    <col min="5889" max="5889" width="0" style="125" hidden="1" customWidth="1"/>
    <col min="5890" max="5890" width="8.5703125" style="125" customWidth="1"/>
    <col min="5891" max="5891" width="68.42578125" style="125" customWidth="1"/>
    <col min="5892" max="5892" width="11.85546875" style="125" customWidth="1"/>
    <col min="5893" max="5893" width="15.42578125" style="125" customWidth="1"/>
    <col min="5894" max="5894" width="23.28515625" style="125" customWidth="1"/>
    <col min="5895" max="5898" width="0" style="125" hidden="1" customWidth="1"/>
    <col min="5899" max="5899" width="13" style="125" bestFit="1" customWidth="1"/>
    <col min="5900" max="5900" width="14.7109375" style="125" bestFit="1" customWidth="1"/>
    <col min="5901" max="5901" width="9.140625" style="125"/>
    <col min="5902" max="5902" width="12.42578125" style="125" bestFit="1" customWidth="1"/>
    <col min="5903" max="6143" width="9.140625" style="125"/>
    <col min="6144" max="6144" width="6.28515625" style="125" customWidth="1"/>
    <col min="6145" max="6145" width="0" style="125" hidden="1" customWidth="1"/>
    <col min="6146" max="6146" width="8.5703125" style="125" customWidth="1"/>
    <col min="6147" max="6147" width="68.42578125" style="125" customWidth="1"/>
    <col min="6148" max="6148" width="11.85546875" style="125" customWidth="1"/>
    <col min="6149" max="6149" width="15.42578125" style="125" customWidth="1"/>
    <col min="6150" max="6150" width="23.28515625" style="125" customWidth="1"/>
    <col min="6151" max="6154" width="0" style="125" hidden="1" customWidth="1"/>
    <col min="6155" max="6155" width="13" style="125" bestFit="1" customWidth="1"/>
    <col min="6156" max="6156" width="14.7109375" style="125" bestFit="1" customWidth="1"/>
    <col min="6157" max="6157" width="9.140625" style="125"/>
    <col min="6158" max="6158" width="12.42578125" style="125" bestFit="1" customWidth="1"/>
    <col min="6159" max="6399" width="9.140625" style="125"/>
    <col min="6400" max="6400" width="6.28515625" style="125" customWidth="1"/>
    <col min="6401" max="6401" width="0" style="125" hidden="1" customWidth="1"/>
    <col min="6402" max="6402" width="8.5703125" style="125" customWidth="1"/>
    <col min="6403" max="6403" width="68.42578125" style="125" customWidth="1"/>
    <col min="6404" max="6404" width="11.85546875" style="125" customWidth="1"/>
    <col min="6405" max="6405" width="15.42578125" style="125" customWidth="1"/>
    <col min="6406" max="6406" width="23.28515625" style="125" customWidth="1"/>
    <col min="6407" max="6410" width="0" style="125" hidden="1" customWidth="1"/>
    <col min="6411" max="6411" width="13" style="125" bestFit="1" customWidth="1"/>
    <col min="6412" max="6412" width="14.7109375" style="125" bestFit="1" customWidth="1"/>
    <col min="6413" max="6413" width="9.140625" style="125"/>
    <col min="6414" max="6414" width="12.42578125" style="125" bestFit="1" customWidth="1"/>
    <col min="6415" max="6655" width="9.140625" style="125"/>
    <col min="6656" max="6656" width="6.28515625" style="125" customWidth="1"/>
    <col min="6657" max="6657" width="0" style="125" hidden="1" customWidth="1"/>
    <col min="6658" max="6658" width="8.5703125" style="125" customWidth="1"/>
    <col min="6659" max="6659" width="68.42578125" style="125" customWidth="1"/>
    <col min="6660" max="6660" width="11.85546875" style="125" customWidth="1"/>
    <col min="6661" max="6661" width="15.42578125" style="125" customWidth="1"/>
    <col min="6662" max="6662" width="23.28515625" style="125" customWidth="1"/>
    <col min="6663" max="6666" width="0" style="125" hidden="1" customWidth="1"/>
    <col min="6667" max="6667" width="13" style="125" bestFit="1" customWidth="1"/>
    <col min="6668" max="6668" width="14.7109375" style="125" bestFit="1" customWidth="1"/>
    <col min="6669" max="6669" width="9.140625" style="125"/>
    <col min="6670" max="6670" width="12.42578125" style="125" bestFit="1" customWidth="1"/>
    <col min="6671" max="6911" width="9.140625" style="125"/>
    <col min="6912" max="6912" width="6.28515625" style="125" customWidth="1"/>
    <col min="6913" max="6913" width="0" style="125" hidden="1" customWidth="1"/>
    <col min="6914" max="6914" width="8.5703125" style="125" customWidth="1"/>
    <col min="6915" max="6915" width="68.42578125" style="125" customWidth="1"/>
    <col min="6916" max="6916" width="11.85546875" style="125" customWidth="1"/>
    <col min="6917" max="6917" width="15.42578125" style="125" customWidth="1"/>
    <col min="6918" max="6918" width="23.28515625" style="125" customWidth="1"/>
    <col min="6919" max="6922" width="0" style="125" hidden="1" customWidth="1"/>
    <col min="6923" max="6923" width="13" style="125" bestFit="1" customWidth="1"/>
    <col min="6924" max="6924" width="14.7109375" style="125" bestFit="1" customWidth="1"/>
    <col min="6925" max="6925" width="9.140625" style="125"/>
    <col min="6926" max="6926" width="12.42578125" style="125" bestFit="1" customWidth="1"/>
    <col min="6927" max="7167" width="9.140625" style="125"/>
    <col min="7168" max="7168" width="6.28515625" style="125" customWidth="1"/>
    <col min="7169" max="7169" width="0" style="125" hidden="1" customWidth="1"/>
    <col min="7170" max="7170" width="8.5703125" style="125" customWidth="1"/>
    <col min="7171" max="7171" width="68.42578125" style="125" customWidth="1"/>
    <col min="7172" max="7172" width="11.85546875" style="125" customWidth="1"/>
    <col min="7173" max="7173" width="15.42578125" style="125" customWidth="1"/>
    <col min="7174" max="7174" width="23.28515625" style="125" customWidth="1"/>
    <col min="7175" max="7178" width="0" style="125" hidden="1" customWidth="1"/>
    <col min="7179" max="7179" width="13" style="125" bestFit="1" customWidth="1"/>
    <col min="7180" max="7180" width="14.7109375" style="125" bestFit="1" customWidth="1"/>
    <col min="7181" max="7181" width="9.140625" style="125"/>
    <col min="7182" max="7182" width="12.42578125" style="125" bestFit="1" customWidth="1"/>
    <col min="7183" max="7423" width="9.140625" style="125"/>
    <col min="7424" max="7424" width="6.28515625" style="125" customWidth="1"/>
    <col min="7425" max="7425" width="0" style="125" hidden="1" customWidth="1"/>
    <col min="7426" max="7426" width="8.5703125" style="125" customWidth="1"/>
    <col min="7427" max="7427" width="68.42578125" style="125" customWidth="1"/>
    <col min="7428" max="7428" width="11.85546875" style="125" customWidth="1"/>
    <col min="7429" max="7429" width="15.42578125" style="125" customWidth="1"/>
    <col min="7430" max="7430" width="23.28515625" style="125" customWidth="1"/>
    <col min="7431" max="7434" width="0" style="125" hidden="1" customWidth="1"/>
    <col min="7435" max="7435" width="13" style="125" bestFit="1" customWidth="1"/>
    <col min="7436" max="7436" width="14.7109375" style="125" bestFit="1" customWidth="1"/>
    <col min="7437" max="7437" width="9.140625" style="125"/>
    <col min="7438" max="7438" width="12.42578125" style="125" bestFit="1" customWidth="1"/>
    <col min="7439" max="7679" width="9.140625" style="125"/>
    <col min="7680" max="7680" width="6.28515625" style="125" customWidth="1"/>
    <col min="7681" max="7681" width="0" style="125" hidden="1" customWidth="1"/>
    <col min="7682" max="7682" width="8.5703125" style="125" customWidth="1"/>
    <col min="7683" max="7683" width="68.42578125" style="125" customWidth="1"/>
    <col min="7684" max="7684" width="11.85546875" style="125" customWidth="1"/>
    <col min="7685" max="7685" width="15.42578125" style="125" customWidth="1"/>
    <col min="7686" max="7686" width="23.28515625" style="125" customWidth="1"/>
    <col min="7687" max="7690" width="0" style="125" hidden="1" customWidth="1"/>
    <col min="7691" max="7691" width="13" style="125" bestFit="1" customWidth="1"/>
    <col min="7692" max="7692" width="14.7109375" style="125" bestFit="1" customWidth="1"/>
    <col min="7693" max="7693" width="9.140625" style="125"/>
    <col min="7694" max="7694" width="12.42578125" style="125" bestFit="1" customWidth="1"/>
    <col min="7695" max="7935" width="9.140625" style="125"/>
    <col min="7936" max="7936" width="6.28515625" style="125" customWidth="1"/>
    <col min="7937" max="7937" width="0" style="125" hidden="1" customWidth="1"/>
    <col min="7938" max="7938" width="8.5703125" style="125" customWidth="1"/>
    <col min="7939" max="7939" width="68.42578125" style="125" customWidth="1"/>
    <col min="7940" max="7940" width="11.85546875" style="125" customWidth="1"/>
    <col min="7941" max="7941" width="15.42578125" style="125" customWidth="1"/>
    <col min="7942" max="7942" width="23.28515625" style="125" customWidth="1"/>
    <col min="7943" max="7946" width="0" style="125" hidden="1" customWidth="1"/>
    <col min="7947" max="7947" width="13" style="125" bestFit="1" customWidth="1"/>
    <col min="7948" max="7948" width="14.7109375" style="125" bestFit="1" customWidth="1"/>
    <col min="7949" max="7949" width="9.140625" style="125"/>
    <col min="7950" max="7950" width="12.42578125" style="125" bestFit="1" customWidth="1"/>
    <col min="7951" max="8191" width="9.140625" style="125"/>
    <col min="8192" max="8192" width="6.28515625" style="125" customWidth="1"/>
    <col min="8193" max="8193" width="0" style="125" hidden="1" customWidth="1"/>
    <col min="8194" max="8194" width="8.5703125" style="125" customWidth="1"/>
    <col min="8195" max="8195" width="68.42578125" style="125" customWidth="1"/>
    <col min="8196" max="8196" width="11.85546875" style="125" customWidth="1"/>
    <col min="8197" max="8197" width="15.42578125" style="125" customWidth="1"/>
    <col min="8198" max="8198" width="23.28515625" style="125" customWidth="1"/>
    <col min="8199" max="8202" width="0" style="125" hidden="1" customWidth="1"/>
    <col min="8203" max="8203" width="13" style="125" bestFit="1" customWidth="1"/>
    <col min="8204" max="8204" width="14.7109375" style="125" bestFit="1" customWidth="1"/>
    <col min="8205" max="8205" width="9.140625" style="125"/>
    <col min="8206" max="8206" width="12.42578125" style="125" bestFit="1" customWidth="1"/>
    <col min="8207" max="8447" width="9.140625" style="125"/>
    <col min="8448" max="8448" width="6.28515625" style="125" customWidth="1"/>
    <col min="8449" max="8449" width="0" style="125" hidden="1" customWidth="1"/>
    <col min="8450" max="8450" width="8.5703125" style="125" customWidth="1"/>
    <col min="8451" max="8451" width="68.42578125" style="125" customWidth="1"/>
    <col min="8452" max="8452" width="11.85546875" style="125" customWidth="1"/>
    <col min="8453" max="8453" width="15.42578125" style="125" customWidth="1"/>
    <col min="8454" max="8454" width="23.28515625" style="125" customWidth="1"/>
    <col min="8455" max="8458" width="0" style="125" hidden="1" customWidth="1"/>
    <col min="8459" max="8459" width="13" style="125" bestFit="1" customWidth="1"/>
    <col min="8460" max="8460" width="14.7109375" style="125" bestFit="1" customWidth="1"/>
    <col min="8461" max="8461" width="9.140625" style="125"/>
    <col min="8462" max="8462" width="12.42578125" style="125" bestFit="1" customWidth="1"/>
    <col min="8463" max="8703" width="9.140625" style="125"/>
    <col min="8704" max="8704" width="6.28515625" style="125" customWidth="1"/>
    <col min="8705" max="8705" width="0" style="125" hidden="1" customWidth="1"/>
    <col min="8706" max="8706" width="8.5703125" style="125" customWidth="1"/>
    <col min="8707" max="8707" width="68.42578125" style="125" customWidth="1"/>
    <col min="8708" max="8708" width="11.85546875" style="125" customWidth="1"/>
    <col min="8709" max="8709" width="15.42578125" style="125" customWidth="1"/>
    <col min="8710" max="8710" width="23.28515625" style="125" customWidth="1"/>
    <col min="8711" max="8714" width="0" style="125" hidden="1" customWidth="1"/>
    <col min="8715" max="8715" width="13" style="125" bestFit="1" customWidth="1"/>
    <col min="8716" max="8716" width="14.7109375" style="125" bestFit="1" customWidth="1"/>
    <col min="8717" max="8717" width="9.140625" style="125"/>
    <col min="8718" max="8718" width="12.42578125" style="125" bestFit="1" customWidth="1"/>
    <col min="8719" max="8959" width="9.140625" style="125"/>
    <col min="8960" max="8960" width="6.28515625" style="125" customWidth="1"/>
    <col min="8961" max="8961" width="0" style="125" hidden="1" customWidth="1"/>
    <col min="8962" max="8962" width="8.5703125" style="125" customWidth="1"/>
    <col min="8963" max="8963" width="68.42578125" style="125" customWidth="1"/>
    <col min="8964" max="8964" width="11.85546875" style="125" customWidth="1"/>
    <col min="8965" max="8965" width="15.42578125" style="125" customWidth="1"/>
    <col min="8966" max="8966" width="23.28515625" style="125" customWidth="1"/>
    <col min="8967" max="8970" width="0" style="125" hidden="1" customWidth="1"/>
    <col min="8971" max="8971" width="13" style="125" bestFit="1" customWidth="1"/>
    <col min="8972" max="8972" width="14.7109375" style="125" bestFit="1" customWidth="1"/>
    <col min="8973" max="8973" width="9.140625" style="125"/>
    <col min="8974" max="8974" width="12.42578125" style="125" bestFit="1" customWidth="1"/>
    <col min="8975" max="9215" width="9.140625" style="125"/>
    <col min="9216" max="9216" width="6.28515625" style="125" customWidth="1"/>
    <col min="9217" max="9217" width="0" style="125" hidden="1" customWidth="1"/>
    <col min="9218" max="9218" width="8.5703125" style="125" customWidth="1"/>
    <col min="9219" max="9219" width="68.42578125" style="125" customWidth="1"/>
    <col min="9220" max="9220" width="11.85546875" style="125" customWidth="1"/>
    <col min="9221" max="9221" width="15.42578125" style="125" customWidth="1"/>
    <col min="9222" max="9222" width="23.28515625" style="125" customWidth="1"/>
    <col min="9223" max="9226" width="0" style="125" hidden="1" customWidth="1"/>
    <col min="9227" max="9227" width="13" style="125" bestFit="1" customWidth="1"/>
    <col min="9228" max="9228" width="14.7109375" style="125" bestFit="1" customWidth="1"/>
    <col min="9229" max="9229" width="9.140625" style="125"/>
    <col min="9230" max="9230" width="12.42578125" style="125" bestFit="1" customWidth="1"/>
    <col min="9231" max="9471" width="9.140625" style="125"/>
    <col min="9472" max="9472" width="6.28515625" style="125" customWidth="1"/>
    <col min="9473" max="9473" width="0" style="125" hidden="1" customWidth="1"/>
    <col min="9474" max="9474" width="8.5703125" style="125" customWidth="1"/>
    <col min="9475" max="9475" width="68.42578125" style="125" customWidth="1"/>
    <col min="9476" max="9476" width="11.85546875" style="125" customWidth="1"/>
    <col min="9477" max="9477" width="15.42578125" style="125" customWidth="1"/>
    <col min="9478" max="9478" width="23.28515625" style="125" customWidth="1"/>
    <col min="9479" max="9482" width="0" style="125" hidden="1" customWidth="1"/>
    <col min="9483" max="9483" width="13" style="125" bestFit="1" customWidth="1"/>
    <col min="9484" max="9484" width="14.7109375" style="125" bestFit="1" customWidth="1"/>
    <col min="9485" max="9485" width="9.140625" style="125"/>
    <col min="9486" max="9486" width="12.42578125" style="125" bestFit="1" customWidth="1"/>
    <col min="9487" max="9727" width="9.140625" style="125"/>
    <col min="9728" max="9728" width="6.28515625" style="125" customWidth="1"/>
    <col min="9729" max="9729" width="0" style="125" hidden="1" customWidth="1"/>
    <col min="9730" max="9730" width="8.5703125" style="125" customWidth="1"/>
    <col min="9731" max="9731" width="68.42578125" style="125" customWidth="1"/>
    <col min="9732" max="9732" width="11.85546875" style="125" customWidth="1"/>
    <col min="9733" max="9733" width="15.42578125" style="125" customWidth="1"/>
    <col min="9734" max="9734" width="23.28515625" style="125" customWidth="1"/>
    <col min="9735" max="9738" width="0" style="125" hidden="1" customWidth="1"/>
    <col min="9739" max="9739" width="13" style="125" bestFit="1" customWidth="1"/>
    <col min="9740" max="9740" width="14.7109375" style="125" bestFit="1" customWidth="1"/>
    <col min="9741" max="9741" width="9.140625" style="125"/>
    <col min="9742" max="9742" width="12.42578125" style="125" bestFit="1" customWidth="1"/>
    <col min="9743" max="9983" width="9.140625" style="125"/>
    <col min="9984" max="9984" width="6.28515625" style="125" customWidth="1"/>
    <col min="9985" max="9985" width="0" style="125" hidden="1" customWidth="1"/>
    <col min="9986" max="9986" width="8.5703125" style="125" customWidth="1"/>
    <col min="9987" max="9987" width="68.42578125" style="125" customWidth="1"/>
    <col min="9988" max="9988" width="11.85546875" style="125" customWidth="1"/>
    <col min="9989" max="9989" width="15.42578125" style="125" customWidth="1"/>
    <col min="9990" max="9990" width="23.28515625" style="125" customWidth="1"/>
    <col min="9991" max="9994" width="0" style="125" hidden="1" customWidth="1"/>
    <col min="9995" max="9995" width="13" style="125" bestFit="1" customWidth="1"/>
    <col min="9996" max="9996" width="14.7109375" style="125" bestFit="1" customWidth="1"/>
    <col min="9997" max="9997" width="9.140625" style="125"/>
    <col min="9998" max="9998" width="12.42578125" style="125" bestFit="1" customWidth="1"/>
    <col min="9999" max="10239" width="9.140625" style="125"/>
    <col min="10240" max="10240" width="6.28515625" style="125" customWidth="1"/>
    <col min="10241" max="10241" width="0" style="125" hidden="1" customWidth="1"/>
    <col min="10242" max="10242" width="8.5703125" style="125" customWidth="1"/>
    <col min="10243" max="10243" width="68.42578125" style="125" customWidth="1"/>
    <col min="10244" max="10244" width="11.85546875" style="125" customWidth="1"/>
    <col min="10245" max="10245" width="15.42578125" style="125" customWidth="1"/>
    <col min="10246" max="10246" width="23.28515625" style="125" customWidth="1"/>
    <col min="10247" max="10250" width="0" style="125" hidden="1" customWidth="1"/>
    <col min="10251" max="10251" width="13" style="125" bestFit="1" customWidth="1"/>
    <col min="10252" max="10252" width="14.7109375" style="125" bestFit="1" customWidth="1"/>
    <col min="10253" max="10253" width="9.140625" style="125"/>
    <col min="10254" max="10254" width="12.42578125" style="125" bestFit="1" customWidth="1"/>
    <col min="10255" max="10495" width="9.140625" style="125"/>
    <col min="10496" max="10496" width="6.28515625" style="125" customWidth="1"/>
    <col min="10497" max="10497" width="0" style="125" hidden="1" customWidth="1"/>
    <col min="10498" max="10498" width="8.5703125" style="125" customWidth="1"/>
    <col min="10499" max="10499" width="68.42578125" style="125" customWidth="1"/>
    <col min="10500" max="10500" width="11.85546875" style="125" customWidth="1"/>
    <col min="10501" max="10501" width="15.42578125" style="125" customWidth="1"/>
    <col min="10502" max="10502" width="23.28515625" style="125" customWidth="1"/>
    <col min="10503" max="10506" width="0" style="125" hidden="1" customWidth="1"/>
    <col min="10507" max="10507" width="13" style="125" bestFit="1" customWidth="1"/>
    <col min="10508" max="10508" width="14.7109375" style="125" bestFit="1" customWidth="1"/>
    <col min="10509" max="10509" width="9.140625" style="125"/>
    <col min="10510" max="10510" width="12.42578125" style="125" bestFit="1" customWidth="1"/>
    <col min="10511" max="10751" width="9.140625" style="125"/>
    <col min="10752" max="10752" width="6.28515625" style="125" customWidth="1"/>
    <col min="10753" max="10753" width="0" style="125" hidden="1" customWidth="1"/>
    <col min="10754" max="10754" width="8.5703125" style="125" customWidth="1"/>
    <col min="10755" max="10755" width="68.42578125" style="125" customWidth="1"/>
    <col min="10756" max="10756" width="11.85546875" style="125" customWidth="1"/>
    <col min="10757" max="10757" width="15.42578125" style="125" customWidth="1"/>
    <col min="10758" max="10758" width="23.28515625" style="125" customWidth="1"/>
    <col min="10759" max="10762" width="0" style="125" hidden="1" customWidth="1"/>
    <col min="10763" max="10763" width="13" style="125" bestFit="1" customWidth="1"/>
    <col min="10764" max="10764" width="14.7109375" style="125" bestFit="1" customWidth="1"/>
    <col min="10765" max="10765" width="9.140625" style="125"/>
    <col min="10766" max="10766" width="12.42578125" style="125" bestFit="1" customWidth="1"/>
    <col min="10767" max="11007" width="9.140625" style="125"/>
    <col min="11008" max="11008" width="6.28515625" style="125" customWidth="1"/>
    <col min="11009" max="11009" width="0" style="125" hidden="1" customWidth="1"/>
    <col min="11010" max="11010" width="8.5703125" style="125" customWidth="1"/>
    <col min="11011" max="11011" width="68.42578125" style="125" customWidth="1"/>
    <col min="11012" max="11012" width="11.85546875" style="125" customWidth="1"/>
    <col min="11013" max="11013" width="15.42578125" style="125" customWidth="1"/>
    <col min="11014" max="11014" width="23.28515625" style="125" customWidth="1"/>
    <col min="11015" max="11018" width="0" style="125" hidden="1" customWidth="1"/>
    <col min="11019" max="11019" width="13" style="125" bestFit="1" customWidth="1"/>
    <col min="11020" max="11020" width="14.7109375" style="125" bestFit="1" customWidth="1"/>
    <col min="11021" max="11021" width="9.140625" style="125"/>
    <col min="11022" max="11022" width="12.42578125" style="125" bestFit="1" customWidth="1"/>
    <col min="11023" max="11263" width="9.140625" style="125"/>
    <col min="11264" max="11264" width="6.28515625" style="125" customWidth="1"/>
    <col min="11265" max="11265" width="0" style="125" hidden="1" customWidth="1"/>
    <col min="11266" max="11266" width="8.5703125" style="125" customWidth="1"/>
    <col min="11267" max="11267" width="68.42578125" style="125" customWidth="1"/>
    <col min="11268" max="11268" width="11.85546875" style="125" customWidth="1"/>
    <col min="11269" max="11269" width="15.42578125" style="125" customWidth="1"/>
    <col min="11270" max="11270" width="23.28515625" style="125" customWidth="1"/>
    <col min="11271" max="11274" width="0" style="125" hidden="1" customWidth="1"/>
    <col min="11275" max="11275" width="13" style="125" bestFit="1" customWidth="1"/>
    <col min="11276" max="11276" width="14.7109375" style="125" bestFit="1" customWidth="1"/>
    <col min="11277" max="11277" width="9.140625" style="125"/>
    <col min="11278" max="11278" width="12.42578125" style="125" bestFit="1" customWidth="1"/>
    <col min="11279" max="11519" width="9.140625" style="125"/>
    <col min="11520" max="11520" width="6.28515625" style="125" customWidth="1"/>
    <col min="11521" max="11521" width="0" style="125" hidden="1" customWidth="1"/>
    <col min="11522" max="11522" width="8.5703125" style="125" customWidth="1"/>
    <col min="11523" max="11523" width="68.42578125" style="125" customWidth="1"/>
    <col min="11524" max="11524" width="11.85546875" style="125" customWidth="1"/>
    <col min="11525" max="11525" width="15.42578125" style="125" customWidth="1"/>
    <col min="11526" max="11526" width="23.28515625" style="125" customWidth="1"/>
    <col min="11527" max="11530" width="0" style="125" hidden="1" customWidth="1"/>
    <col min="11531" max="11531" width="13" style="125" bestFit="1" customWidth="1"/>
    <col min="11532" max="11532" width="14.7109375" style="125" bestFit="1" customWidth="1"/>
    <col min="11533" max="11533" width="9.140625" style="125"/>
    <col min="11534" max="11534" width="12.42578125" style="125" bestFit="1" customWidth="1"/>
    <col min="11535" max="11775" width="9.140625" style="125"/>
    <col min="11776" max="11776" width="6.28515625" style="125" customWidth="1"/>
    <col min="11777" max="11777" width="0" style="125" hidden="1" customWidth="1"/>
    <col min="11778" max="11778" width="8.5703125" style="125" customWidth="1"/>
    <col min="11779" max="11779" width="68.42578125" style="125" customWidth="1"/>
    <col min="11780" max="11780" width="11.85546875" style="125" customWidth="1"/>
    <col min="11781" max="11781" width="15.42578125" style="125" customWidth="1"/>
    <col min="11782" max="11782" width="23.28515625" style="125" customWidth="1"/>
    <col min="11783" max="11786" width="0" style="125" hidden="1" customWidth="1"/>
    <col min="11787" max="11787" width="13" style="125" bestFit="1" customWidth="1"/>
    <col min="11788" max="11788" width="14.7109375" style="125" bestFit="1" customWidth="1"/>
    <col min="11789" max="11789" width="9.140625" style="125"/>
    <col min="11790" max="11790" width="12.42578125" style="125" bestFit="1" customWidth="1"/>
    <col min="11791" max="12031" width="9.140625" style="125"/>
    <col min="12032" max="12032" width="6.28515625" style="125" customWidth="1"/>
    <col min="12033" max="12033" width="0" style="125" hidden="1" customWidth="1"/>
    <col min="12034" max="12034" width="8.5703125" style="125" customWidth="1"/>
    <col min="12035" max="12035" width="68.42578125" style="125" customWidth="1"/>
    <col min="12036" max="12036" width="11.85546875" style="125" customWidth="1"/>
    <col min="12037" max="12037" width="15.42578125" style="125" customWidth="1"/>
    <col min="12038" max="12038" width="23.28515625" style="125" customWidth="1"/>
    <col min="12039" max="12042" width="0" style="125" hidden="1" customWidth="1"/>
    <col min="12043" max="12043" width="13" style="125" bestFit="1" customWidth="1"/>
    <col min="12044" max="12044" width="14.7109375" style="125" bestFit="1" customWidth="1"/>
    <col min="12045" max="12045" width="9.140625" style="125"/>
    <col min="12046" max="12046" width="12.42578125" style="125" bestFit="1" customWidth="1"/>
    <col min="12047" max="12287" width="9.140625" style="125"/>
    <col min="12288" max="12288" width="6.28515625" style="125" customWidth="1"/>
    <col min="12289" max="12289" width="0" style="125" hidden="1" customWidth="1"/>
    <col min="12290" max="12290" width="8.5703125" style="125" customWidth="1"/>
    <col min="12291" max="12291" width="68.42578125" style="125" customWidth="1"/>
    <col min="12292" max="12292" width="11.85546875" style="125" customWidth="1"/>
    <col min="12293" max="12293" width="15.42578125" style="125" customWidth="1"/>
    <col min="12294" max="12294" width="23.28515625" style="125" customWidth="1"/>
    <col min="12295" max="12298" width="0" style="125" hidden="1" customWidth="1"/>
    <col min="12299" max="12299" width="13" style="125" bestFit="1" customWidth="1"/>
    <col min="12300" max="12300" width="14.7109375" style="125" bestFit="1" customWidth="1"/>
    <col min="12301" max="12301" width="9.140625" style="125"/>
    <col min="12302" max="12302" width="12.42578125" style="125" bestFit="1" customWidth="1"/>
    <col min="12303" max="12543" width="9.140625" style="125"/>
    <col min="12544" max="12544" width="6.28515625" style="125" customWidth="1"/>
    <col min="12545" max="12545" width="0" style="125" hidden="1" customWidth="1"/>
    <col min="12546" max="12546" width="8.5703125" style="125" customWidth="1"/>
    <col min="12547" max="12547" width="68.42578125" style="125" customWidth="1"/>
    <col min="12548" max="12548" width="11.85546875" style="125" customWidth="1"/>
    <col min="12549" max="12549" width="15.42578125" style="125" customWidth="1"/>
    <col min="12550" max="12550" width="23.28515625" style="125" customWidth="1"/>
    <col min="12551" max="12554" width="0" style="125" hidden="1" customWidth="1"/>
    <col min="12555" max="12555" width="13" style="125" bestFit="1" customWidth="1"/>
    <col min="12556" max="12556" width="14.7109375" style="125" bestFit="1" customWidth="1"/>
    <col min="12557" max="12557" width="9.140625" style="125"/>
    <col min="12558" max="12558" width="12.42578125" style="125" bestFit="1" customWidth="1"/>
    <col min="12559" max="12799" width="9.140625" style="125"/>
    <col min="12800" max="12800" width="6.28515625" style="125" customWidth="1"/>
    <col min="12801" max="12801" width="0" style="125" hidden="1" customWidth="1"/>
    <col min="12802" max="12802" width="8.5703125" style="125" customWidth="1"/>
    <col min="12803" max="12803" width="68.42578125" style="125" customWidth="1"/>
    <col min="12804" max="12804" width="11.85546875" style="125" customWidth="1"/>
    <col min="12805" max="12805" width="15.42578125" style="125" customWidth="1"/>
    <col min="12806" max="12806" width="23.28515625" style="125" customWidth="1"/>
    <col min="12807" max="12810" width="0" style="125" hidden="1" customWidth="1"/>
    <col min="12811" max="12811" width="13" style="125" bestFit="1" customWidth="1"/>
    <col min="12812" max="12812" width="14.7109375" style="125" bestFit="1" customWidth="1"/>
    <col min="12813" max="12813" width="9.140625" style="125"/>
    <col min="12814" max="12814" width="12.42578125" style="125" bestFit="1" customWidth="1"/>
    <col min="12815" max="13055" width="9.140625" style="125"/>
    <col min="13056" max="13056" width="6.28515625" style="125" customWidth="1"/>
    <col min="13057" max="13057" width="0" style="125" hidden="1" customWidth="1"/>
    <col min="13058" max="13058" width="8.5703125" style="125" customWidth="1"/>
    <col min="13059" max="13059" width="68.42578125" style="125" customWidth="1"/>
    <col min="13060" max="13060" width="11.85546875" style="125" customWidth="1"/>
    <col min="13061" max="13061" width="15.42578125" style="125" customWidth="1"/>
    <col min="13062" max="13062" width="23.28515625" style="125" customWidth="1"/>
    <col min="13063" max="13066" width="0" style="125" hidden="1" customWidth="1"/>
    <col min="13067" max="13067" width="13" style="125" bestFit="1" customWidth="1"/>
    <col min="13068" max="13068" width="14.7109375" style="125" bestFit="1" customWidth="1"/>
    <col min="13069" max="13069" width="9.140625" style="125"/>
    <col min="13070" max="13070" width="12.42578125" style="125" bestFit="1" customWidth="1"/>
    <col min="13071" max="13311" width="9.140625" style="125"/>
    <col min="13312" max="13312" width="6.28515625" style="125" customWidth="1"/>
    <col min="13313" max="13313" width="0" style="125" hidden="1" customWidth="1"/>
    <col min="13314" max="13314" width="8.5703125" style="125" customWidth="1"/>
    <col min="13315" max="13315" width="68.42578125" style="125" customWidth="1"/>
    <col min="13316" max="13316" width="11.85546875" style="125" customWidth="1"/>
    <col min="13317" max="13317" width="15.42578125" style="125" customWidth="1"/>
    <col min="13318" max="13318" width="23.28515625" style="125" customWidth="1"/>
    <col min="13319" max="13322" width="0" style="125" hidden="1" customWidth="1"/>
    <col min="13323" max="13323" width="13" style="125" bestFit="1" customWidth="1"/>
    <col min="13324" max="13324" width="14.7109375" style="125" bestFit="1" customWidth="1"/>
    <col min="13325" max="13325" width="9.140625" style="125"/>
    <col min="13326" max="13326" width="12.42578125" style="125" bestFit="1" customWidth="1"/>
    <col min="13327" max="13567" width="9.140625" style="125"/>
    <col min="13568" max="13568" width="6.28515625" style="125" customWidth="1"/>
    <col min="13569" max="13569" width="0" style="125" hidden="1" customWidth="1"/>
    <col min="13570" max="13570" width="8.5703125" style="125" customWidth="1"/>
    <col min="13571" max="13571" width="68.42578125" style="125" customWidth="1"/>
    <col min="13572" max="13572" width="11.85546875" style="125" customWidth="1"/>
    <col min="13573" max="13573" width="15.42578125" style="125" customWidth="1"/>
    <col min="13574" max="13574" width="23.28515625" style="125" customWidth="1"/>
    <col min="13575" max="13578" width="0" style="125" hidden="1" customWidth="1"/>
    <col min="13579" max="13579" width="13" style="125" bestFit="1" customWidth="1"/>
    <col min="13580" max="13580" width="14.7109375" style="125" bestFit="1" customWidth="1"/>
    <col min="13581" max="13581" width="9.140625" style="125"/>
    <col min="13582" max="13582" width="12.42578125" style="125" bestFit="1" customWidth="1"/>
    <col min="13583" max="13823" width="9.140625" style="125"/>
    <col min="13824" max="13824" width="6.28515625" style="125" customWidth="1"/>
    <col min="13825" max="13825" width="0" style="125" hidden="1" customWidth="1"/>
    <col min="13826" max="13826" width="8.5703125" style="125" customWidth="1"/>
    <col min="13827" max="13827" width="68.42578125" style="125" customWidth="1"/>
    <col min="13828" max="13828" width="11.85546875" style="125" customWidth="1"/>
    <col min="13829" max="13829" width="15.42578125" style="125" customWidth="1"/>
    <col min="13830" max="13830" width="23.28515625" style="125" customWidth="1"/>
    <col min="13831" max="13834" width="0" style="125" hidden="1" customWidth="1"/>
    <col min="13835" max="13835" width="13" style="125" bestFit="1" customWidth="1"/>
    <col min="13836" max="13836" width="14.7109375" style="125" bestFit="1" customWidth="1"/>
    <col min="13837" max="13837" width="9.140625" style="125"/>
    <col min="13838" max="13838" width="12.42578125" style="125" bestFit="1" customWidth="1"/>
    <col min="13839" max="14079" width="9.140625" style="125"/>
    <col min="14080" max="14080" width="6.28515625" style="125" customWidth="1"/>
    <col min="14081" max="14081" width="0" style="125" hidden="1" customWidth="1"/>
    <col min="14082" max="14082" width="8.5703125" style="125" customWidth="1"/>
    <col min="14083" max="14083" width="68.42578125" style="125" customWidth="1"/>
    <col min="14084" max="14084" width="11.85546875" style="125" customWidth="1"/>
    <col min="14085" max="14085" width="15.42578125" style="125" customWidth="1"/>
    <col min="14086" max="14086" width="23.28515625" style="125" customWidth="1"/>
    <col min="14087" max="14090" width="0" style="125" hidden="1" customWidth="1"/>
    <col min="14091" max="14091" width="13" style="125" bestFit="1" customWidth="1"/>
    <col min="14092" max="14092" width="14.7109375" style="125" bestFit="1" customWidth="1"/>
    <col min="14093" max="14093" width="9.140625" style="125"/>
    <col min="14094" max="14094" width="12.42578125" style="125" bestFit="1" customWidth="1"/>
    <col min="14095" max="14335" width="9.140625" style="125"/>
    <col min="14336" max="14336" width="6.28515625" style="125" customWidth="1"/>
    <col min="14337" max="14337" width="0" style="125" hidden="1" customWidth="1"/>
    <col min="14338" max="14338" width="8.5703125" style="125" customWidth="1"/>
    <col min="14339" max="14339" width="68.42578125" style="125" customWidth="1"/>
    <col min="14340" max="14340" width="11.85546875" style="125" customWidth="1"/>
    <col min="14341" max="14341" width="15.42578125" style="125" customWidth="1"/>
    <col min="14342" max="14342" width="23.28515625" style="125" customWidth="1"/>
    <col min="14343" max="14346" width="0" style="125" hidden="1" customWidth="1"/>
    <col min="14347" max="14347" width="13" style="125" bestFit="1" customWidth="1"/>
    <col min="14348" max="14348" width="14.7109375" style="125" bestFit="1" customWidth="1"/>
    <col min="14349" max="14349" width="9.140625" style="125"/>
    <col min="14350" max="14350" width="12.42578125" style="125" bestFit="1" customWidth="1"/>
    <col min="14351" max="14591" width="9.140625" style="125"/>
    <col min="14592" max="14592" width="6.28515625" style="125" customWidth="1"/>
    <col min="14593" max="14593" width="0" style="125" hidden="1" customWidth="1"/>
    <col min="14594" max="14594" width="8.5703125" style="125" customWidth="1"/>
    <col min="14595" max="14595" width="68.42578125" style="125" customWidth="1"/>
    <col min="14596" max="14596" width="11.85546875" style="125" customWidth="1"/>
    <col min="14597" max="14597" width="15.42578125" style="125" customWidth="1"/>
    <col min="14598" max="14598" width="23.28515625" style="125" customWidth="1"/>
    <col min="14599" max="14602" width="0" style="125" hidden="1" customWidth="1"/>
    <col min="14603" max="14603" width="13" style="125" bestFit="1" customWidth="1"/>
    <col min="14604" max="14604" width="14.7109375" style="125" bestFit="1" customWidth="1"/>
    <col min="14605" max="14605" width="9.140625" style="125"/>
    <col min="14606" max="14606" width="12.42578125" style="125" bestFit="1" customWidth="1"/>
    <col min="14607" max="14847" width="9.140625" style="125"/>
    <col min="14848" max="14848" width="6.28515625" style="125" customWidth="1"/>
    <col min="14849" max="14849" width="0" style="125" hidden="1" customWidth="1"/>
    <col min="14850" max="14850" width="8.5703125" style="125" customWidth="1"/>
    <col min="14851" max="14851" width="68.42578125" style="125" customWidth="1"/>
    <col min="14852" max="14852" width="11.85546875" style="125" customWidth="1"/>
    <col min="14853" max="14853" width="15.42578125" style="125" customWidth="1"/>
    <col min="14854" max="14854" width="23.28515625" style="125" customWidth="1"/>
    <col min="14855" max="14858" width="0" style="125" hidden="1" customWidth="1"/>
    <col min="14859" max="14859" width="13" style="125" bestFit="1" customWidth="1"/>
    <col min="14860" max="14860" width="14.7109375" style="125" bestFit="1" customWidth="1"/>
    <col min="14861" max="14861" width="9.140625" style="125"/>
    <col min="14862" max="14862" width="12.42578125" style="125" bestFit="1" customWidth="1"/>
    <col min="14863" max="15103" width="9.140625" style="125"/>
    <col min="15104" max="15104" width="6.28515625" style="125" customWidth="1"/>
    <col min="15105" max="15105" width="0" style="125" hidden="1" customWidth="1"/>
    <col min="15106" max="15106" width="8.5703125" style="125" customWidth="1"/>
    <col min="15107" max="15107" width="68.42578125" style="125" customWidth="1"/>
    <col min="15108" max="15108" width="11.85546875" style="125" customWidth="1"/>
    <col min="15109" max="15109" width="15.42578125" style="125" customWidth="1"/>
    <col min="15110" max="15110" width="23.28515625" style="125" customWidth="1"/>
    <col min="15111" max="15114" width="0" style="125" hidden="1" customWidth="1"/>
    <col min="15115" max="15115" width="13" style="125" bestFit="1" customWidth="1"/>
    <col min="15116" max="15116" width="14.7109375" style="125" bestFit="1" customWidth="1"/>
    <col min="15117" max="15117" width="9.140625" style="125"/>
    <col min="15118" max="15118" width="12.42578125" style="125" bestFit="1" customWidth="1"/>
    <col min="15119" max="15359" width="9.140625" style="125"/>
    <col min="15360" max="15360" width="6.28515625" style="125" customWidth="1"/>
    <col min="15361" max="15361" width="0" style="125" hidden="1" customWidth="1"/>
    <col min="15362" max="15362" width="8.5703125" style="125" customWidth="1"/>
    <col min="15363" max="15363" width="68.42578125" style="125" customWidth="1"/>
    <col min="15364" max="15364" width="11.85546875" style="125" customWidth="1"/>
    <col min="15365" max="15365" width="15.42578125" style="125" customWidth="1"/>
    <col min="15366" max="15366" width="23.28515625" style="125" customWidth="1"/>
    <col min="15367" max="15370" width="0" style="125" hidden="1" customWidth="1"/>
    <col min="15371" max="15371" width="13" style="125" bestFit="1" customWidth="1"/>
    <col min="15372" max="15372" width="14.7109375" style="125" bestFit="1" customWidth="1"/>
    <col min="15373" max="15373" width="9.140625" style="125"/>
    <col min="15374" max="15374" width="12.42578125" style="125" bestFit="1" customWidth="1"/>
    <col min="15375" max="15615" width="9.140625" style="125"/>
    <col min="15616" max="15616" width="6.28515625" style="125" customWidth="1"/>
    <col min="15617" max="15617" width="0" style="125" hidden="1" customWidth="1"/>
    <col min="15618" max="15618" width="8.5703125" style="125" customWidth="1"/>
    <col min="15619" max="15619" width="68.42578125" style="125" customWidth="1"/>
    <col min="15620" max="15620" width="11.85546875" style="125" customWidth="1"/>
    <col min="15621" max="15621" width="15.42578125" style="125" customWidth="1"/>
    <col min="15622" max="15622" width="23.28515625" style="125" customWidth="1"/>
    <col min="15623" max="15626" width="0" style="125" hidden="1" customWidth="1"/>
    <col min="15627" max="15627" width="13" style="125" bestFit="1" customWidth="1"/>
    <col min="15628" max="15628" width="14.7109375" style="125" bestFit="1" customWidth="1"/>
    <col min="15629" max="15629" width="9.140625" style="125"/>
    <col min="15630" max="15630" width="12.42578125" style="125" bestFit="1" customWidth="1"/>
    <col min="15631" max="15871" width="9.140625" style="125"/>
    <col min="15872" max="15872" width="6.28515625" style="125" customWidth="1"/>
    <col min="15873" max="15873" width="0" style="125" hidden="1" customWidth="1"/>
    <col min="15874" max="15874" width="8.5703125" style="125" customWidth="1"/>
    <col min="15875" max="15875" width="68.42578125" style="125" customWidth="1"/>
    <col min="15876" max="15876" width="11.85546875" style="125" customWidth="1"/>
    <col min="15877" max="15877" width="15.42578125" style="125" customWidth="1"/>
    <col min="15878" max="15878" width="23.28515625" style="125" customWidth="1"/>
    <col min="15879" max="15882" width="0" style="125" hidden="1" customWidth="1"/>
    <col min="15883" max="15883" width="13" style="125" bestFit="1" customWidth="1"/>
    <col min="15884" max="15884" width="14.7109375" style="125" bestFit="1" customWidth="1"/>
    <col min="15885" max="15885" width="9.140625" style="125"/>
    <col min="15886" max="15886" width="12.42578125" style="125" bestFit="1" customWidth="1"/>
    <col min="15887" max="16127" width="9.140625" style="125"/>
    <col min="16128" max="16128" width="6.28515625" style="125" customWidth="1"/>
    <col min="16129" max="16129" width="0" style="125" hidden="1" customWidth="1"/>
    <col min="16130" max="16130" width="8.5703125" style="125" customWidth="1"/>
    <col min="16131" max="16131" width="68.42578125" style="125" customWidth="1"/>
    <col min="16132" max="16132" width="11.85546875" style="125" customWidth="1"/>
    <col min="16133" max="16133" width="15.42578125" style="125" customWidth="1"/>
    <col min="16134" max="16134" width="23.28515625" style="125" customWidth="1"/>
    <col min="16135" max="16138" width="0" style="125" hidden="1" customWidth="1"/>
    <col min="16139" max="16139" width="13" style="125" bestFit="1" customWidth="1"/>
    <col min="16140" max="16140" width="14.7109375" style="125" bestFit="1" customWidth="1"/>
    <col min="16141" max="16141" width="9.140625" style="125"/>
    <col min="16142" max="16142" width="12.42578125" style="125" bestFit="1" customWidth="1"/>
    <col min="16143" max="16384" width="9.140625" style="125"/>
  </cols>
  <sheetData>
    <row r="1" spans="1:14" ht="105.75" customHeight="1">
      <c r="A1" s="702" t="s">
        <v>993</v>
      </c>
      <c r="B1" s="703"/>
      <c r="C1" s="703"/>
      <c r="D1" s="703"/>
      <c r="E1" s="703"/>
      <c r="F1" s="703"/>
      <c r="G1" s="703"/>
      <c r="H1" s="703"/>
      <c r="I1" s="703"/>
      <c r="J1" s="704"/>
    </row>
    <row r="2" spans="1:14" ht="34.5" customHeight="1">
      <c r="A2" s="702" t="s">
        <v>185</v>
      </c>
      <c r="B2" s="703"/>
      <c r="C2" s="703"/>
      <c r="D2" s="703"/>
      <c r="E2" s="703"/>
      <c r="F2" s="704"/>
      <c r="G2" s="130"/>
      <c r="H2" s="130"/>
      <c r="I2" s="130"/>
      <c r="J2" s="130"/>
    </row>
    <row r="3" spans="1:14" s="137" customFormat="1" ht="49.5" customHeight="1">
      <c r="A3" s="131" t="s">
        <v>186</v>
      </c>
      <c r="B3" s="132"/>
      <c r="C3" s="498" t="s">
        <v>188</v>
      </c>
      <c r="D3" s="498" t="s">
        <v>190</v>
      </c>
      <c r="E3" s="134" t="s">
        <v>187</v>
      </c>
      <c r="F3" s="134" t="s">
        <v>191</v>
      </c>
      <c r="G3" s="135" t="s">
        <v>190</v>
      </c>
      <c r="H3" s="135" t="s">
        <v>191</v>
      </c>
      <c r="I3" s="135" t="s">
        <v>190</v>
      </c>
      <c r="J3" s="135" t="s">
        <v>191</v>
      </c>
      <c r="K3" s="136"/>
    </row>
    <row r="4" spans="1:14" s="137" customFormat="1" ht="55.5" customHeight="1">
      <c r="A4" s="138">
        <v>1</v>
      </c>
      <c r="B4" s="139">
        <v>1</v>
      </c>
      <c r="C4" s="705" t="s">
        <v>995</v>
      </c>
      <c r="D4" s="714">
        <v>2766365.3</v>
      </c>
      <c r="E4" s="139" t="s">
        <v>994</v>
      </c>
      <c r="F4" s="139">
        <f>D4*B4</f>
        <v>2766365.3</v>
      </c>
      <c r="G4" s="143">
        <v>295</v>
      </c>
      <c r="H4" s="144">
        <f>B4*G4</f>
        <v>295</v>
      </c>
      <c r="I4" s="145">
        <v>289</v>
      </c>
      <c r="J4" s="146">
        <f>B4*I4</f>
        <v>289</v>
      </c>
      <c r="K4" s="136"/>
      <c r="N4" s="147"/>
    </row>
    <row r="5" spans="1:14" s="137" customFormat="1" ht="64.5" customHeight="1">
      <c r="A5" s="138">
        <v>2</v>
      </c>
      <c r="B5" s="139">
        <v>1</v>
      </c>
      <c r="C5" s="705" t="s">
        <v>996</v>
      </c>
      <c r="D5" s="714">
        <v>2243831.0699999998</v>
      </c>
      <c r="E5" s="139" t="s">
        <v>994</v>
      </c>
      <c r="F5" s="139">
        <f>D5*B5</f>
        <v>2243831.0699999998</v>
      </c>
      <c r="G5" s="143"/>
      <c r="H5" s="144"/>
      <c r="I5" s="145"/>
      <c r="J5" s="146"/>
      <c r="K5" s="136"/>
      <c r="N5" s="147"/>
    </row>
    <row r="6" spans="1:14" s="137" customFormat="1" ht="64.5" customHeight="1">
      <c r="A6" s="138">
        <v>3</v>
      </c>
      <c r="B6" s="139">
        <v>1</v>
      </c>
      <c r="C6" s="705" t="s">
        <v>997</v>
      </c>
      <c r="D6" s="714">
        <v>857870.88</v>
      </c>
      <c r="E6" s="139" t="s">
        <v>994</v>
      </c>
      <c r="F6" s="139">
        <f>D6*B6</f>
        <v>857870.88</v>
      </c>
      <c r="G6" s="143"/>
      <c r="H6" s="144"/>
      <c r="I6" s="145"/>
      <c r="J6" s="146"/>
      <c r="K6" s="136"/>
      <c r="N6" s="147"/>
    </row>
    <row r="7" spans="1:14" s="137" customFormat="1" ht="64.5" customHeight="1">
      <c r="A7" s="138">
        <v>4</v>
      </c>
      <c r="B7" s="139">
        <v>1</v>
      </c>
      <c r="C7" s="705" t="s">
        <v>998</v>
      </c>
      <c r="D7" s="714">
        <v>857276.4</v>
      </c>
      <c r="E7" s="139" t="s">
        <v>994</v>
      </c>
      <c r="F7" s="139">
        <f>D7*B7</f>
        <v>857276.4</v>
      </c>
      <c r="G7" s="143"/>
      <c r="H7" s="144"/>
      <c r="I7" s="145"/>
      <c r="J7" s="146"/>
      <c r="K7" s="136"/>
      <c r="N7" s="147"/>
    </row>
    <row r="8" spans="1:14" s="137" customFormat="1" ht="64.5" customHeight="1">
      <c r="A8" s="138">
        <v>5</v>
      </c>
      <c r="B8" s="139">
        <v>1</v>
      </c>
      <c r="C8" s="705" t="s">
        <v>999</v>
      </c>
      <c r="D8" s="714">
        <v>577188.80000000005</v>
      </c>
      <c r="E8" s="139" t="s">
        <v>994</v>
      </c>
      <c r="F8" s="139">
        <f>D8*B8</f>
        <v>577188.80000000005</v>
      </c>
      <c r="G8" s="143"/>
      <c r="H8" s="144"/>
      <c r="I8" s="145"/>
      <c r="J8" s="146"/>
      <c r="K8" s="136"/>
      <c r="N8" s="147"/>
    </row>
    <row r="9" spans="1:14" s="137" customFormat="1" ht="64.5" customHeight="1">
      <c r="A9" s="138">
        <v>6</v>
      </c>
      <c r="B9" s="139">
        <v>1</v>
      </c>
      <c r="C9" s="705" t="s">
        <v>1000</v>
      </c>
      <c r="D9" s="714">
        <v>816636.9</v>
      </c>
      <c r="E9" s="139" t="s">
        <v>994</v>
      </c>
      <c r="F9" s="139">
        <f>D9*B9</f>
        <v>816636.9</v>
      </c>
      <c r="G9" s="143"/>
      <c r="H9" s="144"/>
      <c r="I9" s="145"/>
      <c r="J9" s="146"/>
      <c r="K9" s="136"/>
      <c r="N9" s="147"/>
    </row>
    <row r="10" spans="1:14" s="137" customFormat="1" ht="64.5" customHeight="1">
      <c r="A10" s="138">
        <v>7</v>
      </c>
      <c r="B10" s="139">
        <v>1</v>
      </c>
      <c r="C10" s="705" t="s">
        <v>1001</v>
      </c>
      <c r="D10" s="714">
        <v>1366777.09</v>
      </c>
      <c r="E10" s="139" t="s">
        <v>994</v>
      </c>
      <c r="F10" s="139">
        <f>D10*B10</f>
        <v>1366777.09</v>
      </c>
      <c r="G10" s="143"/>
      <c r="H10" s="144"/>
      <c r="I10" s="145"/>
      <c r="J10" s="146"/>
      <c r="K10" s="136"/>
      <c r="N10" s="147"/>
    </row>
    <row r="11" spans="1:14" s="137" customFormat="1" ht="64.5" customHeight="1">
      <c r="A11" s="138">
        <v>8</v>
      </c>
      <c r="B11" s="139">
        <v>1</v>
      </c>
      <c r="C11" s="705" t="s">
        <v>1002</v>
      </c>
      <c r="D11" s="714">
        <v>250065</v>
      </c>
      <c r="E11" s="139" t="s">
        <v>994</v>
      </c>
      <c r="F11" s="139">
        <f>D11*B11</f>
        <v>250065</v>
      </c>
      <c r="G11" s="143"/>
      <c r="H11" s="144"/>
      <c r="I11" s="145"/>
      <c r="J11" s="146"/>
      <c r="K11" s="136"/>
      <c r="N11" s="147"/>
    </row>
    <row r="12" spans="1:14" s="137" customFormat="1" ht="64.5" customHeight="1">
      <c r="A12" s="138">
        <v>9</v>
      </c>
      <c r="B12" s="139">
        <v>1</v>
      </c>
      <c r="C12" s="705" t="s">
        <v>1003</v>
      </c>
      <c r="D12" s="714">
        <v>1692670</v>
      </c>
      <c r="E12" s="139" t="s">
        <v>994</v>
      </c>
      <c r="F12" s="139">
        <f>D12*B12</f>
        <v>1692670</v>
      </c>
      <c r="G12" s="143"/>
      <c r="H12" s="144"/>
      <c r="I12" s="145"/>
      <c r="J12" s="146"/>
      <c r="K12" s="136"/>
      <c r="N12" s="147"/>
    </row>
    <row r="13" spans="1:14" s="137" customFormat="1" ht="64.5" customHeight="1">
      <c r="A13" s="138">
        <v>10</v>
      </c>
      <c r="B13" s="139">
        <v>1</v>
      </c>
      <c r="C13" s="705" t="s">
        <v>1004</v>
      </c>
      <c r="D13" s="714">
        <v>2558800</v>
      </c>
      <c r="E13" s="139" t="s">
        <v>994</v>
      </c>
      <c r="F13" s="139">
        <f>D13*B13</f>
        <v>2558800</v>
      </c>
      <c r="G13" s="143"/>
      <c r="H13" s="144"/>
      <c r="I13" s="145"/>
      <c r="J13" s="146"/>
      <c r="K13" s="136"/>
      <c r="N13" s="147"/>
    </row>
    <row r="14" spans="1:14" s="137" customFormat="1" ht="64.5" customHeight="1">
      <c r="A14" s="138">
        <v>11</v>
      </c>
      <c r="B14" s="139">
        <v>1</v>
      </c>
      <c r="C14" s="705" t="s">
        <v>1005</v>
      </c>
      <c r="D14" s="714">
        <v>781000</v>
      </c>
      <c r="E14" s="139" t="s">
        <v>994</v>
      </c>
      <c r="F14" s="139">
        <f>D14*B14</f>
        <v>781000</v>
      </c>
      <c r="G14" s="143"/>
      <c r="H14" s="144"/>
      <c r="I14" s="145"/>
      <c r="J14" s="146"/>
      <c r="K14" s="136"/>
      <c r="N14" s="147"/>
    </row>
    <row r="15" spans="1:14" s="137" customFormat="1" ht="30" customHeight="1">
      <c r="A15" s="138"/>
      <c r="B15" s="139"/>
      <c r="C15" s="709" t="s">
        <v>1006</v>
      </c>
      <c r="D15" s="706"/>
      <c r="E15" s="139"/>
      <c r="F15" s="139">
        <f>SUM(F4:F14)</f>
        <v>14768481.439999999</v>
      </c>
      <c r="G15" s="143"/>
      <c r="H15" s="144">
        <f>SUM(H4:H4)</f>
        <v>295</v>
      </c>
      <c r="I15" s="143"/>
      <c r="J15" s="144">
        <f>SUM(J4:J4)</f>
        <v>289</v>
      </c>
      <c r="K15" s="136"/>
    </row>
    <row r="16" spans="1:14" s="160" customFormat="1" ht="33.75" customHeight="1">
      <c r="A16" s="154">
        <v>12</v>
      </c>
      <c r="B16" s="139"/>
      <c r="C16" s="705" t="s">
        <v>194</v>
      </c>
      <c r="D16" s="707" t="s">
        <v>195</v>
      </c>
      <c r="E16" s="707"/>
      <c r="F16" s="708">
        <f>F15*12%</f>
        <v>1772217.7727999999</v>
      </c>
      <c r="G16" s="157"/>
      <c r="H16" s="158"/>
      <c r="I16" s="157"/>
      <c r="J16" s="146"/>
      <c r="K16" s="159"/>
      <c r="L16" s="159"/>
      <c r="M16" s="159"/>
    </row>
    <row r="17" spans="1:13" s="160" customFormat="1" ht="31.5" customHeight="1">
      <c r="A17" s="154"/>
      <c r="B17" s="139"/>
      <c r="C17" s="709" t="s">
        <v>196</v>
      </c>
      <c r="D17" s="710"/>
      <c r="E17" s="711" t="s">
        <v>26</v>
      </c>
      <c r="F17" s="139">
        <f>SUM(F15:F16)</f>
        <v>16540699.2128</v>
      </c>
      <c r="G17" s="157"/>
      <c r="H17" s="158"/>
      <c r="I17" s="157"/>
      <c r="J17" s="146"/>
      <c r="K17" s="159"/>
      <c r="L17" s="159"/>
      <c r="M17" s="159"/>
    </row>
    <row r="18" spans="1:13" s="160" customFormat="1" ht="33.75" customHeight="1">
      <c r="A18" s="154">
        <v>13</v>
      </c>
      <c r="B18" s="139"/>
      <c r="C18" s="705" t="s">
        <v>1007</v>
      </c>
      <c r="D18" s="707" t="s">
        <v>30</v>
      </c>
      <c r="E18" s="707"/>
      <c r="F18" s="708">
        <v>10000</v>
      </c>
      <c r="G18" s="157"/>
      <c r="H18" s="158"/>
      <c r="I18" s="157"/>
      <c r="J18" s="146"/>
      <c r="K18" s="159"/>
      <c r="L18" s="159"/>
      <c r="M18" s="159"/>
    </row>
    <row r="19" spans="1:13" s="160" customFormat="1" ht="31.5" customHeight="1">
      <c r="A19" s="154"/>
      <c r="B19" s="139"/>
      <c r="C19" s="709" t="s">
        <v>196</v>
      </c>
      <c r="D19" s="710"/>
      <c r="E19" s="711" t="s">
        <v>26</v>
      </c>
      <c r="F19" s="139">
        <f>SUM(F17:F18)</f>
        <v>16550699.2128</v>
      </c>
      <c r="G19" s="157"/>
      <c r="H19" s="158"/>
      <c r="I19" s="157"/>
      <c r="J19" s="146"/>
      <c r="K19" s="159"/>
      <c r="L19" s="159"/>
      <c r="M19" s="159"/>
    </row>
    <row r="20" spans="1:13" ht="37.5" customHeight="1">
      <c r="A20" s="154">
        <v>14</v>
      </c>
      <c r="B20" s="139"/>
      <c r="C20" s="712" t="s">
        <v>197</v>
      </c>
      <c r="D20" s="707" t="s">
        <v>195</v>
      </c>
      <c r="E20" s="707"/>
      <c r="F20" s="139">
        <f>F15*1%</f>
        <v>147684.8144</v>
      </c>
      <c r="G20" s="168"/>
      <c r="H20" s="168"/>
      <c r="I20" s="168"/>
      <c r="J20" s="169"/>
    </row>
    <row r="21" spans="1:13" ht="34.5" customHeight="1">
      <c r="A21" s="154">
        <v>15</v>
      </c>
      <c r="B21" s="139"/>
      <c r="C21" s="712" t="s">
        <v>156</v>
      </c>
      <c r="D21" s="707" t="s">
        <v>195</v>
      </c>
      <c r="E21" s="707"/>
      <c r="F21" s="139">
        <f>F19*2.5%</f>
        <v>413767.48032000003</v>
      </c>
      <c r="G21" s="168"/>
      <c r="H21" s="168"/>
      <c r="I21" s="168"/>
      <c r="J21" s="168"/>
    </row>
    <row r="22" spans="1:13" ht="37.5" customHeight="1">
      <c r="A22" s="154">
        <v>16</v>
      </c>
      <c r="B22" s="139"/>
      <c r="C22" s="713" t="s">
        <v>32</v>
      </c>
      <c r="D22" s="707" t="s">
        <v>195</v>
      </c>
      <c r="E22" s="707"/>
      <c r="F22" s="139">
        <f>F19*7.5%</f>
        <v>1241302.44096</v>
      </c>
      <c r="G22" s="168"/>
      <c r="H22" s="168"/>
      <c r="I22" s="168"/>
      <c r="J22" s="168"/>
    </row>
    <row r="23" spans="1:13" ht="33" customHeight="1">
      <c r="A23" s="154"/>
      <c r="B23" s="139"/>
      <c r="C23" s="709" t="s">
        <v>198</v>
      </c>
      <c r="D23" s="710"/>
      <c r="E23" s="711" t="s">
        <v>26</v>
      </c>
      <c r="F23" s="174">
        <f>SUM(F19:F22)</f>
        <v>18353453.948480003</v>
      </c>
      <c r="G23" s="168"/>
      <c r="H23" s="168"/>
      <c r="I23" s="168"/>
      <c r="J23" s="168"/>
    </row>
    <row r="24" spans="1:13" ht="28.5" customHeight="1">
      <c r="A24" s="165"/>
      <c r="B24" s="143"/>
      <c r="C24" s="509" t="s">
        <v>199</v>
      </c>
      <c r="D24" s="512"/>
      <c r="E24" s="511" t="s">
        <v>26</v>
      </c>
      <c r="F24" s="715">
        <v>18354000</v>
      </c>
      <c r="G24" s="168"/>
      <c r="H24" s="168"/>
      <c r="I24" s="168"/>
      <c r="J24" s="168"/>
    </row>
    <row r="67" ht="3.75" customHeight="1"/>
  </sheetData>
  <mergeCells count="7">
    <mergeCell ref="D22:E22"/>
    <mergeCell ref="D18:E18"/>
    <mergeCell ref="A2:F2"/>
    <mergeCell ref="A1:J1"/>
    <mergeCell ref="D16:E16"/>
    <mergeCell ref="D20:E20"/>
    <mergeCell ref="D21:E21"/>
  </mergeCells>
  <printOptions horizontalCentered="1"/>
  <pageMargins left="0.2" right="0.19685039370078741" top="0.24" bottom="0.21" header="0.19685039370078741" footer="0.19685039370078741"/>
  <pageSetup paperSize="9" scale="80" orientation="portrait" r:id="rId1"/>
  <headerFooter>
    <oddHeader>&amp;L&amp;F&amp;RPage&amp;P</oddHeader>
  </headerFooter>
  <colBreaks count="2" manualBreakCount="2">
    <brk id="6" max="14" man="1"/>
    <brk id="10" max="1048575" man="1"/>
  </colBreaks>
</worksheet>
</file>

<file path=xl/worksheets/sheet3.xml><?xml version="1.0" encoding="utf-8"?>
<worksheet xmlns="http://schemas.openxmlformats.org/spreadsheetml/2006/main" xmlns:r="http://schemas.openxmlformats.org/officeDocument/2006/relationships">
  <dimension ref="A1:J54"/>
  <sheetViews>
    <sheetView view="pageBreakPreview" zoomScaleSheetLayoutView="100" workbookViewId="0">
      <selection activeCell="F51" sqref="F51"/>
    </sheetView>
  </sheetViews>
  <sheetFormatPr defaultRowHeight="15"/>
  <cols>
    <col min="1" max="1" width="5" customWidth="1"/>
    <col min="2" max="2" width="7.42578125" customWidth="1"/>
    <col min="3" max="3" width="42.5703125" customWidth="1"/>
    <col min="4" max="4" width="11.5703125" customWidth="1"/>
    <col min="5" max="5" width="7.140625" customWidth="1"/>
    <col min="6" max="6" width="19.85546875" customWidth="1"/>
    <col min="7" max="8" width="9.140625" hidden="1" customWidth="1"/>
    <col min="10" max="10" width="9.5703125" bestFit="1" customWidth="1"/>
  </cols>
  <sheetData>
    <row r="1" spans="1:8">
      <c r="A1" s="117" t="s">
        <v>11</v>
      </c>
      <c r="B1" s="117"/>
      <c r="C1" s="117"/>
      <c r="D1" s="117"/>
      <c r="E1" s="117"/>
      <c r="F1" s="117"/>
    </row>
    <row r="2" spans="1:8">
      <c r="A2" s="117" t="s">
        <v>12</v>
      </c>
      <c r="B2" s="117"/>
      <c r="C2" s="117"/>
      <c r="D2" s="117"/>
      <c r="E2" s="117"/>
      <c r="F2" s="117"/>
    </row>
    <row r="3" spans="1:8" ht="38.25" customHeight="1">
      <c r="A3" s="118" t="s">
        <v>177</v>
      </c>
      <c r="B3" s="118"/>
      <c r="C3" s="118"/>
      <c r="D3" s="118"/>
      <c r="E3" s="118"/>
      <c r="F3" s="118"/>
      <c r="G3" s="118"/>
      <c r="H3" s="118"/>
    </row>
    <row r="4" spans="1:8" ht="19.5" customHeight="1">
      <c r="A4" s="119" t="s">
        <v>13</v>
      </c>
      <c r="B4" s="119"/>
      <c r="C4" s="119"/>
      <c r="D4" s="119"/>
      <c r="E4" s="119"/>
      <c r="F4" s="119"/>
    </row>
    <row r="5" spans="1:8">
      <c r="A5" s="2"/>
      <c r="B5" s="2"/>
      <c r="C5" s="2"/>
      <c r="D5" s="2"/>
      <c r="E5" s="2"/>
      <c r="F5" s="2"/>
    </row>
    <row r="6" spans="1:8">
      <c r="A6" s="116" t="s">
        <v>0</v>
      </c>
      <c r="B6" s="121" t="s">
        <v>4</v>
      </c>
      <c r="C6" s="116" t="s">
        <v>1</v>
      </c>
      <c r="D6" s="116" t="s">
        <v>8</v>
      </c>
      <c r="E6" s="121" t="s">
        <v>9</v>
      </c>
      <c r="F6" s="116" t="s">
        <v>10</v>
      </c>
    </row>
    <row r="7" spans="1:8">
      <c r="A7" s="116"/>
      <c r="B7" s="122"/>
      <c r="C7" s="116"/>
      <c r="D7" s="116"/>
      <c r="E7" s="122"/>
      <c r="F7" s="116"/>
    </row>
    <row r="8" spans="1:8" ht="163.5" customHeight="1">
      <c r="A8" s="6">
        <v>1</v>
      </c>
      <c r="B8" s="6"/>
      <c r="C8" s="68" t="str">
        <f>Detail!B7</f>
        <v>Drilling of Borewell anywhere inculding transportation from one place to another place in alluvial soil or sedimentary starts mud circulation method 150 mm dia of clay and sand or sand stone shale pebbles boulders etc., by first taking a pilot bore of 165 dia (6 " to 8 ") by direct or reverse rotary mud and circulations method using contractors rig, fuel, labour driling betonite mud and water required for drilling at the site shown and as directed by departmental officers.</v>
      </c>
      <c r="D8" s="5"/>
      <c r="E8" s="17"/>
      <c r="F8" s="4"/>
    </row>
    <row r="9" spans="1:8" ht="15.75">
      <c r="A9" s="6"/>
      <c r="B9" s="70">
        <f>Detail!I8</f>
        <v>152</v>
      </c>
      <c r="C9" s="68" t="s">
        <v>119</v>
      </c>
      <c r="D9" s="71">
        <v>551.04</v>
      </c>
      <c r="E9" s="72" t="s">
        <v>15</v>
      </c>
      <c r="F9" s="71">
        <f>B9*D9</f>
        <v>83758.079999999987</v>
      </c>
    </row>
    <row r="10" spans="1:8" ht="15.75">
      <c r="A10" s="6"/>
      <c r="B10" s="70">
        <f>Detail!I9</f>
        <v>30</v>
      </c>
      <c r="C10" s="68" t="s">
        <v>121</v>
      </c>
      <c r="D10" s="71">
        <v>688.8</v>
      </c>
      <c r="E10" s="72" t="s">
        <v>15</v>
      </c>
      <c r="F10" s="71">
        <f t="shared" ref="F10:F13" si="0">B10*D10</f>
        <v>20664</v>
      </c>
    </row>
    <row r="11" spans="1:8" ht="15.75">
      <c r="A11" s="6"/>
      <c r="B11" s="70">
        <f>Detail!I10</f>
        <v>32</v>
      </c>
      <c r="C11" s="68" t="s">
        <v>120</v>
      </c>
      <c r="D11" s="71">
        <v>826.56</v>
      </c>
      <c r="E11" s="72" t="s">
        <v>15</v>
      </c>
      <c r="F11" s="71">
        <f t="shared" si="0"/>
        <v>26449.919999999998</v>
      </c>
    </row>
    <row r="12" spans="1:8" ht="15.75">
      <c r="A12" s="6"/>
      <c r="B12" s="70">
        <f>Detail!I11</f>
        <v>30</v>
      </c>
      <c r="C12" s="68" t="s">
        <v>122</v>
      </c>
      <c r="D12" s="71">
        <v>964.32</v>
      </c>
      <c r="E12" s="72" t="s">
        <v>15</v>
      </c>
      <c r="F12" s="71">
        <f t="shared" si="0"/>
        <v>28929.600000000002</v>
      </c>
    </row>
    <row r="13" spans="1:8" ht="15.75">
      <c r="A13" s="6"/>
      <c r="B13" s="70">
        <f>Detail!I12</f>
        <v>56</v>
      </c>
      <c r="C13" s="68" t="s">
        <v>124</v>
      </c>
      <c r="D13" s="71">
        <v>1102.03</v>
      </c>
      <c r="E13" s="72" t="s">
        <v>15</v>
      </c>
      <c r="F13" s="71">
        <f t="shared" si="0"/>
        <v>61713.68</v>
      </c>
    </row>
    <row r="14" spans="1:8" ht="15.75">
      <c r="A14" s="6"/>
      <c r="B14" s="73"/>
      <c r="C14" s="68"/>
      <c r="D14" s="52"/>
      <c r="E14" s="74"/>
      <c r="F14" s="71"/>
    </row>
    <row r="15" spans="1:8" ht="143.25" customHeight="1">
      <c r="A15" s="6">
        <v>2</v>
      </c>
      <c r="B15" s="70">
        <f>Detail!I16</f>
        <v>150</v>
      </c>
      <c r="C15" s="68" t="str">
        <f>Detail!B15</f>
        <v>Supply and delivery of 150mm OD of PVC casing pipes (6kg/cm2) as per IS 12818 /1992 of approved quality for borewells with average wall thickness of 6.1mm and inner/outer threaded ends in standard length of 3m including transporting charges to site of work and all other taxes etc., all complete as directed by the departmental officers. (The PVC casing pipe should be got approved from the EE before use )</v>
      </c>
      <c r="D15" s="52">
        <v>618</v>
      </c>
      <c r="E15" s="74" t="s">
        <v>15</v>
      </c>
      <c r="F15" s="71">
        <f t="shared" ref="F15:F22" si="1">B15*D15</f>
        <v>92700</v>
      </c>
    </row>
    <row r="16" spans="1:8" ht="24.75" customHeight="1">
      <c r="A16" s="6"/>
      <c r="B16" s="73"/>
      <c r="C16" s="69" t="s">
        <v>131</v>
      </c>
      <c r="D16" s="52"/>
      <c r="E16" s="74"/>
      <c r="F16" s="71"/>
    </row>
    <row r="17" spans="1:8" ht="168.75" customHeight="1">
      <c r="A17" s="6">
        <v>3</v>
      </c>
      <c r="B17" s="70">
        <f>Detail!I19</f>
        <v>150</v>
      </c>
      <c r="C17" s="68" t="s">
        <v>21</v>
      </c>
      <c r="D17" s="71">
        <v>969</v>
      </c>
      <c r="E17" s="72" t="s">
        <v>15</v>
      </c>
      <c r="F17" s="71">
        <f t="shared" si="1"/>
        <v>145350</v>
      </c>
    </row>
    <row r="18" spans="1:8" ht="20.25" customHeight="1">
      <c r="A18" s="6"/>
      <c r="B18" s="73"/>
      <c r="C18" s="69" t="s">
        <v>131</v>
      </c>
      <c r="D18" s="71"/>
      <c r="E18" s="72"/>
      <c r="F18" s="71"/>
      <c r="H18">
        <f>20/3.28</f>
        <v>6.0975609756097562</v>
      </c>
    </row>
    <row r="19" spans="1:8" ht="110.25">
      <c r="A19" s="6">
        <v>4</v>
      </c>
      <c r="B19" s="70"/>
      <c r="C19" s="68" t="s">
        <v>16</v>
      </c>
      <c r="D19" s="52"/>
      <c r="E19" s="74"/>
      <c r="F19" s="71"/>
    </row>
    <row r="20" spans="1:8" ht="15.75">
      <c r="A20" s="6"/>
      <c r="B20" s="70">
        <f>Detail!I22</f>
        <v>300</v>
      </c>
      <c r="C20" s="68" t="s">
        <v>22</v>
      </c>
      <c r="D20" s="71">
        <v>335.7</v>
      </c>
      <c r="E20" s="72" t="s">
        <v>15</v>
      </c>
      <c r="F20" s="71">
        <f t="shared" si="1"/>
        <v>100710</v>
      </c>
    </row>
    <row r="21" spans="1:8" ht="31.5">
      <c r="A21" s="6"/>
      <c r="B21" s="73"/>
      <c r="C21" s="69" t="s">
        <v>132</v>
      </c>
      <c r="D21" s="71"/>
      <c r="E21" s="72"/>
      <c r="F21" s="71"/>
    </row>
    <row r="22" spans="1:8" ht="63">
      <c r="A22" s="6">
        <v>5</v>
      </c>
      <c r="B22" s="70">
        <f>Detail!I25</f>
        <v>4</v>
      </c>
      <c r="C22" s="68" t="s">
        <v>33</v>
      </c>
      <c r="D22" s="71">
        <v>137.5</v>
      </c>
      <c r="E22" s="72" t="s">
        <v>18</v>
      </c>
      <c r="F22" s="71">
        <f t="shared" si="1"/>
        <v>550</v>
      </c>
    </row>
    <row r="23" spans="1:8" ht="31.5">
      <c r="A23" s="6"/>
      <c r="B23" s="73"/>
      <c r="C23" s="69" t="s">
        <v>87</v>
      </c>
      <c r="D23" s="71"/>
      <c r="E23" s="72"/>
      <c r="F23" s="71"/>
    </row>
    <row r="24" spans="1:8" ht="110.25">
      <c r="A24" s="6">
        <v>6</v>
      </c>
      <c r="B24" s="70">
        <f>Detail!I28</f>
        <v>16</v>
      </c>
      <c r="C24" s="68" t="s">
        <v>17</v>
      </c>
      <c r="D24" s="71">
        <v>1760.7</v>
      </c>
      <c r="E24" s="72" t="s">
        <v>19</v>
      </c>
      <c r="F24" s="71">
        <f>B24*D24</f>
        <v>28171.200000000001</v>
      </c>
    </row>
    <row r="25" spans="1:8" ht="36" customHeight="1">
      <c r="A25" s="18"/>
      <c r="B25" s="75"/>
      <c r="C25" s="69" t="s">
        <v>133</v>
      </c>
      <c r="D25" s="75"/>
      <c r="E25" s="75"/>
      <c r="F25" s="31"/>
    </row>
    <row r="26" spans="1:8" ht="78.75">
      <c r="A26" s="18">
        <v>7</v>
      </c>
      <c r="B26" s="75"/>
      <c r="C26" s="42" t="s">
        <v>80</v>
      </c>
      <c r="D26" s="75"/>
      <c r="E26" s="75"/>
      <c r="F26" s="31"/>
    </row>
    <row r="27" spans="1:8" ht="25.5" customHeight="1">
      <c r="A27" s="18"/>
      <c r="B27" s="76">
        <f>Detail!I32</f>
        <v>300</v>
      </c>
      <c r="C27" s="42" t="s">
        <v>76</v>
      </c>
      <c r="D27" s="76">
        <v>162.94999999999999</v>
      </c>
      <c r="E27" s="75" t="s">
        <v>15</v>
      </c>
      <c r="F27" s="71">
        <f>B27*D27</f>
        <v>48885</v>
      </c>
    </row>
    <row r="28" spans="1:8" ht="47.25" customHeight="1">
      <c r="A28" s="18">
        <v>8</v>
      </c>
      <c r="B28" s="75"/>
      <c r="C28" s="69" t="s">
        <v>81</v>
      </c>
      <c r="D28" s="75"/>
      <c r="E28" s="75"/>
      <c r="F28" s="71"/>
    </row>
    <row r="29" spans="1:8" ht="15.75">
      <c r="A29" s="18"/>
      <c r="B29" s="76">
        <f>Detail!I36</f>
        <v>80</v>
      </c>
      <c r="C29" s="69" t="str">
        <f>Detail!B35</f>
        <v>b).32 mm dia UPVC pipes</v>
      </c>
      <c r="D29" s="76">
        <v>157.18</v>
      </c>
      <c r="E29" s="75" t="s">
        <v>15</v>
      </c>
      <c r="F29" s="71">
        <f t="shared" ref="F29" si="2">B29*D29</f>
        <v>12574.400000000001</v>
      </c>
    </row>
    <row r="30" spans="1:8" ht="47.25">
      <c r="A30" s="18">
        <v>9</v>
      </c>
      <c r="B30" s="76">
        <f>Detail!I41</f>
        <v>300</v>
      </c>
      <c r="C30" s="68" t="s">
        <v>174</v>
      </c>
      <c r="D30" s="76">
        <v>61.2</v>
      </c>
      <c r="E30" s="75" t="s">
        <v>15</v>
      </c>
      <c r="F30" s="71">
        <f>B30*D30</f>
        <v>18360</v>
      </c>
    </row>
    <row r="31" spans="1:8" ht="141.75">
      <c r="A31" s="51">
        <v>10</v>
      </c>
      <c r="B31" s="76">
        <f>Detail!I44</f>
        <v>2</v>
      </c>
      <c r="C31" s="68" t="s">
        <v>94</v>
      </c>
      <c r="D31" s="76">
        <v>33764</v>
      </c>
      <c r="E31" s="75" t="s">
        <v>69</v>
      </c>
      <c r="F31" s="71">
        <f>B31*D31</f>
        <v>67528</v>
      </c>
    </row>
    <row r="32" spans="1:8" ht="15.75">
      <c r="A32" s="18"/>
      <c r="B32" s="75"/>
      <c r="C32" s="69" t="s">
        <v>150</v>
      </c>
      <c r="D32" s="75"/>
      <c r="E32" s="75"/>
      <c r="F32" s="31"/>
    </row>
    <row r="33" spans="1:6" ht="219" customHeight="1">
      <c r="A33" s="18">
        <v>11</v>
      </c>
      <c r="B33" s="76">
        <f>Detail!I47</f>
        <v>2</v>
      </c>
      <c r="C33" s="69" t="str">
        <f>[1]Abs!$C$23</f>
        <v>Labour charges for the erection of submersible pumpset in Borewell/open 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v>
      </c>
      <c r="D33" s="76">
        <v>10051.1</v>
      </c>
      <c r="E33" s="75" t="s">
        <v>18</v>
      </c>
      <c r="F33" s="71">
        <f>B33*D33</f>
        <v>20102.2</v>
      </c>
    </row>
    <row r="34" spans="1:6" ht="15.75">
      <c r="A34" s="18"/>
      <c r="B34" s="75"/>
      <c r="C34" s="69" t="s">
        <v>151</v>
      </c>
      <c r="D34" s="75"/>
      <c r="E34" s="75"/>
      <c r="F34" s="31"/>
    </row>
    <row r="35" spans="1:6" ht="47.25">
      <c r="A35" s="18">
        <v>12</v>
      </c>
      <c r="B35" s="76">
        <f>Detail!I50</f>
        <v>230</v>
      </c>
      <c r="C35" s="68" t="s">
        <v>175</v>
      </c>
      <c r="D35" s="76">
        <f>Sheet1!F127</f>
        <v>196</v>
      </c>
      <c r="E35" s="75" t="s">
        <v>15</v>
      </c>
      <c r="F35" s="71">
        <f>B35*D35</f>
        <v>45080</v>
      </c>
    </row>
    <row r="36" spans="1:6" ht="78.75">
      <c r="A36" s="18">
        <v>13</v>
      </c>
      <c r="B36" s="76">
        <f>Detail!I55</f>
        <v>2</v>
      </c>
      <c r="C36" s="68" t="s">
        <v>118</v>
      </c>
      <c r="D36" s="55">
        <v>5249</v>
      </c>
      <c r="E36" s="56" t="s">
        <v>18</v>
      </c>
      <c r="F36" s="52">
        <f>B36*D36</f>
        <v>10498</v>
      </c>
    </row>
    <row r="37" spans="1:6" ht="15.75">
      <c r="A37" s="18"/>
      <c r="B37" s="76"/>
      <c r="C37" s="57" t="s">
        <v>152</v>
      </c>
      <c r="D37" s="58"/>
      <c r="E37" s="56"/>
      <c r="F37" s="52"/>
    </row>
    <row r="38" spans="1:6" ht="101.25" customHeight="1">
      <c r="A38" s="18">
        <v>14</v>
      </c>
      <c r="B38" s="76">
        <f>Detail!I57</f>
        <v>8</v>
      </c>
      <c r="C38" s="60" t="s">
        <v>82</v>
      </c>
      <c r="D38" s="52">
        <v>770.4</v>
      </c>
      <c r="E38" s="75" t="s">
        <v>18</v>
      </c>
      <c r="F38" s="71">
        <f>B38*D38</f>
        <v>6163.2</v>
      </c>
    </row>
    <row r="39" spans="1:6" ht="186.75" customHeight="1">
      <c r="A39" s="18">
        <v>15</v>
      </c>
      <c r="B39" s="76">
        <f>Detail!I59</f>
        <v>50</v>
      </c>
      <c r="C39" s="68" t="str">
        <f>Detail!B58</f>
        <v>Run of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19/20mm dia rigid PVC conduit pipe with ISI mark etc. including cost of all materials, specials etc. all complete and as directed by the departmental officers.</v>
      </c>
      <c r="D39" s="76">
        <v>246.7</v>
      </c>
      <c r="E39" s="75" t="s">
        <v>15</v>
      </c>
      <c r="F39" s="71">
        <f>B39*D39</f>
        <v>12335</v>
      </c>
    </row>
    <row r="40" spans="1:6" ht="108" customHeight="1">
      <c r="A40" s="18">
        <v>16</v>
      </c>
      <c r="B40" s="76">
        <f>Detail!I62</f>
        <v>2</v>
      </c>
      <c r="C40" s="68" t="str">
        <f>Detail!B61</f>
        <v>Supplying and delivery of 40mm dia MS clamp sets for erection of submersible pumpset in wells including cost of all materials, labour charges for fixing  etc., all complete and as directed by the departmental officers. (The materials quality &amp; brand should be got approved from the EE before use )</v>
      </c>
      <c r="D40" s="76">
        <v>193</v>
      </c>
      <c r="E40" s="75" t="s">
        <v>18</v>
      </c>
      <c r="F40" s="71">
        <f>B40*D40</f>
        <v>386</v>
      </c>
    </row>
    <row r="41" spans="1:6" ht="22.5" customHeight="1">
      <c r="A41" s="18"/>
      <c r="B41" s="76"/>
      <c r="C41" s="69" t="s">
        <v>171</v>
      </c>
      <c r="D41" s="76"/>
      <c r="E41" s="75"/>
      <c r="F41" s="71"/>
    </row>
    <row r="42" spans="1:6" ht="108.75" customHeight="1">
      <c r="A42" s="18">
        <v>17</v>
      </c>
      <c r="B42" s="76">
        <f>Detail!I65</f>
        <v>2</v>
      </c>
      <c r="C42" s="68" t="str">
        <f>Detail!B64</f>
        <v>Construction of Inspection chamber in size 60x60x75cm  brick work and precast slab including cost of all materials, labour charges for fixing  etc., all complete and as directed by the departmental officers. (The materials quality &amp; brand should be got approved from the EE before use )</v>
      </c>
      <c r="D42" s="76">
        <f>Sheet1!F178</f>
        <v>6648</v>
      </c>
      <c r="E42" s="75" t="s">
        <v>18</v>
      </c>
      <c r="F42" s="71">
        <f>B42*D42</f>
        <v>13296</v>
      </c>
    </row>
    <row r="43" spans="1:6" ht="79.5" customHeight="1">
      <c r="A43" s="18">
        <v>18</v>
      </c>
      <c r="B43" s="76">
        <f>Detail!I68</f>
        <v>2</v>
      </c>
      <c r="C43" s="68" t="str">
        <f>Detail!B67</f>
        <v>Supply and fixing of 100 amps TPN sheet double break switch with HRC fuse and neutral on suitable angle iron frame work with MS cable entry boxes and PWD earthing. (PWD SR Rate page No.119 2021-2022)</v>
      </c>
      <c r="D43" s="76">
        <v>5812</v>
      </c>
      <c r="E43" s="75" t="s">
        <v>18</v>
      </c>
      <c r="F43" s="71">
        <f>B43*D43</f>
        <v>11624</v>
      </c>
    </row>
    <row r="44" spans="1:6" ht="35.25" customHeight="1">
      <c r="A44" s="18">
        <v>19</v>
      </c>
      <c r="B44" s="76">
        <f>Detail!I71</f>
        <v>6</v>
      </c>
      <c r="C44" s="68" t="s">
        <v>176</v>
      </c>
      <c r="D44" s="76">
        <v>340.3</v>
      </c>
      <c r="E44" s="75" t="s">
        <v>18</v>
      </c>
      <c r="F44" s="71">
        <f>B44*D44</f>
        <v>2041.8000000000002</v>
      </c>
    </row>
    <row r="45" spans="1:6" ht="22.5" customHeight="1">
      <c r="A45" s="18"/>
      <c r="B45" s="18"/>
      <c r="C45" s="29" t="s">
        <v>34</v>
      </c>
      <c r="D45" s="18"/>
      <c r="E45" s="18"/>
      <c r="F45" s="31">
        <f>SUM(F9:F44)</f>
        <v>857870.08</v>
      </c>
    </row>
    <row r="46" spans="1:6" ht="22.5" customHeight="1">
      <c r="A46" s="32">
        <v>20</v>
      </c>
      <c r="B46" s="18"/>
      <c r="C46" s="29" t="s">
        <v>183</v>
      </c>
      <c r="D46" s="18"/>
      <c r="E46" s="18"/>
      <c r="F46" s="31">
        <f>F45*12%</f>
        <v>102944.40959999998</v>
      </c>
    </row>
    <row r="47" spans="1:6" ht="22.5" customHeight="1">
      <c r="A47" s="32"/>
      <c r="B47" s="18"/>
      <c r="C47" s="29" t="s">
        <v>35</v>
      </c>
      <c r="D47" s="18"/>
      <c r="E47" s="18"/>
      <c r="F47" s="31">
        <f>SUM(F45:F46)</f>
        <v>960814.48959999997</v>
      </c>
    </row>
    <row r="48" spans="1:6" ht="22.5" customHeight="1">
      <c r="A48" s="18">
        <v>21</v>
      </c>
      <c r="B48" s="28" t="s">
        <v>30</v>
      </c>
      <c r="C48" s="64" t="s">
        <v>29</v>
      </c>
      <c r="D48" s="28" t="s">
        <v>30</v>
      </c>
      <c r="E48" s="18"/>
      <c r="F48" s="31">
        <v>10000</v>
      </c>
    </row>
    <row r="49" spans="1:10" ht="22.5" customHeight="1">
      <c r="A49" s="18"/>
      <c r="B49" s="28"/>
      <c r="C49" s="29" t="s">
        <v>35</v>
      </c>
      <c r="D49" s="18"/>
      <c r="E49" s="18"/>
      <c r="F49" s="31">
        <f>SUM(F47:F48)</f>
        <v>970814.48959999997</v>
      </c>
    </row>
    <row r="50" spans="1:10" ht="22.5" customHeight="1">
      <c r="A50" s="32">
        <v>22</v>
      </c>
      <c r="B50" s="18"/>
      <c r="C50" s="65" t="s">
        <v>27</v>
      </c>
      <c r="D50" s="18"/>
      <c r="E50" s="18"/>
      <c r="F50" s="31">
        <f>F45*1%</f>
        <v>8578.7008000000005</v>
      </c>
    </row>
    <row r="51" spans="1:10" ht="22.5" customHeight="1">
      <c r="A51" s="32">
        <v>23</v>
      </c>
      <c r="B51" s="18"/>
      <c r="C51" s="66" t="s">
        <v>156</v>
      </c>
      <c r="D51" s="18"/>
      <c r="E51" s="18"/>
      <c r="F51" s="31">
        <f>F49*2.5%</f>
        <v>24270.362240000002</v>
      </c>
    </row>
    <row r="52" spans="1:10" ht="22.5" customHeight="1">
      <c r="A52" s="33">
        <v>24</v>
      </c>
      <c r="B52" s="19"/>
      <c r="C52" s="67" t="s">
        <v>32</v>
      </c>
      <c r="D52" s="21"/>
      <c r="E52" s="21"/>
      <c r="F52" s="35">
        <f>F49*7.5%</f>
        <v>72811.086719999992</v>
      </c>
    </row>
    <row r="53" spans="1:10" ht="22.5" customHeight="1">
      <c r="A53" s="18"/>
      <c r="B53" s="18"/>
      <c r="C53" s="18"/>
      <c r="D53" s="18"/>
      <c r="E53" s="18"/>
      <c r="F53" s="30">
        <f>SUM(F47:F52)</f>
        <v>2047289.1289599999</v>
      </c>
      <c r="J53" s="36"/>
    </row>
    <row r="54" spans="1:10" ht="22.5" customHeight="1">
      <c r="A54" s="18"/>
      <c r="B54" s="18"/>
      <c r="C54" s="27" t="s">
        <v>24</v>
      </c>
      <c r="D54" s="3" t="s">
        <v>25</v>
      </c>
      <c r="E54" s="3" t="s">
        <v>26</v>
      </c>
      <c r="F54" s="34">
        <f>CEILING(F53,100)</f>
        <v>2047300</v>
      </c>
    </row>
  </sheetData>
  <mergeCells count="10">
    <mergeCell ref="E6:E7"/>
    <mergeCell ref="A1:F1"/>
    <mergeCell ref="A2:F2"/>
    <mergeCell ref="A4:F4"/>
    <mergeCell ref="A6:A7"/>
    <mergeCell ref="C6:C7"/>
    <mergeCell ref="D6:D7"/>
    <mergeCell ref="F6:F7"/>
    <mergeCell ref="B6:B7"/>
    <mergeCell ref="A3:H3"/>
  </mergeCells>
  <pageMargins left="0.45" right="0.46" top="0.34" bottom="0.2800000000000000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O55"/>
  <sheetViews>
    <sheetView showZeros="0" view="pageBreakPreview" zoomScale="70" zoomScaleSheetLayoutView="70" workbookViewId="0">
      <selection activeCell="E8" sqref="E8:F8"/>
    </sheetView>
  </sheetViews>
  <sheetFormatPr defaultRowHeight="15.75"/>
  <cols>
    <col min="1" max="1" width="6.28515625" style="177" customWidth="1"/>
    <col min="2" max="2" width="8.5703125" style="178" hidden="1" customWidth="1"/>
    <col min="3" max="3" width="8.5703125" style="177" customWidth="1"/>
    <col min="4" max="4" width="68.42578125" style="179" customWidth="1"/>
    <col min="5" max="5" width="11.85546875" style="179" customWidth="1"/>
    <col min="6" max="6" width="15.42578125" style="180" customWidth="1"/>
    <col min="7" max="7" width="23.28515625" style="124" customWidth="1"/>
    <col min="8" max="8" width="14.85546875" style="124" hidden="1" customWidth="1"/>
    <col min="9" max="9" width="14.85546875" style="181" hidden="1" customWidth="1"/>
    <col min="10" max="10" width="13" style="124" hidden="1" customWidth="1"/>
    <col min="11" max="11" width="15.85546875" style="124" hidden="1" customWidth="1"/>
    <col min="12" max="12" width="13" style="124" bestFit="1" customWidth="1"/>
    <col min="13" max="13" width="14.7109375" style="125" bestFit="1" customWidth="1"/>
    <col min="14" max="14" width="9.140625" style="125"/>
    <col min="15" max="15" width="12.42578125" style="125" bestFit="1" customWidth="1"/>
    <col min="16" max="256" width="9.140625" style="125"/>
    <col min="257" max="257" width="6.28515625" style="125" customWidth="1"/>
    <col min="258" max="258" width="0" style="125" hidden="1" customWidth="1"/>
    <col min="259" max="259" width="8.5703125" style="125" customWidth="1"/>
    <col min="260" max="260" width="68.42578125" style="125" customWidth="1"/>
    <col min="261" max="261" width="11.85546875" style="125" customWidth="1"/>
    <col min="262" max="262" width="15.42578125" style="125" customWidth="1"/>
    <col min="263" max="263" width="23.28515625" style="125" customWidth="1"/>
    <col min="264" max="267" width="0" style="125" hidden="1" customWidth="1"/>
    <col min="268" max="268" width="13" style="125" bestFit="1" customWidth="1"/>
    <col min="269" max="269" width="14.7109375" style="125" bestFit="1" customWidth="1"/>
    <col min="270" max="270" width="9.140625" style="125"/>
    <col min="271" max="271" width="12.42578125" style="125" bestFit="1" customWidth="1"/>
    <col min="272" max="512" width="9.140625" style="125"/>
    <col min="513" max="513" width="6.28515625" style="125" customWidth="1"/>
    <col min="514" max="514" width="0" style="125" hidden="1" customWidth="1"/>
    <col min="515" max="515" width="8.5703125" style="125" customWidth="1"/>
    <col min="516" max="516" width="68.42578125" style="125" customWidth="1"/>
    <col min="517" max="517" width="11.85546875" style="125" customWidth="1"/>
    <col min="518" max="518" width="15.42578125" style="125" customWidth="1"/>
    <col min="519" max="519" width="23.28515625" style="125" customWidth="1"/>
    <col min="520" max="523" width="0" style="125" hidden="1" customWidth="1"/>
    <col min="524" max="524" width="13" style="125" bestFit="1" customWidth="1"/>
    <col min="525" max="525" width="14.7109375" style="125" bestFit="1" customWidth="1"/>
    <col min="526" max="526" width="9.140625" style="125"/>
    <col min="527" max="527" width="12.42578125" style="125" bestFit="1" customWidth="1"/>
    <col min="528" max="768" width="9.140625" style="125"/>
    <col min="769" max="769" width="6.28515625" style="125" customWidth="1"/>
    <col min="770" max="770" width="0" style="125" hidden="1" customWidth="1"/>
    <col min="771" max="771" width="8.5703125" style="125" customWidth="1"/>
    <col min="772" max="772" width="68.42578125" style="125" customWidth="1"/>
    <col min="773" max="773" width="11.85546875" style="125" customWidth="1"/>
    <col min="774" max="774" width="15.42578125" style="125" customWidth="1"/>
    <col min="775" max="775" width="23.28515625" style="125" customWidth="1"/>
    <col min="776" max="779" width="0" style="125" hidden="1" customWidth="1"/>
    <col min="780" max="780" width="13" style="125" bestFit="1" customWidth="1"/>
    <col min="781" max="781" width="14.7109375" style="125" bestFit="1" customWidth="1"/>
    <col min="782" max="782" width="9.140625" style="125"/>
    <col min="783" max="783" width="12.42578125" style="125" bestFit="1" customWidth="1"/>
    <col min="784" max="1024" width="9.140625" style="125"/>
    <col min="1025" max="1025" width="6.28515625" style="125" customWidth="1"/>
    <col min="1026" max="1026" width="0" style="125" hidden="1" customWidth="1"/>
    <col min="1027" max="1027" width="8.5703125" style="125" customWidth="1"/>
    <col min="1028" max="1028" width="68.42578125" style="125" customWidth="1"/>
    <col min="1029" max="1029" width="11.85546875" style="125" customWidth="1"/>
    <col min="1030" max="1030" width="15.42578125" style="125" customWidth="1"/>
    <col min="1031" max="1031" width="23.28515625" style="125" customWidth="1"/>
    <col min="1032" max="1035" width="0" style="125" hidden="1" customWidth="1"/>
    <col min="1036" max="1036" width="13" style="125" bestFit="1" customWidth="1"/>
    <col min="1037" max="1037" width="14.7109375" style="125" bestFit="1" customWidth="1"/>
    <col min="1038" max="1038" width="9.140625" style="125"/>
    <col min="1039" max="1039" width="12.42578125" style="125" bestFit="1" customWidth="1"/>
    <col min="1040" max="1280" width="9.140625" style="125"/>
    <col min="1281" max="1281" width="6.28515625" style="125" customWidth="1"/>
    <col min="1282" max="1282" width="0" style="125" hidden="1" customWidth="1"/>
    <col min="1283" max="1283" width="8.5703125" style="125" customWidth="1"/>
    <col min="1284" max="1284" width="68.42578125" style="125" customWidth="1"/>
    <col min="1285" max="1285" width="11.85546875" style="125" customWidth="1"/>
    <col min="1286" max="1286" width="15.42578125" style="125" customWidth="1"/>
    <col min="1287" max="1287" width="23.28515625" style="125" customWidth="1"/>
    <col min="1288" max="1291" width="0" style="125" hidden="1" customWidth="1"/>
    <col min="1292" max="1292" width="13" style="125" bestFit="1" customWidth="1"/>
    <col min="1293" max="1293" width="14.7109375" style="125" bestFit="1" customWidth="1"/>
    <col min="1294" max="1294" width="9.140625" style="125"/>
    <col min="1295" max="1295" width="12.42578125" style="125" bestFit="1" customWidth="1"/>
    <col min="1296" max="1536" width="9.140625" style="125"/>
    <col min="1537" max="1537" width="6.28515625" style="125" customWidth="1"/>
    <col min="1538" max="1538" width="0" style="125" hidden="1" customWidth="1"/>
    <col min="1539" max="1539" width="8.5703125" style="125" customWidth="1"/>
    <col min="1540" max="1540" width="68.42578125" style="125" customWidth="1"/>
    <col min="1541" max="1541" width="11.85546875" style="125" customWidth="1"/>
    <col min="1542" max="1542" width="15.42578125" style="125" customWidth="1"/>
    <col min="1543" max="1543" width="23.28515625" style="125" customWidth="1"/>
    <col min="1544" max="1547" width="0" style="125" hidden="1" customWidth="1"/>
    <col min="1548" max="1548" width="13" style="125" bestFit="1" customWidth="1"/>
    <col min="1549" max="1549" width="14.7109375" style="125" bestFit="1" customWidth="1"/>
    <col min="1550" max="1550" width="9.140625" style="125"/>
    <col min="1551" max="1551" width="12.42578125" style="125" bestFit="1" customWidth="1"/>
    <col min="1552" max="1792" width="9.140625" style="125"/>
    <col min="1793" max="1793" width="6.28515625" style="125" customWidth="1"/>
    <col min="1794" max="1794" width="0" style="125" hidden="1" customWidth="1"/>
    <col min="1795" max="1795" width="8.5703125" style="125" customWidth="1"/>
    <col min="1796" max="1796" width="68.42578125" style="125" customWidth="1"/>
    <col min="1797" max="1797" width="11.85546875" style="125" customWidth="1"/>
    <col min="1798" max="1798" width="15.42578125" style="125" customWidth="1"/>
    <col min="1799" max="1799" width="23.28515625" style="125" customWidth="1"/>
    <col min="1800" max="1803" width="0" style="125" hidden="1" customWidth="1"/>
    <col min="1804" max="1804" width="13" style="125" bestFit="1" customWidth="1"/>
    <col min="1805" max="1805" width="14.7109375" style="125" bestFit="1" customWidth="1"/>
    <col min="1806" max="1806" width="9.140625" style="125"/>
    <col min="1807" max="1807" width="12.42578125" style="125" bestFit="1" customWidth="1"/>
    <col min="1808" max="2048" width="9.140625" style="125"/>
    <col min="2049" max="2049" width="6.28515625" style="125" customWidth="1"/>
    <col min="2050" max="2050" width="0" style="125" hidden="1" customWidth="1"/>
    <col min="2051" max="2051" width="8.5703125" style="125" customWidth="1"/>
    <col min="2052" max="2052" width="68.42578125" style="125" customWidth="1"/>
    <col min="2053" max="2053" width="11.85546875" style="125" customWidth="1"/>
    <col min="2054" max="2054" width="15.42578125" style="125" customWidth="1"/>
    <col min="2055" max="2055" width="23.28515625" style="125" customWidth="1"/>
    <col min="2056" max="2059" width="0" style="125" hidden="1" customWidth="1"/>
    <col min="2060" max="2060" width="13" style="125" bestFit="1" customWidth="1"/>
    <col min="2061" max="2061" width="14.7109375" style="125" bestFit="1" customWidth="1"/>
    <col min="2062" max="2062" width="9.140625" style="125"/>
    <col min="2063" max="2063" width="12.42578125" style="125" bestFit="1" customWidth="1"/>
    <col min="2064" max="2304" width="9.140625" style="125"/>
    <col min="2305" max="2305" width="6.28515625" style="125" customWidth="1"/>
    <col min="2306" max="2306" width="0" style="125" hidden="1" customWidth="1"/>
    <col min="2307" max="2307" width="8.5703125" style="125" customWidth="1"/>
    <col min="2308" max="2308" width="68.42578125" style="125" customWidth="1"/>
    <col min="2309" max="2309" width="11.85546875" style="125" customWidth="1"/>
    <col min="2310" max="2310" width="15.42578125" style="125" customWidth="1"/>
    <col min="2311" max="2311" width="23.28515625" style="125" customWidth="1"/>
    <col min="2312" max="2315" width="0" style="125" hidden="1" customWidth="1"/>
    <col min="2316" max="2316" width="13" style="125" bestFit="1" customWidth="1"/>
    <col min="2317" max="2317" width="14.7109375" style="125" bestFit="1" customWidth="1"/>
    <col min="2318" max="2318" width="9.140625" style="125"/>
    <col min="2319" max="2319" width="12.42578125" style="125" bestFit="1" customWidth="1"/>
    <col min="2320" max="2560" width="9.140625" style="125"/>
    <col min="2561" max="2561" width="6.28515625" style="125" customWidth="1"/>
    <col min="2562" max="2562" width="0" style="125" hidden="1" customWidth="1"/>
    <col min="2563" max="2563" width="8.5703125" style="125" customWidth="1"/>
    <col min="2564" max="2564" width="68.42578125" style="125" customWidth="1"/>
    <col min="2565" max="2565" width="11.85546875" style="125" customWidth="1"/>
    <col min="2566" max="2566" width="15.42578125" style="125" customWidth="1"/>
    <col min="2567" max="2567" width="23.28515625" style="125" customWidth="1"/>
    <col min="2568" max="2571" width="0" style="125" hidden="1" customWidth="1"/>
    <col min="2572" max="2572" width="13" style="125" bestFit="1" customWidth="1"/>
    <col min="2573" max="2573" width="14.7109375" style="125" bestFit="1" customWidth="1"/>
    <col min="2574" max="2574" width="9.140625" style="125"/>
    <col min="2575" max="2575" width="12.42578125" style="125" bestFit="1" customWidth="1"/>
    <col min="2576" max="2816" width="9.140625" style="125"/>
    <col min="2817" max="2817" width="6.28515625" style="125" customWidth="1"/>
    <col min="2818" max="2818" width="0" style="125" hidden="1" customWidth="1"/>
    <col min="2819" max="2819" width="8.5703125" style="125" customWidth="1"/>
    <col min="2820" max="2820" width="68.42578125" style="125" customWidth="1"/>
    <col min="2821" max="2821" width="11.85546875" style="125" customWidth="1"/>
    <col min="2822" max="2822" width="15.42578125" style="125" customWidth="1"/>
    <col min="2823" max="2823" width="23.28515625" style="125" customWidth="1"/>
    <col min="2824" max="2827" width="0" style="125" hidden="1" customWidth="1"/>
    <col min="2828" max="2828" width="13" style="125" bestFit="1" customWidth="1"/>
    <col min="2829" max="2829" width="14.7109375" style="125" bestFit="1" customWidth="1"/>
    <col min="2830" max="2830" width="9.140625" style="125"/>
    <col min="2831" max="2831" width="12.42578125" style="125" bestFit="1" customWidth="1"/>
    <col min="2832" max="3072" width="9.140625" style="125"/>
    <col min="3073" max="3073" width="6.28515625" style="125" customWidth="1"/>
    <col min="3074" max="3074" width="0" style="125" hidden="1" customWidth="1"/>
    <col min="3075" max="3075" width="8.5703125" style="125" customWidth="1"/>
    <col min="3076" max="3076" width="68.42578125" style="125" customWidth="1"/>
    <col min="3077" max="3077" width="11.85546875" style="125" customWidth="1"/>
    <col min="3078" max="3078" width="15.42578125" style="125" customWidth="1"/>
    <col min="3079" max="3079" width="23.28515625" style="125" customWidth="1"/>
    <col min="3080" max="3083" width="0" style="125" hidden="1" customWidth="1"/>
    <col min="3084" max="3084" width="13" style="125" bestFit="1" customWidth="1"/>
    <col min="3085" max="3085" width="14.7109375" style="125" bestFit="1" customWidth="1"/>
    <col min="3086" max="3086" width="9.140625" style="125"/>
    <col min="3087" max="3087" width="12.42578125" style="125" bestFit="1" customWidth="1"/>
    <col min="3088" max="3328" width="9.140625" style="125"/>
    <col min="3329" max="3329" width="6.28515625" style="125" customWidth="1"/>
    <col min="3330" max="3330" width="0" style="125" hidden="1" customWidth="1"/>
    <col min="3331" max="3331" width="8.5703125" style="125" customWidth="1"/>
    <col min="3332" max="3332" width="68.42578125" style="125" customWidth="1"/>
    <col min="3333" max="3333" width="11.85546875" style="125" customWidth="1"/>
    <col min="3334" max="3334" width="15.42578125" style="125" customWidth="1"/>
    <col min="3335" max="3335" width="23.28515625" style="125" customWidth="1"/>
    <col min="3336" max="3339" width="0" style="125" hidden="1" customWidth="1"/>
    <col min="3340" max="3340" width="13" style="125" bestFit="1" customWidth="1"/>
    <col min="3341" max="3341" width="14.7109375" style="125" bestFit="1" customWidth="1"/>
    <col min="3342" max="3342" width="9.140625" style="125"/>
    <col min="3343" max="3343" width="12.42578125" style="125" bestFit="1" customWidth="1"/>
    <col min="3344" max="3584" width="9.140625" style="125"/>
    <col min="3585" max="3585" width="6.28515625" style="125" customWidth="1"/>
    <col min="3586" max="3586" width="0" style="125" hidden="1" customWidth="1"/>
    <col min="3587" max="3587" width="8.5703125" style="125" customWidth="1"/>
    <col min="3588" max="3588" width="68.42578125" style="125" customWidth="1"/>
    <col min="3589" max="3589" width="11.85546875" style="125" customWidth="1"/>
    <col min="3590" max="3590" width="15.42578125" style="125" customWidth="1"/>
    <col min="3591" max="3591" width="23.28515625" style="125" customWidth="1"/>
    <col min="3592" max="3595" width="0" style="125" hidden="1" customWidth="1"/>
    <col min="3596" max="3596" width="13" style="125" bestFit="1" customWidth="1"/>
    <col min="3597" max="3597" width="14.7109375" style="125" bestFit="1" customWidth="1"/>
    <col min="3598" max="3598" width="9.140625" style="125"/>
    <col min="3599" max="3599" width="12.42578125" style="125" bestFit="1" customWidth="1"/>
    <col min="3600" max="3840" width="9.140625" style="125"/>
    <col min="3841" max="3841" width="6.28515625" style="125" customWidth="1"/>
    <col min="3842" max="3842" width="0" style="125" hidden="1" customWidth="1"/>
    <col min="3843" max="3843" width="8.5703125" style="125" customWidth="1"/>
    <col min="3844" max="3844" width="68.42578125" style="125" customWidth="1"/>
    <col min="3845" max="3845" width="11.85546875" style="125" customWidth="1"/>
    <col min="3846" max="3846" width="15.42578125" style="125" customWidth="1"/>
    <col min="3847" max="3847" width="23.28515625" style="125" customWidth="1"/>
    <col min="3848" max="3851" width="0" style="125" hidden="1" customWidth="1"/>
    <col min="3852" max="3852" width="13" style="125" bestFit="1" customWidth="1"/>
    <col min="3853" max="3853" width="14.7109375" style="125" bestFit="1" customWidth="1"/>
    <col min="3854" max="3854" width="9.140625" style="125"/>
    <col min="3855" max="3855" width="12.42578125" style="125" bestFit="1" customWidth="1"/>
    <col min="3856" max="4096" width="9.140625" style="125"/>
    <col min="4097" max="4097" width="6.28515625" style="125" customWidth="1"/>
    <col min="4098" max="4098" width="0" style="125" hidden="1" customWidth="1"/>
    <col min="4099" max="4099" width="8.5703125" style="125" customWidth="1"/>
    <col min="4100" max="4100" width="68.42578125" style="125" customWidth="1"/>
    <col min="4101" max="4101" width="11.85546875" style="125" customWidth="1"/>
    <col min="4102" max="4102" width="15.42578125" style="125" customWidth="1"/>
    <col min="4103" max="4103" width="23.28515625" style="125" customWidth="1"/>
    <col min="4104" max="4107" width="0" style="125" hidden="1" customWidth="1"/>
    <col min="4108" max="4108" width="13" style="125" bestFit="1" customWidth="1"/>
    <col min="4109" max="4109" width="14.7109375" style="125" bestFit="1" customWidth="1"/>
    <col min="4110" max="4110" width="9.140625" style="125"/>
    <col min="4111" max="4111" width="12.42578125" style="125" bestFit="1" customWidth="1"/>
    <col min="4112" max="4352" width="9.140625" style="125"/>
    <col min="4353" max="4353" width="6.28515625" style="125" customWidth="1"/>
    <col min="4354" max="4354" width="0" style="125" hidden="1" customWidth="1"/>
    <col min="4355" max="4355" width="8.5703125" style="125" customWidth="1"/>
    <col min="4356" max="4356" width="68.42578125" style="125" customWidth="1"/>
    <col min="4357" max="4357" width="11.85546875" style="125" customWidth="1"/>
    <col min="4358" max="4358" width="15.42578125" style="125" customWidth="1"/>
    <col min="4359" max="4359" width="23.28515625" style="125" customWidth="1"/>
    <col min="4360" max="4363" width="0" style="125" hidden="1" customWidth="1"/>
    <col min="4364" max="4364" width="13" style="125" bestFit="1" customWidth="1"/>
    <col min="4365" max="4365" width="14.7109375" style="125" bestFit="1" customWidth="1"/>
    <col min="4366" max="4366" width="9.140625" style="125"/>
    <col min="4367" max="4367" width="12.42578125" style="125" bestFit="1" customWidth="1"/>
    <col min="4368" max="4608" width="9.140625" style="125"/>
    <col min="4609" max="4609" width="6.28515625" style="125" customWidth="1"/>
    <col min="4610" max="4610" width="0" style="125" hidden="1" customWidth="1"/>
    <col min="4611" max="4611" width="8.5703125" style="125" customWidth="1"/>
    <col min="4612" max="4612" width="68.42578125" style="125" customWidth="1"/>
    <col min="4613" max="4613" width="11.85546875" style="125" customWidth="1"/>
    <col min="4614" max="4614" width="15.42578125" style="125" customWidth="1"/>
    <col min="4615" max="4615" width="23.28515625" style="125" customWidth="1"/>
    <col min="4616" max="4619" width="0" style="125" hidden="1" customWidth="1"/>
    <col min="4620" max="4620" width="13" style="125" bestFit="1" customWidth="1"/>
    <col min="4621" max="4621" width="14.7109375" style="125" bestFit="1" customWidth="1"/>
    <col min="4622" max="4622" width="9.140625" style="125"/>
    <col min="4623" max="4623" width="12.42578125" style="125" bestFit="1" customWidth="1"/>
    <col min="4624" max="4864" width="9.140625" style="125"/>
    <col min="4865" max="4865" width="6.28515625" style="125" customWidth="1"/>
    <col min="4866" max="4866" width="0" style="125" hidden="1" customWidth="1"/>
    <col min="4867" max="4867" width="8.5703125" style="125" customWidth="1"/>
    <col min="4868" max="4868" width="68.42578125" style="125" customWidth="1"/>
    <col min="4869" max="4869" width="11.85546875" style="125" customWidth="1"/>
    <col min="4870" max="4870" width="15.42578125" style="125" customWidth="1"/>
    <col min="4871" max="4871" width="23.28515625" style="125" customWidth="1"/>
    <col min="4872" max="4875" width="0" style="125" hidden="1" customWidth="1"/>
    <col min="4876" max="4876" width="13" style="125" bestFit="1" customWidth="1"/>
    <col min="4877" max="4877" width="14.7109375" style="125" bestFit="1" customWidth="1"/>
    <col min="4878" max="4878" width="9.140625" style="125"/>
    <col min="4879" max="4879" width="12.42578125" style="125" bestFit="1" customWidth="1"/>
    <col min="4880" max="5120" width="9.140625" style="125"/>
    <col min="5121" max="5121" width="6.28515625" style="125" customWidth="1"/>
    <col min="5122" max="5122" width="0" style="125" hidden="1" customWidth="1"/>
    <col min="5123" max="5123" width="8.5703125" style="125" customWidth="1"/>
    <col min="5124" max="5124" width="68.42578125" style="125" customWidth="1"/>
    <col min="5125" max="5125" width="11.85546875" style="125" customWidth="1"/>
    <col min="5126" max="5126" width="15.42578125" style="125" customWidth="1"/>
    <col min="5127" max="5127" width="23.28515625" style="125" customWidth="1"/>
    <col min="5128" max="5131" width="0" style="125" hidden="1" customWidth="1"/>
    <col min="5132" max="5132" width="13" style="125" bestFit="1" customWidth="1"/>
    <col min="5133" max="5133" width="14.7109375" style="125" bestFit="1" customWidth="1"/>
    <col min="5134" max="5134" width="9.140625" style="125"/>
    <col min="5135" max="5135" width="12.42578125" style="125" bestFit="1" customWidth="1"/>
    <col min="5136" max="5376" width="9.140625" style="125"/>
    <col min="5377" max="5377" width="6.28515625" style="125" customWidth="1"/>
    <col min="5378" max="5378" width="0" style="125" hidden="1" customWidth="1"/>
    <col min="5379" max="5379" width="8.5703125" style="125" customWidth="1"/>
    <col min="5380" max="5380" width="68.42578125" style="125" customWidth="1"/>
    <col min="5381" max="5381" width="11.85546875" style="125" customWidth="1"/>
    <col min="5382" max="5382" width="15.42578125" style="125" customWidth="1"/>
    <col min="5383" max="5383" width="23.28515625" style="125" customWidth="1"/>
    <col min="5384" max="5387" width="0" style="125" hidden="1" customWidth="1"/>
    <col min="5388" max="5388" width="13" style="125" bestFit="1" customWidth="1"/>
    <col min="5389" max="5389" width="14.7109375" style="125" bestFit="1" customWidth="1"/>
    <col min="5390" max="5390" width="9.140625" style="125"/>
    <col min="5391" max="5391" width="12.42578125" style="125" bestFit="1" customWidth="1"/>
    <col min="5392" max="5632" width="9.140625" style="125"/>
    <col min="5633" max="5633" width="6.28515625" style="125" customWidth="1"/>
    <col min="5634" max="5634" width="0" style="125" hidden="1" customWidth="1"/>
    <col min="5635" max="5635" width="8.5703125" style="125" customWidth="1"/>
    <col min="5636" max="5636" width="68.42578125" style="125" customWidth="1"/>
    <col min="5637" max="5637" width="11.85546875" style="125" customWidth="1"/>
    <col min="5638" max="5638" width="15.42578125" style="125" customWidth="1"/>
    <col min="5639" max="5639" width="23.28515625" style="125" customWidth="1"/>
    <col min="5640" max="5643" width="0" style="125" hidden="1" customWidth="1"/>
    <col min="5644" max="5644" width="13" style="125" bestFit="1" customWidth="1"/>
    <col min="5645" max="5645" width="14.7109375" style="125" bestFit="1" customWidth="1"/>
    <col min="5646" max="5646" width="9.140625" style="125"/>
    <col min="5647" max="5647" width="12.42578125" style="125" bestFit="1" customWidth="1"/>
    <col min="5648" max="5888" width="9.140625" style="125"/>
    <col min="5889" max="5889" width="6.28515625" style="125" customWidth="1"/>
    <col min="5890" max="5890" width="0" style="125" hidden="1" customWidth="1"/>
    <col min="5891" max="5891" width="8.5703125" style="125" customWidth="1"/>
    <col min="5892" max="5892" width="68.42578125" style="125" customWidth="1"/>
    <col min="5893" max="5893" width="11.85546875" style="125" customWidth="1"/>
    <col min="5894" max="5894" width="15.42578125" style="125" customWidth="1"/>
    <col min="5895" max="5895" width="23.28515625" style="125" customWidth="1"/>
    <col min="5896" max="5899" width="0" style="125" hidden="1" customWidth="1"/>
    <col min="5900" max="5900" width="13" style="125" bestFit="1" customWidth="1"/>
    <col min="5901" max="5901" width="14.7109375" style="125" bestFit="1" customWidth="1"/>
    <col min="5902" max="5902" width="9.140625" style="125"/>
    <col min="5903" max="5903" width="12.42578125" style="125" bestFit="1" customWidth="1"/>
    <col min="5904" max="6144" width="9.140625" style="125"/>
    <col min="6145" max="6145" width="6.28515625" style="125" customWidth="1"/>
    <col min="6146" max="6146" width="0" style="125" hidden="1" customWidth="1"/>
    <col min="6147" max="6147" width="8.5703125" style="125" customWidth="1"/>
    <col min="6148" max="6148" width="68.42578125" style="125" customWidth="1"/>
    <col min="6149" max="6149" width="11.85546875" style="125" customWidth="1"/>
    <col min="6150" max="6150" width="15.42578125" style="125" customWidth="1"/>
    <col min="6151" max="6151" width="23.28515625" style="125" customWidth="1"/>
    <col min="6152" max="6155" width="0" style="125" hidden="1" customWidth="1"/>
    <col min="6156" max="6156" width="13" style="125" bestFit="1" customWidth="1"/>
    <col min="6157" max="6157" width="14.7109375" style="125" bestFit="1" customWidth="1"/>
    <col min="6158" max="6158" width="9.140625" style="125"/>
    <col min="6159" max="6159" width="12.42578125" style="125" bestFit="1" customWidth="1"/>
    <col min="6160" max="6400" width="9.140625" style="125"/>
    <col min="6401" max="6401" width="6.28515625" style="125" customWidth="1"/>
    <col min="6402" max="6402" width="0" style="125" hidden="1" customWidth="1"/>
    <col min="6403" max="6403" width="8.5703125" style="125" customWidth="1"/>
    <col min="6404" max="6404" width="68.42578125" style="125" customWidth="1"/>
    <col min="6405" max="6405" width="11.85546875" style="125" customWidth="1"/>
    <col min="6406" max="6406" width="15.42578125" style="125" customWidth="1"/>
    <col min="6407" max="6407" width="23.28515625" style="125" customWidth="1"/>
    <col min="6408" max="6411" width="0" style="125" hidden="1" customWidth="1"/>
    <col min="6412" max="6412" width="13" style="125" bestFit="1" customWidth="1"/>
    <col min="6413" max="6413" width="14.7109375" style="125" bestFit="1" customWidth="1"/>
    <col min="6414" max="6414" width="9.140625" style="125"/>
    <col min="6415" max="6415" width="12.42578125" style="125" bestFit="1" customWidth="1"/>
    <col min="6416" max="6656" width="9.140625" style="125"/>
    <col min="6657" max="6657" width="6.28515625" style="125" customWidth="1"/>
    <col min="6658" max="6658" width="0" style="125" hidden="1" customWidth="1"/>
    <col min="6659" max="6659" width="8.5703125" style="125" customWidth="1"/>
    <col min="6660" max="6660" width="68.42578125" style="125" customWidth="1"/>
    <col min="6661" max="6661" width="11.85546875" style="125" customWidth="1"/>
    <col min="6662" max="6662" width="15.42578125" style="125" customWidth="1"/>
    <col min="6663" max="6663" width="23.28515625" style="125" customWidth="1"/>
    <col min="6664" max="6667" width="0" style="125" hidden="1" customWidth="1"/>
    <col min="6668" max="6668" width="13" style="125" bestFit="1" customWidth="1"/>
    <col min="6669" max="6669" width="14.7109375" style="125" bestFit="1" customWidth="1"/>
    <col min="6670" max="6670" width="9.140625" style="125"/>
    <col min="6671" max="6671" width="12.42578125" style="125" bestFit="1" customWidth="1"/>
    <col min="6672" max="6912" width="9.140625" style="125"/>
    <col min="6913" max="6913" width="6.28515625" style="125" customWidth="1"/>
    <col min="6914" max="6914" width="0" style="125" hidden="1" customWidth="1"/>
    <col min="6915" max="6915" width="8.5703125" style="125" customWidth="1"/>
    <col min="6916" max="6916" width="68.42578125" style="125" customWidth="1"/>
    <col min="6917" max="6917" width="11.85546875" style="125" customWidth="1"/>
    <col min="6918" max="6918" width="15.42578125" style="125" customWidth="1"/>
    <col min="6919" max="6919" width="23.28515625" style="125" customWidth="1"/>
    <col min="6920" max="6923" width="0" style="125" hidden="1" customWidth="1"/>
    <col min="6924" max="6924" width="13" style="125" bestFit="1" customWidth="1"/>
    <col min="6925" max="6925" width="14.7109375" style="125" bestFit="1" customWidth="1"/>
    <col min="6926" max="6926" width="9.140625" style="125"/>
    <col min="6927" max="6927" width="12.42578125" style="125" bestFit="1" customWidth="1"/>
    <col min="6928" max="7168" width="9.140625" style="125"/>
    <col min="7169" max="7169" width="6.28515625" style="125" customWidth="1"/>
    <col min="7170" max="7170" width="0" style="125" hidden="1" customWidth="1"/>
    <col min="7171" max="7171" width="8.5703125" style="125" customWidth="1"/>
    <col min="7172" max="7172" width="68.42578125" style="125" customWidth="1"/>
    <col min="7173" max="7173" width="11.85546875" style="125" customWidth="1"/>
    <col min="7174" max="7174" width="15.42578125" style="125" customWidth="1"/>
    <col min="7175" max="7175" width="23.28515625" style="125" customWidth="1"/>
    <col min="7176" max="7179" width="0" style="125" hidden="1" customWidth="1"/>
    <col min="7180" max="7180" width="13" style="125" bestFit="1" customWidth="1"/>
    <col min="7181" max="7181" width="14.7109375" style="125" bestFit="1" customWidth="1"/>
    <col min="7182" max="7182" width="9.140625" style="125"/>
    <col min="7183" max="7183" width="12.42578125" style="125" bestFit="1" customWidth="1"/>
    <col min="7184" max="7424" width="9.140625" style="125"/>
    <col min="7425" max="7425" width="6.28515625" style="125" customWidth="1"/>
    <col min="7426" max="7426" width="0" style="125" hidden="1" customWidth="1"/>
    <col min="7427" max="7427" width="8.5703125" style="125" customWidth="1"/>
    <col min="7428" max="7428" width="68.42578125" style="125" customWidth="1"/>
    <col min="7429" max="7429" width="11.85546875" style="125" customWidth="1"/>
    <col min="7430" max="7430" width="15.42578125" style="125" customWidth="1"/>
    <col min="7431" max="7431" width="23.28515625" style="125" customWidth="1"/>
    <col min="7432" max="7435" width="0" style="125" hidden="1" customWidth="1"/>
    <col min="7436" max="7436" width="13" style="125" bestFit="1" customWidth="1"/>
    <col min="7437" max="7437" width="14.7109375" style="125" bestFit="1" customWidth="1"/>
    <col min="7438" max="7438" width="9.140625" style="125"/>
    <col min="7439" max="7439" width="12.42578125" style="125" bestFit="1" customWidth="1"/>
    <col min="7440" max="7680" width="9.140625" style="125"/>
    <col min="7681" max="7681" width="6.28515625" style="125" customWidth="1"/>
    <col min="7682" max="7682" width="0" style="125" hidden="1" customWidth="1"/>
    <col min="7683" max="7683" width="8.5703125" style="125" customWidth="1"/>
    <col min="7684" max="7684" width="68.42578125" style="125" customWidth="1"/>
    <col min="7685" max="7685" width="11.85546875" style="125" customWidth="1"/>
    <col min="7686" max="7686" width="15.42578125" style="125" customWidth="1"/>
    <col min="7687" max="7687" width="23.28515625" style="125" customWidth="1"/>
    <col min="7688" max="7691" width="0" style="125" hidden="1" customWidth="1"/>
    <col min="7692" max="7692" width="13" style="125" bestFit="1" customWidth="1"/>
    <col min="7693" max="7693" width="14.7109375" style="125" bestFit="1" customWidth="1"/>
    <col min="7694" max="7694" width="9.140625" style="125"/>
    <col min="7695" max="7695" width="12.42578125" style="125" bestFit="1" customWidth="1"/>
    <col min="7696" max="7936" width="9.140625" style="125"/>
    <col min="7937" max="7937" width="6.28515625" style="125" customWidth="1"/>
    <col min="7938" max="7938" width="0" style="125" hidden="1" customWidth="1"/>
    <col min="7939" max="7939" width="8.5703125" style="125" customWidth="1"/>
    <col min="7940" max="7940" width="68.42578125" style="125" customWidth="1"/>
    <col min="7941" max="7941" width="11.85546875" style="125" customWidth="1"/>
    <col min="7942" max="7942" width="15.42578125" style="125" customWidth="1"/>
    <col min="7943" max="7943" width="23.28515625" style="125" customWidth="1"/>
    <col min="7944" max="7947" width="0" style="125" hidden="1" customWidth="1"/>
    <col min="7948" max="7948" width="13" style="125" bestFit="1" customWidth="1"/>
    <col min="7949" max="7949" width="14.7109375" style="125" bestFit="1" customWidth="1"/>
    <col min="7950" max="7950" width="9.140625" style="125"/>
    <col min="7951" max="7951" width="12.42578125" style="125" bestFit="1" customWidth="1"/>
    <col min="7952" max="8192" width="9.140625" style="125"/>
    <col min="8193" max="8193" width="6.28515625" style="125" customWidth="1"/>
    <col min="8194" max="8194" width="0" style="125" hidden="1" customWidth="1"/>
    <col min="8195" max="8195" width="8.5703125" style="125" customWidth="1"/>
    <col min="8196" max="8196" width="68.42578125" style="125" customWidth="1"/>
    <col min="8197" max="8197" width="11.85546875" style="125" customWidth="1"/>
    <col min="8198" max="8198" width="15.42578125" style="125" customWidth="1"/>
    <col min="8199" max="8199" width="23.28515625" style="125" customWidth="1"/>
    <col min="8200" max="8203" width="0" style="125" hidden="1" customWidth="1"/>
    <col min="8204" max="8204" width="13" style="125" bestFit="1" customWidth="1"/>
    <col min="8205" max="8205" width="14.7109375" style="125" bestFit="1" customWidth="1"/>
    <col min="8206" max="8206" width="9.140625" style="125"/>
    <col min="8207" max="8207" width="12.42578125" style="125" bestFit="1" customWidth="1"/>
    <col min="8208" max="8448" width="9.140625" style="125"/>
    <col min="8449" max="8449" width="6.28515625" style="125" customWidth="1"/>
    <col min="8450" max="8450" width="0" style="125" hidden="1" customWidth="1"/>
    <col min="8451" max="8451" width="8.5703125" style="125" customWidth="1"/>
    <col min="8452" max="8452" width="68.42578125" style="125" customWidth="1"/>
    <col min="8453" max="8453" width="11.85546875" style="125" customWidth="1"/>
    <col min="8454" max="8454" width="15.42578125" style="125" customWidth="1"/>
    <col min="8455" max="8455" width="23.28515625" style="125" customWidth="1"/>
    <col min="8456" max="8459" width="0" style="125" hidden="1" customWidth="1"/>
    <col min="8460" max="8460" width="13" style="125" bestFit="1" customWidth="1"/>
    <col min="8461" max="8461" width="14.7109375" style="125" bestFit="1" customWidth="1"/>
    <col min="8462" max="8462" width="9.140625" style="125"/>
    <col min="8463" max="8463" width="12.42578125" style="125" bestFit="1" customWidth="1"/>
    <col min="8464" max="8704" width="9.140625" style="125"/>
    <col min="8705" max="8705" width="6.28515625" style="125" customWidth="1"/>
    <col min="8706" max="8706" width="0" style="125" hidden="1" customWidth="1"/>
    <col min="8707" max="8707" width="8.5703125" style="125" customWidth="1"/>
    <col min="8708" max="8708" width="68.42578125" style="125" customWidth="1"/>
    <col min="8709" max="8709" width="11.85546875" style="125" customWidth="1"/>
    <col min="8710" max="8710" width="15.42578125" style="125" customWidth="1"/>
    <col min="8711" max="8711" width="23.28515625" style="125" customWidth="1"/>
    <col min="8712" max="8715" width="0" style="125" hidden="1" customWidth="1"/>
    <col min="8716" max="8716" width="13" style="125" bestFit="1" customWidth="1"/>
    <col min="8717" max="8717" width="14.7109375" style="125" bestFit="1" customWidth="1"/>
    <col min="8718" max="8718" width="9.140625" style="125"/>
    <col min="8719" max="8719" width="12.42578125" style="125" bestFit="1" customWidth="1"/>
    <col min="8720" max="8960" width="9.140625" style="125"/>
    <col min="8961" max="8961" width="6.28515625" style="125" customWidth="1"/>
    <col min="8962" max="8962" width="0" style="125" hidden="1" customWidth="1"/>
    <col min="8963" max="8963" width="8.5703125" style="125" customWidth="1"/>
    <col min="8964" max="8964" width="68.42578125" style="125" customWidth="1"/>
    <col min="8965" max="8965" width="11.85546875" style="125" customWidth="1"/>
    <col min="8966" max="8966" width="15.42578125" style="125" customWidth="1"/>
    <col min="8967" max="8967" width="23.28515625" style="125" customWidth="1"/>
    <col min="8968" max="8971" width="0" style="125" hidden="1" customWidth="1"/>
    <col min="8972" max="8972" width="13" style="125" bestFit="1" customWidth="1"/>
    <col min="8973" max="8973" width="14.7109375" style="125" bestFit="1" customWidth="1"/>
    <col min="8974" max="8974" width="9.140625" style="125"/>
    <col min="8975" max="8975" width="12.42578125" style="125" bestFit="1" customWidth="1"/>
    <col min="8976" max="9216" width="9.140625" style="125"/>
    <col min="9217" max="9217" width="6.28515625" style="125" customWidth="1"/>
    <col min="9218" max="9218" width="0" style="125" hidden="1" customWidth="1"/>
    <col min="9219" max="9219" width="8.5703125" style="125" customWidth="1"/>
    <col min="9220" max="9220" width="68.42578125" style="125" customWidth="1"/>
    <col min="9221" max="9221" width="11.85546875" style="125" customWidth="1"/>
    <col min="9222" max="9222" width="15.42578125" style="125" customWidth="1"/>
    <col min="9223" max="9223" width="23.28515625" style="125" customWidth="1"/>
    <col min="9224" max="9227" width="0" style="125" hidden="1" customWidth="1"/>
    <col min="9228" max="9228" width="13" style="125" bestFit="1" customWidth="1"/>
    <col min="9229" max="9229" width="14.7109375" style="125" bestFit="1" customWidth="1"/>
    <col min="9230" max="9230" width="9.140625" style="125"/>
    <col min="9231" max="9231" width="12.42578125" style="125" bestFit="1" customWidth="1"/>
    <col min="9232" max="9472" width="9.140625" style="125"/>
    <col min="9473" max="9473" width="6.28515625" style="125" customWidth="1"/>
    <col min="9474" max="9474" width="0" style="125" hidden="1" customWidth="1"/>
    <col min="9475" max="9475" width="8.5703125" style="125" customWidth="1"/>
    <col min="9476" max="9476" width="68.42578125" style="125" customWidth="1"/>
    <col min="9477" max="9477" width="11.85546875" style="125" customWidth="1"/>
    <col min="9478" max="9478" width="15.42578125" style="125" customWidth="1"/>
    <col min="9479" max="9479" width="23.28515625" style="125" customWidth="1"/>
    <col min="9480" max="9483" width="0" style="125" hidden="1" customWidth="1"/>
    <col min="9484" max="9484" width="13" style="125" bestFit="1" customWidth="1"/>
    <col min="9485" max="9485" width="14.7109375" style="125" bestFit="1" customWidth="1"/>
    <col min="9486" max="9486" width="9.140625" style="125"/>
    <col min="9487" max="9487" width="12.42578125" style="125" bestFit="1" customWidth="1"/>
    <col min="9488" max="9728" width="9.140625" style="125"/>
    <col min="9729" max="9729" width="6.28515625" style="125" customWidth="1"/>
    <col min="9730" max="9730" width="0" style="125" hidden="1" customWidth="1"/>
    <col min="9731" max="9731" width="8.5703125" style="125" customWidth="1"/>
    <col min="9732" max="9732" width="68.42578125" style="125" customWidth="1"/>
    <col min="9733" max="9733" width="11.85546875" style="125" customWidth="1"/>
    <col min="9734" max="9734" width="15.42578125" style="125" customWidth="1"/>
    <col min="9735" max="9735" width="23.28515625" style="125" customWidth="1"/>
    <col min="9736" max="9739" width="0" style="125" hidden="1" customWidth="1"/>
    <col min="9740" max="9740" width="13" style="125" bestFit="1" customWidth="1"/>
    <col min="9741" max="9741" width="14.7109375" style="125" bestFit="1" customWidth="1"/>
    <col min="9742" max="9742" width="9.140625" style="125"/>
    <col min="9743" max="9743" width="12.42578125" style="125" bestFit="1" customWidth="1"/>
    <col min="9744" max="9984" width="9.140625" style="125"/>
    <col min="9985" max="9985" width="6.28515625" style="125" customWidth="1"/>
    <col min="9986" max="9986" width="0" style="125" hidden="1" customWidth="1"/>
    <col min="9987" max="9987" width="8.5703125" style="125" customWidth="1"/>
    <col min="9988" max="9988" width="68.42578125" style="125" customWidth="1"/>
    <col min="9989" max="9989" width="11.85546875" style="125" customWidth="1"/>
    <col min="9990" max="9990" width="15.42578125" style="125" customWidth="1"/>
    <col min="9991" max="9991" width="23.28515625" style="125" customWidth="1"/>
    <col min="9992" max="9995" width="0" style="125" hidden="1" customWidth="1"/>
    <col min="9996" max="9996" width="13" style="125" bestFit="1" customWidth="1"/>
    <col min="9997" max="9997" width="14.7109375" style="125" bestFit="1" customWidth="1"/>
    <col min="9998" max="9998" width="9.140625" style="125"/>
    <col min="9999" max="9999" width="12.42578125" style="125" bestFit="1" customWidth="1"/>
    <col min="10000" max="10240" width="9.140625" style="125"/>
    <col min="10241" max="10241" width="6.28515625" style="125" customWidth="1"/>
    <col min="10242" max="10242" width="0" style="125" hidden="1" customWidth="1"/>
    <col min="10243" max="10243" width="8.5703125" style="125" customWidth="1"/>
    <col min="10244" max="10244" width="68.42578125" style="125" customWidth="1"/>
    <col min="10245" max="10245" width="11.85546875" style="125" customWidth="1"/>
    <col min="10246" max="10246" width="15.42578125" style="125" customWidth="1"/>
    <col min="10247" max="10247" width="23.28515625" style="125" customWidth="1"/>
    <col min="10248" max="10251" width="0" style="125" hidden="1" customWidth="1"/>
    <col min="10252" max="10252" width="13" style="125" bestFit="1" customWidth="1"/>
    <col min="10253" max="10253" width="14.7109375" style="125" bestFit="1" customWidth="1"/>
    <col min="10254" max="10254" width="9.140625" style="125"/>
    <col min="10255" max="10255" width="12.42578125" style="125" bestFit="1" customWidth="1"/>
    <col min="10256" max="10496" width="9.140625" style="125"/>
    <col min="10497" max="10497" width="6.28515625" style="125" customWidth="1"/>
    <col min="10498" max="10498" width="0" style="125" hidden="1" customWidth="1"/>
    <col min="10499" max="10499" width="8.5703125" style="125" customWidth="1"/>
    <col min="10500" max="10500" width="68.42578125" style="125" customWidth="1"/>
    <col min="10501" max="10501" width="11.85546875" style="125" customWidth="1"/>
    <col min="10502" max="10502" width="15.42578125" style="125" customWidth="1"/>
    <col min="10503" max="10503" width="23.28515625" style="125" customWidth="1"/>
    <col min="10504" max="10507" width="0" style="125" hidden="1" customWidth="1"/>
    <col min="10508" max="10508" width="13" style="125" bestFit="1" customWidth="1"/>
    <col min="10509" max="10509" width="14.7109375" style="125" bestFit="1" customWidth="1"/>
    <col min="10510" max="10510" width="9.140625" style="125"/>
    <col min="10511" max="10511" width="12.42578125" style="125" bestFit="1" customWidth="1"/>
    <col min="10512" max="10752" width="9.140625" style="125"/>
    <col min="10753" max="10753" width="6.28515625" style="125" customWidth="1"/>
    <col min="10754" max="10754" width="0" style="125" hidden="1" customWidth="1"/>
    <col min="10755" max="10755" width="8.5703125" style="125" customWidth="1"/>
    <col min="10756" max="10756" width="68.42578125" style="125" customWidth="1"/>
    <col min="10757" max="10757" width="11.85546875" style="125" customWidth="1"/>
    <col min="10758" max="10758" width="15.42578125" style="125" customWidth="1"/>
    <col min="10759" max="10759" width="23.28515625" style="125" customWidth="1"/>
    <col min="10760" max="10763" width="0" style="125" hidden="1" customWidth="1"/>
    <col min="10764" max="10764" width="13" style="125" bestFit="1" customWidth="1"/>
    <col min="10765" max="10765" width="14.7109375" style="125" bestFit="1" customWidth="1"/>
    <col min="10766" max="10766" width="9.140625" style="125"/>
    <col min="10767" max="10767" width="12.42578125" style="125" bestFit="1" customWidth="1"/>
    <col min="10768" max="11008" width="9.140625" style="125"/>
    <col min="11009" max="11009" width="6.28515625" style="125" customWidth="1"/>
    <col min="11010" max="11010" width="0" style="125" hidden="1" customWidth="1"/>
    <col min="11011" max="11011" width="8.5703125" style="125" customWidth="1"/>
    <col min="11012" max="11012" width="68.42578125" style="125" customWidth="1"/>
    <col min="11013" max="11013" width="11.85546875" style="125" customWidth="1"/>
    <col min="11014" max="11014" width="15.42578125" style="125" customWidth="1"/>
    <col min="11015" max="11015" width="23.28515625" style="125" customWidth="1"/>
    <col min="11016" max="11019" width="0" style="125" hidden="1" customWidth="1"/>
    <col min="11020" max="11020" width="13" style="125" bestFit="1" customWidth="1"/>
    <col min="11021" max="11021" width="14.7109375" style="125" bestFit="1" customWidth="1"/>
    <col min="11022" max="11022" width="9.140625" style="125"/>
    <col min="11023" max="11023" width="12.42578125" style="125" bestFit="1" customWidth="1"/>
    <col min="11024" max="11264" width="9.140625" style="125"/>
    <col min="11265" max="11265" width="6.28515625" style="125" customWidth="1"/>
    <col min="11266" max="11266" width="0" style="125" hidden="1" customWidth="1"/>
    <col min="11267" max="11267" width="8.5703125" style="125" customWidth="1"/>
    <col min="11268" max="11268" width="68.42578125" style="125" customWidth="1"/>
    <col min="11269" max="11269" width="11.85546875" style="125" customWidth="1"/>
    <col min="11270" max="11270" width="15.42578125" style="125" customWidth="1"/>
    <col min="11271" max="11271" width="23.28515625" style="125" customWidth="1"/>
    <col min="11272" max="11275" width="0" style="125" hidden="1" customWidth="1"/>
    <col min="11276" max="11276" width="13" style="125" bestFit="1" customWidth="1"/>
    <col min="11277" max="11277" width="14.7109375" style="125" bestFit="1" customWidth="1"/>
    <col min="11278" max="11278" width="9.140625" style="125"/>
    <col min="11279" max="11279" width="12.42578125" style="125" bestFit="1" customWidth="1"/>
    <col min="11280" max="11520" width="9.140625" style="125"/>
    <col min="11521" max="11521" width="6.28515625" style="125" customWidth="1"/>
    <col min="11522" max="11522" width="0" style="125" hidden="1" customWidth="1"/>
    <col min="11523" max="11523" width="8.5703125" style="125" customWidth="1"/>
    <col min="11524" max="11524" width="68.42578125" style="125" customWidth="1"/>
    <col min="11525" max="11525" width="11.85546875" style="125" customWidth="1"/>
    <col min="11526" max="11526" width="15.42578125" style="125" customWidth="1"/>
    <col min="11527" max="11527" width="23.28515625" style="125" customWidth="1"/>
    <col min="11528" max="11531" width="0" style="125" hidden="1" customWidth="1"/>
    <col min="11532" max="11532" width="13" style="125" bestFit="1" customWidth="1"/>
    <col min="11533" max="11533" width="14.7109375" style="125" bestFit="1" customWidth="1"/>
    <col min="11534" max="11534" width="9.140625" style="125"/>
    <col min="11535" max="11535" width="12.42578125" style="125" bestFit="1" customWidth="1"/>
    <col min="11536" max="11776" width="9.140625" style="125"/>
    <col min="11777" max="11777" width="6.28515625" style="125" customWidth="1"/>
    <col min="11778" max="11778" width="0" style="125" hidden="1" customWidth="1"/>
    <col min="11779" max="11779" width="8.5703125" style="125" customWidth="1"/>
    <col min="11780" max="11780" width="68.42578125" style="125" customWidth="1"/>
    <col min="11781" max="11781" width="11.85546875" style="125" customWidth="1"/>
    <col min="11782" max="11782" width="15.42578125" style="125" customWidth="1"/>
    <col min="11783" max="11783" width="23.28515625" style="125" customWidth="1"/>
    <col min="11784" max="11787" width="0" style="125" hidden="1" customWidth="1"/>
    <col min="11788" max="11788" width="13" style="125" bestFit="1" customWidth="1"/>
    <col min="11789" max="11789" width="14.7109375" style="125" bestFit="1" customWidth="1"/>
    <col min="11790" max="11790" width="9.140625" style="125"/>
    <col min="11791" max="11791" width="12.42578125" style="125" bestFit="1" customWidth="1"/>
    <col min="11792" max="12032" width="9.140625" style="125"/>
    <col min="12033" max="12033" width="6.28515625" style="125" customWidth="1"/>
    <col min="12034" max="12034" width="0" style="125" hidden="1" customWidth="1"/>
    <col min="12035" max="12035" width="8.5703125" style="125" customWidth="1"/>
    <col min="12036" max="12036" width="68.42578125" style="125" customWidth="1"/>
    <col min="12037" max="12037" width="11.85546875" style="125" customWidth="1"/>
    <col min="12038" max="12038" width="15.42578125" style="125" customWidth="1"/>
    <col min="12039" max="12039" width="23.28515625" style="125" customWidth="1"/>
    <col min="12040" max="12043" width="0" style="125" hidden="1" customWidth="1"/>
    <col min="12044" max="12044" width="13" style="125" bestFit="1" customWidth="1"/>
    <col min="12045" max="12045" width="14.7109375" style="125" bestFit="1" customWidth="1"/>
    <col min="12046" max="12046" width="9.140625" style="125"/>
    <col min="12047" max="12047" width="12.42578125" style="125" bestFit="1" customWidth="1"/>
    <col min="12048" max="12288" width="9.140625" style="125"/>
    <col min="12289" max="12289" width="6.28515625" style="125" customWidth="1"/>
    <col min="12290" max="12290" width="0" style="125" hidden="1" customWidth="1"/>
    <col min="12291" max="12291" width="8.5703125" style="125" customWidth="1"/>
    <col min="12292" max="12292" width="68.42578125" style="125" customWidth="1"/>
    <col min="12293" max="12293" width="11.85546875" style="125" customWidth="1"/>
    <col min="12294" max="12294" width="15.42578125" style="125" customWidth="1"/>
    <col min="12295" max="12295" width="23.28515625" style="125" customWidth="1"/>
    <col min="12296" max="12299" width="0" style="125" hidden="1" customWidth="1"/>
    <col min="12300" max="12300" width="13" style="125" bestFit="1" customWidth="1"/>
    <col min="12301" max="12301" width="14.7109375" style="125" bestFit="1" customWidth="1"/>
    <col min="12302" max="12302" width="9.140625" style="125"/>
    <col min="12303" max="12303" width="12.42578125" style="125" bestFit="1" customWidth="1"/>
    <col min="12304" max="12544" width="9.140625" style="125"/>
    <col min="12545" max="12545" width="6.28515625" style="125" customWidth="1"/>
    <col min="12546" max="12546" width="0" style="125" hidden="1" customWidth="1"/>
    <col min="12547" max="12547" width="8.5703125" style="125" customWidth="1"/>
    <col min="12548" max="12548" width="68.42578125" style="125" customWidth="1"/>
    <col min="12549" max="12549" width="11.85546875" style="125" customWidth="1"/>
    <col min="12550" max="12550" width="15.42578125" style="125" customWidth="1"/>
    <col min="12551" max="12551" width="23.28515625" style="125" customWidth="1"/>
    <col min="12552" max="12555" width="0" style="125" hidden="1" customWidth="1"/>
    <col min="12556" max="12556" width="13" style="125" bestFit="1" customWidth="1"/>
    <col min="12557" max="12557" width="14.7109375" style="125" bestFit="1" customWidth="1"/>
    <col min="12558" max="12558" width="9.140625" style="125"/>
    <col min="12559" max="12559" width="12.42578125" style="125" bestFit="1" customWidth="1"/>
    <col min="12560" max="12800" width="9.140625" style="125"/>
    <col min="12801" max="12801" width="6.28515625" style="125" customWidth="1"/>
    <col min="12802" max="12802" width="0" style="125" hidden="1" customWidth="1"/>
    <col min="12803" max="12803" width="8.5703125" style="125" customWidth="1"/>
    <col min="12804" max="12804" width="68.42578125" style="125" customWidth="1"/>
    <col min="12805" max="12805" width="11.85546875" style="125" customWidth="1"/>
    <col min="12806" max="12806" width="15.42578125" style="125" customWidth="1"/>
    <col min="12807" max="12807" width="23.28515625" style="125" customWidth="1"/>
    <col min="12808" max="12811" width="0" style="125" hidden="1" customWidth="1"/>
    <col min="12812" max="12812" width="13" style="125" bestFit="1" customWidth="1"/>
    <col min="12813" max="12813" width="14.7109375" style="125" bestFit="1" customWidth="1"/>
    <col min="12814" max="12814" width="9.140625" style="125"/>
    <col min="12815" max="12815" width="12.42578125" style="125" bestFit="1" customWidth="1"/>
    <col min="12816" max="13056" width="9.140625" style="125"/>
    <col min="13057" max="13057" width="6.28515625" style="125" customWidth="1"/>
    <col min="13058" max="13058" width="0" style="125" hidden="1" customWidth="1"/>
    <col min="13059" max="13059" width="8.5703125" style="125" customWidth="1"/>
    <col min="13060" max="13060" width="68.42578125" style="125" customWidth="1"/>
    <col min="13061" max="13061" width="11.85546875" style="125" customWidth="1"/>
    <col min="13062" max="13062" width="15.42578125" style="125" customWidth="1"/>
    <col min="13063" max="13063" width="23.28515625" style="125" customWidth="1"/>
    <col min="13064" max="13067" width="0" style="125" hidden="1" customWidth="1"/>
    <col min="13068" max="13068" width="13" style="125" bestFit="1" customWidth="1"/>
    <col min="13069" max="13069" width="14.7109375" style="125" bestFit="1" customWidth="1"/>
    <col min="13070" max="13070" width="9.140625" style="125"/>
    <col min="13071" max="13071" width="12.42578125" style="125" bestFit="1" customWidth="1"/>
    <col min="13072" max="13312" width="9.140625" style="125"/>
    <col min="13313" max="13313" width="6.28515625" style="125" customWidth="1"/>
    <col min="13314" max="13314" width="0" style="125" hidden="1" customWidth="1"/>
    <col min="13315" max="13315" width="8.5703125" style="125" customWidth="1"/>
    <col min="13316" max="13316" width="68.42578125" style="125" customWidth="1"/>
    <col min="13317" max="13317" width="11.85546875" style="125" customWidth="1"/>
    <col min="13318" max="13318" width="15.42578125" style="125" customWidth="1"/>
    <col min="13319" max="13319" width="23.28515625" style="125" customWidth="1"/>
    <col min="13320" max="13323" width="0" style="125" hidden="1" customWidth="1"/>
    <col min="13324" max="13324" width="13" style="125" bestFit="1" customWidth="1"/>
    <col min="13325" max="13325" width="14.7109375" style="125" bestFit="1" customWidth="1"/>
    <col min="13326" max="13326" width="9.140625" style="125"/>
    <col min="13327" max="13327" width="12.42578125" style="125" bestFit="1" customWidth="1"/>
    <col min="13328" max="13568" width="9.140625" style="125"/>
    <col min="13569" max="13569" width="6.28515625" style="125" customWidth="1"/>
    <col min="13570" max="13570" width="0" style="125" hidden="1" customWidth="1"/>
    <col min="13571" max="13571" width="8.5703125" style="125" customWidth="1"/>
    <col min="13572" max="13572" width="68.42578125" style="125" customWidth="1"/>
    <col min="13573" max="13573" width="11.85546875" style="125" customWidth="1"/>
    <col min="13574" max="13574" width="15.42578125" style="125" customWidth="1"/>
    <col min="13575" max="13575" width="23.28515625" style="125" customWidth="1"/>
    <col min="13576" max="13579" width="0" style="125" hidden="1" customWidth="1"/>
    <col min="13580" max="13580" width="13" style="125" bestFit="1" customWidth="1"/>
    <col min="13581" max="13581" width="14.7109375" style="125" bestFit="1" customWidth="1"/>
    <col min="13582" max="13582" width="9.140625" style="125"/>
    <col min="13583" max="13583" width="12.42578125" style="125" bestFit="1" customWidth="1"/>
    <col min="13584" max="13824" width="9.140625" style="125"/>
    <col min="13825" max="13825" width="6.28515625" style="125" customWidth="1"/>
    <col min="13826" max="13826" width="0" style="125" hidden="1" customWidth="1"/>
    <col min="13827" max="13827" width="8.5703125" style="125" customWidth="1"/>
    <col min="13828" max="13828" width="68.42578125" style="125" customWidth="1"/>
    <col min="13829" max="13829" width="11.85546875" style="125" customWidth="1"/>
    <col min="13830" max="13830" width="15.42578125" style="125" customWidth="1"/>
    <col min="13831" max="13831" width="23.28515625" style="125" customWidth="1"/>
    <col min="13832" max="13835" width="0" style="125" hidden="1" customWidth="1"/>
    <col min="13836" max="13836" width="13" style="125" bestFit="1" customWidth="1"/>
    <col min="13837" max="13837" width="14.7109375" style="125" bestFit="1" customWidth="1"/>
    <col min="13838" max="13838" width="9.140625" style="125"/>
    <col min="13839" max="13839" width="12.42578125" style="125" bestFit="1" customWidth="1"/>
    <col min="13840" max="14080" width="9.140625" style="125"/>
    <col min="14081" max="14081" width="6.28515625" style="125" customWidth="1"/>
    <col min="14082" max="14082" width="0" style="125" hidden="1" customWidth="1"/>
    <col min="14083" max="14083" width="8.5703125" style="125" customWidth="1"/>
    <col min="14084" max="14084" width="68.42578125" style="125" customWidth="1"/>
    <col min="14085" max="14085" width="11.85546875" style="125" customWidth="1"/>
    <col min="14086" max="14086" width="15.42578125" style="125" customWidth="1"/>
    <col min="14087" max="14087" width="23.28515625" style="125" customWidth="1"/>
    <col min="14088" max="14091" width="0" style="125" hidden="1" customWidth="1"/>
    <col min="14092" max="14092" width="13" style="125" bestFit="1" customWidth="1"/>
    <col min="14093" max="14093" width="14.7109375" style="125" bestFit="1" customWidth="1"/>
    <col min="14094" max="14094" width="9.140625" style="125"/>
    <col min="14095" max="14095" width="12.42578125" style="125" bestFit="1" customWidth="1"/>
    <col min="14096" max="14336" width="9.140625" style="125"/>
    <col min="14337" max="14337" width="6.28515625" style="125" customWidth="1"/>
    <col min="14338" max="14338" width="0" style="125" hidden="1" customWidth="1"/>
    <col min="14339" max="14339" width="8.5703125" style="125" customWidth="1"/>
    <col min="14340" max="14340" width="68.42578125" style="125" customWidth="1"/>
    <col min="14341" max="14341" width="11.85546875" style="125" customWidth="1"/>
    <col min="14342" max="14342" width="15.42578125" style="125" customWidth="1"/>
    <col min="14343" max="14343" width="23.28515625" style="125" customWidth="1"/>
    <col min="14344" max="14347" width="0" style="125" hidden="1" customWidth="1"/>
    <col min="14348" max="14348" width="13" style="125" bestFit="1" customWidth="1"/>
    <col min="14349" max="14349" width="14.7109375" style="125" bestFit="1" customWidth="1"/>
    <col min="14350" max="14350" width="9.140625" style="125"/>
    <col min="14351" max="14351" width="12.42578125" style="125" bestFit="1" customWidth="1"/>
    <col min="14352" max="14592" width="9.140625" style="125"/>
    <col min="14593" max="14593" width="6.28515625" style="125" customWidth="1"/>
    <col min="14594" max="14594" width="0" style="125" hidden="1" customWidth="1"/>
    <col min="14595" max="14595" width="8.5703125" style="125" customWidth="1"/>
    <col min="14596" max="14596" width="68.42578125" style="125" customWidth="1"/>
    <col min="14597" max="14597" width="11.85546875" style="125" customWidth="1"/>
    <col min="14598" max="14598" width="15.42578125" style="125" customWidth="1"/>
    <col min="14599" max="14599" width="23.28515625" style="125" customWidth="1"/>
    <col min="14600" max="14603" width="0" style="125" hidden="1" customWidth="1"/>
    <col min="14604" max="14604" width="13" style="125" bestFit="1" customWidth="1"/>
    <col min="14605" max="14605" width="14.7109375" style="125" bestFit="1" customWidth="1"/>
    <col min="14606" max="14606" width="9.140625" style="125"/>
    <col min="14607" max="14607" width="12.42578125" style="125" bestFit="1" customWidth="1"/>
    <col min="14608" max="14848" width="9.140625" style="125"/>
    <col min="14849" max="14849" width="6.28515625" style="125" customWidth="1"/>
    <col min="14850" max="14850" width="0" style="125" hidden="1" customWidth="1"/>
    <col min="14851" max="14851" width="8.5703125" style="125" customWidth="1"/>
    <col min="14852" max="14852" width="68.42578125" style="125" customWidth="1"/>
    <col min="14853" max="14853" width="11.85546875" style="125" customWidth="1"/>
    <col min="14854" max="14854" width="15.42578125" style="125" customWidth="1"/>
    <col min="14855" max="14855" width="23.28515625" style="125" customWidth="1"/>
    <col min="14856" max="14859" width="0" style="125" hidden="1" customWidth="1"/>
    <col min="14860" max="14860" width="13" style="125" bestFit="1" customWidth="1"/>
    <col min="14861" max="14861" width="14.7109375" style="125" bestFit="1" customWidth="1"/>
    <col min="14862" max="14862" width="9.140625" style="125"/>
    <col min="14863" max="14863" width="12.42578125" style="125" bestFit="1" customWidth="1"/>
    <col min="14864" max="15104" width="9.140625" style="125"/>
    <col min="15105" max="15105" width="6.28515625" style="125" customWidth="1"/>
    <col min="15106" max="15106" width="0" style="125" hidden="1" customWidth="1"/>
    <col min="15107" max="15107" width="8.5703125" style="125" customWidth="1"/>
    <col min="15108" max="15108" width="68.42578125" style="125" customWidth="1"/>
    <col min="15109" max="15109" width="11.85546875" style="125" customWidth="1"/>
    <col min="15110" max="15110" width="15.42578125" style="125" customWidth="1"/>
    <col min="15111" max="15111" width="23.28515625" style="125" customWidth="1"/>
    <col min="15112" max="15115" width="0" style="125" hidden="1" customWidth="1"/>
    <col min="15116" max="15116" width="13" style="125" bestFit="1" customWidth="1"/>
    <col min="15117" max="15117" width="14.7109375" style="125" bestFit="1" customWidth="1"/>
    <col min="15118" max="15118" width="9.140625" style="125"/>
    <col min="15119" max="15119" width="12.42578125" style="125" bestFit="1" customWidth="1"/>
    <col min="15120" max="15360" width="9.140625" style="125"/>
    <col min="15361" max="15361" width="6.28515625" style="125" customWidth="1"/>
    <col min="15362" max="15362" width="0" style="125" hidden="1" customWidth="1"/>
    <col min="15363" max="15363" width="8.5703125" style="125" customWidth="1"/>
    <col min="15364" max="15364" width="68.42578125" style="125" customWidth="1"/>
    <col min="15365" max="15365" width="11.85546875" style="125" customWidth="1"/>
    <col min="15366" max="15366" width="15.42578125" style="125" customWidth="1"/>
    <col min="15367" max="15367" width="23.28515625" style="125" customWidth="1"/>
    <col min="15368" max="15371" width="0" style="125" hidden="1" customWidth="1"/>
    <col min="15372" max="15372" width="13" style="125" bestFit="1" customWidth="1"/>
    <col min="15373" max="15373" width="14.7109375" style="125" bestFit="1" customWidth="1"/>
    <col min="15374" max="15374" width="9.140625" style="125"/>
    <col min="15375" max="15375" width="12.42578125" style="125" bestFit="1" customWidth="1"/>
    <col min="15376" max="15616" width="9.140625" style="125"/>
    <col min="15617" max="15617" width="6.28515625" style="125" customWidth="1"/>
    <col min="15618" max="15618" width="0" style="125" hidden="1" customWidth="1"/>
    <col min="15619" max="15619" width="8.5703125" style="125" customWidth="1"/>
    <col min="15620" max="15620" width="68.42578125" style="125" customWidth="1"/>
    <col min="15621" max="15621" width="11.85546875" style="125" customWidth="1"/>
    <col min="15622" max="15622" width="15.42578125" style="125" customWidth="1"/>
    <col min="15623" max="15623" width="23.28515625" style="125" customWidth="1"/>
    <col min="15624" max="15627" width="0" style="125" hidden="1" customWidth="1"/>
    <col min="15628" max="15628" width="13" style="125" bestFit="1" customWidth="1"/>
    <col min="15629" max="15629" width="14.7109375" style="125" bestFit="1" customWidth="1"/>
    <col min="15630" max="15630" width="9.140625" style="125"/>
    <col min="15631" max="15631" width="12.42578125" style="125" bestFit="1" customWidth="1"/>
    <col min="15632" max="15872" width="9.140625" style="125"/>
    <col min="15873" max="15873" width="6.28515625" style="125" customWidth="1"/>
    <col min="15874" max="15874" width="0" style="125" hidden="1" customWidth="1"/>
    <col min="15875" max="15875" width="8.5703125" style="125" customWidth="1"/>
    <col min="15876" max="15876" width="68.42578125" style="125" customWidth="1"/>
    <col min="15877" max="15877" width="11.85546875" style="125" customWidth="1"/>
    <col min="15878" max="15878" width="15.42578125" style="125" customWidth="1"/>
    <col min="15879" max="15879" width="23.28515625" style="125" customWidth="1"/>
    <col min="15880" max="15883" width="0" style="125" hidden="1" customWidth="1"/>
    <col min="15884" max="15884" width="13" style="125" bestFit="1" customWidth="1"/>
    <col min="15885" max="15885" width="14.7109375" style="125" bestFit="1" customWidth="1"/>
    <col min="15886" max="15886" width="9.140625" style="125"/>
    <col min="15887" max="15887" width="12.42578125" style="125" bestFit="1" customWidth="1"/>
    <col min="15888" max="16128" width="9.140625" style="125"/>
    <col min="16129" max="16129" width="6.28515625" style="125" customWidth="1"/>
    <col min="16130" max="16130" width="0" style="125" hidden="1" customWidth="1"/>
    <col min="16131" max="16131" width="8.5703125" style="125" customWidth="1"/>
    <col min="16132" max="16132" width="68.42578125" style="125" customWidth="1"/>
    <col min="16133" max="16133" width="11.85546875" style="125" customWidth="1"/>
    <col min="16134" max="16134" width="15.42578125" style="125" customWidth="1"/>
    <col min="16135" max="16135" width="23.28515625" style="125" customWidth="1"/>
    <col min="16136" max="16139" width="0" style="125" hidden="1" customWidth="1"/>
    <col min="16140" max="16140" width="13" style="125" bestFit="1" customWidth="1"/>
    <col min="16141" max="16141" width="14.7109375" style="125" bestFit="1" customWidth="1"/>
    <col min="16142" max="16142" width="9.140625" style="125"/>
    <col min="16143" max="16143" width="12.42578125" style="125" bestFit="1" customWidth="1"/>
    <col min="16144" max="16384" width="9.140625" style="125"/>
  </cols>
  <sheetData>
    <row r="1" spans="1:15" ht="48.75" customHeight="1">
      <c r="A1" s="123" t="s">
        <v>184</v>
      </c>
      <c r="B1" s="123"/>
      <c r="C1" s="123"/>
      <c r="D1" s="123"/>
      <c r="E1" s="123"/>
      <c r="F1" s="123"/>
      <c r="G1" s="123"/>
      <c r="H1" s="123"/>
      <c r="I1" s="123"/>
      <c r="J1" s="123"/>
      <c r="K1" s="123"/>
    </row>
    <row r="2" spans="1:15" ht="22.5" customHeight="1">
      <c r="A2" s="126"/>
      <c r="B2" s="127"/>
      <c r="C2" s="128"/>
      <c r="D2" s="129" t="s">
        <v>185</v>
      </c>
      <c r="E2" s="126"/>
      <c r="F2" s="127"/>
      <c r="G2" s="128"/>
      <c r="H2" s="130"/>
      <c r="I2" s="130"/>
      <c r="J2" s="130"/>
      <c r="K2" s="130"/>
    </row>
    <row r="3" spans="1:15" s="137" customFormat="1" ht="49.5" customHeight="1">
      <c r="A3" s="131" t="s">
        <v>186</v>
      </c>
      <c r="B3" s="132"/>
      <c r="C3" s="132" t="s">
        <v>187</v>
      </c>
      <c r="D3" s="133" t="s">
        <v>188</v>
      </c>
      <c r="E3" s="133" t="s">
        <v>189</v>
      </c>
      <c r="F3" s="134" t="s">
        <v>190</v>
      </c>
      <c r="G3" s="134" t="s">
        <v>191</v>
      </c>
      <c r="H3" s="135" t="s">
        <v>190</v>
      </c>
      <c r="I3" s="135" t="s">
        <v>191</v>
      </c>
      <c r="J3" s="135" t="s">
        <v>190</v>
      </c>
      <c r="K3" s="135" t="s">
        <v>191</v>
      </c>
      <c r="L3" s="136"/>
    </row>
    <row r="4" spans="1:15" s="137" customFormat="1" ht="64.5" customHeight="1">
      <c r="A4" s="138">
        <v>1</v>
      </c>
      <c r="B4" s="139">
        <v>420</v>
      </c>
      <c r="C4" s="140" t="s">
        <v>37</v>
      </c>
      <c r="D4" s="141" t="s">
        <v>192</v>
      </c>
      <c r="E4" s="142">
        <v>17</v>
      </c>
      <c r="F4" s="142">
        <v>126000</v>
      </c>
      <c r="G4" s="142">
        <f>E4*F4</f>
        <v>2142000</v>
      </c>
      <c r="H4" s="143">
        <v>295</v>
      </c>
      <c r="I4" s="144">
        <f>B4*H4</f>
        <v>123900</v>
      </c>
      <c r="J4" s="145">
        <v>289</v>
      </c>
      <c r="K4" s="146">
        <f>B4*J4</f>
        <v>121380</v>
      </c>
      <c r="L4" s="136"/>
      <c r="O4" s="147"/>
    </row>
    <row r="5" spans="1:15" s="137" customFormat="1" ht="30" customHeight="1">
      <c r="A5" s="148"/>
      <c r="B5" s="143"/>
      <c r="C5" s="149"/>
      <c r="D5" s="150" t="s">
        <v>193</v>
      </c>
      <c r="E5" s="151"/>
      <c r="F5" s="143"/>
      <c r="G5" s="152">
        <f>SUM(G4:G4)</f>
        <v>2142000</v>
      </c>
      <c r="H5" s="143"/>
      <c r="I5" s="144">
        <f>SUM(I4:I4)</f>
        <v>123900</v>
      </c>
      <c r="J5" s="143"/>
      <c r="K5" s="144">
        <f>SUM(K4:K4)</f>
        <v>121380</v>
      </c>
      <c r="L5" s="136"/>
    </row>
    <row r="6" spans="1:15" s="160" customFormat="1" ht="33.75" customHeight="1">
      <c r="A6" s="153">
        <v>5</v>
      </c>
      <c r="B6" s="139"/>
      <c r="C6" s="154"/>
      <c r="D6" s="150" t="s">
        <v>194</v>
      </c>
      <c r="E6" s="155" t="s">
        <v>195</v>
      </c>
      <c r="F6" s="155"/>
      <c r="G6" s="156">
        <f>G5*12%</f>
        <v>257040</v>
      </c>
      <c r="H6" s="157"/>
      <c r="I6" s="158"/>
      <c r="J6" s="157"/>
      <c r="K6" s="146"/>
      <c r="L6" s="159"/>
      <c r="M6" s="159"/>
      <c r="N6" s="159"/>
    </row>
    <row r="7" spans="1:15" s="160" customFormat="1" ht="31.5" customHeight="1">
      <c r="A7" s="153"/>
      <c r="B7" s="139"/>
      <c r="C7" s="154"/>
      <c r="D7" s="161" t="s">
        <v>196</v>
      </c>
      <c r="E7" s="162"/>
      <c r="F7" s="163" t="s">
        <v>26</v>
      </c>
      <c r="G7" s="164">
        <f>SUM(G5:G6)</f>
        <v>2399040</v>
      </c>
      <c r="H7" s="157"/>
      <c r="I7" s="158"/>
      <c r="J7" s="157"/>
      <c r="K7" s="146"/>
      <c r="L7" s="159"/>
      <c r="M7" s="159"/>
      <c r="N7" s="159"/>
    </row>
    <row r="8" spans="1:15" ht="37.5" customHeight="1">
      <c r="A8" s="153">
        <v>6</v>
      </c>
      <c r="B8" s="143"/>
      <c r="C8" s="165"/>
      <c r="D8" s="166" t="s">
        <v>197</v>
      </c>
      <c r="E8" s="155" t="s">
        <v>195</v>
      </c>
      <c r="F8" s="155"/>
      <c r="G8" s="167">
        <f>G5*1%</f>
        <v>21420</v>
      </c>
      <c r="H8" s="168"/>
      <c r="I8" s="168"/>
      <c r="J8" s="168"/>
      <c r="K8" s="169"/>
    </row>
    <row r="9" spans="1:15" ht="34.5" customHeight="1">
      <c r="A9" s="153">
        <v>7</v>
      </c>
      <c r="B9" s="143"/>
      <c r="C9" s="165"/>
      <c r="D9" s="166" t="s">
        <v>156</v>
      </c>
      <c r="E9" s="155" t="s">
        <v>195</v>
      </c>
      <c r="F9" s="155"/>
      <c r="G9" s="167">
        <f>G7*2.5%</f>
        <v>59976</v>
      </c>
      <c r="H9" s="168"/>
      <c r="I9" s="168"/>
      <c r="J9" s="168"/>
      <c r="K9" s="168"/>
    </row>
    <row r="10" spans="1:15" ht="37.5" customHeight="1">
      <c r="A10" s="153">
        <v>8</v>
      </c>
      <c r="B10" s="143"/>
      <c r="C10" s="165"/>
      <c r="D10" s="170" t="s">
        <v>32</v>
      </c>
      <c r="E10" s="155" t="s">
        <v>195</v>
      </c>
      <c r="F10" s="155"/>
      <c r="G10" s="167">
        <f>G7*7.5%</f>
        <v>179928</v>
      </c>
      <c r="H10" s="168"/>
      <c r="I10" s="168"/>
      <c r="J10" s="168"/>
      <c r="K10" s="168"/>
    </row>
    <row r="11" spans="1:15" ht="33" customHeight="1">
      <c r="A11" s="165"/>
      <c r="B11" s="143"/>
      <c r="C11" s="165"/>
      <c r="D11" s="171" t="s">
        <v>198</v>
      </c>
      <c r="E11" s="172"/>
      <c r="F11" s="173" t="s">
        <v>26</v>
      </c>
      <c r="G11" s="174">
        <f>SUM(G7:G10)</f>
        <v>2660364</v>
      </c>
      <c r="H11" s="168"/>
      <c r="I11" s="168"/>
      <c r="J11" s="168"/>
      <c r="K11" s="168"/>
    </row>
    <row r="12" spans="1:15" ht="28.5" customHeight="1">
      <c r="A12" s="165"/>
      <c r="B12" s="143"/>
      <c r="C12" s="165"/>
      <c r="D12" s="171" t="s">
        <v>199</v>
      </c>
      <c r="E12" s="175"/>
      <c r="F12" s="173" t="s">
        <v>26</v>
      </c>
      <c r="G12" s="176">
        <f>CEILING(G11,100)</f>
        <v>2660400</v>
      </c>
      <c r="H12" s="168"/>
      <c r="I12" s="168"/>
      <c r="J12" s="168"/>
      <c r="K12" s="168"/>
    </row>
    <row r="55" ht="3.75" customHeight="1"/>
  </sheetData>
  <mergeCells count="7">
    <mergeCell ref="E10:F10"/>
    <mergeCell ref="A1:K1"/>
    <mergeCell ref="A2:C2"/>
    <mergeCell ref="E2:G2"/>
    <mergeCell ref="E6:F6"/>
    <mergeCell ref="E8:F8"/>
    <mergeCell ref="E9:F9"/>
  </mergeCells>
  <printOptions horizontalCentered="1"/>
  <pageMargins left="0.2" right="0.19685039370078741" top="0.24" bottom="0.21" header="0.19685039370078741" footer="0.19685039370078741"/>
  <pageSetup paperSize="9" scale="80" orientation="portrait" r:id="rId1"/>
  <headerFooter>
    <oddHeader>&amp;L&amp;F&amp;RPage&amp;P</oddHeader>
  </headerFooter>
  <colBreaks count="2" manualBreakCount="2">
    <brk id="7" max="14" man="1"/>
    <brk id="11" max="1048575" man="1"/>
  </colBreaks>
</worksheet>
</file>

<file path=xl/worksheets/sheet5.xml><?xml version="1.0" encoding="utf-8"?>
<worksheet xmlns="http://schemas.openxmlformats.org/spreadsheetml/2006/main" xmlns:r="http://schemas.openxmlformats.org/officeDocument/2006/relationships">
  <dimension ref="A1:J24"/>
  <sheetViews>
    <sheetView topLeftCell="A7" workbookViewId="0">
      <selection activeCell="G16" sqref="G16"/>
    </sheetView>
  </sheetViews>
  <sheetFormatPr defaultRowHeight="15.75"/>
  <cols>
    <col min="1" max="1" width="6.140625" style="183" customWidth="1"/>
    <col min="2" max="2" width="35.85546875" style="183" customWidth="1"/>
    <col min="3" max="3" width="5.28515625" style="183" customWidth="1"/>
    <col min="4" max="4" width="5" style="183" customWidth="1"/>
    <col min="5" max="5" width="4.7109375" style="183" customWidth="1"/>
    <col min="6" max="6" width="7.5703125" style="183" customWidth="1"/>
    <col min="7" max="7" width="6.28515625" style="183" customWidth="1"/>
    <col min="8" max="8" width="8.42578125" style="183" customWidth="1"/>
    <col min="9" max="9" width="8.85546875" style="183" customWidth="1"/>
    <col min="10" max="10" width="8.5703125" style="183" customWidth="1"/>
    <col min="11" max="256" width="9.140625" style="183"/>
    <col min="257" max="257" width="6.140625" style="183" customWidth="1"/>
    <col min="258" max="258" width="35.85546875" style="183" customWidth="1"/>
    <col min="259" max="259" width="5.28515625" style="183" customWidth="1"/>
    <col min="260" max="260" width="5" style="183" customWidth="1"/>
    <col min="261" max="261" width="4.7109375" style="183" customWidth="1"/>
    <col min="262" max="262" width="7.5703125" style="183" customWidth="1"/>
    <col min="263" max="263" width="6.28515625" style="183" customWidth="1"/>
    <col min="264" max="264" width="8.42578125" style="183" customWidth="1"/>
    <col min="265" max="265" width="8.85546875" style="183" customWidth="1"/>
    <col min="266" max="266" width="8.5703125" style="183" customWidth="1"/>
    <col min="267" max="512" width="9.140625" style="183"/>
    <col min="513" max="513" width="6.140625" style="183" customWidth="1"/>
    <col min="514" max="514" width="35.85546875" style="183" customWidth="1"/>
    <col min="515" max="515" width="5.28515625" style="183" customWidth="1"/>
    <col min="516" max="516" width="5" style="183" customWidth="1"/>
    <col min="517" max="517" width="4.7109375" style="183" customWidth="1"/>
    <col min="518" max="518" width="7.5703125" style="183" customWidth="1"/>
    <col min="519" max="519" width="6.28515625" style="183" customWidth="1"/>
    <col min="520" max="520" width="8.42578125" style="183" customWidth="1"/>
    <col min="521" max="521" width="8.85546875" style="183" customWidth="1"/>
    <col min="522" max="522" width="8.5703125" style="183" customWidth="1"/>
    <col min="523" max="768" width="9.140625" style="183"/>
    <col min="769" max="769" width="6.140625" style="183" customWidth="1"/>
    <col min="770" max="770" width="35.85546875" style="183" customWidth="1"/>
    <col min="771" max="771" width="5.28515625" style="183" customWidth="1"/>
    <col min="772" max="772" width="5" style="183" customWidth="1"/>
    <col min="773" max="773" width="4.7109375" style="183" customWidth="1"/>
    <col min="774" max="774" width="7.5703125" style="183" customWidth="1"/>
    <col min="775" max="775" width="6.28515625" style="183" customWidth="1"/>
    <col min="776" max="776" width="8.42578125" style="183" customWidth="1"/>
    <col min="777" max="777" width="8.85546875" style="183" customWidth="1"/>
    <col min="778" max="778" width="8.5703125" style="183" customWidth="1"/>
    <col min="779" max="1024" width="9.140625" style="183"/>
    <col min="1025" max="1025" width="6.140625" style="183" customWidth="1"/>
    <col min="1026" max="1026" width="35.85546875" style="183" customWidth="1"/>
    <col min="1027" max="1027" width="5.28515625" style="183" customWidth="1"/>
    <col min="1028" max="1028" width="5" style="183" customWidth="1"/>
    <col min="1029" max="1029" width="4.7109375" style="183" customWidth="1"/>
    <col min="1030" max="1030" width="7.5703125" style="183" customWidth="1"/>
    <col min="1031" max="1031" width="6.28515625" style="183" customWidth="1"/>
    <col min="1032" max="1032" width="8.42578125" style="183" customWidth="1"/>
    <col min="1033" max="1033" width="8.85546875" style="183" customWidth="1"/>
    <col min="1034" max="1034" width="8.5703125" style="183" customWidth="1"/>
    <col min="1035" max="1280" width="9.140625" style="183"/>
    <col min="1281" max="1281" width="6.140625" style="183" customWidth="1"/>
    <col min="1282" max="1282" width="35.85546875" style="183" customWidth="1"/>
    <col min="1283" max="1283" width="5.28515625" style="183" customWidth="1"/>
    <col min="1284" max="1284" width="5" style="183" customWidth="1"/>
    <col min="1285" max="1285" width="4.7109375" style="183" customWidth="1"/>
    <col min="1286" max="1286" width="7.5703125" style="183" customWidth="1"/>
    <col min="1287" max="1287" width="6.28515625" style="183" customWidth="1"/>
    <col min="1288" max="1288" width="8.42578125" style="183" customWidth="1"/>
    <col min="1289" max="1289" width="8.85546875" style="183" customWidth="1"/>
    <col min="1290" max="1290" width="8.5703125" style="183" customWidth="1"/>
    <col min="1291" max="1536" width="9.140625" style="183"/>
    <col min="1537" max="1537" width="6.140625" style="183" customWidth="1"/>
    <col min="1538" max="1538" width="35.85546875" style="183" customWidth="1"/>
    <col min="1539" max="1539" width="5.28515625" style="183" customWidth="1"/>
    <col min="1540" max="1540" width="5" style="183" customWidth="1"/>
    <col min="1541" max="1541" width="4.7109375" style="183" customWidth="1"/>
    <col min="1542" max="1542" width="7.5703125" style="183" customWidth="1"/>
    <col min="1543" max="1543" width="6.28515625" style="183" customWidth="1"/>
    <col min="1544" max="1544" width="8.42578125" style="183" customWidth="1"/>
    <col min="1545" max="1545" width="8.85546875" style="183" customWidth="1"/>
    <col min="1546" max="1546" width="8.5703125" style="183" customWidth="1"/>
    <col min="1547" max="1792" width="9.140625" style="183"/>
    <col min="1793" max="1793" width="6.140625" style="183" customWidth="1"/>
    <col min="1794" max="1794" width="35.85546875" style="183" customWidth="1"/>
    <col min="1795" max="1795" width="5.28515625" style="183" customWidth="1"/>
    <col min="1796" max="1796" width="5" style="183" customWidth="1"/>
    <col min="1797" max="1797" width="4.7109375" style="183" customWidth="1"/>
    <col min="1798" max="1798" width="7.5703125" style="183" customWidth="1"/>
    <col min="1799" max="1799" width="6.28515625" style="183" customWidth="1"/>
    <col min="1800" max="1800" width="8.42578125" style="183" customWidth="1"/>
    <col min="1801" max="1801" width="8.85546875" style="183" customWidth="1"/>
    <col min="1802" max="1802" width="8.5703125" style="183" customWidth="1"/>
    <col min="1803" max="2048" width="9.140625" style="183"/>
    <col min="2049" max="2049" width="6.140625" style="183" customWidth="1"/>
    <col min="2050" max="2050" width="35.85546875" style="183" customWidth="1"/>
    <col min="2051" max="2051" width="5.28515625" style="183" customWidth="1"/>
    <col min="2052" max="2052" width="5" style="183" customWidth="1"/>
    <col min="2053" max="2053" width="4.7109375" style="183" customWidth="1"/>
    <col min="2054" max="2054" width="7.5703125" style="183" customWidth="1"/>
    <col min="2055" max="2055" width="6.28515625" style="183" customWidth="1"/>
    <col min="2056" max="2056" width="8.42578125" style="183" customWidth="1"/>
    <col min="2057" max="2057" width="8.85546875" style="183" customWidth="1"/>
    <col min="2058" max="2058" width="8.5703125" style="183" customWidth="1"/>
    <col min="2059" max="2304" width="9.140625" style="183"/>
    <col min="2305" max="2305" width="6.140625" style="183" customWidth="1"/>
    <col min="2306" max="2306" width="35.85546875" style="183" customWidth="1"/>
    <col min="2307" max="2307" width="5.28515625" style="183" customWidth="1"/>
    <col min="2308" max="2308" width="5" style="183" customWidth="1"/>
    <col min="2309" max="2309" width="4.7109375" style="183" customWidth="1"/>
    <col min="2310" max="2310" width="7.5703125" style="183" customWidth="1"/>
    <col min="2311" max="2311" width="6.28515625" style="183" customWidth="1"/>
    <col min="2312" max="2312" width="8.42578125" style="183" customWidth="1"/>
    <col min="2313" max="2313" width="8.85546875" style="183" customWidth="1"/>
    <col min="2314" max="2314" width="8.5703125" style="183" customWidth="1"/>
    <col min="2315" max="2560" width="9.140625" style="183"/>
    <col min="2561" max="2561" width="6.140625" style="183" customWidth="1"/>
    <col min="2562" max="2562" width="35.85546875" style="183" customWidth="1"/>
    <col min="2563" max="2563" width="5.28515625" style="183" customWidth="1"/>
    <col min="2564" max="2564" width="5" style="183" customWidth="1"/>
    <col min="2565" max="2565" width="4.7109375" style="183" customWidth="1"/>
    <col min="2566" max="2566" width="7.5703125" style="183" customWidth="1"/>
    <col min="2567" max="2567" width="6.28515625" style="183" customWidth="1"/>
    <col min="2568" max="2568" width="8.42578125" style="183" customWidth="1"/>
    <col min="2569" max="2569" width="8.85546875" style="183" customWidth="1"/>
    <col min="2570" max="2570" width="8.5703125" style="183" customWidth="1"/>
    <col min="2571" max="2816" width="9.140625" style="183"/>
    <col min="2817" max="2817" width="6.140625" style="183" customWidth="1"/>
    <col min="2818" max="2818" width="35.85546875" style="183" customWidth="1"/>
    <col min="2819" max="2819" width="5.28515625" style="183" customWidth="1"/>
    <col min="2820" max="2820" width="5" style="183" customWidth="1"/>
    <col min="2821" max="2821" width="4.7109375" style="183" customWidth="1"/>
    <col min="2822" max="2822" width="7.5703125" style="183" customWidth="1"/>
    <col min="2823" max="2823" width="6.28515625" style="183" customWidth="1"/>
    <col min="2824" max="2824" width="8.42578125" style="183" customWidth="1"/>
    <col min="2825" max="2825" width="8.85546875" style="183" customWidth="1"/>
    <col min="2826" max="2826" width="8.5703125" style="183" customWidth="1"/>
    <col min="2827" max="3072" width="9.140625" style="183"/>
    <col min="3073" max="3073" width="6.140625" style="183" customWidth="1"/>
    <col min="3074" max="3074" width="35.85546875" style="183" customWidth="1"/>
    <col min="3075" max="3075" width="5.28515625" style="183" customWidth="1"/>
    <col min="3076" max="3076" width="5" style="183" customWidth="1"/>
    <col min="3077" max="3077" width="4.7109375" style="183" customWidth="1"/>
    <col min="3078" max="3078" width="7.5703125" style="183" customWidth="1"/>
    <col min="3079" max="3079" width="6.28515625" style="183" customWidth="1"/>
    <col min="3080" max="3080" width="8.42578125" style="183" customWidth="1"/>
    <col min="3081" max="3081" width="8.85546875" style="183" customWidth="1"/>
    <col min="3082" max="3082" width="8.5703125" style="183" customWidth="1"/>
    <col min="3083" max="3328" width="9.140625" style="183"/>
    <col min="3329" max="3329" width="6.140625" style="183" customWidth="1"/>
    <col min="3330" max="3330" width="35.85546875" style="183" customWidth="1"/>
    <col min="3331" max="3331" width="5.28515625" style="183" customWidth="1"/>
    <col min="3332" max="3332" width="5" style="183" customWidth="1"/>
    <col min="3333" max="3333" width="4.7109375" style="183" customWidth="1"/>
    <col min="3334" max="3334" width="7.5703125" style="183" customWidth="1"/>
    <col min="3335" max="3335" width="6.28515625" style="183" customWidth="1"/>
    <col min="3336" max="3336" width="8.42578125" style="183" customWidth="1"/>
    <col min="3337" max="3337" width="8.85546875" style="183" customWidth="1"/>
    <col min="3338" max="3338" width="8.5703125" style="183" customWidth="1"/>
    <col min="3339" max="3584" width="9.140625" style="183"/>
    <col min="3585" max="3585" width="6.140625" style="183" customWidth="1"/>
    <col min="3586" max="3586" width="35.85546875" style="183" customWidth="1"/>
    <col min="3587" max="3587" width="5.28515625" style="183" customWidth="1"/>
    <col min="3588" max="3588" width="5" style="183" customWidth="1"/>
    <col min="3589" max="3589" width="4.7109375" style="183" customWidth="1"/>
    <col min="3590" max="3590" width="7.5703125" style="183" customWidth="1"/>
    <col min="3591" max="3591" width="6.28515625" style="183" customWidth="1"/>
    <col min="3592" max="3592" width="8.42578125" style="183" customWidth="1"/>
    <col min="3593" max="3593" width="8.85546875" style="183" customWidth="1"/>
    <col min="3594" max="3594" width="8.5703125" style="183" customWidth="1"/>
    <col min="3595" max="3840" width="9.140625" style="183"/>
    <col min="3841" max="3841" width="6.140625" style="183" customWidth="1"/>
    <col min="3842" max="3842" width="35.85546875" style="183" customWidth="1"/>
    <col min="3843" max="3843" width="5.28515625" style="183" customWidth="1"/>
    <col min="3844" max="3844" width="5" style="183" customWidth="1"/>
    <col min="3845" max="3845" width="4.7109375" style="183" customWidth="1"/>
    <col min="3846" max="3846" width="7.5703125" style="183" customWidth="1"/>
    <col min="3847" max="3847" width="6.28515625" style="183" customWidth="1"/>
    <col min="3848" max="3848" width="8.42578125" style="183" customWidth="1"/>
    <col min="3849" max="3849" width="8.85546875" style="183" customWidth="1"/>
    <col min="3850" max="3850" width="8.5703125" style="183" customWidth="1"/>
    <col min="3851" max="4096" width="9.140625" style="183"/>
    <col min="4097" max="4097" width="6.140625" style="183" customWidth="1"/>
    <col min="4098" max="4098" width="35.85546875" style="183" customWidth="1"/>
    <col min="4099" max="4099" width="5.28515625" style="183" customWidth="1"/>
    <col min="4100" max="4100" width="5" style="183" customWidth="1"/>
    <col min="4101" max="4101" width="4.7109375" style="183" customWidth="1"/>
    <col min="4102" max="4102" width="7.5703125" style="183" customWidth="1"/>
    <col min="4103" max="4103" width="6.28515625" style="183" customWidth="1"/>
    <col min="4104" max="4104" width="8.42578125" style="183" customWidth="1"/>
    <col min="4105" max="4105" width="8.85546875" style="183" customWidth="1"/>
    <col min="4106" max="4106" width="8.5703125" style="183" customWidth="1"/>
    <col min="4107" max="4352" width="9.140625" style="183"/>
    <col min="4353" max="4353" width="6.140625" style="183" customWidth="1"/>
    <col min="4354" max="4354" width="35.85546875" style="183" customWidth="1"/>
    <col min="4355" max="4355" width="5.28515625" style="183" customWidth="1"/>
    <col min="4356" max="4356" width="5" style="183" customWidth="1"/>
    <col min="4357" max="4357" width="4.7109375" style="183" customWidth="1"/>
    <col min="4358" max="4358" width="7.5703125" style="183" customWidth="1"/>
    <col min="4359" max="4359" width="6.28515625" style="183" customWidth="1"/>
    <col min="4360" max="4360" width="8.42578125" style="183" customWidth="1"/>
    <col min="4361" max="4361" width="8.85546875" style="183" customWidth="1"/>
    <col min="4362" max="4362" width="8.5703125" style="183" customWidth="1"/>
    <col min="4363" max="4608" width="9.140625" style="183"/>
    <col min="4609" max="4609" width="6.140625" style="183" customWidth="1"/>
    <col min="4610" max="4610" width="35.85546875" style="183" customWidth="1"/>
    <col min="4611" max="4611" width="5.28515625" style="183" customWidth="1"/>
    <col min="4612" max="4612" width="5" style="183" customWidth="1"/>
    <col min="4613" max="4613" width="4.7109375" style="183" customWidth="1"/>
    <col min="4614" max="4614" width="7.5703125" style="183" customWidth="1"/>
    <col min="4615" max="4615" width="6.28515625" style="183" customWidth="1"/>
    <col min="4616" max="4616" width="8.42578125" style="183" customWidth="1"/>
    <col min="4617" max="4617" width="8.85546875" style="183" customWidth="1"/>
    <col min="4618" max="4618" width="8.5703125" style="183" customWidth="1"/>
    <col min="4619" max="4864" width="9.140625" style="183"/>
    <col min="4865" max="4865" width="6.140625" style="183" customWidth="1"/>
    <col min="4866" max="4866" width="35.85546875" style="183" customWidth="1"/>
    <col min="4867" max="4867" width="5.28515625" style="183" customWidth="1"/>
    <col min="4868" max="4868" width="5" style="183" customWidth="1"/>
    <col min="4869" max="4869" width="4.7109375" style="183" customWidth="1"/>
    <col min="4870" max="4870" width="7.5703125" style="183" customWidth="1"/>
    <col min="4871" max="4871" width="6.28515625" style="183" customWidth="1"/>
    <col min="4872" max="4872" width="8.42578125" style="183" customWidth="1"/>
    <col min="4873" max="4873" width="8.85546875" style="183" customWidth="1"/>
    <col min="4874" max="4874" width="8.5703125" style="183" customWidth="1"/>
    <col min="4875" max="5120" width="9.140625" style="183"/>
    <col min="5121" max="5121" width="6.140625" style="183" customWidth="1"/>
    <col min="5122" max="5122" width="35.85546875" style="183" customWidth="1"/>
    <col min="5123" max="5123" width="5.28515625" style="183" customWidth="1"/>
    <col min="5124" max="5124" width="5" style="183" customWidth="1"/>
    <col min="5125" max="5125" width="4.7109375" style="183" customWidth="1"/>
    <col min="5126" max="5126" width="7.5703125" style="183" customWidth="1"/>
    <col min="5127" max="5127" width="6.28515625" style="183" customWidth="1"/>
    <col min="5128" max="5128" width="8.42578125" style="183" customWidth="1"/>
    <col min="5129" max="5129" width="8.85546875" style="183" customWidth="1"/>
    <col min="5130" max="5130" width="8.5703125" style="183" customWidth="1"/>
    <col min="5131" max="5376" width="9.140625" style="183"/>
    <col min="5377" max="5377" width="6.140625" style="183" customWidth="1"/>
    <col min="5378" max="5378" width="35.85546875" style="183" customWidth="1"/>
    <col min="5379" max="5379" width="5.28515625" style="183" customWidth="1"/>
    <col min="5380" max="5380" width="5" style="183" customWidth="1"/>
    <col min="5381" max="5381" width="4.7109375" style="183" customWidth="1"/>
    <col min="5382" max="5382" width="7.5703125" style="183" customWidth="1"/>
    <col min="5383" max="5383" width="6.28515625" style="183" customWidth="1"/>
    <col min="5384" max="5384" width="8.42578125" style="183" customWidth="1"/>
    <col min="5385" max="5385" width="8.85546875" style="183" customWidth="1"/>
    <col min="5386" max="5386" width="8.5703125" style="183" customWidth="1"/>
    <col min="5387" max="5632" width="9.140625" style="183"/>
    <col min="5633" max="5633" width="6.140625" style="183" customWidth="1"/>
    <col min="5634" max="5634" width="35.85546875" style="183" customWidth="1"/>
    <col min="5635" max="5635" width="5.28515625" style="183" customWidth="1"/>
    <col min="5636" max="5636" width="5" style="183" customWidth="1"/>
    <col min="5637" max="5637" width="4.7109375" style="183" customWidth="1"/>
    <col min="5638" max="5638" width="7.5703125" style="183" customWidth="1"/>
    <col min="5639" max="5639" width="6.28515625" style="183" customWidth="1"/>
    <col min="5640" max="5640" width="8.42578125" style="183" customWidth="1"/>
    <col min="5641" max="5641" width="8.85546875" style="183" customWidth="1"/>
    <col min="5642" max="5642" width="8.5703125" style="183" customWidth="1"/>
    <col min="5643" max="5888" width="9.140625" style="183"/>
    <col min="5889" max="5889" width="6.140625" style="183" customWidth="1"/>
    <col min="5890" max="5890" width="35.85546875" style="183" customWidth="1"/>
    <col min="5891" max="5891" width="5.28515625" style="183" customWidth="1"/>
    <col min="5892" max="5892" width="5" style="183" customWidth="1"/>
    <col min="5893" max="5893" width="4.7109375" style="183" customWidth="1"/>
    <col min="5894" max="5894" width="7.5703125" style="183" customWidth="1"/>
    <col min="5895" max="5895" width="6.28515625" style="183" customWidth="1"/>
    <col min="5896" max="5896" width="8.42578125" style="183" customWidth="1"/>
    <col min="5897" max="5897" width="8.85546875" style="183" customWidth="1"/>
    <col min="5898" max="5898" width="8.5703125" style="183" customWidth="1"/>
    <col min="5899" max="6144" width="9.140625" style="183"/>
    <col min="6145" max="6145" width="6.140625" style="183" customWidth="1"/>
    <col min="6146" max="6146" width="35.85546875" style="183" customWidth="1"/>
    <col min="6147" max="6147" width="5.28515625" style="183" customWidth="1"/>
    <col min="6148" max="6148" width="5" style="183" customWidth="1"/>
    <col min="6149" max="6149" width="4.7109375" style="183" customWidth="1"/>
    <col min="6150" max="6150" width="7.5703125" style="183" customWidth="1"/>
    <col min="6151" max="6151" width="6.28515625" style="183" customWidth="1"/>
    <col min="6152" max="6152" width="8.42578125" style="183" customWidth="1"/>
    <col min="6153" max="6153" width="8.85546875" style="183" customWidth="1"/>
    <col min="6154" max="6154" width="8.5703125" style="183" customWidth="1"/>
    <col min="6155" max="6400" width="9.140625" style="183"/>
    <col min="6401" max="6401" width="6.140625" style="183" customWidth="1"/>
    <col min="6402" max="6402" width="35.85546875" style="183" customWidth="1"/>
    <col min="6403" max="6403" width="5.28515625" style="183" customWidth="1"/>
    <col min="6404" max="6404" width="5" style="183" customWidth="1"/>
    <col min="6405" max="6405" width="4.7109375" style="183" customWidth="1"/>
    <col min="6406" max="6406" width="7.5703125" style="183" customWidth="1"/>
    <col min="6407" max="6407" width="6.28515625" style="183" customWidth="1"/>
    <col min="6408" max="6408" width="8.42578125" style="183" customWidth="1"/>
    <col min="6409" max="6409" width="8.85546875" style="183" customWidth="1"/>
    <col min="6410" max="6410" width="8.5703125" style="183" customWidth="1"/>
    <col min="6411" max="6656" width="9.140625" style="183"/>
    <col min="6657" max="6657" width="6.140625" style="183" customWidth="1"/>
    <col min="6658" max="6658" width="35.85546875" style="183" customWidth="1"/>
    <col min="6659" max="6659" width="5.28515625" style="183" customWidth="1"/>
    <col min="6660" max="6660" width="5" style="183" customWidth="1"/>
    <col min="6661" max="6661" width="4.7109375" style="183" customWidth="1"/>
    <col min="6662" max="6662" width="7.5703125" style="183" customWidth="1"/>
    <col min="6663" max="6663" width="6.28515625" style="183" customWidth="1"/>
    <col min="6664" max="6664" width="8.42578125" style="183" customWidth="1"/>
    <col min="6665" max="6665" width="8.85546875" style="183" customWidth="1"/>
    <col min="6666" max="6666" width="8.5703125" style="183" customWidth="1"/>
    <col min="6667" max="6912" width="9.140625" style="183"/>
    <col min="6913" max="6913" width="6.140625" style="183" customWidth="1"/>
    <col min="6914" max="6914" width="35.85546875" style="183" customWidth="1"/>
    <col min="6915" max="6915" width="5.28515625" style="183" customWidth="1"/>
    <col min="6916" max="6916" width="5" style="183" customWidth="1"/>
    <col min="6917" max="6917" width="4.7109375" style="183" customWidth="1"/>
    <col min="6918" max="6918" width="7.5703125" style="183" customWidth="1"/>
    <col min="6919" max="6919" width="6.28515625" style="183" customWidth="1"/>
    <col min="6920" max="6920" width="8.42578125" style="183" customWidth="1"/>
    <col min="6921" max="6921" width="8.85546875" style="183" customWidth="1"/>
    <col min="6922" max="6922" width="8.5703125" style="183" customWidth="1"/>
    <col min="6923" max="7168" width="9.140625" style="183"/>
    <col min="7169" max="7169" width="6.140625" style="183" customWidth="1"/>
    <col min="7170" max="7170" width="35.85546875" style="183" customWidth="1"/>
    <col min="7171" max="7171" width="5.28515625" style="183" customWidth="1"/>
    <col min="7172" max="7172" width="5" style="183" customWidth="1"/>
    <col min="7173" max="7173" width="4.7109375" style="183" customWidth="1"/>
    <col min="7174" max="7174" width="7.5703125" style="183" customWidth="1"/>
    <col min="7175" max="7175" width="6.28515625" style="183" customWidth="1"/>
    <col min="7176" max="7176" width="8.42578125" style="183" customWidth="1"/>
    <col min="7177" max="7177" width="8.85546875" style="183" customWidth="1"/>
    <col min="7178" max="7178" width="8.5703125" style="183" customWidth="1"/>
    <col min="7179" max="7424" width="9.140625" style="183"/>
    <col min="7425" max="7425" width="6.140625" style="183" customWidth="1"/>
    <col min="7426" max="7426" width="35.85546875" style="183" customWidth="1"/>
    <col min="7427" max="7427" width="5.28515625" style="183" customWidth="1"/>
    <col min="7428" max="7428" width="5" style="183" customWidth="1"/>
    <col min="7429" max="7429" width="4.7109375" style="183" customWidth="1"/>
    <col min="7430" max="7430" width="7.5703125" style="183" customWidth="1"/>
    <col min="7431" max="7431" width="6.28515625" style="183" customWidth="1"/>
    <col min="7432" max="7432" width="8.42578125" style="183" customWidth="1"/>
    <col min="7433" max="7433" width="8.85546875" style="183" customWidth="1"/>
    <col min="7434" max="7434" width="8.5703125" style="183" customWidth="1"/>
    <col min="7435" max="7680" width="9.140625" style="183"/>
    <col min="7681" max="7681" width="6.140625" style="183" customWidth="1"/>
    <col min="7682" max="7682" width="35.85546875" style="183" customWidth="1"/>
    <col min="7683" max="7683" width="5.28515625" style="183" customWidth="1"/>
    <col min="7684" max="7684" width="5" style="183" customWidth="1"/>
    <col min="7685" max="7685" width="4.7109375" style="183" customWidth="1"/>
    <col min="7686" max="7686" width="7.5703125" style="183" customWidth="1"/>
    <col min="7687" max="7687" width="6.28515625" style="183" customWidth="1"/>
    <col min="7688" max="7688" width="8.42578125" style="183" customWidth="1"/>
    <col min="7689" max="7689" width="8.85546875" style="183" customWidth="1"/>
    <col min="7690" max="7690" width="8.5703125" style="183" customWidth="1"/>
    <col min="7691" max="7936" width="9.140625" style="183"/>
    <col min="7937" max="7937" width="6.140625" style="183" customWidth="1"/>
    <col min="7938" max="7938" width="35.85546875" style="183" customWidth="1"/>
    <col min="7939" max="7939" width="5.28515625" style="183" customWidth="1"/>
    <col min="7940" max="7940" width="5" style="183" customWidth="1"/>
    <col min="7941" max="7941" width="4.7109375" style="183" customWidth="1"/>
    <col min="7942" max="7942" width="7.5703125" style="183" customWidth="1"/>
    <col min="7943" max="7943" width="6.28515625" style="183" customWidth="1"/>
    <col min="7944" max="7944" width="8.42578125" style="183" customWidth="1"/>
    <col min="7945" max="7945" width="8.85546875" style="183" customWidth="1"/>
    <col min="7946" max="7946" width="8.5703125" style="183" customWidth="1"/>
    <col min="7947" max="8192" width="9.140625" style="183"/>
    <col min="8193" max="8193" width="6.140625" style="183" customWidth="1"/>
    <col min="8194" max="8194" width="35.85546875" style="183" customWidth="1"/>
    <col min="8195" max="8195" width="5.28515625" style="183" customWidth="1"/>
    <col min="8196" max="8196" width="5" style="183" customWidth="1"/>
    <col min="8197" max="8197" width="4.7109375" style="183" customWidth="1"/>
    <col min="8198" max="8198" width="7.5703125" style="183" customWidth="1"/>
    <col min="8199" max="8199" width="6.28515625" style="183" customWidth="1"/>
    <col min="8200" max="8200" width="8.42578125" style="183" customWidth="1"/>
    <col min="8201" max="8201" width="8.85546875" style="183" customWidth="1"/>
    <col min="8202" max="8202" width="8.5703125" style="183" customWidth="1"/>
    <col min="8203" max="8448" width="9.140625" style="183"/>
    <col min="8449" max="8449" width="6.140625" style="183" customWidth="1"/>
    <col min="8450" max="8450" width="35.85546875" style="183" customWidth="1"/>
    <col min="8451" max="8451" width="5.28515625" style="183" customWidth="1"/>
    <col min="8452" max="8452" width="5" style="183" customWidth="1"/>
    <col min="8453" max="8453" width="4.7109375" style="183" customWidth="1"/>
    <col min="8454" max="8454" width="7.5703125" style="183" customWidth="1"/>
    <col min="8455" max="8455" width="6.28515625" style="183" customWidth="1"/>
    <col min="8456" max="8456" width="8.42578125" style="183" customWidth="1"/>
    <col min="8457" max="8457" width="8.85546875" style="183" customWidth="1"/>
    <col min="8458" max="8458" width="8.5703125" style="183" customWidth="1"/>
    <col min="8459" max="8704" width="9.140625" style="183"/>
    <col min="8705" max="8705" width="6.140625" style="183" customWidth="1"/>
    <col min="8706" max="8706" width="35.85546875" style="183" customWidth="1"/>
    <col min="8707" max="8707" width="5.28515625" style="183" customWidth="1"/>
    <col min="8708" max="8708" width="5" style="183" customWidth="1"/>
    <col min="8709" max="8709" width="4.7109375" style="183" customWidth="1"/>
    <col min="8710" max="8710" width="7.5703125" style="183" customWidth="1"/>
    <col min="8711" max="8711" width="6.28515625" style="183" customWidth="1"/>
    <col min="8712" max="8712" width="8.42578125" style="183" customWidth="1"/>
    <col min="8713" max="8713" width="8.85546875" style="183" customWidth="1"/>
    <col min="8714" max="8714" width="8.5703125" style="183" customWidth="1"/>
    <col min="8715" max="8960" width="9.140625" style="183"/>
    <col min="8961" max="8961" width="6.140625" style="183" customWidth="1"/>
    <col min="8962" max="8962" width="35.85546875" style="183" customWidth="1"/>
    <col min="8963" max="8963" width="5.28515625" style="183" customWidth="1"/>
    <col min="8964" max="8964" width="5" style="183" customWidth="1"/>
    <col min="8965" max="8965" width="4.7109375" style="183" customWidth="1"/>
    <col min="8966" max="8966" width="7.5703125" style="183" customWidth="1"/>
    <col min="8967" max="8967" width="6.28515625" style="183" customWidth="1"/>
    <col min="8968" max="8968" width="8.42578125" style="183" customWidth="1"/>
    <col min="8969" max="8969" width="8.85546875" style="183" customWidth="1"/>
    <col min="8970" max="8970" width="8.5703125" style="183" customWidth="1"/>
    <col min="8971" max="9216" width="9.140625" style="183"/>
    <col min="9217" max="9217" width="6.140625" style="183" customWidth="1"/>
    <col min="9218" max="9218" width="35.85546875" style="183" customWidth="1"/>
    <col min="9219" max="9219" width="5.28515625" style="183" customWidth="1"/>
    <col min="9220" max="9220" width="5" style="183" customWidth="1"/>
    <col min="9221" max="9221" width="4.7109375" style="183" customWidth="1"/>
    <col min="9222" max="9222" width="7.5703125" style="183" customWidth="1"/>
    <col min="9223" max="9223" width="6.28515625" style="183" customWidth="1"/>
    <col min="9224" max="9224" width="8.42578125" style="183" customWidth="1"/>
    <col min="9225" max="9225" width="8.85546875" style="183" customWidth="1"/>
    <col min="9226" max="9226" width="8.5703125" style="183" customWidth="1"/>
    <col min="9227" max="9472" width="9.140625" style="183"/>
    <col min="9473" max="9473" width="6.140625" style="183" customWidth="1"/>
    <col min="9474" max="9474" width="35.85546875" style="183" customWidth="1"/>
    <col min="9475" max="9475" width="5.28515625" style="183" customWidth="1"/>
    <col min="9476" max="9476" width="5" style="183" customWidth="1"/>
    <col min="9477" max="9477" width="4.7109375" style="183" customWidth="1"/>
    <col min="9478" max="9478" width="7.5703125" style="183" customWidth="1"/>
    <col min="9479" max="9479" width="6.28515625" style="183" customWidth="1"/>
    <col min="9480" max="9480" width="8.42578125" style="183" customWidth="1"/>
    <col min="9481" max="9481" width="8.85546875" style="183" customWidth="1"/>
    <col min="9482" max="9482" width="8.5703125" style="183" customWidth="1"/>
    <col min="9483" max="9728" width="9.140625" style="183"/>
    <col min="9729" max="9729" width="6.140625" style="183" customWidth="1"/>
    <col min="9730" max="9730" width="35.85546875" style="183" customWidth="1"/>
    <col min="9731" max="9731" width="5.28515625" style="183" customWidth="1"/>
    <col min="9732" max="9732" width="5" style="183" customWidth="1"/>
    <col min="9733" max="9733" width="4.7109375" style="183" customWidth="1"/>
    <col min="9734" max="9734" width="7.5703125" style="183" customWidth="1"/>
    <col min="9735" max="9735" width="6.28515625" style="183" customWidth="1"/>
    <col min="9736" max="9736" width="8.42578125" style="183" customWidth="1"/>
    <col min="9737" max="9737" width="8.85546875" style="183" customWidth="1"/>
    <col min="9738" max="9738" width="8.5703125" style="183" customWidth="1"/>
    <col min="9739" max="9984" width="9.140625" style="183"/>
    <col min="9985" max="9985" width="6.140625" style="183" customWidth="1"/>
    <col min="9986" max="9986" width="35.85546875" style="183" customWidth="1"/>
    <col min="9987" max="9987" width="5.28515625" style="183" customWidth="1"/>
    <col min="9988" max="9988" width="5" style="183" customWidth="1"/>
    <col min="9989" max="9989" width="4.7109375" style="183" customWidth="1"/>
    <col min="9990" max="9990" width="7.5703125" style="183" customWidth="1"/>
    <col min="9991" max="9991" width="6.28515625" style="183" customWidth="1"/>
    <col min="9992" max="9992" width="8.42578125" style="183" customWidth="1"/>
    <col min="9993" max="9993" width="8.85546875" style="183" customWidth="1"/>
    <col min="9994" max="9994" width="8.5703125" style="183" customWidth="1"/>
    <col min="9995" max="10240" width="9.140625" style="183"/>
    <col min="10241" max="10241" width="6.140625" style="183" customWidth="1"/>
    <col min="10242" max="10242" width="35.85546875" style="183" customWidth="1"/>
    <col min="10243" max="10243" width="5.28515625" style="183" customWidth="1"/>
    <col min="10244" max="10244" width="5" style="183" customWidth="1"/>
    <col min="10245" max="10245" width="4.7109375" style="183" customWidth="1"/>
    <col min="10246" max="10246" width="7.5703125" style="183" customWidth="1"/>
    <col min="10247" max="10247" width="6.28515625" style="183" customWidth="1"/>
    <col min="10248" max="10248" width="8.42578125" style="183" customWidth="1"/>
    <col min="10249" max="10249" width="8.85546875" style="183" customWidth="1"/>
    <col min="10250" max="10250" width="8.5703125" style="183" customWidth="1"/>
    <col min="10251" max="10496" width="9.140625" style="183"/>
    <col min="10497" max="10497" width="6.140625" style="183" customWidth="1"/>
    <col min="10498" max="10498" width="35.85546875" style="183" customWidth="1"/>
    <col min="10499" max="10499" width="5.28515625" style="183" customWidth="1"/>
    <col min="10500" max="10500" width="5" style="183" customWidth="1"/>
    <col min="10501" max="10501" width="4.7109375" style="183" customWidth="1"/>
    <col min="10502" max="10502" width="7.5703125" style="183" customWidth="1"/>
    <col min="10503" max="10503" width="6.28515625" style="183" customWidth="1"/>
    <col min="10504" max="10504" width="8.42578125" style="183" customWidth="1"/>
    <col min="10505" max="10505" width="8.85546875" style="183" customWidth="1"/>
    <col min="10506" max="10506" width="8.5703125" style="183" customWidth="1"/>
    <col min="10507" max="10752" width="9.140625" style="183"/>
    <col min="10753" max="10753" width="6.140625" style="183" customWidth="1"/>
    <col min="10754" max="10754" width="35.85546875" style="183" customWidth="1"/>
    <col min="10755" max="10755" width="5.28515625" style="183" customWidth="1"/>
    <col min="10756" max="10756" width="5" style="183" customWidth="1"/>
    <col min="10757" max="10757" width="4.7109375" style="183" customWidth="1"/>
    <col min="10758" max="10758" width="7.5703125" style="183" customWidth="1"/>
    <col min="10759" max="10759" width="6.28515625" style="183" customWidth="1"/>
    <col min="10760" max="10760" width="8.42578125" style="183" customWidth="1"/>
    <col min="10761" max="10761" width="8.85546875" style="183" customWidth="1"/>
    <col min="10762" max="10762" width="8.5703125" style="183" customWidth="1"/>
    <col min="10763" max="11008" width="9.140625" style="183"/>
    <col min="11009" max="11009" width="6.140625" style="183" customWidth="1"/>
    <col min="11010" max="11010" width="35.85546875" style="183" customWidth="1"/>
    <col min="11011" max="11011" width="5.28515625" style="183" customWidth="1"/>
    <col min="11012" max="11012" width="5" style="183" customWidth="1"/>
    <col min="11013" max="11013" width="4.7109375" style="183" customWidth="1"/>
    <col min="11014" max="11014" width="7.5703125" style="183" customWidth="1"/>
    <col min="11015" max="11015" width="6.28515625" style="183" customWidth="1"/>
    <col min="11016" max="11016" width="8.42578125" style="183" customWidth="1"/>
    <col min="11017" max="11017" width="8.85546875" style="183" customWidth="1"/>
    <col min="11018" max="11018" width="8.5703125" style="183" customWidth="1"/>
    <col min="11019" max="11264" width="9.140625" style="183"/>
    <col min="11265" max="11265" width="6.140625" style="183" customWidth="1"/>
    <col min="11266" max="11266" width="35.85546875" style="183" customWidth="1"/>
    <col min="11267" max="11267" width="5.28515625" style="183" customWidth="1"/>
    <col min="11268" max="11268" width="5" style="183" customWidth="1"/>
    <col min="11269" max="11269" width="4.7109375" style="183" customWidth="1"/>
    <col min="11270" max="11270" width="7.5703125" style="183" customWidth="1"/>
    <col min="11271" max="11271" width="6.28515625" style="183" customWidth="1"/>
    <col min="11272" max="11272" width="8.42578125" style="183" customWidth="1"/>
    <col min="11273" max="11273" width="8.85546875" style="183" customWidth="1"/>
    <col min="11274" max="11274" width="8.5703125" style="183" customWidth="1"/>
    <col min="11275" max="11520" width="9.140625" style="183"/>
    <col min="11521" max="11521" width="6.140625" style="183" customWidth="1"/>
    <col min="11522" max="11522" width="35.85546875" style="183" customWidth="1"/>
    <col min="11523" max="11523" width="5.28515625" style="183" customWidth="1"/>
    <col min="11524" max="11524" width="5" style="183" customWidth="1"/>
    <col min="11525" max="11525" width="4.7109375" style="183" customWidth="1"/>
    <col min="11526" max="11526" width="7.5703125" style="183" customWidth="1"/>
    <col min="11527" max="11527" width="6.28515625" style="183" customWidth="1"/>
    <col min="11528" max="11528" width="8.42578125" style="183" customWidth="1"/>
    <col min="11529" max="11529" width="8.85546875" style="183" customWidth="1"/>
    <col min="11530" max="11530" width="8.5703125" style="183" customWidth="1"/>
    <col min="11531" max="11776" width="9.140625" style="183"/>
    <col min="11777" max="11777" width="6.140625" style="183" customWidth="1"/>
    <col min="11778" max="11778" width="35.85546875" style="183" customWidth="1"/>
    <col min="11779" max="11779" width="5.28515625" style="183" customWidth="1"/>
    <col min="11780" max="11780" width="5" style="183" customWidth="1"/>
    <col min="11781" max="11781" width="4.7109375" style="183" customWidth="1"/>
    <col min="11782" max="11782" width="7.5703125" style="183" customWidth="1"/>
    <col min="11783" max="11783" width="6.28515625" style="183" customWidth="1"/>
    <col min="11784" max="11784" width="8.42578125" style="183" customWidth="1"/>
    <col min="11785" max="11785" width="8.85546875" style="183" customWidth="1"/>
    <col min="11786" max="11786" width="8.5703125" style="183" customWidth="1"/>
    <col min="11787" max="12032" width="9.140625" style="183"/>
    <col min="12033" max="12033" width="6.140625" style="183" customWidth="1"/>
    <col min="12034" max="12034" width="35.85546875" style="183" customWidth="1"/>
    <col min="12035" max="12035" width="5.28515625" style="183" customWidth="1"/>
    <col min="12036" max="12036" width="5" style="183" customWidth="1"/>
    <col min="12037" max="12037" width="4.7109375" style="183" customWidth="1"/>
    <col min="12038" max="12038" width="7.5703125" style="183" customWidth="1"/>
    <col min="12039" max="12039" width="6.28515625" style="183" customWidth="1"/>
    <col min="12040" max="12040" width="8.42578125" style="183" customWidth="1"/>
    <col min="12041" max="12041" width="8.85546875" style="183" customWidth="1"/>
    <col min="12042" max="12042" width="8.5703125" style="183" customWidth="1"/>
    <col min="12043" max="12288" width="9.140625" style="183"/>
    <col min="12289" max="12289" width="6.140625" style="183" customWidth="1"/>
    <col min="12290" max="12290" width="35.85546875" style="183" customWidth="1"/>
    <col min="12291" max="12291" width="5.28515625" style="183" customWidth="1"/>
    <col min="12292" max="12292" width="5" style="183" customWidth="1"/>
    <col min="12293" max="12293" width="4.7109375" style="183" customWidth="1"/>
    <col min="12294" max="12294" width="7.5703125" style="183" customWidth="1"/>
    <col min="12295" max="12295" width="6.28515625" style="183" customWidth="1"/>
    <col min="12296" max="12296" width="8.42578125" style="183" customWidth="1"/>
    <col min="12297" max="12297" width="8.85546875" style="183" customWidth="1"/>
    <col min="12298" max="12298" width="8.5703125" style="183" customWidth="1"/>
    <col min="12299" max="12544" width="9.140625" style="183"/>
    <col min="12545" max="12545" width="6.140625" style="183" customWidth="1"/>
    <col min="12546" max="12546" width="35.85546875" style="183" customWidth="1"/>
    <col min="12547" max="12547" width="5.28515625" style="183" customWidth="1"/>
    <col min="12548" max="12548" width="5" style="183" customWidth="1"/>
    <col min="12549" max="12549" width="4.7109375" style="183" customWidth="1"/>
    <col min="12550" max="12550" width="7.5703125" style="183" customWidth="1"/>
    <col min="12551" max="12551" width="6.28515625" style="183" customWidth="1"/>
    <col min="12552" max="12552" width="8.42578125" style="183" customWidth="1"/>
    <col min="12553" max="12553" width="8.85546875" style="183" customWidth="1"/>
    <col min="12554" max="12554" width="8.5703125" style="183" customWidth="1"/>
    <col min="12555" max="12800" width="9.140625" style="183"/>
    <col min="12801" max="12801" width="6.140625" style="183" customWidth="1"/>
    <col min="12802" max="12802" width="35.85546875" style="183" customWidth="1"/>
    <col min="12803" max="12803" width="5.28515625" style="183" customWidth="1"/>
    <col min="12804" max="12804" width="5" style="183" customWidth="1"/>
    <col min="12805" max="12805" width="4.7109375" style="183" customWidth="1"/>
    <col min="12806" max="12806" width="7.5703125" style="183" customWidth="1"/>
    <col min="12807" max="12807" width="6.28515625" style="183" customWidth="1"/>
    <col min="12808" max="12808" width="8.42578125" style="183" customWidth="1"/>
    <col min="12809" max="12809" width="8.85546875" style="183" customWidth="1"/>
    <col min="12810" max="12810" width="8.5703125" style="183" customWidth="1"/>
    <col min="12811" max="13056" width="9.140625" style="183"/>
    <col min="13057" max="13057" width="6.140625" style="183" customWidth="1"/>
    <col min="13058" max="13058" width="35.85546875" style="183" customWidth="1"/>
    <col min="13059" max="13059" width="5.28515625" style="183" customWidth="1"/>
    <col min="13060" max="13060" width="5" style="183" customWidth="1"/>
    <col min="13061" max="13061" width="4.7109375" style="183" customWidth="1"/>
    <col min="13062" max="13062" width="7.5703125" style="183" customWidth="1"/>
    <col min="13063" max="13063" width="6.28515625" style="183" customWidth="1"/>
    <col min="13064" max="13064" width="8.42578125" style="183" customWidth="1"/>
    <col min="13065" max="13065" width="8.85546875" style="183" customWidth="1"/>
    <col min="13066" max="13066" width="8.5703125" style="183" customWidth="1"/>
    <col min="13067" max="13312" width="9.140625" style="183"/>
    <col min="13313" max="13313" width="6.140625" style="183" customWidth="1"/>
    <col min="13314" max="13314" width="35.85546875" style="183" customWidth="1"/>
    <col min="13315" max="13315" width="5.28515625" style="183" customWidth="1"/>
    <col min="13316" max="13316" width="5" style="183" customWidth="1"/>
    <col min="13317" max="13317" width="4.7109375" style="183" customWidth="1"/>
    <col min="13318" max="13318" width="7.5703125" style="183" customWidth="1"/>
    <col min="13319" max="13319" width="6.28515625" style="183" customWidth="1"/>
    <col min="13320" max="13320" width="8.42578125" style="183" customWidth="1"/>
    <col min="13321" max="13321" width="8.85546875" style="183" customWidth="1"/>
    <col min="13322" max="13322" width="8.5703125" style="183" customWidth="1"/>
    <col min="13323" max="13568" width="9.140625" style="183"/>
    <col min="13569" max="13569" width="6.140625" style="183" customWidth="1"/>
    <col min="13570" max="13570" width="35.85546875" style="183" customWidth="1"/>
    <col min="13571" max="13571" width="5.28515625" style="183" customWidth="1"/>
    <col min="13572" max="13572" width="5" style="183" customWidth="1"/>
    <col min="13573" max="13573" width="4.7109375" style="183" customWidth="1"/>
    <col min="13574" max="13574" width="7.5703125" style="183" customWidth="1"/>
    <col min="13575" max="13575" width="6.28515625" style="183" customWidth="1"/>
    <col min="13576" max="13576" width="8.42578125" style="183" customWidth="1"/>
    <col min="13577" max="13577" width="8.85546875" style="183" customWidth="1"/>
    <col min="13578" max="13578" width="8.5703125" style="183" customWidth="1"/>
    <col min="13579" max="13824" width="9.140625" style="183"/>
    <col min="13825" max="13825" width="6.140625" style="183" customWidth="1"/>
    <col min="13826" max="13826" width="35.85546875" style="183" customWidth="1"/>
    <col min="13827" max="13827" width="5.28515625" style="183" customWidth="1"/>
    <col min="13828" max="13828" width="5" style="183" customWidth="1"/>
    <col min="13829" max="13829" width="4.7109375" style="183" customWidth="1"/>
    <col min="13830" max="13830" width="7.5703125" style="183" customWidth="1"/>
    <col min="13831" max="13831" width="6.28515625" style="183" customWidth="1"/>
    <col min="13832" max="13832" width="8.42578125" style="183" customWidth="1"/>
    <col min="13833" max="13833" width="8.85546875" style="183" customWidth="1"/>
    <col min="13834" max="13834" width="8.5703125" style="183" customWidth="1"/>
    <col min="13835" max="14080" width="9.140625" style="183"/>
    <col min="14081" max="14081" width="6.140625" style="183" customWidth="1"/>
    <col min="14082" max="14082" width="35.85546875" style="183" customWidth="1"/>
    <col min="14083" max="14083" width="5.28515625" style="183" customWidth="1"/>
    <col min="14084" max="14084" width="5" style="183" customWidth="1"/>
    <col min="14085" max="14085" width="4.7109375" style="183" customWidth="1"/>
    <col min="14086" max="14086" width="7.5703125" style="183" customWidth="1"/>
    <col min="14087" max="14087" width="6.28515625" style="183" customWidth="1"/>
    <col min="14088" max="14088" width="8.42578125" style="183" customWidth="1"/>
    <col min="14089" max="14089" width="8.85546875" style="183" customWidth="1"/>
    <col min="14090" max="14090" width="8.5703125" style="183" customWidth="1"/>
    <col min="14091" max="14336" width="9.140625" style="183"/>
    <col min="14337" max="14337" width="6.140625" style="183" customWidth="1"/>
    <col min="14338" max="14338" width="35.85546875" style="183" customWidth="1"/>
    <col min="14339" max="14339" width="5.28515625" style="183" customWidth="1"/>
    <col min="14340" max="14340" width="5" style="183" customWidth="1"/>
    <col min="14341" max="14341" width="4.7109375" style="183" customWidth="1"/>
    <col min="14342" max="14342" width="7.5703125" style="183" customWidth="1"/>
    <col min="14343" max="14343" width="6.28515625" style="183" customWidth="1"/>
    <col min="14344" max="14344" width="8.42578125" style="183" customWidth="1"/>
    <col min="14345" max="14345" width="8.85546875" style="183" customWidth="1"/>
    <col min="14346" max="14346" width="8.5703125" style="183" customWidth="1"/>
    <col min="14347" max="14592" width="9.140625" style="183"/>
    <col min="14593" max="14593" width="6.140625" style="183" customWidth="1"/>
    <col min="14594" max="14594" width="35.85546875" style="183" customWidth="1"/>
    <col min="14595" max="14595" width="5.28515625" style="183" customWidth="1"/>
    <col min="14596" max="14596" width="5" style="183" customWidth="1"/>
    <col min="14597" max="14597" width="4.7109375" style="183" customWidth="1"/>
    <col min="14598" max="14598" width="7.5703125" style="183" customWidth="1"/>
    <col min="14599" max="14599" width="6.28515625" style="183" customWidth="1"/>
    <col min="14600" max="14600" width="8.42578125" style="183" customWidth="1"/>
    <col min="14601" max="14601" width="8.85546875" style="183" customWidth="1"/>
    <col min="14602" max="14602" width="8.5703125" style="183" customWidth="1"/>
    <col min="14603" max="14848" width="9.140625" style="183"/>
    <col min="14849" max="14849" width="6.140625" style="183" customWidth="1"/>
    <col min="14850" max="14850" width="35.85546875" style="183" customWidth="1"/>
    <col min="14851" max="14851" width="5.28515625" style="183" customWidth="1"/>
    <col min="14852" max="14852" width="5" style="183" customWidth="1"/>
    <col min="14853" max="14853" width="4.7109375" style="183" customWidth="1"/>
    <col min="14854" max="14854" width="7.5703125" style="183" customWidth="1"/>
    <col min="14855" max="14855" width="6.28515625" style="183" customWidth="1"/>
    <col min="14856" max="14856" width="8.42578125" style="183" customWidth="1"/>
    <col min="14857" max="14857" width="8.85546875" style="183" customWidth="1"/>
    <col min="14858" max="14858" width="8.5703125" style="183" customWidth="1"/>
    <col min="14859" max="15104" width="9.140625" style="183"/>
    <col min="15105" max="15105" width="6.140625" style="183" customWidth="1"/>
    <col min="15106" max="15106" width="35.85546875" style="183" customWidth="1"/>
    <col min="15107" max="15107" width="5.28515625" style="183" customWidth="1"/>
    <col min="15108" max="15108" width="5" style="183" customWidth="1"/>
    <col min="15109" max="15109" width="4.7109375" style="183" customWidth="1"/>
    <col min="15110" max="15110" width="7.5703125" style="183" customWidth="1"/>
    <col min="15111" max="15111" width="6.28515625" style="183" customWidth="1"/>
    <col min="15112" max="15112" width="8.42578125" style="183" customWidth="1"/>
    <col min="15113" max="15113" width="8.85546875" style="183" customWidth="1"/>
    <col min="15114" max="15114" width="8.5703125" style="183" customWidth="1"/>
    <col min="15115" max="15360" width="9.140625" style="183"/>
    <col min="15361" max="15361" width="6.140625" style="183" customWidth="1"/>
    <col min="15362" max="15362" width="35.85546875" style="183" customWidth="1"/>
    <col min="15363" max="15363" width="5.28515625" style="183" customWidth="1"/>
    <col min="15364" max="15364" width="5" style="183" customWidth="1"/>
    <col min="15365" max="15365" width="4.7109375" style="183" customWidth="1"/>
    <col min="15366" max="15366" width="7.5703125" style="183" customWidth="1"/>
    <col min="15367" max="15367" width="6.28515625" style="183" customWidth="1"/>
    <col min="15368" max="15368" width="8.42578125" style="183" customWidth="1"/>
    <col min="15369" max="15369" width="8.85546875" style="183" customWidth="1"/>
    <col min="15370" max="15370" width="8.5703125" style="183" customWidth="1"/>
    <col min="15371" max="15616" width="9.140625" style="183"/>
    <col min="15617" max="15617" width="6.140625" style="183" customWidth="1"/>
    <col min="15618" max="15618" width="35.85546875" style="183" customWidth="1"/>
    <col min="15619" max="15619" width="5.28515625" style="183" customWidth="1"/>
    <col min="15620" max="15620" width="5" style="183" customWidth="1"/>
    <col min="15621" max="15621" width="4.7109375" style="183" customWidth="1"/>
    <col min="15622" max="15622" width="7.5703125" style="183" customWidth="1"/>
    <col min="15623" max="15623" width="6.28515625" style="183" customWidth="1"/>
    <col min="15624" max="15624" width="8.42578125" style="183" customWidth="1"/>
    <col min="15625" max="15625" width="8.85546875" style="183" customWidth="1"/>
    <col min="15626" max="15626" width="8.5703125" style="183" customWidth="1"/>
    <col min="15627" max="15872" width="9.140625" style="183"/>
    <col min="15873" max="15873" width="6.140625" style="183" customWidth="1"/>
    <col min="15874" max="15874" width="35.85546875" style="183" customWidth="1"/>
    <col min="15875" max="15875" width="5.28515625" style="183" customWidth="1"/>
    <col min="15876" max="15876" width="5" style="183" customWidth="1"/>
    <col min="15877" max="15877" width="4.7109375" style="183" customWidth="1"/>
    <col min="15878" max="15878" width="7.5703125" style="183" customWidth="1"/>
    <col min="15879" max="15879" width="6.28515625" style="183" customWidth="1"/>
    <col min="15880" max="15880" width="8.42578125" style="183" customWidth="1"/>
    <col min="15881" max="15881" width="8.85546875" style="183" customWidth="1"/>
    <col min="15882" max="15882" width="8.5703125" style="183" customWidth="1"/>
    <col min="15883" max="16128" width="9.140625" style="183"/>
    <col min="16129" max="16129" width="6.140625" style="183" customWidth="1"/>
    <col min="16130" max="16130" width="35.85546875" style="183" customWidth="1"/>
    <col min="16131" max="16131" width="5.28515625" style="183" customWidth="1"/>
    <col min="16132" max="16132" width="5" style="183" customWidth="1"/>
    <col min="16133" max="16133" width="4.7109375" style="183" customWidth="1"/>
    <col min="16134" max="16134" width="7.5703125" style="183" customWidth="1"/>
    <col min="16135" max="16135" width="6.28515625" style="183" customWidth="1"/>
    <col min="16136" max="16136" width="8.42578125" style="183" customWidth="1"/>
    <col min="16137" max="16137" width="8.85546875" style="183" customWidth="1"/>
    <col min="16138" max="16138" width="8.5703125" style="183" customWidth="1"/>
    <col min="16139" max="16384" width="9.140625" style="183"/>
  </cols>
  <sheetData>
    <row r="1" spans="1:10">
      <c r="A1" s="182" t="s">
        <v>200</v>
      </c>
      <c r="B1" s="182"/>
      <c r="C1" s="182"/>
      <c r="D1" s="182"/>
      <c r="E1" s="182"/>
      <c r="F1" s="182"/>
      <c r="G1" s="182"/>
      <c r="H1" s="182"/>
      <c r="I1" s="182"/>
      <c r="J1" s="182"/>
    </row>
    <row r="2" spans="1:10">
      <c r="A2" s="182" t="s">
        <v>201</v>
      </c>
      <c r="B2" s="182"/>
      <c r="C2" s="182"/>
      <c r="D2" s="182"/>
      <c r="E2" s="182"/>
      <c r="F2" s="182"/>
      <c r="G2" s="182"/>
      <c r="H2" s="182"/>
      <c r="I2" s="182"/>
      <c r="J2" s="182"/>
    </row>
    <row r="3" spans="1:10">
      <c r="A3" s="182" t="s">
        <v>202</v>
      </c>
      <c r="B3" s="182"/>
      <c r="C3" s="182"/>
      <c r="D3" s="182"/>
      <c r="E3" s="182"/>
      <c r="F3" s="182"/>
      <c r="G3" s="182"/>
      <c r="H3" s="182"/>
      <c r="I3" s="182"/>
      <c r="J3" s="182"/>
    </row>
    <row r="4" spans="1:10">
      <c r="A4" s="182" t="s">
        <v>203</v>
      </c>
      <c r="B4" s="182"/>
      <c r="C4" s="182"/>
      <c r="D4" s="182"/>
      <c r="E4" s="182"/>
      <c r="F4" s="182"/>
      <c r="G4" s="182"/>
      <c r="H4" s="182"/>
      <c r="I4" s="182"/>
      <c r="J4" s="182"/>
    </row>
    <row r="5" spans="1:10" ht="44.25" customHeight="1">
      <c r="A5" s="184" t="s">
        <v>184</v>
      </c>
      <c r="B5" s="185"/>
      <c r="C5" s="185"/>
      <c r="D5" s="185"/>
      <c r="E5" s="185"/>
      <c r="F5" s="185"/>
      <c r="G5" s="185"/>
      <c r="H5" s="185"/>
      <c r="I5" s="185"/>
      <c r="J5" s="186"/>
    </row>
    <row r="6" spans="1:10" ht="31.5" customHeight="1">
      <c r="A6" s="187" t="s">
        <v>204</v>
      </c>
      <c r="B6" s="188" t="s">
        <v>205</v>
      </c>
      <c r="C6" s="189" t="s">
        <v>206</v>
      </c>
      <c r="D6" s="189"/>
      <c r="E6" s="189"/>
      <c r="F6" s="190" t="s">
        <v>207</v>
      </c>
      <c r="G6" s="191"/>
      <c r="H6" s="192"/>
      <c r="I6" s="193" t="s">
        <v>208</v>
      </c>
      <c r="J6" s="193"/>
    </row>
    <row r="7" spans="1:10" ht="14.25" customHeight="1">
      <c r="A7" s="187"/>
      <c r="B7" s="188"/>
      <c r="C7" s="189"/>
      <c r="D7" s="189"/>
      <c r="E7" s="189"/>
      <c r="F7" s="194" t="s">
        <v>5</v>
      </c>
      <c r="G7" s="194" t="s">
        <v>6</v>
      </c>
      <c r="H7" s="194" t="s">
        <v>7</v>
      </c>
      <c r="I7" s="193"/>
      <c r="J7" s="193"/>
    </row>
    <row r="8" spans="1:10" ht="51.75" customHeight="1">
      <c r="A8" s="195">
        <v>1</v>
      </c>
      <c r="B8" s="196" t="s">
        <v>209</v>
      </c>
      <c r="C8" s="197"/>
      <c r="D8" s="197"/>
      <c r="E8" s="197"/>
      <c r="F8" s="194"/>
      <c r="G8" s="194"/>
      <c r="H8" s="194"/>
      <c r="I8" s="194"/>
      <c r="J8" s="198"/>
    </row>
    <row r="9" spans="1:10" ht="19.5" customHeight="1">
      <c r="A9" s="195"/>
      <c r="B9" s="199" t="s">
        <v>210</v>
      </c>
      <c r="C9" s="197">
        <v>1</v>
      </c>
      <c r="D9" s="197" t="s">
        <v>28</v>
      </c>
      <c r="E9" s="197">
        <v>18</v>
      </c>
      <c r="F9" s="194"/>
      <c r="G9" s="194"/>
      <c r="H9" s="194"/>
      <c r="I9" s="194">
        <f>PRODUCT(C9:H9)</f>
        <v>18</v>
      </c>
      <c r="J9" s="198"/>
    </row>
    <row r="10" spans="1:10">
      <c r="A10" s="195"/>
      <c r="B10" s="199"/>
      <c r="C10" s="197"/>
      <c r="D10" s="197"/>
      <c r="E10" s="197"/>
      <c r="F10" s="194"/>
      <c r="G10" s="194"/>
      <c r="H10" s="200" t="s">
        <v>211</v>
      </c>
      <c r="I10" s="200">
        <f>SUM(I9:I9)</f>
        <v>18</v>
      </c>
      <c r="J10" s="201" t="s">
        <v>37</v>
      </c>
    </row>
    <row r="11" spans="1:10" ht="31.5">
      <c r="A11" s="195">
        <v>2</v>
      </c>
      <c r="B11" s="199" t="s">
        <v>212</v>
      </c>
      <c r="C11" s="197"/>
      <c r="D11" s="197"/>
      <c r="E11" s="197"/>
      <c r="F11" s="194"/>
      <c r="G11" s="194"/>
      <c r="H11" s="194"/>
      <c r="I11" s="200"/>
      <c r="J11" s="201"/>
    </row>
    <row r="12" spans="1:10">
      <c r="A12" s="195"/>
      <c r="B12" s="199"/>
      <c r="C12" s="197">
        <v>1</v>
      </c>
      <c r="D12" s="197" t="s">
        <v>28</v>
      </c>
      <c r="E12" s="197">
        <v>18</v>
      </c>
      <c r="F12" s="194"/>
      <c r="G12" s="194"/>
      <c r="H12" s="194"/>
      <c r="I12" s="194">
        <f>PRODUCT(C12:H12)</f>
        <v>18</v>
      </c>
      <c r="J12" s="201"/>
    </row>
    <row r="13" spans="1:10">
      <c r="A13" s="195"/>
      <c r="B13" s="199"/>
      <c r="C13" s="197"/>
      <c r="D13" s="197"/>
      <c r="E13" s="197"/>
      <c r="F13" s="194"/>
      <c r="G13" s="194"/>
      <c r="H13" s="200" t="s">
        <v>211</v>
      </c>
      <c r="I13" s="200">
        <f>SUM(I12:I12)</f>
        <v>18</v>
      </c>
      <c r="J13" s="201" t="s">
        <v>37</v>
      </c>
    </row>
    <row r="14" spans="1:10">
      <c r="A14" s="195">
        <v>3</v>
      </c>
      <c r="B14" s="199" t="s">
        <v>213</v>
      </c>
      <c r="C14" s="197"/>
      <c r="D14" s="197"/>
      <c r="E14" s="197"/>
      <c r="F14" s="194"/>
      <c r="G14" s="194"/>
      <c r="H14" s="194"/>
      <c r="I14" s="200"/>
      <c r="J14" s="201"/>
    </row>
    <row r="15" spans="1:10">
      <c r="A15" s="195"/>
      <c r="B15" s="199"/>
      <c r="C15" s="197">
        <v>1</v>
      </c>
      <c r="D15" s="197" t="s">
        <v>28</v>
      </c>
      <c r="E15" s="197">
        <v>18</v>
      </c>
      <c r="F15" s="194"/>
      <c r="G15" s="194"/>
      <c r="H15" s="194"/>
      <c r="I15" s="194">
        <f>PRODUCT(C15:H15)</f>
        <v>18</v>
      </c>
      <c r="J15" s="201"/>
    </row>
    <row r="16" spans="1:10">
      <c r="A16" s="195"/>
      <c r="B16" s="199"/>
      <c r="C16" s="197"/>
      <c r="D16" s="197"/>
      <c r="E16" s="197"/>
      <c r="F16" s="194"/>
      <c r="G16" s="194"/>
      <c r="H16" s="200" t="s">
        <v>211</v>
      </c>
      <c r="I16" s="200">
        <f>SUM(I15:I15)</f>
        <v>18</v>
      </c>
      <c r="J16" s="201" t="s">
        <v>37</v>
      </c>
    </row>
    <row r="17" spans="1:10">
      <c r="A17" s="195">
        <v>4</v>
      </c>
      <c r="B17" s="199" t="s">
        <v>214</v>
      </c>
      <c r="C17" s="197"/>
      <c r="D17" s="197"/>
      <c r="E17" s="197"/>
      <c r="F17" s="194"/>
      <c r="G17" s="194"/>
      <c r="H17" s="194"/>
      <c r="I17" s="200"/>
      <c r="J17" s="201"/>
    </row>
    <row r="18" spans="1:10">
      <c r="A18" s="195"/>
      <c r="B18" s="199"/>
      <c r="C18" s="197">
        <v>1</v>
      </c>
      <c r="D18" s="197" t="s">
        <v>28</v>
      </c>
      <c r="E18" s="197">
        <v>1</v>
      </c>
      <c r="F18" s="194"/>
      <c r="G18" s="194"/>
      <c r="H18" s="194"/>
      <c r="I18" s="194">
        <f>PRODUCT(C18:H18)</f>
        <v>1</v>
      </c>
      <c r="J18" s="201"/>
    </row>
    <row r="19" spans="1:10">
      <c r="A19" s="195"/>
      <c r="B19" s="199"/>
      <c r="C19" s="197"/>
      <c r="D19" s="197"/>
      <c r="E19" s="197"/>
      <c r="F19" s="194"/>
      <c r="G19" s="194"/>
      <c r="H19" s="200" t="s">
        <v>211</v>
      </c>
      <c r="I19" s="200">
        <f>SUM(I18:I18)</f>
        <v>1</v>
      </c>
      <c r="J19" s="202" t="s">
        <v>215</v>
      </c>
    </row>
    <row r="20" spans="1:10">
      <c r="A20" s="195"/>
      <c r="B20" s="199"/>
      <c r="C20" s="197"/>
      <c r="D20" s="197"/>
      <c r="E20" s="197"/>
      <c r="F20" s="194"/>
      <c r="G20" s="194"/>
      <c r="H20" s="194"/>
      <c r="I20" s="200"/>
      <c r="J20" s="201"/>
    </row>
    <row r="21" spans="1:10">
      <c r="A21" s="195">
        <v>5</v>
      </c>
      <c r="B21" s="203" t="s">
        <v>216</v>
      </c>
      <c r="C21" s="197"/>
      <c r="D21" s="197"/>
      <c r="E21" s="197"/>
      <c r="F21" s="194"/>
      <c r="G21" s="194"/>
      <c r="H21" s="194"/>
      <c r="I21" s="204" t="s">
        <v>38</v>
      </c>
      <c r="J21" s="201"/>
    </row>
    <row r="22" spans="1:10" ht="27.75" customHeight="1">
      <c r="A22" s="195">
        <v>6</v>
      </c>
      <c r="B22" s="203" t="s">
        <v>217</v>
      </c>
      <c r="C22" s="197"/>
      <c r="D22" s="197"/>
      <c r="E22" s="197"/>
      <c r="F22" s="194"/>
      <c r="G22" s="194"/>
      <c r="H22" s="194"/>
      <c r="I22" s="204" t="s">
        <v>38</v>
      </c>
      <c r="J22" s="198"/>
    </row>
    <row r="23" spans="1:10" ht="41.25" customHeight="1">
      <c r="A23" s="195">
        <v>7</v>
      </c>
      <c r="B23" s="203" t="s">
        <v>218</v>
      </c>
      <c r="C23" s="197"/>
      <c r="D23" s="197"/>
      <c r="E23" s="197"/>
      <c r="F23" s="194"/>
      <c r="G23" s="194"/>
      <c r="H23" s="194"/>
      <c r="I23" s="204" t="s">
        <v>38</v>
      </c>
      <c r="J23" s="198"/>
    </row>
    <row r="24" spans="1:10" ht="26.25" customHeight="1">
      <c r="A24" s="195">
        <v>8</v>
      </c>
      <c r="B24" s="203" t="s">
        <v>219</v>
      </c>
      <c r="C24" s="197"/>
      <c r="D24" s="197"/>
      <c r="E24" s="197"/>
      <c r="F24" s="194"/>
      <c r="G24" s="194"/>
      <c r="H24" s="194"/>
      <c r="I24" s="204" t="s">
        <v>38</v>
      </c>
      <c r="J24" s="198"/>
    </row>
  </sheetData>
  <mergeCells count="10">
    <mergeCell ref="A1:J1"/>
    <mergeCell ref="A2:J2"/>
    <mergeCell ref="A3:J3"/>
    <mergeCell ref="A4:J4"/>
    <mergeCell ref="A5:J5"/>
    <mergeCell ref="A6:A7"/>
    <mergeCell ref="B6:B7"/>
    <mergeCell ref="C6:E7"/>
    <mergeCell ref="F6:H6"/>
    <mergeCell ref="I6:J7"/>
  </mergeCells>
  <pageMargins left="0.7" right="0.7" top="0.4" bottom="0.75" header="0.3" footer="0.3"/>
  <pageSetup orientation="portrait" r:id="rId1"/>
</worksheet>
</file>

<file path=xl/worksheets/sheet6.xml><?xml version="1.0" encoding="utf-8"?>
<worksheet xmlns="http://schemas.openxmlformats.org/spreadsheetml/2006/main" xmlns:r="http://schemas.openxmlformats.org/officeDocument/2006/relationships">
  <sheetPr>
    <tabColor rgb="FFFF0000"/>
  </sheetPr>
  <dimension ref="A1:IV508"/>
  <sheetViews>
    <sheetView showZeros="0" view="pageBreakPreview" topLeftCell="A5" zoomScaleSheetLayoutView="100" workbookViewId="0">
      <selection activeCell="K14" sqref="K14"/>
    </sheetView>
  </sheetViews>
  <sheetFormatPr defaultColWidth="11.42578125" defaultRowHeight="15.75"/>
  <cols>
    <col min="1" max="1" width="8.28515625" style="383" customWidth="1"/>
    <col min="2" max="2" width="42" style="348" bestFit="1" customWidth="1"/>
    <col min="3" max="5" width="4.28515625" style="384" customWidth="1"/>
    <col min="6" max="6" width="7.7109375" style="350" customWidth="1"/>
    <col min="7" max="7" width="9.42578125" style="350" customWidth="1"/>
    <col min="8" max="8" width="8.140625" style="350" customWidth="1"/>
    <col min="9" max="9" width="9.42578125" style="350" bestFit="1" customWidth="1"/>
    <col min="10" max="10" width="6" style="340" bestFit="1" customWidth="1"/>
    <col min="11" max="11" width="20.140625" style="328" customWidth="1"/>
    <col min="12" max="12" width="9.28515625" style="328" bestFit="1" customWidth="1"/>
    <col min="13" max="13" width="12.42578125" style="328" customWidth="1"/>
    <col min="14" max="14" width="5.42578125" style="328" customWidth="1"/>
    <col min="15" max="15" width="7.42578125" style="328" customWidth="1"/>
    <col min="16" max="16" width="9.5703125" style="328" customWidth="1"/>
    <col min="17" max="256" width="11.42578125" style="328"/>
    <col min="257" max="257" width="8.28515625" style="328" customWidth="1"/>
    <col min="258" max="258" width="42" style="328" bestFit="1" customWidth="1"/>
    <col min="259" max="260" width="2.85546875" style="328" bestFit="1" customWidth="1"/>
    <col min="261" max="261" width="5.28515625" style="328" customWidth="1"/>
    <col min="262" max="262" width="10" style="328" customWidth="1"/>
    <col min="263" max="263" width="4.85546875" style="328" bestFit="1" customWidth="1"/>
    <col min="264" max="264" width="8.140625" style="328" customWidth="1"/>
    <col min="265" max="265" width="9.42578125" style="328" bestFit="1" customWidth="1"/>
    <col min="266" max="266" width="6" style="328" bestFit="1" customWidth="1"/>
    <col min="267" max="267" width="20.140625" style="328" customWidth="1"/>
    <col min="268" max="268" width="9.28515625" style="328" bestFit="1" customWidth="1"/>
    <col min="269" max="269" width="12.42578125" style="328" customWidth="1"/>
    <col min="270" max="270" width="5.42578125" style="328" customWidth="1"/>
    <col min="271" max="271" width="7.42578125" style="328" customWidth="1"/>
    <col min="272" max="272" width="9.5703125" style="328" customWidth="1"/>
    <col min="273" max="512" width="11.42578125" style="328"/>
    <col min="513" max="513" width="8.28515625" style="328" customWidth="1"/>
    <col min="514" max="514" width="42" style="328" bestFit="1" customWidth="1"/>
    <col min="515" max="516" width="2.85546875" style="328" bestFit="1" customWidth="1"/>
    <col min="517" max="517" width="5.28515625" style="328" customWidth="1"/>
    <col min="518" max="518" width="10" style="328" customWidth="1"/>
    <col min="519" max="519" width="4.85546875" style="328" bestFit="1" customWidth="1"/>
    <col min="520" max="520" width="8.140625" style="328" customWidth="1"/>
    <col min="521" max="521" width="9.42578125" style="328" bestFit="1" customWidth="1"/>
    <col min="522" max="522" width="6" style="328" bestFit="1" customWidth="1"/>
    <col min="523" max="523" width="20.140625" style="328" customWidth="1"/>
    <col min="524" max="524" width="9.28515625" style="328" bestFit="1" customWidth="1"/>
    <col min="525" max="525" width="12.42578125" style="328" customWidth="1"/>
    <col min="526" max="526" width="5.42578125" style="328" customWidth="1"/>
    <col min="527" max="527" width="7.42578125" style="328" customWidth="1"/>
    <col min="528" max="528" width="9.5703125" style="328" customWidth="1"/>
    <col min="529" max="768" width="11.42578125" style="328"/>
    <col min="769" max="769" width="8.28515625" style="328" customWidth="1"/>
    <col min="770" max="770" width="42" style="328" bestFit="1" customWidth="1"/>
    <col min="771" max="772" width="2.85546875" style="328" bestFit="1" customWidth="1"/>
    <col min="773" max="773" width="5.28515625" style="328" customWidth="1"/>
    <col min="774" max="774" width="10" style="328" customWidth="1"/>
    <col min="775" max="775" width="4.85546875" style="328" bestFit="1" customWidth="1"/>
    <col min="776" max="776" width="8.140625" style="328" customWidth="1"/>
    <col min="777" max="777" width="9.42578125" style="328" bestFit="1" customWidth="1"/>
    <col min="778" max="778" width="6" style="328" bestFit="1" customWidth="1"/>
    <col min="779" max="779" width="20.140625" style="328" customWidth="1"/>
    <col min="780" max="780" width="9.28515625" style="328" bestFit="1" customWidth="1"/>
    <col min="781" max="781" width="12.42578125" style="328" customWidth="1"/>
    <col min="782" max="782" width="5.42578125" style="328" customWidth="1"/>
    <col min="783" max="783" width="7.42578125" style="328" customWidth="1"/>
    <col min="784" max="784" width="9.5703125" style="328" customWidth="1"/>
    <col min="785" max="1024" width="11.42578125" style="328"/>
    <col min="1025" max="1025" width="8.28515625" style="328" customWidth="1"/>
    <col min="1026" max="1026" width="42" style="328" bestFit="1" customWidth="1"/>
    <col min="1027" max="1028" width="2.85546875" style="328" bestFit="1" customWidth="1"/>
    <col min="1029" max="1029" width="5.28515625" style="328" customWidth="1"/>
    <col min="1030" max="1030" width="10" style="328" customWidth="1"/>
    <col min="1031" max="1031" width="4.85546875" style="328" bestFit="1" customWidth="1"/>
    <col min="1032" max="1032" width="8.140625" style="328" customWidth="1"/>
    <col min="1033" max="1033" width="9.42578125" style="328" bestFit="1" customWidth="1"/>
    <col min="1034" max="1034" width="6" style="328" bestFit="1" customWidth="1"/>
    <col min="1035" max="1035" width="20.140625" style="328" customWidth="1"/>
    <col min="1036" max="1036" width="9.28515625" style="328" bestFit="1" customWidth="1"/>
    <col min="1037" max="1037" width="12.42578125" style="328" customWidth="1"/>
    <col min="1038" max="1038" width="5.42578125" style="328" customWidth="1"/>
    <col min="1039" max="1039" width="7.42578125" style="328" customWidth="1"/>
    <col min="1040" max="1040" width="9.5703125" style="328" customWidth="1"/>
    <col min="1041" max="1280" width="11.42578125" style="328"/>
    <col min="1281" max="1281" width="8.28515625" style="328" customWidth="1"/>
    <col min="1282" max="1282" width="42" style="328" bestFit="1" customWidth="1"/>
    <col min="1283" max="1284" width="2.85546875" style="328" bestFit="1" customWidth="1"/>
    <col min="1285" max="1285" width="5.28515625" style="328" customWidth="1"/>
    <col min="1286" max="1286" width="10" style="328" customWidth="1"/>
    <col min="1287" max="1287" width="4.85546875" style="328" bestFit="1" customWidth="1"/>
    <col min="1288" max="1288" width="8.140625" style="328" customWidth="1"/>
    <col min="1289" max="1289" width="9.42578125" style="328" bestFit="1" customWidth="1"/>
    <col min="1290" max="1290" width="6" style="328" bestFit="1" customWidth="1"/>
    <col min="1291" max="1291" width="20.140625" style="328" customWidth="1"/>
    <col min="1292" max="1292" width="9.28515625" style="328" bestFit="1" customWidth="1"/>
    <col min="1293" max="1293" width="12.42578125" style="328" customWidth="1"/>
    <col min="1294" max="1294" width="5.42578125" style="328" customWidth="1"/>
    <col min="1295" max="1295" width="7.42578125" style="328" customWidth="1"/>
    <col min="1296" max="1296" width="9.5703125" style="328" customWidth="1"/>
    <col min="1297" max="1536" width="11.42578125" style="328"/>
    <col min="1537" max="1537" width="8.28515625" style="328" customWidth="1"/>
    <col min="1538" max="1538" width="42" style="328" bestFit="1" customWidth="1"/>
    <col min="1539" max="1540" width="2.85546875" style="328" bestFit="1" customWidth="1"/>
    <col min="1541" max="1541" width="5.28515625" style="328" customWidth="1"/>
    <col min="1542" max="1542" width="10" style="328" customWidth="1"/>
    <col min="1543" max="1543" width="4.85546875" style="328" bestFit="1" customWidth="1"/>
    <col min="1544" max="1544" width="8.140625" style="328" customWidth="1"/>
    <col min="1545" max="1545" width="9.42578125" style="328" bestFit="1" customWidth="1"/>
    <col min="1546" max="1546" width="6" style="328" bestFit="1" customWidth="1"/>
    <col min="1547" max="1547" width="20.140625" style="328" customWidth="1"/>
    <col min="1548" max="1548" width="9.28515625" style="328" bestFit="1" customWidth="1"/>
    <col min="1549" max="1549" width="12.42578125" style="328" customWidth="1"/>
    <col min="1550" max="1550" width="5.42578125" style="328" customWidth="1"/>
    <col min="1551" max="1551" width="7.42578125" style="328" customWidth="1"/>
    <col min="1552" max="1552" width="9.5703125" style="328" customWidth="1"/>
    <col min="1553" max="1792" width="11.42578125" style="328"/>
    <col min="1793" max="1793" width="8.28515625" style="328" customWidth="1"/>
    <col min="1794" max="1794" width="42" style="328" bestFit="1" customWidth="1"/>
    <col min="1795" max="1796" width="2.85546875" style="328" bestFit="1" customWidth="1"/>
    <col min="1797" max="1797" width="5.28515625" style="328" customWidth="1"/>
    <col min="1798" max="1798" width="10" style="328" customWidth="1"/>
    <col min="1799" max="1799" width="4.85546875" style="328" bestFit="1" customWidth="1"/>
    <col min="1800" max="1800" width="8.140625" style="328" customWidth="1"/>
    <col min="1801" max="1801" width="9.42578125" style="328" bestFit="1" customWidth="1"/>
    <col min="1802" max="1802" width="6" style="328" bestFit="1" customWidth="1"/>
    <col min="1803" max="1803" width="20.140625" style="328" customWidth="1"/>
    <col min="1804" max="1804" width="9.28515625" style="328" bestFit="1" customWidth="1"/>
    <col min="1805" max="1805" width="12.42578125" style="328" customWidth="1"/>
    <col min="1806" max="1806" width="5.42578125" style="328" customWidth="1"/>
    <col min="1807" max="1807" width="7.42578125" style="328" customWidth="1"/>
    <col min="1808" max="1808" width="9.5703125" style="328" customWidth="1"/>
    <col min="1809" max="2048" width="11.42578125" style="328"/>
    <col min="2049" max="2049" width="8.28515625" style="328" customWidth="1"/>
    <col min="2050" max="2050" width="42" style="328" bestFit="1" customWidth="1"/>
    <col min="2051" max="2052" width="2.85546875" style="328" bestFit="1" customWidth="1"/>
    <col min="2053" max="2053" width="5.28515625" style="328" customWidth="1"/>
    <col min="2054" max="2054" width="10" style="328" customWidth="1"/>
    <col min="2055" max="2055" width="4.85546875" style="328" bestFit="1" customWidth="1"/>
    <col min="2056" max="2056" width="8.140625" style="328" customWidth="1"/>
    <col min="2057" max="2057" width="9.42578125" style="328" bestFit="1" customWidth="1"/>
    <col min="2058" max="2058" width="6" style="328" bestFit="1" customWidth="1"/>
    <col min="2059" max="2059" width="20.140625" style="328" customWidth="1"/>
    <col min="2060" max="2060" width="9.28515625" style="328" bestFit="1" customWidth="1"/>
    <col min="2061" max="2061" width="12.42578125" style="328" customWidth="1"/>
    <col min="2062" max="2062" width="5.42578125" style="328" customWidth="1"/>
    <col min="2063" max="2063" width="7.42578125" style="328" customWidth="1"/>
    <col min="2064" max="2064" width="9.5703125" style="328" customWidth="1"/>
    <col min="2065" max="2304" width="11.42578125" style="328"/>
    <col min="2305" max="2305" width="8.28515625" style="328" customWidth="1"/>
    <col min="2306" max="2306" width="42" style="328" bestFit="1" customWidth="1"/>
    <col min="2307" max="2308" width="2.85546875" style="328" bestFit="1" customWidth="1"/>
    <col min="2309" max="2309" width="5.28515625" style="328" customWidth="1"/>
    <col min="2310" max="2310" width="10" style="328" customWidth="1"/>
    <col min="2311" max="2311" width="4.85546875" style="328" bestFit="1" customWidth="1"/>
    <col min="2312" max="2312" width="8.140625" style="328" customWidth="1"/>
    <col min="2313" max="2313" width="9.42578125" style="328" bestFit="1" customWidth="1"/>
    <col min="2314" max="2314" width="6" style="328" bestFit="1" customWidth="1"/>
    <col min="2315" max="2315" width="20.140625" style="328" customWidth="1"/>
    <col min="2316" max="2316" width="9.28515625" style="328" bestFit="1" customWidth="1"/>
    <col min="2317" max="2317" width="12.42578125" style="328" customWidth="1"/>
    <col min="2318" max="2318" width="5.42578125" style="328" customWidth="1"/>
    <col min="2319" max="2319" width="7.42578125" style="328" customWidth="1"/>
    <col min="2320" max="2320" width="9.5703125" style="328" customWidth="1"/>
    <col min="2321" max="2560" width="11.42578125" style="328"/>
    <col min="2561" max="2561" width="8.28515625" style="328" customWidth="1"/>
    <col min="2562" max="2562" width="42" style="328" bestFit="1" customWidth="1"/>
    <col min="2563" max="2564" width="2.85546875" style="328" bestFit="1" customWidth="1"/>
    <col min="2565" max="2565" width="5.28515625" style="328" customWidth="1"/>
    <col min="2566" max="2566" width="10" style="328" customWidth="1"/>
    <col min="2567" max="2567" width="4.85546875" style="328" bestFit="1" customWidth="1"/>
    <col min="2568" max="2568" width="8.140625" style="328" customWidth="1"/>
    <col min="2569" max="2569" width="9.42578125" style="328" bestFit="1" customWidth="1"/>
    <col min="2570" max="2570" width="6" style="328" bestFit="1" customWidth="1"/>
    <col min="2571" max="2571" width="20.140625" style="328" customWidth="1"/>
    <col min="2572" max="2572" width="9.28515625" style="328" bestFit="1" customWidth="1"/>
    <col min="2573" max="2573" width="12.42578125" style="328" customWidth="1"/>
    <col min="2574" max="2574" width="5.42578125" style="328" customWidth="1"/>
    <col min="2575" max="2575" width="7.42578125" style="328" customWidth="1"/>
    <col min="2576" max="2576" width="9.5703125" style="328" customWidth="1"/>
    <col min="2577" max="2816" width="11.42578125" style="328"/>
    <col min="2817" max="2817" width="8.28515625" style="328" customWidth="1"/>
    <col min="2818" max="2818" width="42" style="328" bestFit="1" customWidth="1"/>
    <col min="2819" max="2820" width="2.85546875" style="328" bestFit="1" customWidth="1"/>
    <col min="2821" max="2821" width="5.28515625" style="328" customWidth="1"/>
    <col min="2822" max="2822" width="10" style="328" customWidth="1"/>
    <col min="2823" max="2823" width="4.85546875" style="328" bestFit="1" customWidth="1"/>
    <col min="2824" max="2824" width="8.140625" style="328" customWidth="1"/>
    <col min="2825" max="2825" width="9.42578125" style="328" bestFit="1" customWidth="1"/>
    <col min="2826" max="2826" width="6" style="328" bestFit="1" customWidth="1"/>
    <col min="2827" max="2827" width="20.140625" style="328" customWidth="1"/>
    <col min="2828" max="2828" width="9.28515625" style="328" bestFit="1" customWidth="1"/>
    <col min="2829" max="2829" width="12.42578125" style="328" customWidth="1"/>
    <col min="2830" max="2830" width="5.42578125" style="328" customWidth="1"/>
    <col min="2831" max="2831" width="7.42578125" style="328" customWidth="1"/>
    <col min="2832" max="2832" width="9.5703125" style="328" customWidth="1"/>
    <col min="2833" max="3072" width="11.42578125" style="328"/>
    <col min="3073" max="3073" width="8.28515625" style="328" customWidth="1"/>
    <col min="3074" max="3074" width="42" style="328" bestFit="1" customWidth="1"/>
    <col min="3075" max="3076" width="2.85546875" style="328" bestFit="1" customWidth="1"/>
    <col min="3077" max="3077" width="5.28515625" style="328" customWidth="1"/>
    <col min="3078" max="3078" width="10" style="328" customWidth="1"/>
    <col min="3079" max="3079" width="4.85546875" style="328" bestFit="1" customWidth="1"/>
    <col min="3080" max="3080" width="8.140625" style="328" customWidth="1"/>
    <col min="3081" max="3081" width="9.42578125" style="328" bestFit="1" customWidth="1"/>
    <col min="3082" max="3082" width="6" style="328" bestFit="1" customWidth="1"/>
    <col min="3083" max="3083" width="20.140625" style="328" customWidth="1"/>
    <col min="3084" max="3084" width="9.28515625" style="328" bestFit="1" customWidth="1"/>
    <col min="3085" max="3085" width="12.42578125" style="328" customWidth="1"/>
    <col min="3086" max="3086" width="5.42578125" style="328" customWidth="1"/>
    <col min="3087" max="3087" width="7.42578125" style="328" customWidth="1"/>
    <col min="3088" max="3088" width="9.5703125" style="328" customWidth="1"/>
    <col min="3089" max="3328" width="11.42578125" style="328"/>
    <col min="3329" max="3329" width="8.28515625" style="328" customWidth="1"/>
    <col min="3330" max="3330" width="42" style="328" bestFit="1" customWidth="1"/>
    <col min="3331" max="3332" width="2.85546875" style="328" bestFit="1" customWidth="1"/>
    <col min="3333" max="3333" width="5.28515625" style="328" customWidth="1"/>
    <col min="3334" max="3334" width="10" style="328" customWidth="1"/>
    <col min="3335" max="3335" width="4.85546875" style="328" bestFit="1" customWidth="1"/>
    <col min="3336" max="3336" width="8.140625" style="328" customWidth="1"/>
    <col min="3337" max="3337" width="9.42578125" style="328" bestFit="1" customWidth="1"/>
    <col min="3338" max="3338" width="6" style="328" bestFit="1" customWidth="1"/>
    <col min="3339" max="3339" width="20.140625" style="328" customWidth="1"/>
    <col min="3340" max="3340" width="9.28515625" style="328" bestFit="1" customWidth="1"/>
    <col min="3341" max="3341" width="12.42578125" style="328" customWidth="1"/>
    <col min="3342" max="3342" width="5.42578125" style="328" customWidth="1"/>
    <col min="3343" max="3343" width="7.42578125" style="328" customWidth="1"/>
    <col min="3344" max="3344" width="9.5703125" style="328" customWidth="1"/>
    <col min="3345" max="3584" width="11.42578125" style="328"/>
    <col min="3585" max="3585" width="8.28515625" style="328" customWidth="1"/>
    <col min="3586" max="3586" width="42" style="328" bestFit="1" customWidth="1"/>
    <col min="3587" max="3588" width="2.85546875" style="328" bestFit="1" customWidth="1"/>
    <col min="3589" max="3589" width="5.28515625" style="328" customWidth="1"/>
    <col min="3590" max="3590" width="10" style="328" customWidth="1"/>
    <col min="3591" max="3591" width="4.85546875" style="328" bestFit="1" customWidth="1"/>
    <col min="3592" max="3592" width="8.140625" style="328" customWidth="1"/>
    <col min="3593" max="3593" width="9.42578125" style="328" bestFit="1" customWidth="1"/>
    <col min="3594" max="3594" width="6" style="328" bestFit="1" customWidth="1"/>
    <col min="3595" max="3595" width="20.140625" style="328" customWidth="1"/>
    <col min="3596" max="3596" width="9.28515625" style="328" bestFit="1" customWidth="1"/>
    <col min="3597" max="3597" width="12.42578125" style="328" customWidth="1"/>
    <col min="3598" max="3598" width="5.42578125" style="328" customWidth="1"/>
    <col min="3599" max="3599" width="7.42578125" style="328" customWidth="1"/>
    <col min="3600" max="3600" width="9.5703125" style="328" customWidth="1"/>
    <col min="3601" max="3840" width="11.42578125" style="328"/>
    <col min="3841" max="3841" width="8.28515625" style="328" customWidth="1"/>
    <col min="3842" max="3842" width="42" style="328" bestFit="1" customWidth="1"/>
    <col min="3843" max="3844" width="2.85546875" style="328" bestFit="1" customWidth="1"/>
    <col min="3845" max="3845" width="5.28515625" style="328" customWidth="1"/>
    <col min="3846" max="3846" width="10" style="328" customWidth="1"/>
    <col min="3847" max="3847" width="4.85546875" style="328" bestFit="1" customWidth="1"/>
    <col min="3848" max="3848" width="8.140625" style="328" customWidth="1"/>
    <col min="3849" max="3849" width="9.42578125" style="328" bestFit="1" customWidth="1"/>
    <col min="3850" max="3850" width="6" style="328" bestFit="1" customWidth="1"/>
    <col min="3851" max="3851" width="20.140625" style="328" customWidth="1"/>
    <col min="3852" max="3852" width="9.28515625" style="328" bestFit="1" customWidth="1"/>
    <col min="3853" max="3853" width="12.42578125" style="328" customWidth="1"/>
    <col min="3854" max="3854" width="5.42578125" style="328" customWidth="1"/>
    <col min="3855" max="3855" width="7.42578125" style="328" customWidth="1"/>
    <col min="3856" max="3856" width="9.5703125" style="328" customWidth="1"/>
    <col min="3857" max="4096" width="11.42578125" style="328"/>
    <col min="4097" max="4097" width="8.28515625" style="328" customWidth="1"/>
    <col min="4098" max="4098" width="42" style="328" bestFit="1" customWidth="1"/>
    <col min="4099" max="4100" width="2.85546875" style="328" bestFit="1" customWidth="1"/>
    <col min="4101" max="4101" width="5.28515625" style="328" customWidth="1"/>
    <col min="4102" max="4102" width="10" style="328" customWidth="1"/>
    <col min="4103" max="4103" width="4.85546875" style="328" bestFit="1" customWidth="1"/>
    <col min="4104" max="4104" width="8.140625" style="328" customWidth="1"/>
    <col min="4105" max="4105" width="9.42578125" style="328" bestFit="1" customWidth="1"/>
    <col min="4106" max="4106" width="6" style="328" bestFit="1" customWidth="1"/>
    <col min="4107" max="4107" width="20.140625" style="328" customWidth="1"/>
    <col min="4108" max="4108" width="9.28515625" style="328" bestFit="1" customWidth="1"/>
    <col min="4109" max="4109" width="12.42578125" style="328" customWidth="1"/>
    <col min="4110" max="4110" width="5.42578125" style="328" customWidth="1"/>
    <col min="4111" max="4111" width="7.42578125" style="328" customWidth="1"/>
    <col min="4112" max="4112" width="9.5703125" style="328" customWidth="1"/>
    <col min="4113" max="4352" width="11.42578125" style="328"/>
    <col min="4353" max="4353" width="8.28515625" style="328" customWidth="1"/>
    <col min="4354" max="4354" width="42" style="328" bestFit="1" customWidth="1"/>
    <col min="4355" max="4356" width="2.85546875" style="328" bestFit="1" customWidth="1"/>
    <col min="4357" max="4357" width="5.28515625" style="328" customWidth="1"/>
    <col min="4358" max="4358" width="10" style="328" customWidth="1"/>
    <col min="4359" max="4359" width="4.85546875" style="328" bestFit="1" customWidth="1"/>
    <col min="4360" max="4360" width="8.140625" style="328" customWidth="1"/>
    <col min="4361" max="4361" width="9.42578125" style="328" bestFit="1" customWidth="1"/>
    <col min="4362" max="4362" width="6" style="328" bestFit="1" customWidth="1"/>
    <col min="4363" max="4363" width="20.140625" style="328" customWidth="1"/>
    <col min="4364" max="4364" width="9.28515625" style="328" bestFit="1" customWidth="1"/>
    <col min="4365" max="4365" width="12.42578125" style="328" customWidth="1"/>
    <col min="4366" max="4366" width="5.42578125" style="328" customWidth="1"/>
    <col min="4367" max="4367" width="7.42578125" style="328" customWidth="1"/>
    <col min="4368" max="4368" width="9.5703125" style="328" customWidth="1"/>
    <col min="4369" max="4608" width="11.42578125" style="328"/>
    <col min="4609" max="4609" width="8.28515625" style="328" customWidth="1"/>
    <col min="4610" max="4610" width="42" style="328" bestFit="1" customWidth="1"/>
    <col min="4611" max="4612" width="2.85546875" style="328" bestFit="1" customWidth="1"/>
    <col min="4613" max="4613" width="5.28515625" style="328" customWidth="1"/>
    <col min="4614" max="4614" width="10" style="328" customWidth="1"/>
    <col min="4615" max="4615" width="4.85546875" style="328" bestFit="1" customWidth="1"/>
    <col min="4616" max="4616" width="8.140625" style="328" customWidth="1"/>
    <col min="4617" max="4617" width="9.42578125" style="328" bestFit="1" customWidth="1"/>
    <col min="4618" max="4618" width="6" style="328" bestFit="1" customWidth="1"/>
    <col min="4619" max="4619" width="20.140625" style="328" customWidth="1"/>
    <col min="4620" max="4620" width="9.28515625" style="328" bestFit="1" customWidth="1"/>
    <col min="4621" max="4621" width="12.42578125" style="328" customWidth="1"/>
    <col min="4622" max="4622" width="5.42578125" style="328" customWidth="1"/>
    <col min="4623" max="4623" width="7.42578125" style="328" customWidth="1"/>
    <col min="4624" max="4624" width="9.5703125" style="328" customWidth="1"/>
    <col min="4625" max="4864" width="11.42578125" style="328"/>
    <col min="4865" max="4865" width="8.28515625" style="328" customWidth="1"/>
    <col min="4866" max="4866" width="42" style="328" bestFit="1" customWidth="1"/>
    <col min="4867" max="4868" width="2.85546875" style="328" bestFit="1" customWidth="1"/>
    <col min="4869" max="4869" width="5.28515625" style="328" customWidth="1"/>
    <col min="4870" max="4870" width="10" style="328" customWidth="1"/>
    <col min="4871" max="4871" width="4.85546875" style="328" bestFit="1" customWidth="1"/>
    <col min="4872" max="4872" width="8.140625" style="328" customWidth="1"/>
    <col min="4873" max="4873" width="9.42578125" style="328" bestFit="1" customWidth="1"/>
    <col min="4874" max="4874" width="6" style="328" bestFit="1" customWidth="1"/>
    <col min="4875" max="4875" width="20.140625" style="328" customWidth="1"/>
    <col min="4876" max="4876" width="9.28515625" style="328" bestFit="1" customWidth="1"/>
    <col min="4877" max="4877" width="12.42578125" style="328" customWidth="1"/>
    <col min="4878" max="4878" width="5.42578125" style="328" customWidth="1"/>
    <col min="4879" max="4879" width="7.42578125" style="328" customWidth="1"/>
    <col min="4880" max="4880" width="9.5703125" style="328" customWidth="1"/>
    <col min="4881" max="5120" width="11.42578125" style="328"/>
    <col min="5121" max="5121" width="8.28515625" style="328" customWidth="1"/>
    <col min="5122" max="5122" width="42" style="328" bestFit="1" customWidth="1"/>
    <col min="5123" max="5124" width="2.85546875" style="328" bestFit="1" customWidth="1"/>
    <col min="5125" max="5125" width="5.28515625" style="328" customWidth="1"/>
    <col min="5126" max="5126" width="10" style="328" customWidth="1"/>
    <col min="5127" max="5127" width="4.85546875" style="328" bestFit="1" customWidth="1"/>
    <col min="5128" max="5128" width="8.140625" style="328" customWidth="1"/>
    <col min="5129" max="5129" width="9.42578125" style="328" bestFit="1" customWidth="1"/>
    <col min="5130" max="5130" width="6" style="328" bestFit="1" customWidth="1"/>
    <col min="5131" max="5131" width="20.140625" style="328" customWidth="1"/>
    <col min="5132" max="5132" width="9.28515625" style="328" bestFit="1" customWidth="1"/>
    <col min="5133" max="5133" width="12.42578125" style="328" customWidth="1"/>
    <col min="5134" max="5134" width="5.42578125" style="328" customWidth="1"/>
    <col min="5135" max="5135" width="7.42578125" style="328" customWidth="1"/>
    <col min="5136" max="5136" width="9.5703125" style="328" customWidth="1"/>
    <col min="5137" max="5376" width="11.42578125" style="328"/>
    <col min="5377" max="5377" width="8.28515625" style="328" customWidth="1"/>
    <col min="5378" max="5378" width="42" style="328" bestFit="1" customWidth="1"/>
    <col min="5379" max="5380" width="2.85546875" style="328" bestFit="1" customWidth="1"/>
    <col min="5381" max="5381" width="5.28515625" style="328" customWidth="1"/>
    <col min="5382" max="5382" width="10" style="328" customWidth="1"/>
    <col min="5383" max="5383" width="4.85546875" style="328" bestFit="1" customWidth="1"/>
    <col min="5384" max="5384" width="8.140625" style="328" customWidth="1"/>
    <col min="5385" max="5385" width="9.42578125" style="328" bestFit="1" customWidth="1"/>
    <col min="5386" max="5386" width="6" style="328" bestFit="1" customWidth="1"/>
    <col min="5387" max="5387" width="20.140625" style="328" customWidth="1"/>
    <col min="5388" max="5388" width="9.28515625" style="328" bestFit="1" customWidth="1"/>
    <col min="5389" max="5389" width="12.42578125" style="328" customWidth="1"/>
    <col min="5390" max="5390" width="5.42578125" style="328" customWidth="1"/>
    <col min="5391" max="5391" width="7.42578125" style="328" customWidth="1"/>
    <col min="5392" max="5392" width="9.5703125" style="328" customWidth="1"/>
    <col min="5393" max="5632" width="11.42578125" style="328"/>
    <col min="5633" max="5633" width="8.28515625" style="328" customWidth="1"/>
    <col min="5634" max="5634" width="42" style="328" bestFit="1" customWidth="1"/>
    <col min="5635" max="5636" width="2.85546875" style="328" bestFit="1" customWidth="1"/>
    <col min="5637" max="5637" width="5.28515625" style="328" customWidth="1"/>
    <col min="5638" max="5638" width="10" style="328" customWidth="1"/>
    <col min="5639" max="5639" width="4.85546875" style="328" bestFit="1" customWidth="1"/>
    <col min="5640" max="5640" width="8.140625" style="328" customWidth="1"/>
    <col min="5641" max="5641" width="9.42578125" style="328" bestFit="1" customWidth="1"/>
    <col min="5642" max="5642" width="6" style="328" bestFit="1" customWidth="1"/>
    <col min="5643" max="5643" width="20.140625" style="328" customWidth="1"/>
    <col min="5644" max="5644" width="9.28515625" style="328" bestFit="1" customWidth="1"/>
    <col min="5645" max="5645" width="12.42578125" style="328" customWidth="1"/>
    <col min="5646" max="5646" width="5.42578125" style="328" customWidth="1"/>
    <col min="5647" max="5647" width="7.42578125" style="328" customWidth="1"/>
    <col min="5648" max="5648" width="9.5703125" style="328" customWidth="1"/>
    <col min="5649" max="5888" width="11.42578125" style="328"/>
    <col min="5889" max="5889" width="8.28515625" style="328" customWidth="1"/>
    <col min="5890" max="5890" width="42" style="328" bestFit="1" customWidth="1"/>
    <col min="5891" max="5892" width="2.85546875" style="328" bestFit="1" customWidth="1"/>
    <col min="5893" max="5893" width="5.28515625" style="328" customWidth="1"/>
    <col min="5894" max="5894" width="10" style="328" customWidth="1"/>
    <col min="5895" max="5895" width="4.85546875" style="328" bestFit="1" customWidth="1"/>
    <col min="5896" max="5896" width="8.140625" style="328" customWidth="1"/>
    <col min="5897" max="5897" width="9.42578125" style="328" bestFit="1" customWidth="1"/>
    <col min="5898" max="5898" width="6" style="328" bestFit="1" customWidth="1"/>
    <col min="5899" max="5899" width="20.140625" style="328" customWidth="1"/>
    <col min="5900" max="5900" width="9.28515625" style="328" bestFit="1" customWidth="1"/>
    <col min="5901" max="5901" width="12.42578125" style="328" customWidth="1"/>
    <col min="5902" max="5902" width="5.42578125" style="328" customWidth="1"/>
    <col min="5903" max="5903" width="7.42578125" style="328" customWidth="1"/>
    <col min="5904" max="5904" width="9.5703125" style="328" customWidth="1"/>
    <col min="5905" max="6144" width="11.42578125" style="328"/>
    <col min="6145" max="6145" width="8.28515625" style="328" customWidth="1"/>
    <col min="6146" max="6146" width="42" style="328" bestFit="1" customWidth="1"/>
    <col min="6147" max="6148" width="2.85546875" style="328" bestFit="1" customWidth="1"/>
    <col min="6149" max="6149" width="5.28515625" style="328" customWidth="1"/>
    <col min="6150" max="6150" width="10" style="328" customWidth="1"/>
    <col min="6151" max="6151" width="4.85546875" style="328" bestFit="1" customWidth="1"/>
    <col min="6152" max="6152" width="8.140625" style="328" customWidth="1"/>
    <col min="6153" max="6153" width="9.42578125" style="328" bestFit="1" customWidth="1"/>
    <col min="6154" max="6154" width="6" style="328" bestFit="1" customWidth="1"/>
    <col min="6155" max="6155" width="20.140625" style="328" customWidth="1"/>
    <col min="6156" max="6156" width="9.28515625" style="328" bestFit="1" customWidth="1"/>
    <col min="6157" max="6157" width="12.42578125" style="328" customWidth="1"/>
    <col min="6158" max="6158" width="5.42578125" style="328" customWidth="1"/>
    <col min="6159" max="6159" width="7.42578125" style="328" customWidth="1"/>
    <col min="6160" max="6160" width="9.5703125" style="328" customWidth="1"/>
    <col min="6161" max="6400" width="11.42578125" style="328"/>
    <col min="6401" max="6401" width="8.28515625" style="328" customWidth="1"/>
    <col min="6402" max="6402" width="42" style="328" bestFit="1" customWidth="1"/>
    <col min="6403" max="6404" width="2.85546875" style="328" bestFit="1" customWidth="1"/>
    <col min="6405" max="6405" width="5.28515625" style="328" customWidth="1"/>
    <col min="6406" max="6406" width="10" style="328" customWidth="1"/>
    <col min="6407" max="6407" width="4.85546875" style="328" bestFit="1" customWidth="1"/>
    <col min="6408" max="6408" width="8.140625" style="328" customWidth="1"/>
    <col min="6409" max="6409" width="9.42578125" style="328" bestFit="1" customWidth="1"/>
    <col min="6410" max="6410" width="6" style="328" bestFit="1" customWidth="1"/>
    <col min="6411" max="6411" width="20.140625" style="328" customWidth="1"/>
    <col min="6412" max="6412" width="9.28515625" style="328" bestFit="1" customWidth="1"/>
    <col min="6413" max="6413" width="12.42578125" style="328" customWidth="1"/>
    <col min="6414" max="6414" width="5.42578125" style="328" customWidth="1"/>
    <col min="6415" max="6415" width="7.42578125" style="328" customWidth="1"/>
    <col min="6416" max="6416" width="9.5703125" style="328" customWidth="1"/>
    <col min="6417" max="6656" width="11.42578125" style="328"/>
    <col min="6657" max="6657" width="8.28515625" style="328" customWidth="1"/>
    <col min="6658" max="6658" width="42" style="328" bestFit="1" customWidth="1"/>
    <col min="6659" max="6660" width="2.85546875" style="328" bestFit="1" customWidth="1"/>
    <col min="6661" max="6661" width="5.28515625" style="328" customWidth="1"/>
    <col min="6662" max="6662" width="10" style="328" customWidth="1"/>
    <col min="6663" max="6663" width="4.85546875" style="328" bestFit="1" customWidth="1"/>
    <col min="6664" max="6664" width="8.140625" style="328" customWidth="1"/>
    <col min="6665" max="6665" width="9.42578125" style="328" bestFit="1" customWidth="1"/>
    <col min="6666" max="6666" width="6" style="328" bestFit="1" customWidth="1"/>
    <col min="6667" max="6667" width="20.140625" style="328" customWidth="1"/>
    <col min="6668" max="6668" width="9.28515625" style="328" bestFit="1" customWidth="1"/>
    <col min="6669" max="6669" width="12.42578125" style="328" customWidth="1"/>
    <col min="6670" max="6670" width="5.42578125" style="328" customWidth="1"/>
    <col min="6671" max="6671" width="7.42578125" style="328" customWidth="1"/>
    <col min="6672" max="6672" width="9.5703125" style="328" customWidth="1"/>
    <col min="6673" max="6912" width="11.42578125" style="328"/>
    <col min="6913" max="6913" width="8.28515625" style="328" customWidth="1"/>
    <col min="6914" max="6914" width="42" style="328" bestFit="1" customWidth="1"/>
    <col min="6915" max="6916" width="2.85546875" style="328" bestFit="1" customWidth="1"/>
    <col min="6917" max="6917" width="5.28515625" style="328" customWidth="1"/>
    <col min="6918" max="6918" width="10" style="328" customWidth="1"/>
    <col min="6919" max="6919" width="4.85546875" style="328" bestFit="1" customWidth="1"/>
    <col min="6920" max="6920" width="8.140625" style="328" customWidth="1"/>
    <col min="6921" max="6921" width="9.42578125" style="328" bestFit="1" customWidth="1"/>
    <col min="6922" max="6922" width="6" style="328" bestFit="1" customWidth="1"/>
    <col min="6923" max="6923" width="20.140625" style="328" customWidth="1"/>
    <col min="6924" max="6924" width="9.28515625" style="328" bestFit="1" customWidth="1"/>
    <col min="6925" max="6925" width="12.42578125" style="328" customWidth="1"/>
    <col min="6926" max="6926" width="5.42578125" style="328" customWidth="1"/>
    <col min="6927" max="6927" width="7.42578125" style="328" customWidth="1"/>
    <col min="6928" max="6928" width="9.5703125" style="328" customWidth="1"/>
    <col min="6929" max="7168" width="11.42578125" style="328"/>
    <col min="7169" max="7169" width="8.28515625" style="328" customWidth="1"/>
    <col min="7170" max="7170" width="42" style="328" bestFit="1" customWidth="1"/>
    <col min="7171" max="7172" width="2.85546875" style="328" bestFit="1" customWidth="1"/>
    <col min="7173" max="7173" width="5.28515625" style="328" customWidth="1"/>
    <col min="7174" max="7174" width="10" style="328" customWidth="1"/>
    <col min="7175" max="7175" width="4.85546875" style="328" bestFit="1" customWidth="1"/>
    <col min="7176" max="7176" width="8.140625" style="328" customWidth="1"/>
    <col min="7177" max="7177" width="9.42578125" style="328" bestFit="1" customWidth="1"/>
    <col min="7178" max="7178" width="6" style="328" bestFit="1" customWidth="1"/>
    <col min="7179" max="7179" width="20.140625" style="328" customWidth="1"/>
    <col min="7180" max="7180" width="9.28515625" style="328" bestFit="1" customWidth="1"/>
    <col min="7181" max="7181" width="12.42578125" style="328" customWidth="1"/>
    <col min="7182" max="7182" width="5.42578125" style="328" customWidth="1"/>
    <col min="7183" max="7183" width="7.42578125" style="328" customWidth="1"/>
    <col min="7184" max="7184" width="9.5703125" style="328" customWidth="1"/>
    <col min="7185" max="7424" width="11.42578125" style="328"/>
    <col min="7425" max="7425" width="8.28515625" style="328" customWidth="1"/>
    <col min="7426" max="7426" width="42" style="328" bestFit="1" customWidth="1"/>
    <col min="7427" max="7428" width="2.85546875" style="328" bestFit="1" customWidth="1"/>
    <col min="7429" max="7429" width="5.28515625" style="328" customWidth="1"/>
    <col min="7430" max="7430" width="10" style="328" customWidth="1"/>
    <col min="7431" max="7431" width="4.85546875" style="328" bestFit="1" customWidth="1"/>
    <col min="7432" max="7432" width="8.140625" style="328" customWidth="1"/>
    <col min="7433" max="7433" width="9.42578125" style="328" bestFit="1" customWidth="1"/>
    <col min="7434" max="7434" width="6" style="328" bestFit="1" customWidth="1"/>
    <col min="7435" max="7435" width="20.140625" style="328" customWidth="1"/>
    <col min="7436" max="7436" width="9.28515625" style="328" bestFit="1" customWidth="1"/>
    <col min="7437" max="7437" width="12.42578125" style="328" customWidth="1"/>
    <col min="7438" max="7438" width="5.42578125" style="328" customWidth="1"/>
    <col min="7439" max="7439" width="7.42578125" style="328" customWidth="1"/>
    <col min="7440" max="7440" width="9.5703125" style="328" customWidth="1"/>
    <col min="7441" max="7680" width="11.42578125" style="328"/>
    <col min="7681" max="7681" width="8.28515625" style="328" customWidth="1"/>
    <col min="7682" max="7682" width="42" style="328" bestFit="1" customWidth="1"/>
    <col min="7683" max="7684" width="2.85546875" style="328" bestFit="1" customWidth="1"/>
    <col min="7685" max="7685" width="5.28515625" style="328" customWidth="1"/>
    <col min="7686" max="7686" width="10" style="328" customWidth="1"/>
    <col min="7687" max="7687" width="4.85546875" style="328" bestFit="1" customWidth="1"/>
    <col min="7688" max="7688" width="8.140625" style="328" customWidth="1"/>
    <col min="7689" max="7689" width="9.42578125" style="328" bestFit="1" customWidth="1"/>
    <col min="7690" max="7690" width="6" style="328" bestFit="1" customWidth="1"/>
    <col min="7691" max="7691" width="20.140625" style="328" customWidth="1"/>
    <col min="7692" max="7692" width="9.28515625" style="328" bestFit="1" customWidth="1"/>
    <col min="7693" max="7693" width="12.42578125" style="328" customWidth="1"/>
    <col min="7694" max="7694" width="5.42578125" style="328" customWidth="1"/>
    <col min="7695" max="7695" width="7.42578125" style="328" customWidth="1"/>
    <col min="7696" max="7696" width="9.5703125" style="328" customWidth="1"/>
    <col min="7697" max="7936" width="11.42578125" style="328"/>
    <col min="7937" max="7937" width="8.28515625" style="328" customWidth="1"/>
    <col min="7938" max="7938" width="42" style="328" bestFit="1" customWidth="1"/>
    <col min="7939" max="7940" width="2.85546875" style="328" bestFit="1" customWidth="1"/>
    <col min="7941" max="7941" width="5.28515625" style="328" customWidth="1"/>
    <col min="7942" max="7942" width="10" style="328" customWidth="1"/>
    <col min="7943" max="7943" width="4.85546875" style="328" bestFit="1" customWidth="1"/>
    <col min="7944" max="7944" width="8.140625" style="328" customWidth="1"/>
    <col min="7945" max="7945" width="9.42578125" style="328" bestFit="1" customWidth="1"/>
    <col min="7946" max="7946" width="6" style="328" bestFit="1" customWidth="1"/>
    <col min="7947" max="7947" width="20.140625" style="328" customWidth="1"/>
    <col min="7948" max="7948" width="9.28515625" style="328" bestFit="1" customWidth="1"/>
    <col min="7949" max="7949" width="12.42578125" style="328" customWidth="1"/>
    <col min="7950" max="7950" width="5.42578125" style="328" customWidth="1"/>
    <col min="7951" max="7951" width="7.42578125" style="328" customWidth="1"/>
    <col min="7952" max="7952" width="9.5703125" style="328" customWidth="1"/>
    <col min="7953" max="8192" width="11.42578125" style="328"/>
    <col min="8193" max="8193" width="8.28515625" style="328" customWidth="1"/>
    <col min="8194" max="8194" width="42" style="328" bestFit="1" customWidth="1"/>
    <col min="8195" max="8196" width="2.85546875" style="328" bestFit="1" customWidth="1"/>
    <col min="8197" max="8197" width="5.28515625" style="328" customWidth="1"/>
    <col min="8198" max="8198" width="10" style="328" customWidth="1"/>
    <col min="8199" max="8199" width="4.85546875" style="328" bestFit="1" customWidth="1"/>
    <col min="8200" max="8200" width="8.140625" style="328" customWidth="1"/>
    <col min="8201" max="8201" width="9.42578125" style="328" bestFit="1" customWidth="1"/>
    <col min="8202" max="8202" width="6" style="328" bestFit="1" customWidth="1"/>
    <col min="8203" max="8203" width="20.140625" style="328" customWidth="1"/>
    <col min="8204" max="8204" width="9.28515625" style="328" bestFit="1" customWidth="1"/>
    <col min="8205" max="8205" width="12.42578125" style="328" customWidth="1"/>
    <col min="8206" max="8206" width="5.42578125" style="328" customWidth="1"/>
    <col min="8207" max="8207" width="7.42578125" style="328" customWidth="1"/>
    <col min="8208" max="8208" width="9.5703125" style="328" customWidth="1"/>
    <col min="8209" max="8448" width="11.42578125" style="328"/>
    <col min="8449" max="8449" width="8.28515625" style="328" customWidth="1"/>
    <col min="8450" max="8450" width="42" style="328" bestFit="1" customWidth="1"/>
    <col min="8451" max="8452" width="2.85546875" style="328" bestFit="1" customWidth="1"/>
    <col min="8453" max="8453" width="5.28515625" style="328" customWidth="1"/>
    <col min="8454" max="8454" width="10" style="328" customWidth="1"/>
    <col min="8455" max="8455" width="4.85546875" style="328" bestFit="1" customWidth="1"/>
    <col min="8456" max="8456" width="8.140625" style="328" customWidth="1"/>
    <col min="8457" max="8457" width="9.42578125" style="328" bestFit="1" customWidth="1"/>
    <col min="8458" max="8458" width="6" style="328" bestFit="1" customWidth="1"/>
    <col min="8459" max="8459" width="20.140625" style="328" customWidth="1"/>
    <col min="8460" max="8460" width="9.28515625" style="328" bestFit="1" customWidth="1"/>
    <col min="8461" max="8461" width="12.42578125" style="328" customWidth="1"/>
    <col min="8462" max="8462" width="5.42578125" style="328" customWidth="1"/>
    <col min="8463" max="8463" width="7.42578125" style="328" customWidth="1"/>
    <col min="8464" max="8464" width="9.5703125" style="328" customWidth="1"/>
    <col min="8465" max="8704" width="11.42578125" style="328"/>
    <col min="8705" max="8705" width="8.28515625" style="328" customWidth="1"/>
    <col min="8706" max="8706" width="42" style="328" bestFit="1" customWidth="1"/>
    <col min="8707" max="8708" width="2.85546875" style="328" bestFit="1" customWidth="1"/>
    <col min="8709" max="8709" width="5.28515625" style="328" customWidth="1"/>
    <col min="8710" max="8710" width="10" style="328" customWidth="1"/>
    <col min="8711" max="8711" width="4.85546875" style="328" bestFit="1" customWidth="1"/>
    <col min="8712" max="8712" width="8.140625" style="328" customWidth="1"/>
    <col min="8713" max="8713" width="9.42578125" style="328" bestFit="1" customWidth="1"/>
    <col min="8714" max="8714" width="6" style="328" bestFit="1" customWidth="1"/>
    <col min="8715" max="8715" width="20.140625" style="328" customWidth="1"/>
    <col min="8716" max="8716" width="9.28515625" style="328" bestFit="1" customWidth="1"/>
    <col min="8717" max="8717" width="12.42578125" style="328" customWidth="1"/>
    <col min="8718" max="8718" width="5.42578125" style="328" customWidth="1"/>
    <col min="8719" max="8719" width="7.42578125" style="328" customWidth="1"/>
    <col min="8720" max="8720" width="9.5703125" style="328" customWidth="1"/>
    <col min="8721" max="8960" width="11.42578125" style="328"/>
    <col min="8961" max="8961" width="8.28515625" style="328" customWidth="1"/>
    <col min="8962" max="8962" width="42" style="328" bestFit="1" customWidth="1"/>
    <col min="8963" max="8964" width="2.85546875" style="328" bestFit="1" customWidth="1"/>
    <col min="8965" max="8965" width="5.28515625" style="328" customWidth="1"/>
    <col min="8966" max="8966" width="10" style="328" customWidth="1"/>
    <col min="8967" max="8967" width="4.85546875" style="328" bestFit="1" customWidth="1"/>
    <col min="8968" max="8968" width="8.140625" style="328" customWidth="1"/>
    <col min="8969" max="8969" width="9.42578125" style="328" bestFit="1" customWidth="1"/>
    <col min="8970" max="8970" width="6" style="328" bestFit="1" customWidth="1"/>
    <col min="8971" max="8971" width="20.140625" style="328" customWidth="1"/>
    <col min="8972" max="8972" width="9.28515625" style="328" bestFit="1" customWidth="1"/>
    <col min="8973" max="8973" width="12.42578125" style="328" customWidth="1"/>
    <col min="8974" max="8974" width="5.42578125" style="328" customWidth="1"/>
    <col min="8975" max="8975" width="7.42578125" style="328" customWidth="1"/>
    <col min="8976" max="8976" width="9.5703125" style="328" customWidth="1"/>
    <col min="8977" max="9216" width="11.42578125" style="328"/>
    <col min="9217" max="9217" width="8.28515625" style="328" customWidth="1"/>
    <col min="9218" max="9218" width="42" style="328" bestFit="1" customWidth="1"/>
    <col min="9219" max="9220" width="2.85546875" style="328" bestFit="1" customWidth="1"/>
    <col min="9221" max="9221" width="5.28515625" style="328" customWidth="1"/>
    <col min="9222" max="9222" width="10" style="328" customWidth="1"/>
    <col min="9223" max="9223" width="4.85546875" style="328" bestFit="1" customWidth="1"/>
    <col min="9224" max="9224" width="8.140625" style="328" customWidth="1"/>
    <col min="9225" max="9225" width="9.42578125" style="328" bestFit="1" customWidth="1"/>
    <col min="9226" max="9226" width="6" style="328" bestFit="1" customWidth="1"/>
    <col min="9227" max="9227" width="20.140625" style="328" customWidth="1"/>
    <col min="9228" max="9228" width="9.28515625" style="328" bestFit="1" customWidth="1"/>
    <col min="9229" max="9229" width="12.42578125" style="328" customWidth="1"/>
    <col min="9230" max="9230" width="5.42578125" style="328" customWidth="1"/>
    <col min="9231" max="9231" width="7.42578125" style="328" customWidth="1"/>
    <col min="9232" max="9232" width="9.5703125" style="328" customWidth="1"/>
    <col min="9233" max="9472" width="11.42578125" style="328"/>
    <col min="9473" max="9473" width="8.28515625" style="328" customWidth="1"/>
    <col min="9474" max="9474" width="42" style="328" bestFit="1" customWidth="1"/>
    <col min="9475" max="9476" width="2.85546875" style="328" bestFit="1" customWidth="1"/>
    <col min="9477" max="9477" width="5.28515625" style="328" customWidth="1"/>
    <col min="9478" max="9478" width="10" style="328" customWidth="1"/>
    <col min="9479" max="9479" width="4.85546875" style="328" bestFit="1" customWidth="1"/>
    <col min="9480" max="9480" width="8.140625" style="328" customWidth="1"/>
    <col min="9481" max="9481" width="9.42578125" style="328" bestFit="1" customWidth="1"/>
    <col min="9482" max="9482" width="6" style="328" bestFit="1" customWidth="1"/>
    <col min="9483" max="9483" width="20.140625" style="328" customWidth="1"/>
    <col min="9484" max="9484" width="9.28515625" style="328" bestFit="1" customWidth="1"/>
    <col min="9485" max="9485" width="12.42578125" style="328" customWidth="1"/>
    <col min="9486" max="9486" width="5.42578125" style="328" customWidth="1"/>
    <col min="9487" max="9487" width="7.42578125" style="328" customWidth="1"/>
    <col min="9488" max="9488" width="9.5703125" style="328" customWidth="1"/>
    <col min="9489" max="9728" width="11.42578125" style="328"/>
    <col min="9729" max="9729" width="8.28515625" style="328" customWidth="1"/>
    <col min="9730" max="9730" width="42" style="328" bestFit="1" customWidth="1"/>
    <col min="9731" max="9732" width="2.85546875" style="328" bestFit="1" customWidth="1"/>
    <col min="9733" max="9733" width="5.28515625" style="328" customWidth="1"/>
    <col min="9734" max="9734" width="10" style="328" customWidth="1"/>
    <col min="9735" max="9735" width="4.85546875" style="328" bestFit="1" customWidth="1"/>
    <col min="9736" max="9736" width="8.140625" style="328" customWidth="1"/>
    <col min="9737" max="9737" width="9.42578125" style="328" bestFit="1" customWidth="1"/>
    <col min="9738" max="9738" width="6" style="328" bestFit="1" customWidth="1"/>
    <col min="9739" max="9739" width="20.140625" style="328" customWidth="1"/>
    <col min="9740" max="9740" width="9.28515625" style="328" bestFit="1" customWidth="1"/>
    <col min="9741" max="9741" width="12.42578125" style="328" customWidth="1"/>
    <col min="9742" max="9742" width="5.42578125" style="328" customWidth="1"/>
    <col min="9743" max="9743" width="7.42578125" style="328" customWidth="1"/>
    <col min="9744" max="9744" width="9.5703125" style="328" customWidth="1"/>
    <col min="9745" max="9984" width="11.42578125" style="328"/>
    <col min="9985" max="9985" width="8.28515625" style="328" customWidth="1"/>
    <col min="9986" max="9986" width="42" style="328" bestFit="1" customWidth="1"/>
    <col min="9987" max="9988" width="2.85546875" style="328" bestFit="1" customWidth="1"/>
    <col min="9989" max="9989" width="5.28515625" style="328" customWidth="1"/>
    <col min="9990" max="9990" width="10" style="328" customWidth="1"/>
    <col min="9991" max="9991" width="4.85546875" style="328" bestFit="1" customWidth="1"/>
    <col min="9992" max="9992" width="8.140625" style="328" customWidth="1"/>
    <col min="9993" max="9993" width="9.42578125" style="328" bestFit="1" customWidth="1"/>
    <col min="9994" max="9994" width="6" style="328" bestFit="1" customWidth="1"/>
    <col min="9995" max="9995" width="20.140625" style="328" customWidth="1"/>
    <col min="9996" max="9996" width="9.28515625" style="328" bestFit="1" customWidth="1"/>
    <col min="9997" max="9997" width="12.42578125" style="328" customWidth="1"/>
    <col min="9998" max="9998" width="5.42578125" style="328" customWidth="1"/>
    <col min="9999" max="9999" width="7.42578125" style="328" customWidth="1"/>
    <col min="10000" max="10000" width="9.5703125" style="328" customWidth="1"/>
    <col min="10001" max="10240" width="11.42578125" style="328"/>
    <col min="10241" max="10241" width="8.28515625" style="328" customWidth="1"/>
    <col min="10242" max="10242" width="42" style="328" bestFit="1" customWidth="1"/>
    <col min="10243" max="10244" width="2.85546875" style="328" bestFit="1" customWidth="1"/>
    <col min="10245" max="10245" width="5.28515625" style="328" customWidth="1"/>
    <col min="10246" max="10246" width="10" style="328" customWidth="1"/>
    <col min="10247" max="10247" width="4.85546875" style="328" bestFit="1" customWidth="1"/>
    <col min="10248" max="10248" width="8.140625" style="328" customWidth="1"/>
    <col min="10249" max="10249" width="9.42578125" style="328" bestFit="1" customWidth="1"/>
    <col min="10250" max="10250" width="6" style="328" bestFit="1" customWidth="1"/>
    <col min="10251" max="10251" width="20.140625" style="328" customWidth="1"/>
    <col min="10252" max="10252" width="9.28515625" style="328" bestFit="1" customWidth="1"/>
    <col min="10253" max="10253" width="12.42578125" style="328" customWidth="1"/>
    <col min="10254" max="10254" width="5.42578125" style="328" customWidth="1"/>
    <col min="10255" max="10255" width="7.42578125" style="328" customWidth="1"/>
    <col min="10256" max="10256" width="9.5703125" style="328" customWidth="1"/>
    <col min="10257" max="10496" width="11.42578125" style="328"/>
    <col min="10497" max="10497" width="8.28515625" style="328" customWidth="1"/>
    <col min="10498" max="10498" width="42" style="328" bestFit="1" customWidth="1"/>
    <col min="10499" max="10500" width="2.85546875" style="328" bestFit="1" customWidth="1"/>
    <col min="10501" max="10501" width="5.28515625" style="328" customWidth="1"/>
    <col min="10502" max="10502" width="10" style="328" customWidth="1"/>
    <col min="10503" max="10503" width="4.85546875" style="328" bestFit="1" customWidth="1"/>
    <col min="10504" max="10504" width="8.140625" style="328" customWidth="1"/>
    <col min="10505" max="10505" width="9.42578125" style="328" bestFit="1" customWidth="1"/>
    <col min="10506" max="10506" width="6" style="328" bestFit="1" customWidth="1"/>
    <col min="10507" max="10507" width="20.140625" style="328" customWidth="1"/>
    <col min="10508" max="10508" width="9.28515625" style="328" bestFit="1" customWidth="1"/>
    <col min="10509" max="10509" width="12.42578125" style="328" customWidth="1"/>
    <col min="10510" max="10510" width="5.42578125" style="328" customWidth="1"/>
    <col min="10511" max="10511" width="7.42578125" style="328" customWidth="1"/>
    <col min="10512" max="10512" width="9.5703125" style="328" customWidth="1"/>
    <col min="10513" max="10752" width="11.42578125" style="328"/>
    <col min="10753" max="10753" width="8.28515625" style="328" customWidth="1"/>
    <col min="10754" max="10754" width="42" style="328" bestFit="1" customWidth="1"/>
    <col min="10755" max="10756" width="2.85546875" style="328" bestFit="1" customWidth="1"/>
    <col min="10757" max="10757" width="5.28515625" style="328" customWidth="1"/>
    <col min="10758" max="10758" width="10" style="328" customWidth="1"/>
    <col min="10759" max="10759" width="4.85546875" style="328" bestFit="1" customWidth="1"/>
    <col min="10760" max="10760" width="8.140625" style="328" customWidth="1"/>
    <col min="10761" max="10761" width="9.42578125" style="328" bestFit="1" customWidth="1"/>
    <col min="10762" max="10762" width="6" style="328" bestFit="1" customWidth="1"/>
    <col min="10763" max="10763" width="20.140625" style="328" customWidth="1"/>
    <col min="10764" max="10764" width="9.28515625" style="328" bestFit="1" customWidth="1"/>
    <col min="10765" max="10765" width="12.42578125" style="328" customWidth="1"/>
    <col min="10766" max="10766" width="5.42578125" style="328" customWidth="1"/>
    <col min="10767" max="10767" width="7.42578125" style="328" customWidth="1"/>
    <col min="10768" max="10768" width="9.5703125" style="328" customWidth="1"/>
    <col min="10769" max="11008" width="11.42578125" style="328"/>
    <col min="11009" max="11009" width="8.28515625" style="328" customWidth="1"/>
    <col min="11010" max="11010" width="42" style="328" bestFit="1" customWidth="1"/>
    <col min="11011" max="11012" width="2.85546875" style="328" bestFit="1" customWidth="1"/>
    <col min="11013" max="11013" width="5.28515625" style="328" customWidth="1"/>
    <col min="11014" max="11014" width="10" style="328" customWidth="1"/>
    <col min="11015" max="11015" width="4.85546875" style="328" bestFit="1" customWidth="1"/>
    <col min="11016" max="11016" width="8.140625" style="328" customWidth="1"/>
    <col min="11017" max="11017" width="9.42578125" style="328" bestFit="1" customWidth="1"/>
    <col min="11018" max="11018" width="6" style="328" bestFit="1" customWidth="1"/>
    <col min="11019" max="11019" width="20.140625" style="328" customWidth="1"/>
    <col min="11020" max="11020" width="9.28515625" style="328" bestFit="1" customWidth="1"/>
    <col min="11021" max="11021" width="12.42578125" style="328" customWidth="1"/>
    <col min="11022" max="11022" width="5.42578125" style="328" customWidth="1"/>
    <col min="11023" max="11023" width="7.42578125" style="328" customWidth="1"/>
    <col min="11024" max="11024" width="9.5703125" style="328" customWidth="1"/>
    <col min="11025" max="11264" width="11.42578125" style="328"/>
    <col min="11265" max="11265" width="8.28515625" style="328" customWidth="1"/>
    <col min="11266" max="11266" width="42" style="328" bestFit="1" customWidth="1"/>
    <col min="11267" max="11268" width="2.85546875" style="328" bestFit="1" customWidth="1"/>
    <col min="11269" max="11269" width="5.28515625" style="328" customWidth="1"/>
    <col min="11270" max="11270" width="10" style="328" customWidth="1"/>
    <col min="11271" max="11271" width="4.85546875" style="328" bestFit="1" customWidth="1"/>
    <col min="11272" max="11272" width="8.140625" style="328" customWidth="1"/>
    <col min="11273" max="11273" width="9.42578125" style="328" bestFit="1" customWidth="1"/>
    <col min="11274" max="11274" width="6" style="328" bestFit="1" customWidth="1"/>
    <col min="11275" max="11275" width="20.140625" style="328" customWidth="1"/>
    <col min="11276" max="11276" width="9.28515625" style="328" bestFit="1" customWidth="1"/>
    <col min="11277" max="11277" width="12.42578125" style="328" customWidth="1"/>
    <col min="11278" max="11278" width="5.42578125" style="328" customWidth="1"/>
    <col min="11279" max="11279" width="7.42578125" style="328" customWidth="1"/>
    <col min="11280" max="11280" width="9.5703125" style="328" customWidth="1"/>
    <col min="11281" max="11520" width="11.42578125" style="328"/>
    <col min="11521" max="11521" width="8.28515625" style="328" customWidth="1"/>
    <col min="11522" max="11522" width="42" style="328" bestFit="1" customWidth="1"/>
    <col min="11523" max="11524" width="2.85546875" style="328" bestFit="1" customWidth="1"/>
    <col min="11525" max="11525" width="5.28515625" style="328" customWidth="1"/>
    <col min="11526" max="11526" width="10" style="328" customWidth="1"/>
    <col min="11527" max="11527" width="4.85546875" style="328" bestFit="1" customWidth="1"/>
    <col min="11528" max="11528" width="8.140625" style="328" customWidth="1"/>
    <col min="11529" max="11529" width="9.42578125" style="328" bestFit="1" customWidth="1"/>
    <col min="11530" max="11530" width="6" style="328" bestFit="1" customWidth="1"/>
    <col min="11531" max="11531" width="20.140625" style="328" customWidth="1"/>
    <col min="11532" max="11532" width="9.28515625" style="328" bestFit="1" customWidth="1"/>
    <col min="11533" max="11533" width="12.42578125" style="328" customWidth="1"/>
    <col min="11534" max="11534" width="5.42578125" style="328" customWidth="1"/>
    <col min="11535" max="11535" width="7.42578125" style="328" customWidth="1"/>
    <col min="11536" max="11536" width="9.5703125" style="328" customWidth="1"/>
    <col min="11537" max="11776" width="11.42578125" style="328"/>
    <col min="11777" max="11777" width="8.28515625" style="328" customWidth="1"/>
    <col min="11778" max="11778" width="42" style="328" bestFit="1" customWidth="1"/>
    <col min="11779" max="11780" width="2.85546875" style="328" bestFit="1" customWidth="1"/>
    <col min="11781" max="11781" width="5.28515625" style="328" customWidth="1"/>
    <col min="11782" max="11782" width="10" style="328" customWidth="1"/>
    <col min="11783" max="11783" width="4.85546875" style="328" bestFit="1" customWidth="1"/>
    <col min="11784" max="11784" width="8.140625" style="328" customWidth="1"/>
    <col min="11785" max="11785" width="9.42578125" style="328" bestFit="1" customWidth="1"/>
    <col min="11786" max="11786" width="6" style="328" bestFit="1" customWidth="1"/>
    <col min="11787" max="11787" width="20.140625" style="328" customWidth="1"/>
    <col min="11788" max="11788" width="9.28515625" style="328" bestFit="1" customWidth="1"/>
    <col min="11789" max="11789" width="12.42578125" style="328" customWidth="1"/>
    <col min="11790" max="11790" width="5.42578125" style="328" customWidth="1"/>
    <col min="11791" max="11791" width="7.42578125" style="328" customWidth="1"/>
    <col min="11792" max="11792" width="9.5703125" style="328" customWidth="1"/>
    <col min="11793" max="12032" width="11.42578125" style="328"/>
    <col min="12033" max="12033" width="8.28515625" style="328" customWidth="1"/>
    <col min="12034" max="12034" width="42" style="328" bestFit="1" customWidth="1"/>
    <col min="12035" max="12036" width="2.85546875" style="328" bestFit="1" customWidth="1"/>
    <col min="12037" max="12037" width="5.28515625" style="328" customWidth="1"/>
    <col min="12038" max="12038" width="10" style="328" customWidth="1"/>
    <col min="12039" max="12039" width="4.85546875" style="328" bestFit="1" customWidth="1"/>
    <col min="12040" max="12040" width="8.140625" style="328" customWidth="1"/>
    <col min="12041" max="12041" width="9.42578125" style="328" bestFit="1" customWidth="1"/>
    <col min="12042" max="12042" width="6" style="328" bestFit="1" customWidth="1"/>
    <col min="12043" max="12043" width="20.140625" style="328" customWidth="1"/>
    <col min="12044" max="12044" width="9.28515625" style="328" bestFit="1" customWidth="1"/>
    <col min="12045" max="12045" width="12.42578125" style="328" customWidth="1"/>
    <col min="12046" max="12046" width="5.42578125" style="328" customWidth="1"/>
    <col min="12047" max="12047" width="7.42578125" style="328" customWidth="1"/>
    <col min="12048" max="12048" width="9.5703125" style="328" customWidth="1"/>
    <col min="12049" max="12288" width="11.42578125" style="328"/>
    <col min="12289" max="12289" width="8.28515625" style="328" customWidth="1"/>
    <col min="12290" max="12290" width="42" style="328" bestFit="1" customWidth="1"/>
    <col min="12291" max="12292" width="2.85546875" style="328" bestFit="1" customWidth="1"/>
    <col min="12293" max="12293" width="5.28515625" style="328" customWidth="1"/>
    <col min="12294" max="12294" width="10" style="328" customWidth="1"/>
    <col min="12295" max="12295" width="4.85546875" style="328" bestFit="1" customWidth="1"/>
    <col min="12296" max="12296" width="8.140625" style="328" customWidth="1"/>
    <col min="12297" max="12297" width="9.42578125" style="328" bestFit="1" customWidth="1"/>
    <col min="12298" max="12298" width="6" style="328" bestFit="1" customWidth="1"/>
    <col min="12299" max="12299" width="20.140625" style="328" customWidth="1"/>
    <col min="12300" max="12300" width="9.28515625" style="328" bestFit="1" customWidth="1"/>
    <col min="12301" max="12301" width="12.42578125" style="328" customWidth="1"/>
    <col min="12302" max="12302" width="5.42578125" style="328" customWidth="1"/>
    <col min="12303" max="12303" width="7.42578125" style="328" customWidth="1"/>
    <col min="12304" max="12304" width="9.5703125" style="328" customWidth="1"/>
    <col min="12305" max="12544" width="11.42578125" style="328"/>
    <col min="12545" max="12545" width="8.28515625" style="328" customWidth="1"/>
    <col min="12546" max="12546" width="42" style="328" bestFit="1" customWidth="1"/>
    <col min="12547" max="12548" width="2.85546875" style="328" bestFit="1" customWidth="1"/>
    <col min="12549" max="12549" width="5.28515625" style="328" customWidth="1"/>
    <col min="12550" max="12550" width="10" style="328" customWidth="1"/>
    <col min="12551" max="12551" width="4.85546875" style="328" bestFit="1" customWidth="1"/>
    <col min="12552" max="12552" width="8.140625" style="328" customWidth="1"/>
    <col min="12553" max="12553" width="9.42578125" style="328" bestFit="1" customWidth="1"/>
    <col min="12554" max="12554" width="6" style="328" bestFit="1" customWidth="1"/>
    <col min="12555" max="12555" width="20.140625" style="328" customWidth="1"/>
    <col min="12556" max="12556" width="9.28515625" style="328" bestFit="1" customWidth="1"/>
    <col min="12557" max="12557" width="12.42578125" style="328" customWidth="1"/>
    <col min="12558" max="12558" width="5.42578125" style="328" customWidth="1"/>
    <col min="12559" max="12559" width="7.42578125" style="328" customWidth="1"/>
    <col min="12560" max="12560" width="9.5703125" style="328" customWidth="1"/>
    <col min="12561" max="12800" width="11.42578125" style="328"/>
    <col min="12801" max="12801" width="8.28515625" style="328" customWidth="1"/>
    <col min="12802" max="12802" width="42" style="328" bestFit="1" customWidth="1"/>
    <col min="12803" max="12804" width="2.85546875" style="328" bestFit="1" customWidth="1"/>
    <col min="12805" max="12805" width="5.28515625" style="328" customWidth="1"/>
    <col min="12806" max="12806" width="10" style="328" customWidth="1"/>
    <col min="12807" max="12807" width="4.85546875" style="328" bestFit="1" customWidth="1"/>
    <col min="12808" max="12808" width="8.140625" style="328" customWidth="1"/>
    <col min="12809" max="12809" width="9.42578125" style="328" bestFit="1" customWidth="1"/>
    <col min="12810" max="12810" width="6" style="328" bestFit="1" customWidth="1"/>
    <col min="12811" max="12811" width="20.140625" style="328" customWidth="1"/>
    <col min="12812" max="12812" width="9.28515625" style="328" bestFit="1" customWidth="1"/>
    <col min="12813" max="12813" width="12.42578125" style="328" customWidth="1"/>
    <col min="12814" max="12814" width="5.42578125" style="328" customWidth="1"/>
    <col min="12815" max="12815" width="7.42578125" style="328" customWidth="1"/>
    <col min="12816" max="12816" width="9.5703125" style="328" customWidth="1"/>
    <col min="12817" max="13056" width="11.42578125" style="328"/>
    <col min="13057" max="13057" width="8.28515625" style="328" customWidth="1"/>
    <col min="13058" max="13058" width="42" style="328" bestFit="1" customWidth="1"/>
    <col min="13059" max="13060" width="2.85546875" style="328" bestFit="1" customWidth="1"/>
    <col min="13061" max="13061" width="5.28515625" style="328" customWidth="1"/>
    <col min="13062" max="13062" width="10" style="328" customWidth="1"/>
    <col min="13063" max="13063" width="4.85546875" style="328" bestFit="1" customWidth="1"/>
    <col min="13064" max="13064" width="8.140625" style="328" customWidth="1"/>
    <col min="13065" max="13065" width="9.42578125" style="328" bestFit="1" customWidth="1"/>
    <col min="13066" max="13066" width="6" style="328" bestFit="1" customWidth="1"/>
    <col min="13067" max="13067" width="20.140625" style="328" customWidth="1"/>
    <col min="13068" max="13068" width="9.28515625" style="328" bestFit="1" customWidth="1"/>
    <col min="13069" max="13069" width="12.42578125" style="328" customWidth="1"/>
    <col min="13070" max="13070" width="5.42578125" style="328" customWidth="1"/>
    <col min="13071" max="13071" width="7.42578125" style="328" customWidth="1"/>
    <col min="13072" max="13072" width="9.5703125" style="328" customWidth="1"/>
    <col min="13073" max="13312" width="11.42578125" style="328"/>
    <col min="13313" max="13313" width="8.28515625" style="328" customWidth="1"/>
    <col min="13314" max="13314" width="42" style="328" bestFit="1" customWidth="1"/>
    <col min="13315" max="13316" width="2.85546875" style="328" bestFit="1" customWidth="1"/>
    <col min="13317" max="13317" width="5.28515625" style="328" customWidth="1"/>
    <col min="13318" max="13318" width="10" style="328" customWidth="1"/>
    <col min="13319" max="13319" width="4.85546875" style="328" bestFit="1" customWidth="1"/>
    <col min="13320" max="13320" width="8.140625" style="328" customWidth="1"/>
    <col min="13321" max="13321" width="9.42578125" style="328" bestFit="1" customWidth="1"/>
    <col min="13322" max="13322" width="6" style="328" bestFit="1" customWidth="1"/>
    <col min="13323" max="13323" width="20.140625" style="328" customWidth="1"/>
    <col min="13324" max="13324" width="9.28515625" style="328" bestFit="1" customWidth="1"/>
    <col min="13325" max="13325" width="12.42578125" style="328" customWidth="1"/>
    <col min="13326" max="13326" width="5.42578125" style="328" customWidth="1"/>
    <col min="13327" max="13327" width="7.42578125" style="328" customWidth="1"/>
    <col min="13328" max="13328" width="9.5703125" style="328" customWidth="1"/>
    <col min="13329" max="13568" width="11.42578125" style="328"/>
    <col min="13569" max="13569" width="8.28515625" style="328" customWidth="1"/>
    <col min="13570" max="13570" width="42" style="328" bestFit="1" customWidth="1"/>
    <col min="13571" max="13572" width="2.85546875" style="328" bestFit="1" customWidth="1"/>
    <col min="13573" max="13573" width="5.28515625" style="328" customWidth="1"/>
    <col min="13574" max="13574" width="10" style="328" customWidth="1"/>
    <col min="13575" max="13575" width="4.85546875" style="328" bestFit="1" customWidth="1"/>
    <col min="13576" max="13576" width="8.140625" style="328" customWidth="1"/>
    <col min="13577" max="13577" width="9.42578125" style="328" bestFit="1" customWidth="1"/>
    <col min="13578" max="13578" width="6" style="328" bestFit="1" customWidth="1"/>
    <col min="13579" max="13579" width="20.140625" style="328" customWidth="1"/>
    <col min="13580" max="13580" width="9.28515625" style="328" bestFit="1" customWidth="1"/>
    <col min="13581" max="13581" width="12.42578125" style="328" customWidth="1"/>
    <col min="13582" max="13582" width="5.42578125" style="328" customWidth="1"/>
    <col min="13583" max="13583" width="7.42578125" style="328" customWidth="1"/>
    <col min="13584" max="13584" width="9.5703125" style="328" customWidth="1"/>
    <col min="13585" max="13824" width="11.42578125" style="328"/>
    <col min="13825" max="13825" width="8.28515625" style="328" customWidth="1"/>
    <col min="13826" max="13826" width="42" style="328" bestFit="1" customWidth="1"/>
    <col min="13827" max="13828" width="2.85546875" style="328" bestFit="1" customWidth="1"/>
    <col min="13829" max="13829" width="5.28515625" style="328" customWidth="1"/>
    <col min="13830" max="13830" width="10" style="328" customWidth="1"/>
    <col min="13831" max="13831" width="4.85546875" style="328" bestFit="1" customWidth="1"/>
    <col min="13832" max="13832" width="8.140625" style="328" customWidth="1"/>
    <col min="13833" max="13833" width="9.42578125" style="328" bestFit="1" customWidth="1"/>
    <col min="13834" max="13834" width="6" style="328" bestFit="1" customWidth="1"/>
    <col min="13835" max="13835" width="20.140625" style="328" customWidth="1"/>
    <col min="13836" max="13836" width="9.28515625" style="328" bestFit="1" customWidth="1"/>
    <col min="13837" max="13837" width="12.42578125" style="328" customWidth="1"/>
    <col min="13838" max="13838" width="5.42578125" style="328" customWidth="1"/>
    <col min="13839" max="13839" width="7.42578125" style="328" customWidth="1"/>
    <col min="13840" max="13840" width="9.5703125" style="328" customWidth="1"/>
    <col min="13841" max="14080" width="11.42578125" style="328"/>
    <col min="14081" max="14081" width="8.28515625" style="328" customWidth="1"/>
    <col min="14082" max="14082" width="42" style="328" bestFit="1" customWidth="1"/>
    <col min="14083" max="14084" width="2.85546875" style="328" bestFit="1" customWidth="1"/>
    <col min="14085" max="14085" width="5.28515625" style="328" customWidth="1"/>
    <col min="14086" max="14086" width="10" style="328" customWidth="1"/>
    <col min="14087" max="14087" width="4.85546875" style="328" bestFit="1" customWidth="1"/>
    <col min="14088" max="14088" width="8.140625" style="328" customWidth="1"/>
    <col min="14089" max="14089" width="9.42578125" style="328" bestFit="1" customWidth="1"/>
    <col min="14090" max="14090" width="6" style="328" bestFit="1" customWidth="1"/>
    <col min="14091" max="14091" width="20.140625" style="328" customWidth="1"/>
    <col min="14092" max="14092" width="9.28515625" style="328" bestFit="1" customWidth="1"/>
    <col min="14093" max="14093" width="12.42578125" style="328" customWidth="1"/>
    <col min="14094" max="14094" width="5.42578125" style="328" customWidth="1"/>
    <col min="14095" max="14095" width="7.42578125" style="328" customWidth="1"/>
    <col min="14096" max="14096" width="9.5703125" style="328" customWidth="1"/>
    <col min="14097" max="14336" width="11.42578125" style="328"/>
    <col min="14337" max="14337" width="8.28515625" style="328" customWidth="1"/>
    <col min="14338" max="14338" width="42" style="328" bestFit="1" customWidth="1"/>
    <col min="14339" max="14340" width="2.85546875" style="328" bestFit="1" customWidth="1"/>
    <col min="14341" max="14341" width="5.28515625" style="328" customWidth="1"/>
    <col min="14342" max="14342" width="10" style="328" customWidth="1"/>
    <col min="14343" max="14343" width="4.85546875" style="328" bestFit="1" customWidth="1"/>
    <col min="14344" max="14344" width="8.140625" style="328" customWidth="1"/>
    <col min="14345" max="14345" width="9.42578125" style="328" bestFit="1" customWidth="1"/>
    <col min="14346" max="14346" width="6" style="328" bestFit="1" customWidth="1"/>
    <col min="14347" max="14347" width="20.140625" style="328" customWidth="1"/>
    <col min="14348" max="14348" width="9.28515625" style="328" bestFit="1" customWidth="1"/>
    <col min="14349" max="14349" width="12.42578125" style="328" customWidth="1"/>
    <col min="14350" max="14350" width="5.42578125" style="328" customWidth="1"/>
    <col min="14351" max="14351" width="7.42578125" style="328" customWidth="1"/>
    <col min="14352" max="14352" width="9.5703125" style="328" customWidth="1"/>
    <col min="14353" max="14592" width="11.42578125" style="328"/>
    <col min="14593" max="14593" width="8.28515625" style="328" customWidth="1"/>
    <col min="14594" max="14594" width="42" style="328" bestFit="1" customWidth="1"/>
    <col min="14595" max="14596" width="2.85546875" style="328" bestFit="1" customWidth="1"/>
    <col min="14597" max="14597" width="5.28515625" style="328" customWidth="1"/>
    <col min="14598" max="14598" width="10" style="328" customWidth="1"/>
    <col min="14599" max="14599" width="4.85546875" style="328" bestFit="1" customWidth="1"/>
    <col min="14600" max="14600" width="8.140625" style="328" customWidth="1"/>
    <col min="14601" max="14601" width="9.42578125" style="328" bestFit="1" customWidth="1"/>
    <col min="14602" max="14602" width="6" style="328" bestFit="1" customWidth="1"/>
    <col min="14603" max="14603" width="20.140625" style="328" customWidth="1"/>
    <col min="14604" max="14604" width="9.28515625" style="328" bestFit="1" customWidth="1"/>
    <col min="14605" max="14605" width="12.42578125" style="328" customWidth="1"/>
    <col min="14606" max="14606" width="5.42578125" style="328" customWidth="1"/>
    <col min="14607" max="14607" width="7.42578125" style="328" customWidth="1"/>
    <col min="14608" max="14608" width="9.5703125" style="328" customWidth="1"/>
    <col min="14609" max="14848" width="11.42578125" style="328"/>
    <col min="14849" max="14849" width="8.28515625" style="328" customWidth="1"/>
    <col min="14850" max="14850" width="42" style="328" bestFit="1" customWidth="1"/>
    <col min="14851" max="14852" width="2.85546875" style="328" bestFit="1" customWidth="1"/>
    <col min="14853" max="14853" width="5.28515625" style="328" customWidth="1"/>
    <col min="14854" max="14854" width="10" style="328" customWidth="1"/>
    <col min="14855" max="14855" width="4.85546875" style="328" bestFit="1" customWidth="1"/>
    <col min="14856" max="14856" width="8.140625" style="328" customWidth="1"/>
    <col min="14857" max="14857" width="9.42578125" style="328" bestFit="1" customWidth="1"/>
    <col min="14858" max="14858" width="6" style="328" bestFit="1" customWidth="1"/>
    <col min="14859" max="14859" width="20.140625" style="328" customWidth="1"/>
    <col min="14860" max="14860" width="9.28515625" style="328" bestFit="1" customWidth="1"/>
    <col min="14861" max="14861" width="12.42578125" style="328" customWidth="1"/>
    <col min="14862" max="14862" width="5.42578125" style="328" customWidth="1"/>
    <col min="14863" max="14863" width="7.42578125" style="328" customWidth="1"/>
    <col min="14864" max="14864" width="9.5703125" style="328" customWidth="1"/>
    <col min="14865" max="15104" width="11.42578125" style="328"/>
    <col min="15105" max="15105" width="8.28515625" style="328" customWidth="1"/>
    <col min="15106" max="15106" width="42" style="328" bestFit="1" customWidth="1"/>
    <col min="15107" max="15108" width="2.85546875" style="328" bestFit="1" customWidth="1"/>
    <col min="15109" max="15109" width="5.28515625" style="328" customWidth="1"/>
    <col min="15110" max="15110" width="10" style="328" customWidth="1"/>
    <col min="15111" max="15111" width="4.85546875" style="328" bestFit="1" customWidth="1"/>
    <col min="15112" max="15112" width="8.140625" style="328" customWidth="1"/>
    <col min="15113" max="15113" width="9.42578125" style="328" bestFit="1" customWidth="1"/>
    <col min="15114" max="15114" width="6" style="328" bestFit="1" customWidth="1"/>
    <col min="15115" max="15115" width="20.140625" style="328" customWidth="1"/>
    <col min="15116" max="15116" width="9.28515625" style="328" bestFit="1" customWidth="1"/>
    <col min="15117" max="15117" width="12.42578125" style="328" customWidth="1"/>
    <col min="15118" max="15118" width="5.42578125" style="328" customWidth="1"/>
    <col min="15119" max="15119" width="7.42578125" style="328" customWidth="1"/>
    <col min="15120" max="15120" width="9.5703125" style="328" customWidth="1"/>
    <col min="15121" max="15360" width="11.42578125" style="328"/>
    <col min="15361" max="15361" width="8.28515625" style="328" customWidth="1"/>
    <col min="15362" max="15362" width="42" style="328" bestFit="1" customWidth="1"/>
    <col min="15363" max="15364" width="2.85546875" style="328" bestFit="1" customWidth="1"/>
    <col min="15365" max="15365" width="5.28515625" style="328" customWidth="1"/>
    <col min="15366" max="15366" width="10" style="328" customWidth="1"/>
    <col min="15367" max="15367" width="4.85546875" style="328" bestFit="1" customWidth="1"/>
    <col min="15368" max="15368" width="8.140625" style="328" customWidth="1"/>
    <col min="15369" max="15369" width="9.42578125" style="328" bestFit="1" customWidth="1"/>
    <col min="15370" max="15370" width="6" style="328" bestFit="1" customWidth="1"/>
    <col min="15371" max="15371" width="20.140625" style="328" customWidth="1"/>
    <col min="15372" max="15372" width="9.28515625" style="328" bestFit="1" customWidth="1"/>
    <col min="15373" max="15373" width="12.42578125" style="328" customWidth="1"/>
    <col min="15374" max="15374" width="5.42578125" style="328" customWidth="1"/>
    <col min="15375" max="15375" width="7.42578125" style="328" customWidth="1"/>
    <col min="15376" max="15376" width="9.5703125" style="328" customWidth="1"/>
    <col min="15377" max="15616" width="11.42578125" style="328"/>
    <col min="15617" max="15617" width="8.28515625" style="328" customWidth="1"/>
    <col min="15618" max="15618" width="42" style="328" bestFit="1" customWidth="1"/>
    <col min="15619" max="15620" width="2.85546875" style="328" bestFit="1" customWidth="1"/>
    <col min="15621" max="15621" width="5.28515625" style="328" customWidth="1"/>
    <col min="15622" max="15622" width="10" style="328" customWidth="1"/>
    <col min="15623" max="15623" width="4.85546875" style="328" bestFit="1" customWidth="1"/>
    <col min="15624" max="15624" width="8.140625" style="328" customWidth="1"/>
    <col min="15625" max="15625" width="9.42578125" style="328" bestFit="1" customWidth="1"/>
    <col min="15626" max="15626" width="6" style="328" bestFit="1" customWidth="1"/>
    <col min="15627" max="15627" width="20.140625" style="328" customWidth="1"/>
    <col min="15628" max="15628" width="9.28515625" style="328" bestFit="1" customWidth="1"/>
    <col min="15629" max="15629" width="12.42578125" style="328" customWidth="1"/>
    <col min="15630" max="15630" width="5.42578125" style="328" customWidth="1"/>
    <col min="15631" max="15631" width="7.42578125" style="328" customWidth="1"/>
    <col min="15632" max="15632" width="9.5703125" style="328" customWidth="1"/>
    <col min="15633" max="15872" width="11.42578125" style="328"/>
    <col min="15873" max="15873" width="8.28515625" style="328" customWidth="1"/>
    <col min="15874" max="15874" width="42" style="328" bestFit="1" customWidth="1"/>
    <col min="15875" max="15876" width="2.85546875" style="328" bestFit="1" customWidth="1"/>
    <col min="15877" max="15877" width="5.28515625" style="328" customWidth="1"/>
    <col min="15878" max="15878" width="10" style="328" customWidth="1"/>
    <col min="15879" max="15879" width="4.85546875" style="328" bestFit="1" customWidth="1"/>
    <col min="15880" max="15880" width="8.140625" style="328" customWidth="1"/>
    <col min="15881" max="15881" width="9.42578125" style="328" bestFit="1" customWidth="1"/>
    <col min="15882" max="15882" width="6" style="328" bestFit="1" customWidth="1"/>
    <col min="15883" max="15883" width="20.140625" style="328" customWidth="1"/>
    <col min="15884" max="15884" width="9.28515625" style="328" bestFit="1" customWidth="1"/>
    <col min="15885" max="15885" width="12.42578125" style="328" customWidth="1"/>
    <col min="15886" max="15886" width="5.42578125" style="328" customWidth="1"/>
    <col min="15887" max="15887" width="7.42578125" style="328" customWidth="1"/>
    <col min="15888" max="15888" width="9.5703125" style="328" customWidth="1"/>
    <col min="15889" max="16128" width="11.42578125" style="328"/>
    <col min="16129" max="16129" width="8.28515625" style="328" customWidth="1"/>
    <col min="16130" max="16130" width="42" style="328" bestFit="1" customWidth="1"/>
    <col min="16131" max="16132" width="2.85546875" style="328" bestFit="1" customWidth="1"/>
    <col min="16133" max="16133" width="5.28515625" style="328" customWidth="1"/>
    <col min="16134" max="16134" width="10" style="328" customWidth="1"/>
    <col min="16135" max="16135" width="4.85546875" style="328" bestFit="1" customWidth="1"/>
    <col min="16136" max="16136" width="8.140625" style="328" customWidth="1"/>
    <col min="16137" max="16137" width="9.42578125" style="328" bestFit="1" customWidth="1"/>
    <col min="16138" max="16138" width="6" style="328" bestFit="1" customWidth="1"/>
    <col min="16139" max="16139" width="20.140625" style="328" customWidth="1"/>
    <col min="16140" max="16140" width="9.28515625" style="328" bestFit="1" customWidth="1"/>
    <col min="16141" max="16141" width="12.42578125" style="328" customWidth="1"/>
    <col min="16142" max="16142" width="5.42578125" style="328" customWidth="1"/>
    <col min="16143" max="16143" width="7.42578125" style="328" customWidth="1"/>
    <col min="16144" max="16144" width="9.5703125" style="328" customWidth="1"/>
    <col min="16145" max="16384" width="11.42578125" style="328"/>
  </cols>
  <sheetData>
    <row r="1" spans="1:13">
      <c r="A1" s="327" t="s">
        <v>200</v>
      </c>
      <c r="B1" s="327"/>
      <c r="C1" s="327"/>
      <c r="D1" s="327"/>
      <c r="E1" s="327"/>
      <c r="F1" s="327"/>
      <c r="G1" s="327"/>
      <c r="H1" s="327"/>
      <c r="I1" s="327"/>
      <c r="J1" s="327"/>
    </row>
    <row r="2" spans="1:13">
      <c r="A2" s="327" t="s">
        <v>201</v>
      </c>
      <c r="B2" s="327"/>
      <c r="C2" s="327"/>
      <c r="D2" s="327"/>
      <c r="E2" s="327"/>
      <c r="F2" s="327"/>
      <c r="G2" s="327"/>
      <c r="H2" s="327"/>
      <c r="I2" s="327"/>
      <c r="J2" s="327"/>
    </row>
    <row r="3" spans="1:13">
      <c r="A3" s="327" t="s">
        <v>202</v>
      </c>
      <c r="B3" s="327"/>
      <c r="C3" s="327"/>
      <c r="D3" s="327"/>
      <c r="E3" s="327"/>
      <c r="F3" s="327"/>
      <c r="G3" s="327"/>
      <c r="H3" s="327"/>
      <c r="I3" s="327"/>
      <c r="J3" s="327"/>
    </row>
    <row r="4" spans="1:13">
      <c r="A4" s="327" t="s">
        <v>203</v>
      </c>
      <c r="B4" s="327"/>
      <c r="C4" s="327"/>
      <c r="D4" s="327"/>
      <c r="E4" s="327"/>
      <c r="F4" s="327"/>
      <c r="G4" s="327"/>
      <c r="H4" s="327"/>
      <c r="I4" s="327"/>
      <c r="J4" s="327"/>
    </row>
    <row r="5" spans="1:13" ht="39.75" customHeight="1">
      <c r="A5" s="418" t="s">
        <v>652</v>
      </c>
      <c r="B5" s="418"/>
      <c r="C5" s="418"/>
      <c r="D5" s="418"/>
      <c r="E5" s="418"/>
      <c r="F5" s="418"/>
      <c r="G5" s="418"/>
      <c r="H5" s="418"/>
      <c r="I5" s="418"/>
      <c r="J5" s="418"/>
      <c r="K5" s="328" t="s">
        <v>230</v>
      </c>
    </row>
    <row r="6" spans="1:13" s="335" customFormat="1">
      <c r="A6" s="330" t="s">
        <v>204</v>
      </c>
      <c r="B6" s="331" t="s">
        <v>205</v>
      </c>
      <c r="C6" s="332" t="s">
        <v>206</v>
      </c>
      <c r="D6" s="332"/>
      <c r="E6" s="332"/>
      <c r="F6" s="333" t="s">
        <v>207</v>
      </c>
      <c r="G6" s="333"/>
      <c r="H6" s="333"/>
      <c r="I6" s="334" t="s">
        <v>208</v>
      </c>
      <c r="J6" s="334"/>
      <c r="K6" s="328" t="s">
        <v>230</v>
      </c>
    </row>
    <row r="7" spans="1:13">
      <c r="A7" s="330"/>
      <c r="B7" s="331"/>
      <c r="C7" s="332"/>
      <c r="D7" s="332"/>
      <c r="E7" s="332"/>
      <c r="F7" s="336" t="s">
        <v>5</v>
      </c>
      <c r="G7" s="336" t="s">
        <v>6</v>
      </c>
      <c r="H7" s="336" t="s">
        <v>7</v>
      </c>
      <c r="I7" s="334"/>
      <c r="J7" s="334"/>
    </row>
    <row r="8" spans="1:13" ht="25.5" customHeight="1">
      <c r="A8" s="337">
        <v>1</v>
      </c>
      <c r="B8" s="338" t="s">
        <v>653</v>
      </c>
      <c r="C8" s="339"/>
      <c r="D8" s="339"/>
      <c r="E8" s="339"/>
      <c r="F8" s="336"/>
      <c r="G8" s="336"/>
      <c r="H8" s="336"/>
      <c r="I8" s="336"/>
    </row>
    <row r="9" spans="1:13" ht="20.25" customHeight="1">
      <c r="A9" s="337"/>
      <c r="B9" s="338" t="s">
        <v>470</v>
      </c>
      <c r="C9" s="339"/>
      <c r="D9" s="339"/>
      <c r="E9" s="339"/>
      <c r="F9" s="336"/>
      <c r="G9" s="336"/>
      <c r="H9" s="336"/>
      <c r="I9" s="336"/>
    </row>
    <row r="10" spans="1:13">
      <c r="A10" s="337"/>
      <c r="B10" s="338" t="s">
        <v>654</v>
      </c>
      <c r="C10" s="339">
        <v>1</v>
      </c>
      <c r="D10" s="339"/>
      <c r="E10" s="339">
        <v>1</v>
      </c>
      <c r="F10" s="336">
        <v>8</v>
      </c>
      <c r="G10" s="336">
        <v>5.5</v>
      </c>
      <c r="H10" s="336"/>
      <c r="I10" s="336">
        <f>PRODUCT(C10:H10)</f>
        <v>44</v>
      </c>
    </row>
    <row r="11" spans="1:13">
      <c r="A11" s="337"/>
      <c r="B11" s="338" t="s">
        <v>655</v>
      </c>
      <c r="C11" s="339">
        <v>2</v>
      </c>
      <c r="D11" s="339"/>
      <c r="E11" s="339">
        <v>2</v>
      </c>
      <c r="F11" s="336">
        <v>0.3</v>
      </c>
      <c r="G11" s="336">
        <v>5.5</v>
      </c>
      <c r="H11" s="336"/>
      <c r="I11" s="336">
        <f>PRODUCT(C11:H11)</f>
        <v>6.6</v>
      </c>
    </row>
    <row r="12" spans="1:13">
      <c r="A12" s="337"/>
      <c r="B12" s="338" t="s">
        <v>656</v>
      </c>
      <c r="C12" s="339">
        <v>1</v>
      </c>
      <c r="D12" s="339"/>
      <c r="E12" s="339">
        <v>1</v>
      </c>
      <c r="F12" s="336">
        <v>3</v>
      </c>
      <c r="G12" s="336">
        <v>5.5</v>
      </c>
      <c r="H12" s="336"/>
      <c r="I12" s="336">
        <f t="shared" ref="I12:I34" si="0">PRODUCT(C12:H12)</f>
        <v>16.5</v>
      </c>
      <c r="J12" s="342"/>
      <c r="L12" s="328">
        <f>L17/3</f>
        <v>0</v>
      </c>
    </row>
    <row r="13" spans="1:13">
      <c r="A13" s="337"/>
      <c r="B13" s="338" t="s">
        <v>473</v>
      </c>
      <c r="C13" s="339">
        <v>1</v>
      </c>
      <c r="D13" s="339"/>
      <c r="E13" s="339">
        <v>1</v>
      </c>
      <c r="F13" s="336">
        <v>5.52</v>
      </c>
      <c r="G13" s="336">
        <v>4</v>
      </c>
      <c r="H13" s="336"/>
      <c r="I13" s="336">
        <f t="shared" si="0"/>
        <v>22.08</v>
      </c>
      <c r="J13" s="342"/>
      <c r="M13" s="328" t="e">
        <f>#REF!/3</f>
        <v>#REF!</v>
      </c>
    </row>
    <row r="14" spans="1:13">
      <c r="A14" s="337"/>
      <c r="B14" s="338" t="s">
        <v>655</v>
      </c>
      <c r="C14" s="339">
        <v>1</v>
      </c>
      <c r="D14" s="339"/>
      <c r="E14" s="339">
        <v>2</v>
      </c>
      <c r="F14" s="336">
        <v>0.3</v>
      </c>
      <c r="G14" s="336">
        <v>4</v>
      </c>
      <c r="H14" s="336"/>
      <c r="I14" s="336">
        <f t="shared" si="0"/>
        <v>2.4</v>
      </c>
      <c r="J14" s="342"/>
    </row>
    <row r="15" spans="1:13">
      <c r="A15" s="337"/>
      <c r="B15" s="338" t="s">
        <v>657</v>
      </c>
      <c r="C15" s="339">
        <v>1</v>
      </c>
      <c r="D15" s="339"/>
      <c r="E15" s="339">
        <v>1</v>
      </c>
      <c r="F15" s="336">
        <v>2.4</v>
      </c>
      <c r="G15" s="336">
        <v>4</v>
      </c>
      <c r="H15" s="336"/>
      <c r="I15" s="336">
        <f t="shared" si="0"/>
        <v>9.6</v>
      </c>
    </row>
    <row r="16" spans="1:13">
      <c r="A16" s="337"/>
      <c r="B16" s="338" t="s">
        <v>474</v>
      </c>
      <c r="C16" s="339">
        <v>1</v>
      </c>
      <c r="D16" s="339"/>
      <c r="E16" s="339">
        <v>1</v>
      </c>
      <c r="F16" s="336">
        <v>4.8</v>
      </c>
      <c r="G16" s="336">
        <v>5.5</v>
      </c>
      <c r="H16" s="336"/>
      <c r="I16" s="336">
        <f t="shared" si="0"/>
        <v>26.4</v>
      </c>
      <c r="J16" s="342"/>
    </row>
    <row r="17" spans="1:15">
      <c r="A17" s="337"/>
      <c r="B17" s="343" t="s">
        <v>472</v>
      </c>
      <c r="C17" s="339">
        <v>1</v>
      </c>
      <c r="D17" s="339"/>
      <c r="E17" s="339">
        <v>1</v>
      </c>
      <c r="F17" s="336">
        <v>5.92</v>
      </c>
      <c r="G17" s="336">
        <v>5.5</v>
      </c>
      <c r="H17" s="336"/>
      <c r="I17" s="336">
        <f t="shared" si="0"/>
        <v>32.56</v>
      </c>
      <c r="J17" s="342"/>
      <c r="M17" s="344"/>
    </row>
    <row r="18" spans="1:15">
      <c r="A18" s="337"/>
      <c r="B18" s="338" t="s">
        <v>658</v>
      </c>
      <c r="C18" s="339">
        <v>1</v>
      </c>
      <c r="D18" s="339"/>
      <c r="E18" s="339">
        <v>1</v>
      </c>
      <c r="F18" s="336">
        <v>5.82</v>
      </c>
      <c r="G18" s="336">
        <v>5.5</v>
      </c>
      <c r="H18" s="336"/>
      <c r="I18" s="336">
        <f t="shared" si="0"/>
        <v>32.010000000000005</v>
      </c>
      <c r="J18" s="342"/>
      <c r="O18" s="328">
        <f>57.5+5.6+2.6+3.75+67</f>
        <v>136.44999999999999</v>
      </c>
    </row>
    <row r="19" spans="1:15">
      <c r="A19" s="337"/>
      <c r="B19" s="338" t="s">
        <v>521</v>
      </c>
      <c r="C19" s="339">
        <v>1</v>
      </c>
      <c r="D19" s="339"/>
      <c r="E19" s="339">
        <v>1</v>
      </c>
      <c r="F19" s="336">
        <v>2.5499999999999998</v>
      </c>
      <c r="G19" s="336">
        <v>5.5</v>
      </c>
      <c r="H19" s="336"/>
      <c r="I19" s="336">
        <f t="shared" si="0"/>
        <v>14.024999999999999</v>
      </c>
    </row>
    <row r="20" spans="1:15">
      <c r="A20" s="337"/>
      <c r="B20" s="338" t="s">
        <v>477</v>
      </c>
      <c r="C20" s="339">
        <v>1</v>
      </c>
      <c r="D20" s="339"/>
      <c r="E20" s="339">
        <v>1</v>
      </c>
      <c r="F20" s="336">
        <v>5.92</v>
      </c>
      <c r="G20" s="336">
        <v>8.31</v>
      </c>
      <c r="H20" s="336"/>
      <c r="I20" s="336">
        <f t="shared" si="0"/>
        <v>49.1952</v>
      </c>
    </row>
    <row r="21" spans="1:15">
      <c r="A21" s="337"/>
      <c r="B21" s="338" t="s">
        <v>659</v>
      </c>
      <c r="C21" s="339">
        <v>1</v>
      </c>
      <c r="D21" s="339"/>
      <c r="E21" s="339">
        <v>1</v>
      </c>
      <c r="F21" s="336">
        <v>5.46</v>
      </c>
      <c r="G21" s="336">
        <v>1.67</v>
      </c>
      <c r="H21" s="336"/>
      <c r="I21" s="336">
        <f t="shared" si="0"/>
        <v>9.1181999999999999</v>
      </c>
    </row>
    <row r="22" spans="1:15">
      <c r="A22" s="337"/>
      <c r="B22" s="338" t="s">
        <v>660</v>
      </c>
      <c r="C22" s="339">
        <v>1</v>
      </c>
      <c r="D22" s="339"/>
      <c r="E22" s="339">
        <v>1</v>
      </c>
      <c r="F22" s="336">
        <v>32.39</v>
      </c>
      <c r="G22" s="336">
        <v>2</v>
      </c>
      <c r="H22" s="336"/>
      <c r="I22" s="336">
        <f t="shared" si="0"/>
        <v>64.78</v>
      </c>
    </row>
    <row r="23" spans="1:15">
      <c r="A23" s="337"/>
      <c r="B23" s="338" t="s">
        <v>655</v>
      </c>
      <c r="C23" s="339">
        <v>8</v>
      </c>
      <c r="D23" s="339"/>
      <c r="E23" s="339">
        <v>2</v>
      </c>
      <c r="F23" s="336">
        <v>0.3</v>
      </c>
      <c r="G23" s="336">
        <v>2</v>
      </c>
      <c r="H23" s="336"/>
      <c r="I23" s="336">
        <f t="shared" si="0"/>
        <v>9.6</v>
      </c>
    </row>
    <row r="24" spans="1:15">
      <c r="A24" s="337"/>
      <c r="B24" s="338" t="s">
        <v>478</v>
      </c>
      <c r="C24" s="339"/>
      <c r="D24" s="339"/>
      <c r="E24" s="339"/>
      <c r="F24" s="336"/>
      <c r="G24" s="336"/>
      <c r="H24" s="336"/>
      <c r="I24" s="336">
        <f t="shared" si="0"/>
        <v>0</v>
      </c>
      <c r="M24" s="328" t="e">
        <f>#REF!+1.2</f>
        <v>#REF!</v>
      </c>
    </row>
    <row r="25" spans="1:15">
      <c r="A25" s="337"/>
      <c r="B25" s="338" t="s">
        <v>661</v>
      </c>
      <c r="C25" s="339">
        <v>1</v>
      </c>
      <c r="D25" s="339"/>
      <c r="E25" s="339">
        <v>1</v>
      </c>
      <c r="F25" s="336">
        <v>17.71</v>
      </c>
      <c r="G25" s="336">
        <v>5.5</v>
      </c>
      <c r="H25" s="336"/>
      <c r="I25" s="336">
        <f t="shared" si="0"/>
        <v>97.405000000000001</v>
      </c>
    </row>
    <row r="26" spans="1:15">
      <c r="A26" s="337"/>
      <c r="B26" s="338" t="s">
        <v>655</v>
      </c>
      <c r="C26" s="339">
        <v>5</v>
      </c>
      <c r="D26" s="339"/>
      <c r="E26" s="339">
        <v>2</v>
      </c>
      <c r="F26" s="336">
        <v>0.3</v>
      </c>
      <c r="G26" s="336">
        <v>2</v>
      </c>
      <c r="H26" s="336"/>
      <c r="I26" s="336">
        <f t="shared" si="0"/>
        <v>6</v>
      </c>
    </row>
    <row r="27" spans="1:15">
      <c r="A27" s="337"/>
      <c r="B27" s="338" t="s">
        <v>475</v>
      </c>
      <c r="C27" s="339">
        <v>1</v>
      </c>
      <c r="D27" s="339"/>
      <c r="E27" s="339">
        <v>1</v>
      </c>
      <c r="F27" s="336">
        <v>8.48</v>
      </c>
      <c r="G27" s="336">
        <v>5.5</v>
      </c>
      <c r="H27" s="363"/>
      <c r="I27" s="336">
        <f t="shared" si="0"/>
        <v>46.64</v>
      </c>
    </row>
    <row r="28" spans="1:15">
      <c r="A28" s="337"/>
      <c r="B28" s="338" t="s">
        <v>472</v>
      </c>
      <c r="C28" s="339">
        <v>1</v>
      </c>
      <c r="D28" s="339"/>
      <c r="E28" s="339">
        <v>1</v>
      </c>
      <c r="F28" s="336">
        <v>5.4</v>
      </c>
      <c r="G28" s="336">
        <v>3.7</v>
      </c>
      <c r="H28" s="336"/>
      <c r="I28" s="336">
        <f t="shared" si="0"/>
        <v>19.980000000000004</v>
      </c>
    </row>
    <row r="29" spans="1:15">
      <c r="A29" s="337"/>
      <c r="B29" s="338"/>
      <c r="C29" s="339">
        <v>1</v>
      </c>
      <c r="D29" s="339"/>
      <c r="E29" s="339">
        <v>1</v>
      </c>
      <c r="F29" s="336">
        <v>2.2999999999999998</v>
      </c>
      <c r="G29" s="336">
        <v>1.8</v>
      </c>
      <c r="H29" s="336"/>
      <c r="I29" s="336">
        <f t="shared" si="0"/>
        <v>4.1399999999999997</v>
      </c>
    </row>
    <row r="30" spans="1:15">
      <c r="A30" s="337"/>
      <c r="B30" s="338" t="s">
        <v>477</v>
      </c>
      <c r="C30" s="339">
        <v>1</v>
      </c>
      <c r="D30" s="339"/>
      <c r="E30" s="339">
        <v>1</v>
      </c>
      <c r="F30" s="336">
        <v>5.92</v>
      </c>
      <c r="G30" s="336">
        <v>8.31</v>
      </c>
      <c r="H30" s="336"/>
      <c r="I30" s="336">
        <f t="shared" si="0"/>
        <v>49.1952</v>
      </c>
    </row>
    <row r="31" spans="1:15">
      <c r="A31" s="337"/>
      <c r="B31" s="338" t="s">
        <v>660</v>
      </c>
      <c r="C31" s="339">
        <v>1</v>
      </c>
      <c r="D31" s="339"/>
      <c r="E31" s="339">
        <v>1</v>
      </c>
      <c r="F31" s="336">
        <v>32.39</v>
      </c>
      <c r="G31" s="336">
        <v>2</v>
      </c>
      <c r="H31" s="336"/>
      <c r="I31" s="336">
        <f t="shared" si="0"/>
        <v>64.78</v>
      </c>
    </row>
    <row r="32" spans="1:15">
      <c r="A32" s="337"/>
      <c r="B32" s="338" t="s">
        <v>655</v>
      </c>
      <c r="C32" s="339">
        <v>8</v>
      </c>
      <c r="D32" s="339"/>
      <c r="E32" s="339">
        <v>2</v>
      </c>
      <c r="F32" s="336">
        <v>0.3</v>
      </c>
      <c r="G32" s="336">
        <v>2</v>
      </c>
      <c r="H32" s="336"/>
      <c r="I32" s="336">
        <f t="shared" si="0"/>
        <v>9.6</v>
      </c>
    </row>
    <row r="33" spans="1:18">
      <c r="A33" s="337"/>
      <c r="B33" s="338" t="s">
        <v>485</v>
      </c>
      <c r="C33" s="339">
        <v>1</v>
      </c>
      <c r="D33" s="339"/>
      <c r="E33" s="339">
        <v>1</v>
      </c>
      <c r="F33" s="336">
        <v>2</v>
      </c>
      <c r="G33" s="336">
        <v>3.62</v>
      </c>
      <c r="H33" s="336"/>
      <c r="I33" s="336">
        <f t="shared" si="0"/>
        <v>7.24</v>
      </c>
    </row>
    <row r="34" spans="1:18">
      <c r="A34" s="337"/>
      <c r="B34" s="338" t="s">
        <v>662</v>
      </c>
      <c r="C34" s="339">
        <v>1</v>
      </c>
      <c r="D34" s="339"/>
      <c r="E34" s="339">
        <v>2</v>
      </c>
      <c r="F34" s="336">
        <v>2.1</v>
      </c>
      <c r="G34" s="336">
        <v>2.1</v>
      </c>
      <c r="H34" s="336"/>
      <c r="I34" s="336">
        <f t="shared" si="0"/>
        <v>8.82</v>
      </c>
    </row>
    <row r="35" spans="1:18">
      <c r="A35" s="337"/>
      <c r="B35" s="338"/>
      <c r="C35" s="339"/>
      <c r="D35" s="339"/>
      <c r="E35" s="339"/>
      <c r="F35" s="336"/>
      <c r="G35" s="336"/>
      <c r="H35" s="336"/>
      <c r="I35" s="336">
        <f>SUM(I10:I34)</f>
        <v>652.66859999999997</v>
      </c>
    </row>
    <row r="36" spans="1:18">
      <c r="A36" s="337"/>
      <c r="B36" s="338"/>
      <c r="C36" s="339"/>
      <c r="D36" s="339"/>
      <c r="E36" s="339"/>
      <c r="F36" s="336"/>
      <c r="G36" s="336"/>
      <c r="H36" s="345" t="s">
        <v>491</v>
      </c>
      <c r="I36" s="345">
        <v>653</v>
      </c>
      <c r="J36" s="346" t="s">
        <v>289</v>
      </c>
    </row>
    <row r="37" spans="1:18">
      <c r="A37" s="337"/>
      <c r="B37" s="338"/>
      <c r="C37" s="339"/>
      <c r="D37" s="339"/>
      <c r="E37" s="339"/>
      <c r="F37" s="336"/>
      <c r="G37" s="336"/>
      <c r="H37" s="336"/>
      <c r="I37" s="336"/>
      <c r="J37" s="347"/>
      <c r="K37" s="348"/>
      <c r="L37" s="335"/>
      <c r="M37" s="335"/>
      <c r="N37" s="335"/>
      <c r="O37" s="349"/>
      <c r="P37" s="349"/>
      <c r="Q37" s="349"/>
      <c r="R37" s="350"/>
    </row>
    <row r="38" spans="1:18" ht="35.25" customHeight="1">
      <c r="A38" s="337">
        <v>2</v>
      </c>
      <c r="B38" s="338" t="s">
        <v>640</v>
      </c>
      <c r="C38" s="339"/>
      <c r="D38" s="339"/>
      <c r="E38" s="339"/>
      <c r="F38" s="336"/>
      <c r="G38" s="336"/>
      <c r="H38" s="336"/>
      <c r="I38" s="336"/>
      <c r="J38" s="347"/>
      <c r="K38" s="348"/>
      <c r="L38" s="335"/>
      <c r="M38" s="335"/>
      <c r="N38" s="335"/>
      <c r="O38" s="351"/>
      <c r="P38" s="351"/>
      <c r="Q38" s="351"/>
      <c r="R38" s="350"/>
    </row>
    <row r="39" spans="1:18">
      <c r="A39" s="337"/>
      <c r="B39" s="338" t="s">
        <v>493</v>
      </c>
      <c r="C39" s="339"/>
      <c r="D39" s="339"/>
      <c r="E39" s="339"/>
      <c r="F39" s="336"/>
      <c r="G39" s="336"/>
      <c r="H39" s="336"/>
      <c r="I39" s="336"/>
      <c r="J39" s="342"/>
      <c r="K39" s="348"/>
      <c r="L39" s="335"/>
      <c r="M39" s="335"/>
      <c r="N39" s="335"/>
      <c r="O39" s="351"/>
      <c r="P39" s="351"/>
      <c r="Q39" s="351"/>
      <c r="R39" s="350"/>
    </row>
    <row r="40" spans="1:18">
      <c r="A40" s="337"/>
      <c r="B40" s="338" t="s">
        <v>470</v>
      </c>
      <c r="C40" s="339"/>
      <c r="D40" s="339"/>
      <c r="E40" s="339"/>
      <c r="F40" s="336"/>
      <c r="G40" s="336"/>
      <c r="H40" s="336"/>
      <c r="I40" s="336"/>
      <c r="J40" s="342"/>
      <c r="K40" s="348"/>
      <c r="L40" s="335"/>
      <c r="M40" s="335"/>
      <c r="N40" s="335"/>
      <c r="O40" s="351"/>
      <c r="P40" s="351"/>
      <c r="Q40" s="351"/>
      <c r="R40" s="350"/>
    </row>
    <row r="41" spans="1:18">
      <c r="A41" s="337"/>
      <c r="B41" s="338" t="s">
        <v>654</v>
      </c>
      <c r="C41" s="339">
        <v>1</v>
      </c>
      <c r="D41" s="339"/>
      <c r="E41" s="339">
        <v>1</v>
      </c>
      <c r="F41" s="336">
        <v>27</v>
      </c>
      <c r="G41" s="336"/>
      <c r="H41" s="336">
        <v>2.93</v>
      </c>
      <c r="I41" s="336">
        <f t="shared" ref="I41:I76" si="1">PRODUCT(C41:H41)</f>
        <v>79.11</v>
      </c>
      <c r="J41" s="342"/>
      <c r="K41" s="352"/>
      <c r="L41" s="352"/>
      <c r="O41" s="344"/>
    </row>
    <row r="42" spans="1:18">
      <c r="A42" s="337"/>
      <c r="B42" s="338" t="s">
        <v>656</v>
      </c>
      <c r="C42" s="339">
        <v>1</v>
      </c>
      <c r="D42" s="339"/>
      <c r="E42" s="339">
        <v>1</v>
      </c>
      <c r="F42" s="336">
        <v>17</v>
      </c>
      <c r="G42" s="336"/>
      <c r="H42" s="336">
        <v>2.93</v>
      </c>
      <c r="I42" s="336">
        <f t="shared" si="1"/>
        <v>49.81</v>
      </c>
    </row>
    <row r="43" spans="1:18">
      <c r="A43" s="337"/>
      <c r="B43" s="338" t="s">
        <v>474</v>
      </c>
      <c r="C43" s="339">
        <v>1</v>
      </c>
      <c r="D43" s="339"/>
      <c r="E43" s="339">
        <v>1</v>
      </c>
      <c r="F43" s="336">
        <v>20.6</v>
      </c>
      <c r="G43" s="336"/>
      <c r="H43" s="336">
        <v>2.93</v>
      </c>
      <c r="I43" s="336">
        <f t="shared" si="1"/>
        <v>60.358000000000004</v>
      </c>
    </row>
    <row r="44" spans="1:18" ht="16.5" customHeight="1">
      <c r="A44" s="337"/>
      <c r="B44" s="338" t="s">
        <v>473</v>
      </c>
      <c r="C44" s="339">
        <v>1</v>
      </c>
      <c r="D44" s="339"/>
      <c r="E44" s="339">
        <v>1</v>
      </c>
      <c r="F44" s="336">
        <v>19.03</v>
      </c>
      <c r="G44" s="336"/>
      <c r="H44" s="336">
        <v>2.93</v>
      </c>
      <c r="I44" s="336">
        <f t="shared" si="1"/>
        <v>55.757900000000006</v>
      </c>
    </row>
    <row r="45" spans="1:18">
      <c r="A45" s="337"/>
      <c r="B45" s="338" t="s">
        <v>657</v>
      </c>
      <c r="C45" s="339">
        <v>1</v>
      </c>
      <c r="D45" s="339"/>
      <c r="E45" s="339">
        <v>1</v>
      </c>
      <c r="F45" s="336">
        <v>12.8</v>
      </c>
      <c r="G45" s="336"/>
      <c r="H45" s="336">
        <v>2.93</v>
      </c>
      <c r="I45" s="336">
        <f t="shared" si="1"/>
        <v>37.504000000000005</v>
      </c>
    </row>
    <row r="46" spans="1:18">
      <c r="A46" s="337"/>
      <c r="B46" s="338" t="s">
        <v>472</v>
      </c>
      <c r="C46" s="339">
        <v>1</v>
      </c>
      <c r="D46" s="339"/>
      <c r="E46" s="339">
        <v>1</v>
      </c>
      <c r="F46" s="336">
        <v>22.84</v>
      </c>
      <c r="G46" s="336"/>
      <c r="H46" s="336">
        <v>2.93</v>
      </c>
      <c r="I46" s="336">
        <f t="shared" si="1"/>
        <v>66.921199999999999</v>
      </c>
    </row>
    <row r="47" spans="1:18">
      <c r="A47" s="337"/>
      <c r="B47" s="338" t="s">
        <v>663</v>
      </c>
      <c r="C47" s="339">
        <v>1</v>
      </c>
      <c r="D47" s="339"/>
      <c r="E47" s="339">
        <v>1</v>
      </c>
      <c r="F47" s="336">
        <v>7.16</v>
      </c>
      <c r="G47" s="336"/>
      <c r="H47" s="336">
        <v>3.05</v>
      </c>
      <c r="I47" s="336">
        <f t="shared" si="1"/>
        <v>21.837999999999997</v>
      </c>
    </row>
    <row r="48" spans="1:18">
      <c r="A48" s="337"/>
      <c r="B48" s="338" t="s">
        <v>658</v>
      </c>
      <c r="C48" s="339">
        <v>1</v>
      </c>
      <c r="D48" s="339"/>
      <c r="E48" s="339">
        <v>1</v>
      </c>
      <c r="F48" s="336">
        <v>22.63</v>
      </c>
      <c r="G48" s="336"/>
      <c r="H48" s="336">
        <v>2.93</v>
      </c>
      <c r="I48" s="336">
        <f t="shared" si="1"/>
        <v>66.305899999999994</v>
      </c>
    </row>
    <row r="49" spans="1:256">
      <c r="A49" s="337"/>
      <c r="B49" s="338" t="s">
        <v>521</v>
      </c>
      <c r="C49" s="339">
        <v>1</v>
      </c>
      <c r="D49" s="339"/>
      <c r="E49" s="339">
        <v>1</v>
      </c>
      <c r="F49" s="336">
        <v>16.100000000000001</v>
      </c>
      <c r="G49" s="336"/>
      <c r="H49" s="336">
        <v>2.93</v>
      </c>
      <c r="I49" s="336">
        <f t="shared" si="1"/>
        <v>47.173000000000009</v>
      </c>
    </row>
    <row r="50" spans="1:256">
      <c r="A50" s="337"/>
      <c r="B50" s="338" t="s">
        <v>664</v>
      </c>
      <c r="C50" s="339"/>
      <c r="D50" s="339"/>
      <c r="E50" s="339"/>
      <c r="F50" s="336"/>
      <c r="G50" s="336"/>
      <c r="H50" s="363"/>
      <c r="I50" s="336">
        <f t="shared" si="1"/>
        <v>0</v>
      </c>
    </row>
    <row r="51" spans="1:256">
      <c r="A51" s="337"/>
      <c r="B51" s="338" t="s">
        <v>665</v>
      </c>
      <c r="C51" s="339">
        <v>1</v>
      </c>
      <c r="D51" s="339"/>
      <c r="E51" s="339">
        <v>2</v>
      </c>
      <c r="F51" s="336">
        <v>6.4</v>
      </c>
      <c r="G51" s="336"/>
      <c r="H51" s="363">
        <v>2.93</v>
      </c>
      <c r="I51" s="336">
        <f t="shared" si="1"/>
        <v>37.504000000000005</v>
      </c>
    </row>
    <row r="52" spans="1:256">
      <c r="A52" s="337"/>
      <c r="B52" s="338" t="s">
        <v>666</v>
      </c>
      <c r="C52" s="339">
        <v>1</v>
      </c>
      <c r="D52" s="339"/>
      <c r="E52" s="339">
        <v>2</v>
      </c>
      <c r="F52" s="336">
        <v>28.46</v>
      </c>
      <c r="G52" s="336"/>
      <c r="H52" s="336">
        <v>2.93</v>
      </c>
      <c r="I52" s="336">
        <f t="shared" si="1"/>
        <v>166.77560000000003</v>
      </c>
    </row>
    <row r="53" spans="1:256">
      <c r="A53" s="337"/>
      <c r="B53" s="338" t="s">
        <v>667</v>
      </c>
      <c r="C53" s="339">
        <v>1</v>
      </c>
      <c r="D53" s="339"/>
      <c r="E53" s="339">
        <v>2</v>
      </c>
      <c r="F53" s="336">
        <v>5.38</v>
      </c>
      <c r="G53" s="336"/>
      <c r="H53" s="336">
        <v>2.93</v>
      </c>
      <c r="I53" s="336">
        <f t="shared" si="1"/>
        <v>31.526800000000001</v>
      </c>
    </row>
    <row r="54" spans="1:256">
      <c r="A54" s="337"/>
      <c r="B54" s="338" t="s">
        <v>668</v>
      </c>
      <c r="C54" s="339">
        <v>2</v>
      </c>
      <c r="D54" s="339"/>
      <c r="E54" s="339">
        <v>5</v>
      </c>
      <c r="F54" s="336">
        <v>5.4</v>
      </c>
      <c r="G54" s="336"/>
      <c r="H54" s="336">
        <v>2.93</v>
      </c>
      <c r="I54" s="336">
        <f t="shared" si="1"/>
        <v>158.22</v>
      </c>
    </row>
    <row r="55" spans="1:256">
      <c r="A55" s="337"/>
      <c r="B55" s="338" t="s">
        <v>669</v>
      </c>
      <c r="C55" s="339">
        <v>4</v>
      </c>
      <c r="D55" s="339"/>
      <c r="E55" s="339">
        <v>2</v>
      </c>
      <c r="F55" s="336">
        <v>2.8</v>
      </c>
      <c r="G55" s="336"/>
      <c r="H55" s="336">
        <v>1</v>
      </c>
      <c r="I55" s="336">
        <f t="shared" si="1"/>
        <v>22.4</v>
      </c>
    </row>
    <row r="56" spans="1:256">
      <c r="A56" s="337"/>
      <c r="B56" s="338"/>
      <c r="C56" s="339">
        <v>1</v>
      </c>
      <c r="D56" s="339"/>
      <c r="E56" s="339">
        <v>2</v>
      </c>
      <c r="F56" s="336">
        <v>1.1000000000000001</v>
      </c>
      <c r="G56" s="336"/>
      <c r="H56" s="336">
        <v>1</v>
      </c>
      <c r="I56" s="336">
        <f t="shared" si="1"/>
        <v>2.2000000000000002</v>
      </c>
    </row>
    <row r="57" spans="1:256">
      <c r="A57" s="353"/>
      <c r="B57" s="354" t="s">
        <v>505</v>
      </c>
      <c r="C57" s="355"/>
      <c r="D57" s="355"/>
      <c r="E57" s="355"/>
      <c r="F57" s="356"/>
      <c r="G57" s="356"/>
      <c r="H57" s="356"/>
      <c r="I57" s="357"/>
      <c r="J57" s="358"/>
      <c r="K57" s="359"/>
      <c r="L57" s="359"/>
      <c r="M57" s="359"/>
      <c r="N57" s="359"/>
      <c r="O57" s="359"/>
      <c r="P57" s="359"/>
      <c r="Q57" s="359"/>
      <c r="R57" s="359"/>
      <c r="S57" s="359"/>
      <c r="T57" s="359"/>
      <c r="U57" s="359"/>
      <c r="V57" s="359"/>
      <c r="W57" s="359"/>
      <c r="X57" s="359"/>
      <c r="Y57" s="359"/>
      <c r="Z57" s="359"/>
      <c r="AA57" s="360"/>
      <c r="AB57" s="361"/>
      <c r="AC57" s="361"/>
      <c r="AD57" s="361"/>
      <c r="AE57" s="361"/>
      <c r="AF57" s="361"/>
      <c r="AG57" s="361"/>
      <c r="AH57" s="361"/>
      <c r="AI57" s="361"/>
      <c r="AJ57" s="361"/>
      <c r="AK57" s="361"/>
      <c r="AL57" s="361"/>
      <c r="AM57" s="361"/>
      <c r="AN57" s="361"/>
      <c r="AO57" s="361"/>
      <c r="AP57" s="361"/>
      <c r="AQ57" s="361"/>
      <c r="AR57" s="361"/>
      <c r="AS57" s="361"/>
      <c r="AT57" s="361"/>
      <c r="AU57" s="361"/>
      <c r="AV57" s="361"/>
      <c r="AW57" s="361"/>
      <c r="AX57" s="361"/>
      <c r="AY57" s="361"/>
      <c r="AZ57" s="361"/>
      <c r="BA57" s="361"/>
      <c r="BB57" s="361"/>
      <c r="BC57" s="361"/>
      <c r="BD57" s="361"/>
      <c r="BE57" s="361"/>
      <c r="BF57" s="361"/>
      <c r="BG57" s="361"/>
      <c r="BH57" s="361"/>
      <c r="BI57" s="361"/>
      <c r="BJ57" s="361"/>
      <c r="BK57" s="361"/>
      <c r="BL57" s="361"/>
      <c r="BM57" s="361"/>
      <c r="BN57" s="361"/>
      <c r="BO57" s="361"/>
      <c r="BP57" s="361"/>
      <c r="BQ57" s="361"/>
      <c r="BR57" s="361"/>
      <c r="BS57" s="361"/>
      <c r="BT57" s="361"/>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361"/>
      <c r="CU57" s="361"/>
      <c r="CV57" s="361"/>
      <c r="CW57" s="361"/>
      <c r="CX57" s="361"/>
      <c r="CY57" s="361"/>
      <c r="CZ57" s="361"/>
      <c r="DA57" s="361"/>
      <c r="DB57" s="361"/>
      <c r="DC57" s="361"/>
      <c r="DD57" s="361"/>
      <c r="DE57" s="361"/>
      <c r="DF57" s="361"/>
      <c r="DG57" s="361"/>
      <c r="DH57" s="361"/>
      <c r="DI57" s="361"/>
      <c r="DJ57" s="361"/>
      <c r="DK57" s="361"/>
      <c r="DL57" s="361"/>
      <c r="DM57" s="361"/>
      <c r="DN57" s="361"/>
      <c r="DO57" s="361"/>
      <c r="DP57" s="361"/>
      <c r="DQ57" s="361"/>
      <c r="DR57" s="361"/>
      <c r="DS57" s="361"/>
      <c r="DT57" s="361"/>
      <c r="DU57" s="361"/>
      <c r="DV57" s="361"/>
      <c r="DW57" s="361"/>
      <c r="DX57" s="361"/>
      <c r="DY57" s="361"/>
      <c r="DZ57" s="361"/>
      <c r="EA57" s="361"/>
      <c r="EB57" s="361"/>
      <c r="EC57" s="361"/>
      <c r="ED57" s="361"/>
      <c r="EE57" s="361"/>
      <c r="EF57" s="361"/>
      <c r="EG57" s="361"/>
      <c r="EH57" s="361"/>
      <c r="EI57" s="361"/>
      <c r="EJ57" s="361"/>
      <c r="EK57" s="361"/>
      <c r="EL57" s="361"/>
      <c r="EM57" s="361"/>
      <c r="EN57" s="361"/>
      <c r="EO57" s="361"/>
      <c r="EP57" s="361"/>
      <c r="EQ57" s="361"/>
      <c r="ER57" s="361"/>
      <c r="ES57" s="361"/>
      <c r="ET57" s="361"/>
      <c r="EU57" s="361"/>
      <c r="EV57" s="361"/>
      <c r="EW57" s="361"/>
      <c r="EX57" s="361"/>
      <c r="EY57" s="361"/>
      <c r="EZ57" s="361"/>
      <c r="FA57" s="361"/>
      <c r="FB57" s="361"/>
      <c r="FC57" s="361"/>
      <c r="FD57" s="361"/>
      <c r="FE57" s="361"/>
      <c r="FF57" s="361"/>
      <c r="FG57" s="361"/>
      <c r="FH57" s="361"/>
      <c r="FI57" s="361"/>
      <c r="FJ57" s="361"/>
      <c r="FK57" s="361"/>
      <c r="FL57" s="361"/>
      <c r="FM57" s="361"/>
      <c r="FN57" s="361"/>
      <c r="FO57" s="361"/>
      <c r="FP57" s="361"/>
      <c r="FQ57" s="361"/>
      <c r="FR57" s="361"/>
      <c r="FS57" s="361"/>
      <c r="FT57" s="361"/>
      <c r="FU57" s="361"/>
      <c r="FV57" s="361"/>
      <c r="FW57" s="361"/>
      <c r="FX57" s="361"/>
      <c r="FY57" s="361"/>
      <c r="FZ57" s="361"/>
      <c r="GA57" s="361"/>
      <c r="GB57" s="361"/>
      <c r="GC57" s="361"/>
      <c r="GD57" s="361"/>
      <c r="GE57" s="361"/>
      <c r="GF57" s="361"/>
      <c r="GG57" s="361"/>
      <c r="GH57" s="361"/>
      <c r="GI57" s="361"/>
      <c r="GJ57" s="361"/>
      <c r="GK57" s="361"/>
      <c r="GL57" s="361"/>
      <c r="GM57" s="361"/>
      <c r="GN57" s="361"/>
      <c r="GO57" s="361"/>
      <c r="GP57" s="361"/>
      <c r="GQ57" s="361"/>
      <c r="GR57" s="361"/>
      <c r="GS57" s="361"/>
      <c r="GT57" s="361"/>
      <c r="GU57" s="361"/>
      <c r="GV57" s="361"/>
      <c r="GW57" s="361"/>
      <c r="GX57" s="361"/>
      <c r="GY57" s="361"/>
      <c r="GZ57" s="361"/>
      <c r="HA57" s="361"/>
      <c r="HB57" s="361"/>
      <c r="HC57" s="361"/>
      <c r="HD57" s="361"/>
      <c r="HE57" s="361"/>
      <c r="HF57" s="361"/>
      <c r="HG57" s="361"/>
      <c r="HH57" s="361"/>
      <c r="HI57" s="361"/>
      <c r="HJ57" s="361"/>
      <c r="HK57" s="361"/>
      <c r="HL57" s="361"/>
      <c r="HM57" s="361"/>
      <c r="HN57" s="361"/>
      <c r="HO57" s="361"/>
      <c r="HP57" s="361"/>
      <c r="HQ57" s="361"/>
      <c r="HR57" s="361"/>
      <c r="HS57" s="361"/>
      <c r="HT57" s="361"/>
      <c r="HU57" s="361"/>
      <c r="HV57" s="361"/>
      <c r="HW57" s="361"/>
      <c r="HX57" s="361"/>
      <c r="HY57" s="361"/>
      <c r="HZ57" s="361"/>
      <c r="IA57" s="361"/>
      <c r="IB57" s="361"/>
      <c r="IC57" s="361"/>
      <c r="ID57" s="361"/>
      <c r="IE57" s="361"/>
      <c r="IF57" s="361"/>
      <c r="IG57" s="361"/>
      <c r="IH57" s="361"/>
      <c r="II57" s="361"/>
      <c r="IJ57" s="361"/>
      <c r="IK57" s="361"/>
      <c r="IL57" s="361"/>
      <c r="IM57" s="361"/>
      <c r="IN57" s="361"/>
      <c r="IO57" s="361"/>
      <c r="IP57" s="361"/>
      <c r="IQ57" s="361"/>
      <c r="IR57" s="361"/>
      <c r="IS57" s="361"/>
      <c r="IT57" s="361"/>
      <c r="IU57" s="361"/>
      <c r="IV57" s="361"/>
    </row>
    <row r="58" spans="1:256">
      <c r="A58" s="353"/>
      <c r="B58" s="354" t="s">
        <v>506</v>
      </c>
      <c r="C58" s="355">
        <v>1</v>
      </c>
      <c r="D58" s="355"/>
      <c r="E58" s="355">
        <v>1</v>
      </c>
      <c r="F58" s="356">
        <v>5.7</v>
      </c>
      <c r="G58" s="356">
        <v>0.23</v>
      </c>
      <c r="H58" s="356"/>
      <c r="I58" s="336">
        <f t="shared" si="1"/>
        <v>1.3110000000000002</v>
      </c>
      <c r="J58" s="358"/>
      <c r="K58" s="359"/>
      <c r="L58" s="359"/>
      <c r="M58" s="359"/>
      <c r="N58" s="359"/>
      <c r="O58" s="359"/>
      <c r="P58" s="359"/>
      <c r="Q58" s="359"/>
      <c r="R58" s="359"/>
      <c r="S58" s="359"/>
      <c r="T58" s="359"/>
      <c r="U58" s="359"/>
      <c r="V58" s="359"/>
      <c r="W58" s="359"/>
      <c r="X58" s="359"/>
      <c r="Y58" s="359"/>
      <c r="Z58" s="359"/>
      <c r="AA58" s="362"/>
      <c r="AB58" s="362"/>
      <c r="AC58" s="362"/>
      <c r="AD58" s="362"/>
      <c r="AE58" s="362"/>
      <c r="AF58" s="362"/>
      <c r="AG58" s="362"/>
      <c r="AH58" s="362"/>
      <c r="AI58" s="362"/>
      <c r="AJ58" s="362"/>
      <c r="AK58" s="362"/>
      <c r="AL58" s="362"/>
      <c r="AM58" s="362"/>
      <c r="AN58" s="362"/>
      <c r="AO58" s="362"/>
      <c r="AP58" s="362"/>
      <c r="AQ58" s="362"/>
      <c r="AR58" s="362"/>
      <c r="AS58" s="362"/>
      <c r="AT58" s="362"/>
      <c r="AU58" s="362"/>
      <c r="AV58" s="362"/>
      <c r="AW58" s="362"/>
      <c r="AX58" s="362"/>
      <c r="AY58" s="362"/>
      <c r="AZ58" s="362"/>
      <c r="BA58" s="362"/>
      <c r="BB58" s="362"/>
      <c r="BC58" s="362"/>
      <c r="BD58" s="362"/>
      <c r="BE58" s="362"/>
      <c r="BF58" s="362"/>
      <c r="BG58" s="362"/>
      <c r="BH58" s="362"/>
      <c r="BI58" s="362"/>
      <c r="BJ58" s="362"/>
      <c r="BK58" s="362"/>
      <c r="BL58" s="362"/>
      <c r="BM58" s="362"/>
      <c r="BN58" s="362"/>
      <c r="BO58" s="362"/>
      <c r="BP58" s="362"/>
      <c r="BQ58" s="362"/>
      <c r="BR58" s="362"/>
      <c r="BS58" s="362"/>
      <c r="BT58" s="362"/>
      <c r="BU58" s="362"/>
      <c r="BV58" s="362"/>
      <c r="BW58" s="362"/>
      <c r="BX58" s="362"/>
      <c r="BY58" s="362"/>
      <c r="BZ58" s="362"/>
      <c r="CA58" s="362"/>
      <c r="CB58" s="362"/>
      <c r="CC58" s="362"/>
      <c r="CD58" s="362"/>
      <c r="CE58" s="362"/>
      <c r="CF58" s="362"/>
      <c r="CG58" s="362"/>
      <c r="CH58" s="362"/>
      <c r="CI58" s="362"/>
      <c r="CJ58" s="362"/>
      <c r="CK58" s="362"/>
      <c r="CL58" s="362"/>
      <c r="CM58" s="362"/>
      <c r="CN58" s="362"/>
      <c r="CO58" s="362"/>
      <c r="CP58" s="362"/>
      <c r="CQ58" s="362"/>
      <c r="CR58" s="362"/>
      <c r="CS58" s="362"/>
      <c r="CT58" s="362"/>
      <c r="CU58" s="362"/>
      <c r="CV58" s="362"/>
      <c r="CW58" s="362"/>
      <c r="CX58" s="362"/>
      <c r="CY58" s="362"/>
      <c r="CZ58" s="362"/>
      <c r="DA58" s="362"/>
      <c r="DB58" s="362"/>
      <c r="DC58" s="362"/>
      <c r="DD58" s="362"/>
      <c r="DE58" s="362"/>
      <c r="DF58" s="362"/>
      <c r="DG58" s="362"/>
      <c r="DH58" s="362"/>
      <c r="DI58" s="362"/>
      <c r="DJ58" s="362"/>
      <c r="DK58" s="362"/>
      <c r="DL58" s="362"/>
      <c r="DM58" s="362"/>
      <c r="DN58" s="362"/>
      <c r="DO58" s="362"/>
      <c r="DP58" s="362"/>
      <c r="DQ58" s="362"/>
      <c r="DR58" s="362"/>
      <c r="DS58" s="362"/>
      <c r="DT58" s="362"/>
      <c r="DU58" s="362"/>
      <c r="DV58" s="362"/>
      <c r="DW58" s="362"/>
      <c r="DX58" s="362"/>
      <c r="DY58" s="362"/>
      <c r="DZ58" s="362"/>
      <c r="EA58" s="362"/>
      <c r="EB58" s="362"/>
      <c r="EC58" s="362"/>
      <c r="ED58" s="362"/>
      <c r="EE58" s="362"/>
      <c r="EF58" s="362"/>
      <c r="EG58" s="362"/>
      <c r="EH58" s="362"/>
      <c r="EI58" s="362"/>
      <c r="EJ58" s="362"/>
      <c r="EK58" s="362"/>
      <c r="EL58" s="362"/>
      <c r="EM58" s="362"/>
      <c r="EN58" s="362"/>
      <c r="EO58" s="362"/>
      <c r="EP58" s="362"/>
      <c r="EQ58" s="362"/>
      <c r="ER58" s="362"/>
      <c r="ES58" s="362"/>
      <c r="ET58" s="362"/>
      <c r="EU58" s="362"/>
      <c r="EV58" s="362"/>
      <c r="EW58" s="362"/>
      <c r="EX58" s="362"/>
      <c r="EY58" s="362"/>
      <c r="EZ58" s="362"/>
      <c r="FA58" s="362"/>
      <c r="FB58" s="362"/>
      <c r="FC58" s="362"/>
      <c r="FD58" s="362"/>
      <c r="FE58" s="362"/>
      <c r="FF58" s="362"/>
      <c r="FG58" s="362"/>
      <c r="FH58" s="362"/>
      <c r="FI58" s="362"/>
      <c r="FJ58" s="362"/>
      <c r="FK58" s="362"/>
      <c r="FL58" s="362"/>
      <c r="FM58" s="362"/>
      <c r="FN58" s="362"/>
      <c r="FO58" s="362"/>
      <c r="FP58" s="362"/>
      <c r="FQ58" s="362"/>
      <c r="FR58" s="362"/>
      <c r="FS58" s="362"/>
      <c r="FT58" s="362"/>
      <c r="FU58" s="362"/>
      <c r="FV58" s="362"/>
      <c r="FW58" s="362"/>
      <c r="FX58" s="362"/>
      <c r="FY58" s="362"/>
      <c r="FZ58" s="362"/>
      <c r="GA58" s="362"/>
      <c r="GB58" s="362"/>
      <c r="GC58" s="362"/>
      <c r="GD58" s="362"/>
      <c r="GE58" s="362"/>
      <c r="GF58" s="362"/>
      <c r="GG58" s="362"/>
      <c r="GH58" s="362"/>
      <c r="GI58" s="362"/>
      <c r="GJ58" s="362"/>
      <c r="GK58" s="362"/>
      <c r="GL58" s="362"/>
      <c r="GM58" s="362"/>
      <c r="GN58" s="362"/>
      <c r="GO58" s="362"/>
      <c r="GP58" s="362"/>
      <c r="GQ58" s="362"/>
      <c r="GR58" s="362"/>
      <c r="GS58" s="362"/>
      <c r="GT58" s="362"/>
      <c r="GU58" s="362"/>
      <c r="GV58" s="362"/>
      <c r="GW58" s="362"/>
      <c r="GX58" s="362"/>
      <c r="GY58" s="362"/>
      <c r="GZ58" s="362"/>
      <c r="HA58" s="362"/>
      <c r="HB58" s="362"/>
      <c r="HC58" s="362"/>
      <c r="HD58" s="362"/>
      <c r="HE58" s="362"/>
      <c r="HF58" s="362"/>
      <c r="HG58" s="362"/>
      <c r="HH58" s="362"/>
      <c r="HI58" s="362"/>
      <c r="HJ58" s="362"/>
      <c r="HK58" s="362"/>
      <c r="HL58" s="362"/>
      <c r="HM58" s="362"/>
      <c r="HN58" s="362"/>
      <c r="HO58" s="362"/>
      <c r="HP58" s="362"/>
      <c r="HQ58" s="362"/>
      <c r="HR58" s="362"/>
      <c r="HS58" s="362"/>
      <c r="HT58" s="362"/>
      <c r="HU58" s="362"/>
      <c r="HV58" s="362"/>
      <c r="HW58" s="362"/>
      <c r="HX58" s="362"/>
      <c r="HY58" s="362"/>
      <c r="HZ58" s="362"/>
      <c r="IA58" s="362"/>
      <c r="IB58" s="362"/>
      <c r="IC58" s="362"/>
      <c r="ID58" s="362"/>
      <c r="IE58" s="362"/>
      <c r="IF58" s="362"/>
      <c r="IG58" s="362"/>
      <c r="IH58" s="362"/>
      <c r="II58" s="362"/>
      <c r="IJ58" s="362"/>
      <c r="IK58" s="362"/>
      <c r="IL58" s="362"/>
      <c r="IM58" s="362"/>
      <c r="IN58" s="362"/>
      <c r="IO58" s="362"/>
      <c r="IP58" s="362"/>
      <c r="IQ58" s="362"/>
      <c r="IR58" s="362"/>
      <c r="IS58" s="362"/>
      <c r="IT58" s="362"/>
      <c r="IU58" s="362"/>
      <c r="IV58" s="362"/>
    </row>
    <row r="59" spans="1:256">
      <c r="A59" s="353"/>
      <c r="B59" s="354" t="s">
        <v>7</v>
      </c>
      <c r="C59" s="355">
        <v>1</v>
      </c>
      <c r="D59" s="355"/>
      <c r="E59" s="355">
        <v>8</v>
      </c>
      <c r="F59" s="356">
        <v>5.4</v>
      </c>
      <c r="G59" s="356">
        <v>0.23</v>
      </c>
      <c r="H59" s="356"/>
      <c r="I59" s="336">
        <f t="shared" si="1"/>
        <v>9.9360000000000017</v>
      </c>
      <c r="J59" s="358"/>
      <c r="K59" s="359"/>
      <c r="L59" s="359"/>
      <c r="M59" s="359"/>
      <c r="N59" s="359"/>
      <c r="O59" s="359"/>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c r="IP59" s="359"/>
      <c r="IQ59" s="359"/>
      <c r="IR59" s="359"/>
      <c r="IS59" s="359"/>
      <c r="IT59" s="359"/>
      <c r="IU59" s="359"/>
      <c r="IV59" s="359"/>
    </row>
    <row r="60" spans="1:256">
      <c r="A60" s="353"/>
      <c r="B60" s="354" t="s">
        <v>507</v>
      </c>
      <c r="C60" s="355">
        <v>1</v>
      </c>
      <c r="D60" s="355"/>
      <c r="E60" s="355">
        <v>7</v>
      </c>
      <c r="F60" s="356">
        <v>6.3</v>
      </c>
      <c r="G60" s="356">
        <v>0.23</v>
      </c>
      <c r="H60" s="356"/>
      <c r="I60" s="336">
        <f t="shared" si="1"/>
        <v>10.143000000000001</v>
      </c>
      <c r="J60" s="358"/>
      <c r="K60" s="359"/>
      <c r="L60" s="359"/>
      <c r="M60" s="359"/>
      <c r="N60" s="359"/>
      <c r="O60" s="359"/>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c r="IP60" s="359"/>
      <c r="IQ60" s="359"/>
      <c r="IR60" s="359"/>
      <c r="IS60" s="359"/>
      <c r="IT60" s="359"/>
      <c r="IU60" s="359"/>
      <c r="IV60" s="359"/>
    </row>
    <row r="61" spans="1:256">
      <c r="A61" s="353"/>
      <c r="B61" s="354" t="s">
        <v>508</v>
      </c>
      <c r="C61" s="355">
        <v>1</v>
      </c>
      <c r="D61" s="355"/>
      <c r="E61" s="355">
        <v>3</v>
      </c>
      <c r="F61" s="356">
        <v>5.4</v>
      </c>
      <c r="G61" s="356">
        <v>0.23</v>
      </c>
      <c r="H61" s="356"/>
      <c r="I61" s="336">
        <f t="shared" si="1"/>
        <v>3.7260000000000009</v>
      </c>
      <c r="J61" s="358"/>
      <c r="K61" s="359"/>
      <c r="L61" s="359"/>
      <c r="M61" s="359"/>
      <c r="N61" s="359"/>
      <c r="O61" s="359"/>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c r="IP61" s="359"/>
      <c r="IQ61" s="359"/>
      <c r="IR61" s="359"/>
      <c r="IS61" s="359"/>
      <c r="IT61" s="359"/>
      <c r="IU61" s="359"/>
      <c r="IV61" s="359"/>
    </row>
    <row r="62" spans="1:256">
      <c r="A62" s="353"/>
      <c r="B62" s="354" t="s">
        <v>670</v>
      </c>
      <c r="C62" s="355">
        <v>1</v>
      </c>
      <c r="D62" s="355"/>
      <c r="E62" s="355">
        <v>1</v>
      </c>
      <c r="F62" s="356">
        <v>5.7</v>
      </c>
      <c r="G62" s="356">
        <v>0.23</v>
      </c>
      <c r="H62" s="356"/>
      <c r="I62" s="336">
        <f t="shared" si="1"/>
        <v>1.3110000000000002</v>
      </c>
      <c r="J62" s="358"/>
      <c r="K62" s="359"/>
      <c r="L62" s="359"/>
      <c r="M62" s="359"/>
      <c r="N62" s="359"/>
      <c r="O62" s="359"/>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c r="IP62" s="359"/>
      <c r="IQ62" s="359"/>
      <c r="IR62" s="359"/>
      <c r="IS62" s="359"/>
      <c r="IT62" s="359"/>
      <c r="IU62" s="359"/>
      <c r="IV62" s="359"/>
    </row>
    <row r="63" spans="1:256">
      <c r="A63" s="353"/>
      <c r="B63" s="354" t="s">
        <v>671</v>
      </c>
      <c r="C63" s="355">
        <v>1</v>
      </c>
      <c r="D63" s="355"/>
      <c r="E63" s="355">
        <v>2</v>
      </c>
      <c r="F63" s="356">
        <v>4.8</v>
      </c>
      <c r="G63" s="356">
        <v>0.23</v>
      </c>
      <c r="H63" s="356"/>
      <c r="I63" s="336">
        <f t="shared" si="1"/>
        <v>2.2080000000000002</v>
      </c>
      <c r="J63" s="358"/>
      <c r="K63" s="359"/>
      <c r="L63" s="359"/>
      <c r="M63" s="359"/>
      <c r="N63" s="359"/>
      <c r="O63" s="359"/>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c r="IP63" s="359"/>
      <c r="IQ63" s="359"/>
      <c r="IR63" s="359"/>
      <c r="IS63" s="359"/>
      <c r="IT63" s="359"/>
      <c r="IU63" s="359"/>
      <c r="IV63" s="359"/>
    </row>
    <row r="64" spans="1:256">
      <c r="A64" s="353"/>
      <c r="B64" s="354" t="s">
        <v>510</v>
      </c>
      <c r="C64" s="355">
        <v>1</v>
      </c>
      <c r="D64" s="355"/>
      <c r="E64" s="355">
        <v>10</v>
      </c>
      <c r="F64" s="356">
        <v>4.95</v>
      </c>
      <c r="G64" s="356">
        <v>0.23</v>
      </c>
      <c r="H64" s="356"/>
      <c r="I64" s="336">
        <f t="shared" si="1"/>
        <v>11.385</v>
      </c>
      <c r="J64" s="358"/>
      <c r="K64" s="359"/>
      <c r="L64" s="359"/>
      <c r="M64" s="359"/>
      <c r="N64" s="359"/>
      <c r="O64" s="359"/>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c r="IP64" s="359"/>
      <c r="IQ64" s="359"/>
      <c r="IR64" s="359"/>
      <c r="IS64" s="359"/>
      <c r="IT64" s="359"/>
      <c r="IU64" s="359"/>
      <c r="IV64" s="359"/>
    </row>
    <row r="65" spans="1:256">
      <c r="A65" s="353"/>
      <c r="B65" s="354" t="s">
        <v>511</v>
      </c>
      <c r="C65" s="355">
        <v>1</v>
      </c>
      <c r="D65" s="355"/>
      <c r="E65" s="355">
        <v>16</v>
      </c>
      <c r="F65" s="356">
        <v>3</v>
      </c>
      <c r="G65" s="356">
        <v>0.23</v>
      </c>
      <c r="H65" s="356"/>
      <c r="I65" s="336">
        <f t="shared" si="1"/>
        <v>11.040000000000001</v>
      </c>
      <c r="J65" s="358"/>
      <c r="K65" s="359"/>
      <c r="L65" s="359"/>
      <c r="M65" s="359"/>
      <c r="N65" s="359"/>
      <c r="O65" s="359"/>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c r="IP65" s="359"/>
      <c r="IQ65" s="359"/>
      <c r="IR65" s="359"/>
      <c r="IS65" s="359"/>
      <c r="IT65" s="359"/>
      <c r="IU65" s="359"/>
      <c r="IV65" s="359"/>
    </row>
    <row r="66" spans="1:256">
      <c r="A66" s="353"/>
      <c r="B66" s="354" t="s">
        <v>672</v>
      </c>
      <c r="C66" s="355">
        <v>1</v>
      </c>
      <c r="D66" s="355"/>
      <c r="E66" s="355">
        <v>1</v>
      </c>
      <c r="F66" s="356">
        <v>5.4</v>
      </c>
      <c r="G66" s="356">
        <v>0.23</v>
      </c>
      <c r="H66" s="356"/>
      <c r="I66" s="336">
        <f t="shared" si="1"/>
        <v>1.2420000000000002</v>
      </c>
      <c r="J66" s="358"/>
      <c r="K66" s="359"/>
      <c r="L66" s="359"/>
      <c r="M66" s="359"/>
      <c r="N66" s="359"/>
      <c r="O66" s="359"/>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c r="IP66" s="359"/>
      <c r="IQ66" s="359"/>
      <c r="IR66" s="359"/>
      <c r="IS66" s="359"/>
      <c r="IT66" s="359"/>
      <c r="IU66" s="359"/>
      <c r="IV66" s="359"/>
    </row>
    <row r="67" spans="1:256">
      <c r="A67" s="353"/>
      <c r="B67" s="354" t="s">
        <v>515</v>
      </c>
      <c r="C67" s="355"/>
      <c r="D67" s="355"/>
      <c r="E67" s="355"/>
      <c r="F67" s="356"/>
      <c r="G67" s="356"/>
      <c r="H67" s="356"/>
      <c r="I67" s="336">
        <f t="shared" si="1"/>
        <v>0</v>
      </c>
      <c r="J67" s="358"/>
      <c r="K67" s="359"/>
      <c r="L67" s="359"/>
      <c r="M67" s="359"/>
      <c r="N67" s="359"/>
      <c r="O67" s="359"/>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c r="IP67" s="359"/>
      <c r="IQ67" s="359"/>
      <c r="IR67" s="359"/>
      <c r="IS67" s="359"/>
      <c r="IT67" s="359"/>
      <c r="IU67" s="359"/>
      <c r="IV67" s="359"/>
    </row>
    <row r="68" spans="1:256">
      <c r="A68" s="353"/>
      <c r="B68" s="354" t="s">
        <v>506</v>
      </c>
      <c r="C68" s="355">
        <v>-1</v>
      </c>
      <c r="D68" s="355"/>
      <c r="E68" s="355">
        <v>1</v>
      </c>
      <c r="F68" s="356">
        <v>1.5</v>
      </c>
      <c r="G68" s="356"/>
      <c r="H68" s="356">
        <v>2.1</v>
      </c>
      <c r="I68" s="336">
        <f t="shared" si="1"/>
        <v>-3.1500000000000004</v>
      </c>
      <c r="J68" s="358"/>
      <c r="K68" s="359"/>
      <c r="L68" s="359"/>
      <c r="M68" s="359"/>
      <c r="N68" s="359"/>
      <c r="O68" s="359"/>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c r="IP68" s="359"/>
      <c r="IQ68" s="359"/>
      <c r="IR68" s="359"/>
      <c r="IS68" s="359"/>
      <c r="IT68" s="359"/>
      <c r="IU68" s="359"/>
      <c r="IV68" s="359"/>
    </row>
    <row r="69" spans="1:256">
      <c r="A69" s="353"/>
      <c r="B69" s="354" t="s">
        <v>7</v>
      </c>
      <c r="C69" s="355">
        <v>-1</v>
      </c>
      <c r="D69" s="355"/>
      <c r="E69" s="355">
        <v>8</v>
      </c>
      <c r="F69" s="356">
        <v>1.2</v>
      </c>
      <c r="G69" s="356"/>
      <c r="H69" s="356">
        <v>2.1</v>
      </c>
      <c r="I69" s="336">
        <f t="shared" si="1"/>
        <v>-20.16</v>
      </c>
      <c r="K69" s="359"/>
      <c r="L69" s="359"/>
      <c r="M69" s="359"/>
      <c r="N69" s="359"/>
      <c r="O69" s="359"/>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c r="IP69" s="359"/>
      <c r="IQ69" s="359"/>
      <c r="IR69" s="359"/>
      <c r="IS69" s="359"/>
      <c r="IT69" s="359"/>
      <c r="IU69" s="359"/>
      <c r="IV69" s="359"/>
    </row>
    <row r="70" spans="1:256">
      <c r="A70" s="353"/>
      <c r="B70" s="354" t="s">
        <v>507</v>
      </c>
      <c r="C70" s="355">
        <v>-1</v>
      </c>
      <c r="D70" s="355"/>
      <c r="E70" s="355">
        <v>7</v>
      </c>
      <c r="F70" s="356">
        <v>1.8</v>
      </c>
      <c r="G70" s="356"/>
      <c r="H70" s="336">
        <v>1.35</v>
      </c>
      <c r="I70" s="336">
        <f t="shared" si="1"/>
        <v>-17.010000000000002</v>
      </c>
      <c r="K70" s="359"/>
      <c r="L70" s="359"/>
      <c r="M70" s="359"/>
      <c r="N70" s="359"/>
      <c r="O70" s="359"/>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c r="IP70" s="359"/>
      <c r="IQ70" s="359"/>
      <c r="IR70" s="359"/>
      <c r="IS70" s="359"/>
      <c r="IT70" s="359"/>
      <c r="IU70" s="359"/>
      <c r="IV70" s="359"/>
    </row>
    <row r="71" spans="1:256">
      <c r="A71" s="337"/>
      <c r="B71" s="354" t="s">
        <v>508</v>
      </c>
      <c r="C71" s="355">
        <v>-1</v>
      </c>
      <c r="D71" s="355"/>
      <c r="E71" s="355">
        <v>3</v>
      </c>
      <c r="F71" s="336">
        <v>1.35</v>
      </c>
      <c r="G71" s="336"/>
      <c r="H71" s="336">
        <v>1.35</v>
      </c>
      <c r="I71" s="336">
        <f t="shared" si="1"/>
        <v>-5.4675000000000011</v>
      </c>
      <c r="Q71" s="328" t="s">
        <v>44</v>
      </c>
    </row>
    <row r="72" spans="1:256">
      <c r="A72" s="337"/>
      <c r="B72" s="354" t="s">
        <v>670</v>
      </c>
      <c r="C72" s="355">
        <v>-1</v>
      </c>
      <c r="D72" s="355"/>
      <c r="E72" s="355">
        <v>1</v>
      </c>
      <c r="F72" s="336">
        <v>1.8</v>
      </c>
      <c r="G72" s="336"/>
      <c r="H72" s="336">
        <v>1.05</v>
      </c>
      <c r="I72" s="336">
        <f t="shared" si="1"/>
        <v>-1.8900000000000001</v>
      </c>
    </row>
    <row r="73" spans="1:256">
      <c r="A73" s="337"/>
      <c r="B73" s="354" t="s">
        <v>671</v>
      </c>
      <c r="C73" s="355">
        <v>-1</v>
      </c>
      <c r="D73" s="355"/>
      <c r="E73" s="355">
        <v>2</v>
      </c>
      <c r="F73" s="336">
        <v>1.35</v>
      </c>
      <c r="G73" s="336"/>
      <c r="H73" s="336">
        <v>1.05</v>
      </c>
      <c r="I73" s="336">
        <f t="shared" si="1"/>
        <v>-2.8350000000000004</v>
      </c>
    </row>
    <row r="74" spans="1:256">
      <c r="A74" s="337"/>
      <c r="B74" s="354" t="s">
        <v>510</v>
      </c>
      <c r="C74" s="355">
        <v>-1</v>
      </c>
      <c r="D74" s="355"/>
      <c r="E74" s="355">
        <v>10</v>
      </c>
      <c r="F74" s="336">
        <v>0.75</v>
      </c>
      <c r="G74" s="336"/>
      <c r="H74" s="336">
        <v>2.1</v>
      </c>
      <c r="I74" s="336">
        <f t="shared" si="1"/>
        <v>-15.75</v>
      </c>
      <c r="K74" s="328">
        <f>1.1*4</f>
        <v>4.4000000000000004</v>
      </c>
    </row>
    <row r="75" spans="1:256">
      <c r="A75" s="337"/>
      <c r="B75" s="354" t="s">
        <v>511</v>
      </c>
      <c r="C75" s="355">
        <v>-1</v>
      </c>
      <c r="D75" s="355"/>
      <c r="E75" s="355">
        <v>16</v>
      </c>
      <c r="F75" s="336">
        <v>0.9</v>
      </c>
      <c r="G75" s="336"/>
      <c r="H75" s="336">
        <v>0.6</v>
      </c>
      <c r="I75" s="336">
        <f t="shared" si="1"/>
        <v>-8.64</v>
      </c>
      <c r="L75" s="328">
        <f>1.4*4</f>
        <v>5.6</v>
      </c>
    </row>
    <row r="76" spans="1:256">
      <c r="A76" s="337"/>
      <c r="B76" s="338" t="s">
        <v>673</v>
      </c>
      <c r="C76" s="355">
        <v>-1</v>
      </c>
      <c r="D76" s="355"/>
      <c r="E76" s="355">
        <v>1</v>
      </c>
      <c r="F76" s="336">
        <v>1.2</v>
      </c>
      <c r="G76" s="336"/>
      <c r="H76" s="336">
        <v>2.1</v>
      </c>
      <c r="I76" s="336">
        <f t="shared" si="1"/>
        <v>-2.52</v>
      </c>
    </row>
    <row r="77" spans="1:256">
      <c r="A77" s="337"/>
      <c r="B77" s="338" t="s">
        <v>482</v>
      </c>
      <c r="C77" s="339"/>
      <c r="D77" s="339"/>
      <c r="E77" s="339"/>
      <c r="F77" s="336"/>
      <c r="G77" s="336"/>
      <c r="H77" s="363"/>
      <c r="I77" s="336"/>
    </row>
    <row r="78" spans="1:256">
      <c r="A78" s="337"/>
      <c r="B78" s="338" t="s">
        <v>674</v>
      </c>
      <c r="C78" s="339">
        <v>1</v>
      </c>
      <c r="D78" s="339"/>
      <c r="E78" s="339">
        <v>1</v>
      </c>
      <c r="F78" s="336">
        <v>46.41</v>
      </c>
      <c r="G78" s="336"/>
      <c r="H78" s="336">
        <v>2.93</v>
      </c>
      <c r="I78" s="336">
        <f t="shared" ref="I78:I87" si="2">PRODUCT(C78:H78)</f>
        <v>135.9813</v>
      </c>
    </row>
    <row r="79" spans="1:256">
      <c r="A79" s="337"/>
      <c r="B79" s="338" t="s">
        <v>675</v>
      </c>
      <c r="C79" s="339">
        <v>1</v>
      </c>
      <c r="D79" s="339"/>
      <c r="E79" s="339">
        <v>1</v>
      </c>
      <c r="F79" s="336">
        <v>27.96</v>
      </c>
      <c r="G79" s="336"/>
      <c r="H79" s="336">
        <v>2.93</v>
      </c>
      <c r="I79" s="336">
        <f t="shared" si="2"/>
        <v>81.922800000000009</v>
      </c>
    </row>
    <row r="80" spans="1:256">
      <c r="A80" s="337"/>
      <c r="B80" s="338" t="s">
        <v>472</v>
      </c>
      <c r="C80" s="339">
        <v>1</v>
      </c>
      <c r="D80" s="339"/>
      <c r="E80" s="339">
        <v>1</v>
      </c>
      <c r="F80" s="336">
        <v>22.84</v>
      </c>
      <c r="G80" s="336"/>
      <c r="H80" s="336">
        <v>2.93</v>
      </c>
      <c r="I80" s="336">
        <f t="shared" si="2"/>
        <v>66.921199999999999</v>
      </c>
    </row>
    <row r="81" spans="1:10">
      <c r="A81" s="337"/>
      <c r="B81" s="338" t="s">
        <v>663</v>
      </c>
      <c r="C81" s="339">
        <v>1</v>
      </c>
      <c r="D81" s="339"/>
      <c r="E81" s="339">
        <v>2</v>
      </c>
      <c r="F81" s="336">
        <v>7.16</v>
      </c>
      <c r="G81" s="336"/>
      <c r="H81" s="336">
        <v>3.05</v>
      </c>
      <c r="I81" s="336">
        <f t="shared" si="2"/>
        <v>43.675999999999995</v>
      </c>
    </row>
    <row r="82" spans="1:10">
      <c r="A82" s="337"/>
      <c r="B82" s="338" t="s">
        <v>664</v>
      </c>
      <c r="C82" s="339"/>
      <c r="D82" s="339"/>
      <c r="E82" s="339"/>
      <c r="F82" s="336"/>
      <c r="G82" s="336"/>
      <c r="H82" s="363"/>
      <c r="I82" s="336">
        <f t="shared" si="2"/>
        <v>0</v>
      </c>
    </row>
    <row r="83" spans="1:10">
      <c r="A83" s="337"/>
      <c r="B83" s="338" t="s">
        <v>665</v>
      </c>
      <c r="C83" s="339">
        <v>1</v>
      </c>
      <c r="D83" s="339"/>
      <c r="E83" s="339">
        <v>2</v>
      </c>
      <c r="F83" s="336">
        <v>6.4</v>
      </c>
      <c r="G83" s="336"/>
      <c r="H83" s="363">
        <v>2.93</v>
      </c>
      <c r="I83" s="336">
        <f t="shared" si="2"/>
        <v>37.504000000000005</v>
      </c>
    </row>
    <row r="84" spans="1:10">
      <c r="A84" s="337"/>
      <c r="B84" s="338" t="s">
        <v>666</v>
      </c>
      <c r="C84" s="339">
        <v>1</v>
      </c>
      <c r="D84" s="339"/>
      <c r="E84" s="339">
        <v>1</v>
      </c>
      <c r="F84" s="336">
        <v>28.46</v>
      </c>
      <c r="G84" s="336"/>
      <c r="H84" s="336">
        <v>2.93</v>
      </c>
      <c r="I84" s="336">
        <f t="shared" si="2"/>
        <v>83.387800000000013</v>
      </c>
    </row>
    <row r="85" spans="1:10">
      <c r="A85" s="337"/>
      <c r="B85" s="338" t="s">
        <v>667</v>
      </c>
      <c r="C85" s="339">
        <v>1</v>
      </c>
      <c r="D85" s="339"/>
      <c r="E85" s="339">
        <v>2</v>
      </c>
      <c r="F85" s="336">
        <v>5.38</v>
      </c>
      <c r="G85" s="336"/>
      <c r="H85" s="336">
        <v>2.93</v>
      </c>
      <c r="I85" s="336">
        <f t="shared" si="2"/>
        <v>31.526800000000001</v>
      </c>
    </row>
    <row r="86" spans="1:10">
      <c r="A86" s="337"/>
      <c r="B86" s="338" t="s">
        <v>668</v>
      </c>
      <c r="C86" s="339">
        <v>2</v>
      </c>
      <c r="D86" s="339"/>
      <c r="E86" s="339">
        <v>5</v>
      </c>
      <c r="F86" s="336">
        <v>5.4</v>
      </c>
      <c r="G86" s="336"/>
      <c r="H86" s="336">
        <v>2.93</v>
      </c>
      <c r="I86" s="336">
        <f t="shared" si="2"/>
        <v>158.22</v>
      </c>
    </row>
    <row r="87" spans="1:10">
      <c r="A87" s="337"/>
      <c r="B87" s="338" t="s">
        <v>485</v>
      </c>
      <c r="C87" s="339">
        <v>1</v>
      </c>
      <c r="D87" s="339"/>
      <c r="E87" s="339">
        <v>1</v>
      </c>
      <c r="F87" s="336">
        <v>4.8499999999999996</v>
      </c>
      <c r="G87" s="336"/>
      <c r="H87" s="336">
        <v>2.5</v>
      </c>
      <c r="I87" s="336">
        <f t="shared" si="2"/>
        <v>12.125</v>
      </c>
    </row>
    <row r="88" spans="1:10">
      <c r="A88" s="353"/>
      <c r="B88" s="354" t="s">
        <v>505</v>
      </c>
      <c r="C88" s="355"/>
      <c r="D88" s="355"/>
      <c r="E88" s="355"/>
      <c r="F88" s="356"/>
      <c r="G88" s="356"/>
      <c r="H88" s="356"/>
      <c r="I88" s="357"/>
      <c r="J88" s="358"/>
    </row>
    <row r="89" spans="1:10">
      <c r="A89" s="353"/>
      <c r="B89" s="354" t="s">
        <v>7</v>
      </c>
      <c r="C89" s="355">
        <v>1</v>
      </c>
      <c r="D89" s="355"/>
      <c r="E89" s="355">
        <v>3</v>
      </c>
      <c r="F89" s="356">
        <v>5.4</v>
      </c>
      <c r="G89" s="356">
        <v>0.23</v>
      </c>
      <c r="H89" s="356"/>
      <c r="I89" s="336">
        <f t="shared" ref="I89:I101" si="3">PRODUCT(C89:H89)</f>
        <v>3.7260000000000009</v>
      </c>
      <c r="J89" s="358"/>
    </row>
    <row r="90" spans="1:10">
      <c r="A90" s="353"/>
      <c r="B90" s="354" t="s">
        <v>507</v>
      </c>
      <c r="C90" s="355">
        <v>1</v>
      </c>
      <c r="D90" s="355"/>
      <c r="E90" s="355">
        <v>13</v>
      </c>
      <c r="F90" s="356">
        <v>6.3</v>
      </c>
      <c r="G90" s="356">
        <v>0.23</v>
      </c>
      <c r="H90" s="356"/>
      <c r="I90" s="336">
        <f t="shared" si="3"/>
        <v>18.837</v>
      </c>
      <c r="J90" s="358"/>
    </row>
    <row r="91" spans="1:10">
      <c r="A91" s="353"/>
      <c r="B91" s="354" t="s">
        <v>508</v>
      </c>
      <c r="C91" s="355">
        <v>1</v>
      </c>
      <c r="D91" s="355"/>
      <c r="E91" s="355">
        <v>1</v>
      </c>
      <c r="F91" s="356">
        <v>5.4</v>
      </c>
      <c r="G91" s="356">
        <v>0.23</v>
      </c>
      <c r="H91" s="356"/>
      <c r="I91" s="336">
        <f t="shared" si="3"/>
        <v>1.2420000000000002</v>
      </c>
      <c r="J91" s="358"/>
    </row>
    <row r="92" spans="1:10">
      <c r="A92" s="353"/>
      <c r="B92" s="354" t="s">
        <v>510</v>
      </c>
      <c r="C92" s="355">
        <v>1</v>
      </c>
      <c r="D92" s="355"/>
      <c r="E92" s="355">
        <v>10</v>
      </c>
      <c r="F92" s="356">
        <v>4.95</v>
      </c>
      <c r="G92" s="356">
        <v>0.23</v>
      </c>
      <c r="H92" s="356"/>
      <c r="I92" s="336">
        <f t="shared" si="3"/>
        <v>11.385</v>
      </c>
      <c r="J92" s="358"/>
    </row>
    <row r="93" spans="1:10">
      <c r="A93" s="353"/>
      <c r="B93" s="354" t="s">
        <v>511</v>
      </c>
      <c r="C93" s="355">
        <v>1</v>
      </c>
      <c r="D93" s="355"/>
      <c r="E93" s="355">
        <v>10</v>
      </c>
      <c r="F93" s="356">
        <v>3</v>
      </c>
      <c r="G93" s="356">
        <v>0.23</v>
      </c>
      <c r="H93" s="356"/>
      <c r="I93" s="336">
        <f t="shared" si="3"/>
        <v>6.9</v>
      </c>
      <c r="J93" s="358"/>
    </row>
    <row r="94" spans="1:10">
      <c r="A94" s="353"/>
      <c r="B94" s="354" t="s">
        <v>672</v>
      </c>
      <c r="C94" s="355">
        <v>1</v>
      </c>
      <c r="D94" s="355"/>
      <c r="E94" s="355">
        <v>1</v>
      </c>
      <c r="F94" s="356">
        <v>5.4</v>
      </c>
      <c r="G94" s="356">
        <v>0.23</v>
      </c>
      <c r="H94" s="356"/>
      <c r="I94" s="336">
        <f t="shared" si="3"/>
        <v>1.2420000000000002</v>
      </c>
      <c r="J94" s="358"/>
    </row>
    <row r="95" spans="1:10">
      <c r="A95" s="353"/>
      <c r="B95" s="354" t="s">
        <v>515</v>
      </c>
      <c r="C95" s="355"/>
      <c r="D95" s="355"/>
      <c r="E95" s="355"/>
      <c r="F95" s="356"/>
      <c r="G95" s="356"/>
      <c r="H95" s="356"/>
      <c r="I95" s="336">
        <f t="shared" si="3"/>
        <v>0</v>
      </c>
      <c r="J95" s="358"/>
    </row>
    <row r="96" spans="1:10">
      <c r="A96" s="353"/>
      <c r="B96" s="354" t="s">
        <v>7</v>
      </c>
      <c r="C96" s="355">
        <v>-1</v>
      </c>
      <c r="D96" s="355"/>
      <c r="E96" s="355">
        <v>3</v>
      </c>
      <c r="F96" s="356">
        <v>1.2</v>
      </c>
      <c r="G96" s="356"/>
      <c r="H96" s="356">
        <v>2.1</v>
      </c>
      <c r="I96" s="336">
        <f t="shared" si="3"/>
        <v>-7.56</v>
      </c>
    </row>
    <row r="97" spans="1:256">
      <c r="A97" s="353"/>
      <c r="B97" s="354" t="s">
        <v>507</v>
      </c>
      <c r="C97" s="355">
        <v>-1</v>
      </c>
      <c r="D97" s="355"/>
      <c r="E97" s="355">
        <v>13</v>
      </c>
      <c r="F97" s="356">
        <v>1.8</v>
      </c>
      <c r="G97" s="356"/>
      <c r="H97" s="336">
        <v>1.35</v>
      </c>
      <c r="I97" s="336">
        <f t="shared" si="3"/>
        <v>-31.590000000000003</v>
      </c>
    </row>
    <row r="98" spans="1:256">
      <c r="A98" s="337"/>
      <c r="B98" s="354" t="s">
        <v>508</v>
      </c>
      <c r="C98" s="355">
        <v>-1</v>
      </c>
      <c r="D98" s="355"/>
      <c r="E98" s="355">
        <v>1</v>
      </c>
      <c r="F98" s="336">
        <v>1.35</v>
      </c>
      <c r="G98" s="336"/>
      <c r="H98" s="336">
        <v>1.35</v>
      </c>
      <c r="I98" s="336">
        <f t="shared" si="3"/>
        <v>-1.8225000000000002</v>
      </c>
    </row>
    <row r="99" spans="1:256">
      <c r="A99" s="337"/>
      <c r="B99" s="354" t="s">
        <v>510</v>
      </c>
      <c r="C99" s="355">
        <v>-1</v>
      </c>
      <c r="D99" s="355"/>
      <c r="E99" s="355">
        <v>10</v>
      </c>
      <c r="F99" s="336">
        <v>0.75</v>
      </c>
      <c r="G99" s="336"/>
      <c r="H99" s="336">
        <v>2.1</v>
      </c>
      <c r="I99" s="336">
        <f t="shared" si="3"/>
        <v>-15.75</v>
      </c>
    </row>
    <row r="100" spans="1:256">
      <c r="A100" s="337"/>
      <c r="B100" s="354" t="s">
        <v>511</v>
      </c>
      <c r="C100" s="355">
        <v>-1</v>
      </c>
      <c r="D100" s="355"/>
      <c r="E100" s="355">
        <v>10</v>
      </c>
      <c r="F100" s="336">
        <v>0.9</v>
      </c>
      <c r="G100" s="336"/>
      <c r="H100" s="336">
        <v>0.6</v>
      </c>
      <c r="I100" s="336">
        <f t="shared" si="3"/>
        <v>-5.3999999999999995</v>
      </c>
      <c r="K100" s="359"/>
      <c r="L100" s="359"/>
      <c r="M100" s="359"/>
      <c r="N100" s="359"/>
      <c r="O100" s="359"/>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c r="IP100" s="359"/>
      <c r="IQ100" s="359"/>
      <c r="IR100" s="359"/>
      <c r="IS100" s="359"/>
      <c r="IT100" s="359"/>
      <c r="IU100" s="359"/>
      <c r="IV100" s="359"/>
    </row>
    <row r="101" spans="1:256">
      <c r="A101" s="353"/>
      <c r="B101" s="354" t="s">
        <v>672</v>
      </c>
      <c r="C101" s="355">
        <v>-1</v>
      </c>
      <c r="D101" s="355"/>
      <c r="E101" s="355">
        <v>1</v>
      </c>
      <c r="F101" s="356">
        <v>1.2</v>
      </c>
      <c r="G101" s="356"/>
      <c r="H101" s="356">
        <v>2.1</v>
      </c>
      <c r="I101" s="336">
        <f t="shared" si="3"/>
        <v>-2.52</v>
      </c>
      <c r="J101" s="358"/>
      <c r="K101" s="359"/>
      <c r="L101" s="359"/>
      <c r="M101" s="359"/>
      <c r="N101" s="359"/>
      <c r="O101" s="359"/>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c r="IP101" s="359"/>
      <c r="IQ101" s="359"/>
      <c r="IR101" s="359"/>
      <c r="IS101" s="359"/>
      <c r="IT101" s="359"/>
      <c r="IU101" s="359"/>
      <c r="IV101" s="359"/>
    </row>
    <row r="102" spans="1:256">
      <c r="A102" s="353"/>
      <c r="B102" s="354"/>
      <c r="C102" s="355"/>
      <c r="D102" s="355"/>
      <c r="E102" s="355"/>
      <c r="F102" s="356"/>
      <c r="G102" s="356"/>
      <c r="H102" s="356"/>
      <c r="I102" s="336">
        <f>SUM(I40:I101)</f>
        <v>1508.2383000000004</v>
      </c>
      <c r="J102" s="358"/>
      <c r="K102" s="359"/>
      <c r="L102" s="359"/>
      <c r="M102" s="359"/>
      <c r="N102" s="359"/>
      <c r="O102" s="359"/>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c r="IP102" s="359"/>
      <c r="IQ102" s="359"/>
      <c r="IR102" s="359"/>
      <c r="IS102" s="359"/>
      <c r="IT102" s="359"/>
      <c r="IU102" s="359"/>
      <c r="IV102" s="359"/>
    </row>
    <row r="103" spans="1:256">
      <c r="A103" s="353"/>
      <c r="B103" s="354"/>
      <c r="C103" s="355"/>
      <c r="D103" s="355"/>
      <c r="E103" s="355"/>
      <c r="F103" s="356"/>
      <c r="G103" s="356"/>
      <c r="H103" s="371" t="s">
        <v>491</v>
      </c>
      <c r="I103" s="345">
        <v>1509</v>
      </c>
      <c r="J103" s="372" t="s">
        <v>289</v>
      </c>
      <c r="K103" s="359"/>
      <c r="L103" s="359"/>
      <c r="M103" s="359"/>
      <c r="N103" s="359"/>
      <c r="O103" s="359"/>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c r="IP103" s="359"/>
      <c r="IQ103" s="359"/>
      <c r="IR103" s="359"/>
      <c r="IS103" s="359"/>
      <c r="IT103" s="359"/>
      <c r="IU103" s="359"/>
      <c r="IV103" s="359"/>
    </row>
    <row r="104" spans="1:256">
      <c r="A104" s="353"/>
      <c r="B104" s="354"/>
      <c r="C104" s="355"/>
      <c r="D104" s="355"/>
      <c r="E104" s="355"/>
      <c r="F104" s="356"/>
      <c r="G104" s="356"/>
      <c r="H104" s="356"/>
      <c r="I104" s="336"/>
      <c r="J104" s="358"/>
      <c r="K104" s="359"/>
      <c r="L104" s="359"/>
      <c r="M104" s="359"/>
      <c r="N104" s="359"/>
      <c r="O104" s="359"/>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c r="IP104" s="359"/>
      <c r="IQ104" s="359"/>
      <c r="IR104" s="359"/>
      <c r="IS104" s="359"/>
      <c r="IT104" s="359"/>
      <c r="IU104" s="359"/>
      <c r="IV104" s="359"/>
    </row>
    <row r="105" spans="1:256" ht="31.5">
      <c r="A105" s="353">
        <v>3</v>
      </c>
      <c r="B105" s="354" t="s">
        <v>676</v>
      </c>
      <c r="C105" s="355"/>
      <c r="D105" s="355"/>
      <c r="E105" s="355"/>
      <c r="F105" s="356"/>
      <c r="G105" s="356"/>
      <c r="H105" s="356"/>
      <c r="I105" s="336"/>
      <c r="J105" s="358"/>
      <c r="K105" s="359"/>
      <c r="L105" s="359"/>
      <c r="M105" s="359"/>
      <c r="N105" s="359"/>
      <c r="O105" s="359"/>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c r="IP105" s="359"/>
      <c r="IQ105" s="359"/>
      <c r="IR105" s="359"/>
      <c r="IS105" s="359"/>
      <c r="IT105" s="359"/>
      <c r="IU105" s="359"/>
      <c r="IV105" s="359"/>
    </row>
    <row r="106" spans="1:256">
      <c r="A106" s="337"/>
      <c r="B106" s="338" t="s">
        <v>518</v>
      </c>
      <c r="C106" s="339"/>
      <c r="D106" s="339"/>
      <c r="E106" s="339"/>
      <c r="F106" s="336"/>
      <c r="G106" s="336"/>
      <c r="H106" s="336"/>
      <c r="I106" s="336"/>
    </row>
    <row r="107" spans="1:256">
      <c r="A107" s="337"/>
      <c r="B107" s="338" t="s">
        <v>677</v>
      </c>
      <c r="C107" s="339"/>
      <c r="D107" s="339"/>
      <c r="E107" s="339"/>
      <c r="F107" s="336"/>
      <c r="G107" s="336"/>
      <c r="H107" s="336"/>
      <c r="I107" s="336"/>
    </row>
    <row r="108" spans="1:256">
      <c r="A108" s="337"/>
      <c r="B108" s="338" t="s">
        <v>678</v>
      </c>
      <c r="C108" s="339">
        <v>1</v>
      </c>
      <c r="D108" s="339"/>
      <c r="E108" s="339">
        <v>1</v>
      </c>
      <c r="F108" s="336">
        <v>32.39</v>
      </c>
      <c r="G108" s="336"/>
      <c r="H108" s="336">
        <v>3.05</v>
      </c>
      <c r="I108" s="336">
        <f t="shared" ref="I108:I133" si="4">PRODUCT(C108:H108)</f>
        <v>98.78949999999999</v>
      </c>
    </row>
    <row r="109" spans="1:256">
      <c r="A109" s="337"/>
      <c r="B109" s="338" t="s">
        <v>679</v>
      </c>
      <c r="C109" s="339">
        <v>1</v>
      </c>
      <c r="D109" s="339"/>
      <c r="E109" s="339">
        <v>1</v>
      </c>
      <c r="F109" s="336">
        <v>32.39</v>
      </c>
      <c r="G109" s="336"/>
      <c r="H109" s="336">
        <v>0.9</v>
      </c>
      <c r="I109" s="336">
        <f t="shared" si="4"/>
        <v>29.151</v>
      </c>
    </row>
    <row r="110" spans="1:256">
      <c r="A110" s="337"/>
      <c r="B110" s="338" t="s">
        <v>680</v>
      </c>
      <c r="C110" s="339">
        <v>1</v>
      </c>
      <c r="D110" s="339"/>
      <c r="E110" s="339">
        <v>1</v>
      </c>
      <c r="F110" s="336">
        <v>32.39</v>
      </c>
      <c r="G110" s="336"/>
      <c r="H110" s="336">
        <v>2</v>
      </c>
      <c r="I110" s="336">
        <f t="shared" si="4"/>
        <v>64.78</v>
      </c>
    </row>
    <row r="111" spans="1:256">
      <c r="A111" s="337"/>
      <c r="B111" s="338" t="s">
        <v>681</v>
      </c>
      <c r="C111" s="339">
        <v>1</v>
      </c>
      <c r="D111" s="339"/>
      <c r="E111" s="339">
        <v>2</v>
      </c>
      <c r="F111" s="336">
        <v>7.0000000000000007E-2</v>
      </c>
      <c r="G111" s="336"/>
      <c r="H111" s="336">
        <v>3</v>
      </c>
      <c r="I111" s="336">
        <f t="shared" si="4"/>
        <v>0.42000000000000004</v>
      </c>
    </row>
    <row r="112" spans="1:256">
      <c r="A112" s="337"/>
      <c r="B112" s="338" t="s">
        <v>682</v>
      </c>
      <c r="C112" s="339">
        <v>1</v>
      </c>
      <c r="D112" s="339"/>
      <c r="E112" s="339">
        <v>1</v>
      </c>
      <c r="F112" s="336">
        <v>32.39</v>
      </c>
      <c r="G112" s="336"/>
      <c r="H112" s="336">
        <v>0.72</v>
      </c>
      <c r="I112" s="336">
        <f t="shared" si="4"/>
        <v>23.320799999999998</v>
      </c>
    </row>
    <row r="113" spans="1:9">
      <c r="A113" s="337"/>
      <c r="B113" s="338" t="s">
        <v>683</v>
      </c>
      <c r="C113" s="339">
        <v>1</v>
      </c>
      <c r="D113" s="339"/>
      <c r="E113" s="339">
        <v>1</v>
      </c>
      <c r="F113" s="336">
        <v>32.39</v>
      </c>
      <c r="G113" s="336"/>
      <c r="H113" s="336">
        <v>3.05</v>
      </c>
      <c r="I113" s="336">
        <f t="shared" si="4"/>
        <v>98.78949999999999</v>
      </c>
    </row>
    <row r="114" spans="1:9">
      <c r="A114" s="337"/>
      <c r="B114" s="338" t="s">
        <v>680</v>
      </c>
      <c r="C114" s="339">
        <v>1</v>
      </c>
      <c r="D114" s="339"/>
      <c r="E114" s="339">
        <v>1</v>
      </c>
      <c r="F114" s="336">
        <v>32.39</v>
      </c>
      <c r="G114" s="336"/>
      <c r="H114" s="336">
        <v>1.3</v>
      </c>
      <c r="I114" s="336">
        <f t="shared" si="4"/>
        <v>42.106999999999999</v>
      </c>
    </row>
    <row r="115" spans="1:9">
      <c r="A115" s="337"/>
      <c r="B115" s="338" t="s">
        <v>682</v>
      </c>
      <c r="C115" s="339">
        <v>1</v>
      </c>
      <c r="D115" s="339"/>
      <c r="E115" s="339">
        <v>1</v>
      </c>
      <c r="F115" s="336">
        <v>32.39</v>
      </c>
      <c r="G115" s="336"/>
      <c r="H115" s="336">
        <v>0.72</v>
      </c>
      <c r="I115" s="336">
        <f t="shared" si="4"/>
        <v>23.320799999999998</v>
      </c>
    </row>
    <row r="116" spans="1:9">
      <c r="A116" s="337"/>
      <c r="B116" s="338" t="s">
        <v>684</v>
      </c>
      <c r="C116" s="339">
        <v>1</v>
      </c>
      <c r="D116" s="339"/>
      <c r="E116" s="339">
        <v>1</v>
      </c>
      <c r="F116" s="336">
        <v>32.39</v>
      </c>
      <c r="G116" s="336"/>
      <c r="H116" s="336">
        <v>1.32</v>
      </c>
      <c r="I116" s="336">
        <f t="shared" si="4"/>
        <v>42.754800000000003</v>
      </c>
    </row>
    <row r="117" spans="1:9">
      <c r="A117" s="337"/>
      <c r="B117" s="338" t="s">
        <v>685</v>
      </c>
      <c r="C117" s="339">
        <v>1</v>
      </c>
      <c r="D117" s="339"/>
      <c r="E117" s="339">
        <v>2</v>
      </c>
      <c r="F117" s="336">
        <v>1.8</v>
      </c>
      <c r="G117" s="336"/>
      <c r="H117" s="336">
        <v>1.2</v>
      </c>
      <c r="I117" s="336">
        <f t="shared" si="4"/>
        <v>4.32</v>
      </c>
    </row>
    <row r="118" spans="1:9">
      <c r="A118" s="337"/>
      <c r="B118" s="338" t="s">
        <v>686</v>
      </c>
      <c r="C118" s="339">
        <v>1</v>
      </c>
      <c r="D118" s="339"/>
      <c r="E118" s="339">
        <v>3</v>
      </c>
      <c r="F118" s="336">
        <v>1.8</v>
      </c>
      <c r="G118" s="336"/>
      <c r="H118" s="336">
        <v>1.2</v>
      </c>
      <c r="I118" s="336">
        <f t="shared" si="4"/>
        <v>6.48</v>
      </c>
    </row>
    <row r="119" spans="1:9">
      <c r="A119" s="337"/>
      <c r="B119" s="338" t="s">
        <v>687</v>
      </c>
      <c r="C119" s="339">
        <v>2</v>
      </c>
      <c r="D119" s="339"/>
      <c r="E119" s="339">
        <v>1</v>
      </c>
      <c r="F119" s="336">
        <v>32.39</v>
      </c>
      <c r="G119" s="336"/>
      <c r="H119" s="336">
        <v>1</v>
      </c>
      <c r="I119" s="336">
        <f t="shared" si="4"/>
        <v>64.78</v>
      </c>
    </row>
    <row r="120" spans="1:9">
      <c r="A120" s="337"/>
      <c r="B120" s="338" t="s">
        <v>530</v>
      </c>
      <c r="C120" s="339">
        <v>1</v>
      </c>
      <c r="D120" s="339"/>
      <c r="E120" s="339">
        <v>1</v>
      </c>
      <c r="F120" s="336">
        <v>32.39</v>
      </c>
      <c r="G120" s="336">
        <v>0.12</v>
      </c>
      <c r="H120" s="336"/>
      <c r="I120" s="336">
        <f t="shared" si="4"/>
        <v>3.8868</v>
      </c>
    </row>
    <row r="121" spans="1:9">
      <c r="A121" s="337"/>
      <c r="B121" s="338" t="s">
        <v>485</v>
      </c>
      <c r="C121" s="339">
        <v>1</v>
      </c>
      <c r="D121" s="339"/>
      <c r="E121" s="339">
        <v>2</v>
      </c>
      <c r="F121" s="336">
        <v>14.7</v>
      </c>
      <c r="G121" s="336"/>
      <c r="H121" s="336">
        <v>2.8</v>
      </c>
      <c r="I121" s="336">
        <f t="shared" si="4"/>
        <v>82.32</v>
      </c>
    </row>
    <row r="122" spans="1:9">
      <c r="A122" s="337"/>
      <c r="B122" s="338"/>
      <c r="C122" s="339"/>
      <c r="D122" s="339"/>
      <c r="E122" s="339"/>
      <c r="F122" s="336"/>
      <c r="G122" s="336"/>
      <c r="H122" s="336"/>
      <c r="I122" s="336">
        <f t="shared" si="4"/>
        <v>0</v>
      </c>
    </row>
    <row r="123" spans="1:9">
      <c r="A123" s="337"/>
      <c r="B123" s="338" t="s">
        <v>688</v>
      </c>
      <c r="C123" s="339"/>
      <c r="D123" s="339"/>
      <c r="E123" s="339"/>
      <c r="F123" s="336"/>
      <c r="G123" s="336"/>
      <c r="H123" s="336"/>
      <c r="I123" s="336">
        <f t="shared" si="4"/>
        <v>0</v>
      </c>
    </row>
    <row r="124" spans="1:9">
      <c r="A124" s="337"/>
      <c r="B124" s="338" t="s">
        <v>678</v>
      </c>
      <c r="C124" s="339">
        <v>1</v>
      </c>
      <c r="D124" s="339"/>
      <c r="E124" s="339">
        <v>1</v>
      </c>
      <c r="F124" s="336">
        <v>5.96</v>
      </c>
      <c r="G124" s="336"/>
      <c r="H124" s="336">
        <v>3.05</v>
      </c>
      <c r="I124" s="336">
        <f t="shared" si="4"/>
        <v>18.177999999999997</v>
      </c>
    </row>
    <row r="125" spans="1:9">
      <c r="A125" s="337"/>
      <c r="B125" s="338" t="s">
        <v>683</v>
      </c>
      <c r="C125" s="339">
        <v>1</v>
      </c>
      <c r="D125" s="339"/>
      <c r="E125" s="339">
        <v>1</v>
      </c>
      <c r="F125" s="336">
        <v>5.96</v>
      </c>
      <c r="G125" s="336"/>
      <c r="H125" s="336">
        <v>3.05</v>
      </c>
      <c r="I125" s="336">
        <f t="shared" si="4"/>
        <v>18.177999999999997</v>
      </c>
    </row>
    <row r="126" spans="1:9">
      <c r="A126" s="337"/>
      <c r="B126" s="338" t="s">
        <v>687</v>
      </c>
      <c r="C126" s="339">
        <v>2</v>
      </c>
      <c r="D126" s="339"/>
      <c r="E126" s="339">
        <v>1</v>
      </c>
      <c r="F126" s="336">
        <v>5.96</v>
      </c>
      <c r="G126" s="336"/>
      <c r="H126" s="336">
        <v>1</v>
      </c>
      <c r="I126" s="336">
        <f t="shared" si="4"/>
        <v>11.92</v>
      </c>
    </row>
    <row r="127" spans="1:9">
      <c r="A127" s="337"/>
      <c r="B127" s="338" t="s">
        <v>530</v>
      </c>
      <c r="C127" s="339">
        <v>1</v>
      </c>
      <c r="D127" s="339"/>
      <c r="E127" s="339">
        <v>1</v>
      </c>
      <c r="F127" s="336">
        <v>5.96</v>
      </c>
      <c r="G127" s="336">
        <v>0.12</v>
      </c>
      <c r="H127" s="336"/>
      <c r="I127" s="336">
        <f t="shared" si="4"/>
        <v>0.71519999999999995</v>
      </c>
    </row>
    <row r="128" spans="1:9">
      <c r="A128" s="337"/>
      <c r="B128" s="338"/>
      <c r="C128" s="339"/>
      <c r="D128" s="339"/>
      <c r="E128" s="339"/>
      <c r="F128" s="336"/>
      <c r="G128" s="336"/>
      <c r="H128" s="336"/>
      <c r="I128" s="336"/>
    </row>
    <row r="129" spans="1:9">
      <c r="A129" s="337"/>
      <c r="B129" s="354" t="s">
        <v>689</v>
      </c>
      <c r="C129" s="339"/>
      <c r="D129" s="339"/>
      <c r="E129" s="339"/>
      <c r="F129" s="336"/>
      <c r="G129" s="336"/>
      <c r="H129" s="336"/>
      <c r="I129" s="336">
        <f t="shared" si="4"/>
        <v>0</v>
      </c>
    </row>
    <row r="130" spans="1:9">
      <c r="A130" s="337"/>
      <c r="B130" s="338" t="s">
        <v>678</v>
      </c>
      <c r="C130" s="339">
        <v>1</v>
      </c>
      <c r="D130" s="339"/>
      <c r="E130" s="339">
        <v>1</v>
      </c>
      <c r="F130" s="336">
        <v>10.19</v>
      </c>
      <c r="G130" s="336"/>
      <c r="H130" s="336">
        <v>4</v>
      </c>
      <c r="I130" s="336">
        <f t="shared" si="4"/>
        <v>40.76</v>
      </c>
    </row>
    <row r="131" spans="1:9">
      <c r="A131" s="337"/>
      <c r="B131" s="338" t="s">
        <v>683</v>
      </c>
      <c r="C131" s="339">
        <v>1</v>
      </c>
      <c r="D131" s="339"/>
      <c r="E131" s="339">
        <v>1</v>
      </c>
      <c r="F131" s="336">
        <v>5.73</v>
      </c>
      <c r="G131" s="336"/>
      <c r="H131" s="336">
        <v>3.05</v>
      </c>
      <c r="I131" s="336">
        <f t="shared" si="4"/>
        <v>17.476500000000001</v>
      </c>
    </row>
    <row r="132" spans="1:9">
      <c r="A132" s="337"/>
      <c r="B132" s="338" t="s">
        <v>687</v>
      </c>
      <c r="C132" s="339">
        <v>2</v>
      </c>
      <c r="D132" s="339"/>
      <c r="E132" s="339">
        <v>1</v>
      </c>
      <c r="F132" s="336">
        <v>5.73</v>
      </c>
      <c r="G132" s="336"/>
      <c r="H132" s="336">
        <v>1</v>
      </c>
      <c r="I132" s="336">
        <f t="shared" si="4"/>
        <v>11.46</v>
      </c>
    </row>
    <row r="133" spans="1:9">
      <c r="A133" s="337"/>
      <c r="B133" s="338" t="s">
        <v>530</v>
      </c>
      <c r="C133" s="339">
        <v>1</v>
      </c>
      <c r="D133" s="339"/>
      <c r="E133" s="339">
        <v>1</v>
      </c>
      <c r="F133" s="336">
        <v>5.73</v>
      </c>
      <c r="G133" s="336">
        <v>0.12</v>
      </c>
      <c r="H133" s="336"/>
      <c r="I133" s="336">
        <f t="shared" si="4"/>
        <v>0.68759999999999999</v>
      </c>
    </row>
    <row r="134" spans="1:9">
      <c r="A134" s="337"/>
      <c r="B134" s="338"/>
      <c r="C134" s="339"/>
      <c r="D134" s="339"/>
      <c r="E134" s="339"/>
      <c r="F134" s="336"/>
      <c r="G134" s="336"/>
      <c r="H134" s="336"/>
      <c r="I134" s="336"/>
    </row>
    <row r="135" spans="1:9">
      <c r="A135" s="337"/>
      <c r="B135" s="338" t="s">
        <v>690</v>
      </c>
      <c r="C135" s="339"/>
      <c r="D135" s="339"/>
      <c r="E135" s="339"/>
      <c r="F135" s="336"/>
      <c r="G135" s="336"/>
      <c r="H135" s="336"/>
      <c r="I135" s="336"/>
    </row>
    <row r="136" spans="1:9">
      <c r="A136" s="337"/>
      <c r="B136" s="338" t="s">
        <v>678</v>
      </c>
      <c r="C136" s="339">
        <v>1</v>
      </c>
      <c r="D136" s="339"/>
      <c r="E136" s="339">
        <v>1</v>
      </c>
      <c r="F136" s="336">
        <v>53.7</v>
      </c>
      <c r="G136" s="336"/>
      <c r="H136" s="336">
        <v>3.05</v>
      </c>
      <c r="I136" s="336">
        <f t="shared" ref="I136:I156" si="5">PRODUCT(C136:H136)</f>
        <v>163.785</v>
      </c>
    </row>
    <row r="137" spans="1:9">
      <c r="A137" s="337"/>
      <c r="B137" s="338" t="s">
        <v>683</v>
      </c>
      <c r="C137" s="339">
        <v>1</v>
      </c>
      <c r="D137" s="339"/>
      <c r="E137" s="339">
        <v>1</v>
      </c>
      <c r="F137" s="336">
        <v>49.24</v>
      </c>
      <c r="G137" s="336"/>
      <c r="H137" s="336">
        <v>3.05</v>
      </c>
      <c r="I137" s="336">
        <f t="shared" si="5"/>
        <v>150.18199999999999</v>
      </c>
    </row>
    <row r="138" spans="1:9">
      <c r="A138" s="337"/>
      <c r="B138" s="338" t="s">
        <v>687</v>
      </c>
      <c r="C138" s="339">
        <v>2</v>
      </c>
      <c r="D138" s="339"/>
      <c r="E138" s="339">
        <v>1</v>
      </c>
      <c r="F138" s="336">
        <v>49.24</v>
      </c>
      <c r="G138" s="336"/>
      <c r="H138" s="336">
        <v>1</v>
      </c>
      <c r="I138" s="336">
        <f t="shared" si="5"/>
        <v>98.48</v>
      </c>
    </row>
    <row r="139" spans="1:9">
      <c r="A139" s="337"/>
      <c r="B139" s="338" t="s">
        <v>530</v>
      </c>
      <c r="C139" s="339">
        <v>1</v>
      </c>
      <c r="D139" s="339"/>
      <c r="E139" s="339">
        <v>1</v>
      </c>
      <c r="F139" s="336">
        <v>49.24</v>
      </c>
      <c r="G139" s="336">
        <v>0.12</v>
      </c>
      <c r="H139" s="336"/>
      <c r="I139" s="336">
        <f t="shared" si="5"/>
        <v>5.9088000000000003</v>
      </c>
    </row>
    <row r="140" spans="1:9">
      <c r="A140" s="337"/>
      <c r="B140" s="338"/>
      <c r="C140" s="339"/>
      <c r="D140" s="339"/>
      <c r="E140" s="339"/>
      <c r="F140" s="336"/>
      <c r="G140" s="336"/>
      <c r="H140" s="336"/>
      <c r="I140" s="336"/>
    </row>
    <row r="141" spans="1:9">
      <c r="A141" s="337"/>
      <c r="B141" s="338" t="s">
        <v>691</v>
      </c>
      <c r="C141" s="339"/>
      <c r="D141" s="339"/>
      <c r="E141" s="339"/>
      <c r="F141" s="336"/>
      <c r="G141" s="336"/>
      <c r="H141" s="336"/>
      <c r="I141" s="336">
        <f t="shared" si="5"/>
        <v>0</v>
      </c>
    </row>
    <row r="142" spans="1:9">
      <c r="A142" s="353"/>
      <c r="B142" s="354" t="s">
        <v>507</v>
      </c>
      <c r="C142" s="355">
        <v>2</v>
      </c>
      <c r="D142" s="355"/>
      <c r="E142" s="355">
        <v>20</v>
      </c>
      <c r="F142" s="336">
        <v>2.2599999999999998</v>
      </c>
      <c r="G142" s="336">
        <v>0.6</v>
      </c>
      <c r="H142" s="336"/>
      <c r="I142" s="336">
        <f t="shared" si="5"/>
        <v>54.239999999999995</v>
      </c>
    </row>
    <row r="143" spans="1:9">
      <c r="A143" s="337"/>
      <c r="B143" s="354" t="s">
        <v>508</v>
      </c>
      <c r="C143" s="355">
        <v>2</v>
      </c>
      <c r="D143" s="355"/>
      <c r="E143" s="355">
        <v>5</v>
      </c>
      <c r="F143" s="336">
        <v>1.81</v>
      </c>
      <c r="G143" s="336">
        <v>0.6</v>
      </c>
      <c r="H143" s="336"/>
      <c r="I143" s="336">
        <f t="shared" si="5"/>
        <v>10.860000000000001</v>
      </c>
    </row>
    <row r="144" spans="1:9">
      <c r="A144" s="337"/>
      <c r="B144" s="354" t="s">
        <v>670</v>
      </c>
      <c r="C144" s="355">
        <v>2</v>
      </c>
      <c r="D144" s="355"/>
      <c r="E144" s="355">
        <v>1</v>
      </c>
      <c r="F144" s="336">
        <v>1.81</v>
      </c>
      <c r="G144" s="336">
        <v>0.6</v>
      </c>
      <c r="H144" s="336"/>
      <c r="I144" s="336">
        <f t="shared" si="5"/>
        <v>2.1720000000000002</v>
      </c>
    </row>
    <row r="145" spans="1:256">
      <c r="A145" s="337"/>
      <c r="B145" s="354" t="s">
        <v>671</v>
      </c>
      <c r="C145" s="355">
        <v>2</v>
      </c>
      <c r="D145" s="355"/>
      <c r="E145" s="355">
        <v>2</v>
      </c>
      <c r="F145" s="336">
        <v>2.2599999999999998</v>
      </c>
      <c r="G145" s="336">
        <v>0.6</v>
      </c>
      <c r="H145" s="336"/>
      <c r="I145" s="336">
        <f t="shared" si="5"/>
        <v>5.4239999999999995</v>
      </c>
    </row>
    <row r="146" spans="1:256">
      <c r="A146" s="337"/>
      <c r="B146" s="354" t="s">
        <v>692</v>
      </c>
      <c r="C146" s="355"/>
      <c r="D146" s="355"/>
      <c r="E146" s="355"/>
      <c r="F146" s="336"/>
      <c r="G146" s="336"/>
      <c r="H146" s="336"/>
      <c r="I146" s="336">
        <f t="shared" si="5"/>
        <v>0</v>
      </c>
    </row>
    <row r="147" spans="1:256">
      <c r="A147" s="353"/>
      <c r="B147" s="354" t="s">
        <v>507</v>
      </c>
      <c r="C147" s="355">
        <v>2</v>
      </c>
      <c r="D147" s="355"/>
      <c r="E147" s="355">
        <v>20</v>
      </c>
      <c r="F147" s="336">
        <v>0.6</v>
      </c>
      <c r="G147" s="336">
        <v>7.0000000000000007E-2</v>
      </c>
      <c r="H147" s="336"/>
      <c r="I147" s="336">
        <f t="shared" si="5"/>
        <v>1.6800000000000002</v>
      </c>
    </row>
    <row r="148" spans="1:256">
      <c r="A148" s="337"/>
      <c r="B148" s="354" t="s">
        <v>508</v>
      </c>
      <c r="C148" s="355">
        <v>2</v>
      </c>
      <c r="D148" s="355"/>
      <c r="E148" s="355">
        <v>5</v>
      </c>
      <c r="F148" s="336">
        <v>0.6</v>
      </c>
      <c r="G148" s="336">
        <v>7.0000000000000007E-2</v>
      </c>
      <c r="H148" s="336"/>
      <c r="I148" s="336">
        <f t="shared" si="5"/>
        <v>0.42000000000000004</v>
      </c>
    </row>
    <row r="149" spans="1:256">
      <c r="A149" s="337"/>
      <c r="B149" s="354" t="s">
        <v>670</v>
      </c>
      <c r="C149" s="355">
        <v>2</v>
      </c>
      <c r="D149" s="355"/>
      <c r="E149" s="355">
        <v>1</v>
      </c>
      <c r="F149" s="336">
        <v>0.6</v>
      </c>
      <c r="G149" s="336">
        <v>7.0000000000000007E-2</v>
      </c>
      <c r="H149" s="336"/>
      <c r="I149" s="336">
        <f t="shared" si="5"/>
        <v>8.4000000000000005E-2</v>
      </c>
    </row>
    <row r="150" spans="1:256">
      <c r="A150" s="337"/>
      <c r="B150" s="354" t="s">
        <v>671</v>
      </c>
      <c r="C150" s="355">
        <v>2</v>
      </c>
      <c r="D150" s="355"/>
      <c r="E150" s="355">
        <v>2</v>
      </c>
      <c r="F150" s="336">
        <v>0.6</v>
      </c>
      <c r="G150" s="336">
        <v>7.0000000000000007E-2</v>
      </c>
      <c r="H150" s="336"/>
      <c r="I150" s="336">
        <f t="shared" si="5"/>
        <v>0.16800000000000001</v>
      </c>
    </row>
    <row r="151" spans="1:256">
      <c r="A151" s="337"/>
      <c r="B151" s="338" t="s">
        <v>693</v>
      </c>
      <c r="C151" s="339"/>
      <c r="D151" s="339"/>
      <c r="E151" s="339"/>
      <c r="F151" s="336"/>
      <c r="G151" s="336"/>
      <c r="H151" s="336"/>
      <c r="I151" s="336">
        <f t="shared" si="5"/>
        <v>0</v>
      </c>
    </row>
    <row r="152" spans="1:256" ht="15.75" customHeight="1">
      <c r="A152" s="337"/>
      <c r="B152" s="354" t="s">
        <v>694</v>
      </c>
      <c r="C152" s="339">
        <v>1</v>
      </c>
      <c r="D152" s="339"/>
      <c r="E152" s="339">
        <v>4</v>
      </c>
      <c r="F152" s="336">
        <v>1.8</v>
      </c>
      <c r="G152" s="336"/>
      <c r="H152" s="336">
        <v>2.1</v>
      </c>
      <c r="I152" s="336">
        <f t="shared" si="5"/>
        <v>15.120000000000001</v>
      </c>
    </row>
    <row r="153" spans="1:256">
      <c r="A153" s="337"/>
      <c r="B153" s="338" t="s">
        <v>695</v>
      </c>
      <c r="C153" s="339">
        <v>1</v>
      </c>
      <c r="D153" s="339"/>
      <c r="E153" s="339">
        <v>2</v>
      </c>
      <c r="F153" s="336">
        <v>8.4</v>
      </c>
      <c r="G153" s="336"/>
      <c r="H153" s="336">
        <v>2.8</v>
      </c>
      <c r="I153" s="336">
        <f t="shared" si="5"/>
        <v>47.04</v>
      </c>
    </row>
    <row r="154" spans="1:256">
      <c r="A154" s="353"/>
      <c r="B154" s="354" t="s">
        <v>523</v>
      </c>
      <c r="C154" s="355">
        <v>1</v>
      </c>
      <c r="D154" s="355"/>
      <c r="E154" s="355">
        <v>1</v>
      </c>
      <c r="F154" s="356">
        <v>8.4</v>
      </c>
      <c r="G154" s="356"/>
      <c r="H154" s="356">
        <v>0.23</v>
      </c>
      <c r="I154" s="336">
        <f t="shared" si="5"/>
        <v>1.9320000000000002</v>
      </c>
      <c r="J154" s="358"/>
      <c r="K154" s="359"/>
      <c r="L154" s="359"/>
      <c r="M154" s="359"/>
      <c r="N154" s="359"/>
      <c r="O154" s="35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c r="IP154" s="359"/>
      <c r="IQ154" s="359"/>
      <c r="IR154" s="359"/>
      <c r="IS154" s="359"/>
      <c r="IT154" s="359"/>
      <c r="IU154" s="359"/>
      <c r="IV154" s="359"/>
    </row>
    <row r="155" spans="1:256">
      <c r="A155" s="353"/>
      <c r="B155" s="354" t="s">
        <v>515</v>
      </c>
      <c r="C155" s="355">
        <v>1</v>
      </c>
      <c r="D155" s="355"/>
      <c r="E155" s="355">
        <v>1</v>
      </c>
      <c r="F155" s="356">
        <v>8.4</v>
      </c>
      <c r="G155" s="356"/>
      <c r="H155" s="356">
        <v>1.2</v>
      </c>
      <c r="I155" s="336">
        <f t="shared" si="5"/>
        <v>10.08</v>
      </c>
      <c r="J155" s="358"/>
      <c r="K155" s="359"/>
      <c r="L155" s="359"/>
      <c r="M155" s="359"/>
      <c r="N155" s="359"/>
      <c r="O155" s="35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c r="IP155" s="359"/>
      <c r="IQ155" s="359"/>
      <c r="IR155" s="359"/>
      <c r="IS155" s="359"/>
      <c r="IT155" s="359"/>
      <c r="IU155" s="359"/>
      <c r="IV155" s="359"/>
    </row>
    <row r="156" spans="1:256">
      <c r="A156" s="353"/>
      <c r="B156" s="354"/>
      <c r="C156" s="355">
        <v>1</v>
      </c>
      <c r="D156" s="355"/>
      <c r="E156" s="355">
        <v>1</v>
      </c>
      <c r="F156" s="356">
        <v>0.75</v>
      </c>
      <c r="G156" s="356"/>
      <c r="H156" s="356">
        <v>0.75</v>
      </c>
      <c r="I156" s="336">
        <f t="shared" si="5"/>
        <v>0.5625</v>
      </c>
      <c r="J156" s="358"/>
      <c r="K156" s="359"/>
      <c r="L156" s="359"/>
      <c r="M156" s="359"/>
      <c r="N156" s="359"/>
      <c r="O156" s="35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c r="IP156" s="359"/>
      <c r="IQ156" s="359"/>
      <c r="IR156" s="359"/>
      <c r="IS156" s="359"/>
      <c r="IT156" s="359"/>
      <c r="IU156" s="359"/>
      <c r="IV156" s="359"/>
    </row>
    <row r="157" spans="1:256">
      <c r="A157" s="337"/>
      <c r="B157" s="338" t="s">
        <v>515</v>
      </c>
      <c r="C157" s="339"/>
      <c r="D157" s="339"/>
      <c r="E157" s="339"/>
      <c r="F157" s="336"/>
      <c r="G157" s="336"/>
      <c r="H157" s="336"/>
      <c r="I157" s="336"/>
    </row>
    <row r="158" spans="1:256">
      <c r="A158" s="337"/>
      <c r="B158" s="338" t="s">
        <v>506</v>
      </c>
      <c r="C158" s="339">
        <v>-1</v>
      </c>
      <c r="D158" s="339"/>
      <c r="E158" s="339">
        <v>1</v>
      </c>
      <c r="F158" s="336">
        <v>1.5</v>
      </c>
      <c r="G158" s="336"/>
      <c r="H158" s="336">
        <v>2.1</v>
      </c>
      <c r="I158" s="336">
        <f t="shared" ref="I158:I169" si="6">PRODUCT(C158:H158)</f>
        <v>-3.1500000000000004</v>
      </c>
    </row>
    <row r="159" spans="1:256">
      <c r="A159" s="353"/>
      <c r="B159" s="354" t="s">
        <v>7</v>
      </c>
      <c r="C159" s="355">
        <v>-1</v>
      </c>
      <c r="D159" s="355"/>
      <c r="E159" s="355">
        <v>5</v>
      </c>
      <c r="F159" s="356">
        <v>1.2</v>
      </c>
      <c r="G159" s="356"/>
      <c r="H159" s="356">
        <v>2.1</v>
      </c>
      <c r="I159" s="336">
        <f t="shared" si="6"/>
        <v>-12.600000000000001</v>
      </c>
    </row>
    <row r="160" spans="1:256">
      <c r="A160" s="353"/>
      <c r="B160" s="354" t="s">
        <v>507</v>
      </c>
      <c r="C160" s="355">
        <v>-1</v>
      </c>
      <c r="D160" s="355"/>
      <c r="E160" s="355">
        <v>20</v>
      </c>
      <c r="F160" s="356">
        <v>1.8</v>
      </c>
      <c r="G160" s="356"/>
      <c r="H160" s="336">
        <v>1.35</v>
      </c>
      <c r="I160" s="336">
        <f t="shared" si="6"/>
        <v>-48.6</v>
      </c>
    </row>
    <row r="161" spans="1:256">
      <c r="A161" s="337"/>
      <c r="B161" s="354" t="s">
        <v>508</v>
      </c>
      <c r="C161" s="355">
        <v>-1</v>
      </c>
      <c r="D161" s="355"/>
      <c r="E161" s="355">
        <v>5</v>
      </c>
      <c r="F161" s="336">
        <v>1.35</v>
      </c>
      <c r="G161" s="336"/>
      <c r="H161" s="336">
        <v>1.35</v>
      </c>
      <c r="I161" s="336">
        <f t="shared" si="6"/>
        <v>-9.1125000000000007</v>
      </c>
    </row>
    <row r="162" spans="1:256">
      <c r="A162" s="337"/>
      <c r="B162" s="354" t="s">
        <v>670</v>
      </c>
      <c r="C162" s="355">
        <v>-1</v>
      </c>
      <c r="D162" s="355"/>
      <c r="E162" s="355">
        <v>1</v>
      </c>
      <c r="F162" s="336">
        <v>1.8</v>
      </c>
      <c r="G162" s="336"/>
      <c r="H162" s="336">
        <v>1.05</v>
      </c>
      <c r="I162" s="336">
        <f t="shared" si="6"/>
        <v>-1.8900000000000001</v>
      </c>
    </row>
    <row r="163" spans="1:256">
      <c r="A163" s="337"/>
      <c r="B163" s="354" t="s">
        <v>671</v>
      </c>
      <c r="C163" s="355">
        <v>-1</v>
      </c>
      <c r="D163" s="355"/>
      <c r="E163" s="355">
        <v>2</v>
      </c>
      <c r="F163" s="336">
        <v>1.35</v>
      </c>
      <c r="G163" s="336"/>
      <c r="H163" s="336">
        <v>1.05</v>
      </c>
      <c r="I163" s="336">
        <f t="shared" si="6"/>
        <v>-2.8350000000000004</v>
      </c>
    </row>
    <row r="164" spans="1:256" ht="15.75" customHeight="1">
      <c r="A164" s="337"/>
      <c r="B164" s="354" t="s">
        <v>511</v>
      </c>
      <c r="C164" s="355">
        <v>-1</v>
      </c>
      <c r="D164" s="355"/>
      <c r="E164" s="355">
        <v>26</v>
      </c>
      <c r="F164" s="336">
        <v>0.9</v>
      </c>
      <c r="G164" s="336"/>
      <c r="H164" s="336">
        <v>0.6</v>
      </c>
      <c r="I164" s="336">
        <f t="shared" si="6"/>
        <v>-14.040000000000001</v>
      </c>
    </row>
    <row r="165" spans="1:256" ht="15.75" customHeight="1">
      <c r="A165" s="337"/>
      <c r="B165" s="354" t="s">
        <v>696</v>
      </c>
      <c r="C165" s="355"/>
      <c r="D165" s="355"/>
      <c r="E165" s="355"/>
      <c r="F165" s="336"/>
      <c r="G165" s="336"/>
      <c r="H165" s="336"/>
      <c r="I165" s="336"/>
    </row>
    <row r="166" spans="1:256" ht="15.75" customHeight="1">
      <c r="A166" s="337"/>
      <c r="B166" s="354" t="s">
        <v>697</v>
      </c>
      <c r="C166" s="355">
        <v>1</v>
      </c>
      <c r="D166" s="355"/>
      <c r="E166" s="355">
        <v>1</v>
      </c>
      <c r="F166" s="336">
        <v>9.5</v>
      </c>
      <c r="G166" s="336"/>
      <c r="H166" s="336">
        <v>2.9</v>
      </c>
      <c r="I166" s="336">
        <f t="shared" si="6"/>
        <v>27.55</v>
      </c>
    </row>
    <row r="167" spans="1:256" ht="15.75" customHeight="1">
      <c r="A167" s="337"/>
      <c r="B167" s="354" t="s">
        <v>698</v>
      </c>
      <c r="C167" s="355">
        <v>1</v>
      </c>
      <c r="D167" s="355"/>
      <c r="E167" s="355">
        <v>1</v>
      </c>
      <c r="F167" s="336">
        <v>5.65</v>
      </c>
      <c r="G167" s="336"/>
      <c r="H167" s="336">
        <v>0.75</v>
      </c>
      <c r="I167" s="336">
        <f t="shared" si="6"/>
        <v>4.2375000000000007</v>
      </c>
    </row>
    <row r="168" spans="1:256" ht="15.75" customHeight="1">
      <c r="A168" s="337"/>
      <c r="B168" s="354" t="s">
        <v>699</v>
      </c>
      <c r="C168" s="355">
        <v>1</v>
      </c>
      <c r="D168" s="355"/>
      <c r="E168" s="355">
        <v>2</v>
      </c>
      <c r="F168" s="336">
        <v>1.48</v>
      </c>
      <c r="G168" s="336">
        <v>0.6</v>
      </c>
      <c r="H168" s="336"/>
      <c r="I168" s="336">
        <f t="shared" si="6"/>
        <v>1.776</v>
      </c>
    </row>
    <row r="169" spans="1:256" ht="15.75" customHeight="1">
      <c r="A169" s="337"/>
      <c r="B169" s="354" t="s">
        <v>700</v>
      </c>
      <c r="C169" s="355">
        <v>1</v>
      </c>
      <c r="D169" s="355"/>
      <c r="E169" s="355">
        <v>1</v>
      </c>
      <c r="F169" s="336">
        <v>8.3000000000000007</v>
      </c>
      <c r="G169" s="336"/>
      <c r="H169" s="336">
        <v>2.0499999999999998</v>
      </c>
      <c r="I169" s="336">
        <f t="shared" si="6"/>
        <v>17.015000000000001</v>
      </c>
    </row>
    <row r="170" spans="1:256">
      <c r="A170" s="337"/>
      <c r="B170" s="338"/>
      <c r="C170" s="339"/>
      <c r="D170" s="339"/>
      <c r="E170" s="339"/>
      <c r="F170" s="336"/>
      <c r="G170" s="336"/>
      <c r="H170" s="336"/>
      <c r="I170" s="336">
        <f>SUM(I107:I169)</f>
        <v>1231.0847999999996</v>
      </c>
    </row>
    <row r="171" spans="1:256">
      <c r="A171" s="353"/>
      <c r="B171" s="354"/>
      <c r="C171" s="355"/>
      <c r="D171" s="355"/>
      <c r="E171" s="355"/>
      <c r="F171" s="356"/>
      <c r="G171" s="356"/>
      <c r="H171" s="371" t="s">
        <v>491</v>
      </c>
      <c r="I171" s="345">
        <v>1232</v>
      </c>
      <c r="J171" s="372" t="s">
        <v>289</v>
      </c>
      <c r="K171" s="359"/>
      <c r="L171" s="359"/>
      <c r="M171" s="359"/>
      <c r="N171" s="359"/>
      <c r="O171" s="35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c r="IP171" s="359"/>
      <c r="IQ171" s="359"/>
      <c r="IR171" s="359"/>
      <c r="IS171" s="359"/>
      <c r="IT171" s="359"/>
      <c r="IU171" s="359"/>
      <c r="IV171" s="359"/>
    </row>
    <row r="172" spans="1:256">
      <c r="A172" s="353"/>
      <c r="B172" s="354"/>
      <c r="C172" s="355"/>
      <c r="D172" s="355"/>
      <c r="E172" s="355"/>
      <c r="F172" s="356"/>
      <c r="G172" s="356"/>
      <c r="H172" s="356"/>
      <c r="I172" s="336"/>
      <c r="J172" s="358"/>
      <c r="K172" s="359"/>
      <c r="L172" s="359"/>
      <c r="M172" s="359"/>
      <c r="N172" s="359"/>
      <c r="O172" s="35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c r="IP172" s="359"/>
      <c r="IQ172" s="359"/>
      <c r="IR172" s="359"/>
      <c r="IS172" s="359"/>
      <c r="IT172" s="359"/>
      <c r="IU172" s="359"/>
      <c r="IV172" s="359"/>
    </row>
    <row r="173" spans="1:256" ht="256.5" customHeight="1">
      <c r="A173" s="337">
        <v>4</v>
      </c>
      <c r="B173" s="338" t="s">
        <v>701</v>
      </c>
      <c r="C173" s="339"/>
      <c r="D173" s="339"/>
      <c r="E173" s="339"/>
      <c r="F173" s="336"/>
      <c r="G173" s="336"/>
      <c r="H173" s="336"/>
      <c r="I173" s="336"/>
    </row>
    <row r="174" spans="1:256">
      <c r="A174" s="337"/>
      <c r="B174" s="338" t="s">
        <v>702</v>
      </c>
      <c r="C174" s="339">
        <v>1</v>
      </c>
      <c r="D174" s="339"/>
      <c r="E174" s="339">
        <v>2</v>
      </c>
      <c r="F174" s="336">
        <v>2.23</v>
      </c>
      <c r="G174" s="336"/>
      <c r="H174" s="336">
        <v>1</v>
      </c>
      <c r="I174" s="336">
        <f t="shared" ref="I174:I177" si="7">PRODUCT(C174:H174)</f>
        <v>4.46</v>
      </c>
    </row>
    <row r="175" spans="1:256">
      <c r="A175" s="337"/>
      <c r="B175" s="338"/>
      <c r="C175" s="339">
        <v>1</v>
      </c>
      <c r="D175" s="339"/>
      <c r="E175" s="339">
        <v>2</v>
      </c>
      <c r="F175" s="336">
        <v>2</v>
      </c>
      <c r="G175" s="336"/>
      <c r="H175" s="336">
        <v>1</v>
      </c>
      <c r="I175" s="336">
        <f t="shared" si="7"/>
        <v>4</v>
      </c>
    </row>
    <row r="176" spans="1:256">
      <c r="A176" s="337"/>
      <c r="B176" s="338"/>
      <c r="C176" s="339">
        <v>1</v>
      </c>
      <c r="D176" s="339"/>
      <c r="E176" s="339">
        <v>1</v>
      </c>
      <c r="F176" s="336">
        <v>16.52</v>
      </c>
      <c r="G176" s="336"/>
      <c r="H176" s="336">
        <v>1</v>
      </c>
      <c r="I176" s="336">
        <f t="shared" si="7"/>
        <v>16.52</v>
      </c>
    </row>
    <row r="177" spans="1:256">
      <c r="A177" s="337"/>
      <c r="B177" s="338"/>
      <c r="C177" s="339">
        <v>1</v>
      </c>
      <c r="D177" s="339"/>
      <c r="E177" s="339">
        <v>1</v>
      </c>
      <c r="F177" s="336">
        <v>10.45</v>
      </c>
      <c r="G177" s="336"/>
      <c r="H177" s="336">
        <v>1</v>
      </c>
      <c r="I177" s="336">
        <f t="shared" si="7"/>
        <v>10.45</v>
      </c>
    </row>
    <row r="178" spans="1:256">
      <c r="A178" s="337"/>
      <c r="B178" s="338"/>
      <c r="C178" s="339"/>
      <c r="D178" s="339"/>
      <c r="E178" s="339"/>
      <c r="F178" s="336"/>
      <c r="G178" s="336"/>
      <c r="H178" s="336"/>
      <c r="I178" s="336">
        <f>SUM(I174:I177)</f>
        <v>35.43</v>
      </c>
    </row>
    <row r="179" spans="1:256">
      <c r="A179" s="337"/>
      <c r="B179" s="338"/>
      <c r="C179" s="339"/>
      <c r="D179" s="339"/>
      <c r="E179" s="339"/>
      <c r="F179" s="336"/>
      <c r="G179" s="336"/>
      <c r="H179" s="345" t="s">
        <v>491</v>
      </c>
      <c r="I179" s="345">
        <v>35.5</v>
      </c>
      <c r="J179" s="346" t="s">
        <v>247</v>
      </c>
    </row>
    <row r="180" spans="1:256">
      <c r="A180" s="353"/>
      <c r="B180" s="354"/>
      <c r="C180" s="355"/>
      <c r="D180" s="355"/>
      <c r="E180" s="355"/>
      <c r="F180" s="356"/>
      <c r="G180" s="356"/>
      <c r="H180" s="356"/>
      <c r="I180" s="336"/>
      <c r="J180" s="358"/>
      <c r="K180" s="359"/>
      <c r="L180" s="359"/>
      <c r="M180" s="359"/>
      <c r="N180" s="359"/>
      <c r="O180" s="359"/>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c r="IP180" s="359"/>
      <c r="IQ180" s="359"/>
      <c r="IR180" s="359"/>
      <c r="IS180" s="359"/>
      <c r="IT180" s="359"/>
      <c r="IU180" s="359"/>
      <c r="IV180" s="359"/>
    </row>
    <row r="181" spans="1:256" ht="31.5">
      <c r="A181" s="353">
        <v>5</v>
      </c>
      <c r="B181" s="354" t="s">
        <v>533</v>
      </c>
      <c r="C181" s="355"/>
      <c r="D181" s="355"/>
      <c r="E181" s="355"/>
      <c r="F181" s="356"/>
      <c r="G181" s="356"/>
      <c r="H181" s="356"/>
      <c r="I181" s="336"/>
      <c r="J181" s="358"/>
      <c r="K181" s="359"/>
      <c r="L181" s="359"/>
      <c r="M181" s="359"/>
      <c r="N181" s="359"/>
      <c r="O181" s="359"/>
      <c r="P181" s="359"/>
      <c r="Q181" s="359"/>
      <c r="R181" s="359"/>
      <c r="S181" s="359"/>
      <c r="T181" s="359"/>
      <c r="U181" s="359"/>
      <c r="V181" s="359"/>
      <c r="W181" s="359"/>
      <c r="X181" s="359"/>
      <c r="Y181" s="359"/>
      <c r="Z181" s="359"/>
      <c r="AA181" s="359"/>
      <c r="AB181" s="359"/>
      <c r="AC181" s="359"/>
      <c r="AD181" s="359"/>
      <c r="AE181" s="359"/>
      <c r="AF181" s="359"/>
      <c r="AG181" s="359"/>
      <c r="AH181" s="359"/>
      <c r="AI181" s="359"/>
      <c r="AJ181" s="359"/>
      <c r="AK181" s="359"/>
      <c r="AL181" s="359"/>
      <c r="AM181" s="359"/>
      <c r="AN181" s="359"/>
      <c r="AO181" s="359"/>
      <c r="AP181" s="359"/>
      <c r="AQ181" s="359"/>
      <c r="AR181" s="359"/>
      <c r="AS181" s="359"/>
      <c r="AT181" s="359"/>
      <c r="AU181" s="359"/>
      <c r="AV181" s="359"/>
      <c r="AW181" s="359"/>
      <c r="AX181" s="359"/>
      <c r="AY181" s="359"/>
      <c r="AZ181" s="359"/>
      <c r="BA181" s="359"/>
      <c r="BB181" s="359"/>
      <c r="BC181" s="359"/>
      <c r="BD181" s="359"/>
      <c r="BE181" s="359"/>
      <c r="BF181" s="359"/>
      <c r="BG181" s="359"/>
      <c r="BH181" s="359"/>
      <c r="BI181" s="359"/>
      <c r="BJ181" s="359"/>
      <c r="BK181" s="359"/>
      <c r="BL181" s="359"/>
      <c r="BM181" s="359"/>
      <c r="BN181" s="359"/>
      <c r="BO181" s="359"/>
      <c r="BP181" s="359"/>
      <c r="BQ181" s="359"/>
      <c r="BR181" s="359"/>
      <c r="BS181" s="359"/>
      <c r="BT181" s="359"/>
      <c r="BU181" s="359"/>
      <c r="BV181" s="359"/>
      <c r="BW181" s="359"/>
      <c r="BX181" s="359"/>
      <c r="BY181" s="359"/>
      <c r="BZ181" s="359"/>
      <c r="CA181" s="359"/>
      <c r="CB181" s="359"/>
      <c r="CC181" s="359"/>
      <c r="CD181" s="359"/>
      <c r="CE181" s="359"/>
      <c r="CF181" s="359"/>
      <c r="CG181" s="359"/>
      <c r="CH181" s="359"/>
      <c r="CI181" s="359"/>
      <c r="CJ181" s="359"/>
      <c r="CK181" s="359"/>
      <c r="CL181" s="359"/>
      <c r="CM181" s="359"/>
      <c r="CN181" s="359"/>
      <c r="CO181" s="359"/>
      <c r="CP181" s="359"/>
      <c r="CQ181" s="359"/>
      <c r="CR181" s="359"/>
      <c r="CS181" s="359"/>
      <c r="CT181" s="359"/>
      <c r="CU181" s="359"/>
      <c r="CV181" s="359"/>
      <c r="CW181" s="359"/>
      <c r="CX181" s="359"/>
      <c r="CY181" s="359"/>
      <c r="CZ181" s="359"/>
      <c r="DA181" s="359"/>
      <c r="DB181" s="359"/>
      <c r="DC181" s="359"/>
      <c r="DD181" s="359"/>
      <c r="DE181" s="359"/>
      <c r="DF181" s="359"/>
      <c r="DG181" s="359"/>
      <c r="DH181" s="359"/>
      <c r="DI181" s="359"/>
      <c r="DJ181" s="359"/>
      <c r="DK181" s="359"/>
      <c r="DL181" s="359"/>
      <c r="DM181" s="359"/>
      <c r="DN181" s="359"/>
      <c r="DO181" s="359"/>
      <c r="DP181" s="359"/>
      <c r="DQ181" s="359"/>
      <c r="DR181" s="359"/>
      <c r="DS181" s="359"/>
      <c r="DT181" s="359"/>
      <c r="DU181" s="359"/>
      <c r="DV181" s="359"/>
      <c r="DW181" s="359"/>
      <c r="DX181" s="359"/>
      <c r="DY181" s="359"/>
      <c r="DZ181" s="359"/>
      <c r="EA181" s="359"/>
      <c r="EB181" s="359"/>
      <c r="EC181" s="359"/>
      <c r="ED181" s="359"/>
      <c r="EE181" s="359"/>
      <c r="EF181" s="359"/>
      <c r="EG181" s="359"/>
      <c r="EH181" s="359"/>
      <c r="EI181" s="359"/>
      <c r="EJ181" s="359"/>
      <c r="EK181" s="359"/>
      <c r="EL181" s="359"/>
      <c r="EM181" s="359"/>
      <c r="EN181" s="359"/>
      <c r="EO181" s="359"/>
      <c r="EP181" s="359"/>
      <c r="EQ181" s="359"/>
      <c r="ER181" s="359"/>
      <c r="ES181" s="359"/>
      <c r="ET181" s="359"/>
      <c r="EU181" s="359"/>
      <c r="EV181" s="359"/>
      <c r="EW181" s="359"/>
      <c r="EX181" s="359"/>
      <c r="EY181" s="359"/>
      <c r="EZ181" s="359"/>
      <c r="FA181" s="359"/>
      <c r="FB181" s="359"/>
      <c r="FC181" s="359"/>
      <c r="FD181" s="359"/>
      <c r="FE181" s="359"/>
      <c r="FF181" s="359"/>
      <c r="FG181" s="359"/>
      <c r="FH181" s="359"/>
      <c r="FI181" s="359"/>
      <c r="FJ181" s="359"/>
      <c r="FK181" s="359"/>
      <c r="FL181" s="359"/>
      <c r="FM181" s="359"/>
      <c r="FN181" s="359"/>
      <c r="FO181" s="359"/>
      <c r="FP181" s="359"/>
      <c r="FQ181" s="359"/>
      <c r="FR181" s="359"/>
      <c r="FS181" s="359"/>
      <c r="FT181" s="359"/>
      <c r="FU181" s="359"/>
      <c r="FV181" s="359"/>
      <c r="FW181" s="359"/>
      <c r="FX181" s="359"/>
      <c r="FY181" s="359"/>
      <c r="FZ181" s="359"/>
      <c r="GA181" s="359"/>
      <c r="GB181" s="359"/>
      <c r="GC181" s="359"/>
      <c r="GD181" s="359"/>
      <c r="GE181" s="359"/>
      <c r="GF181" s="359"/>
      <c r="GG181" s="359"/>
      <c r="GH181" s="359"/>
      <c r="GI181" s="359"/>
      <c r="GJ181" s="359"/>
      <c r="GK181" s="359"/>
      <c r="GL181" s="359"/>
      <c r="GM181" s="359"/>
      <c r="GN181" s="359"/>
      <c r="GO181" s="359"/>
      <c r="GP181" s="359"/>
      <c r="GQ181" s="359"/>
      <c r="GR181" s="359"/>
      <c r="GS181" s="359"/>
      <c r="GT181" s="359"/>
      <c r="GU181" s="359"/>
      <c r="GV181" s="359"/>
      <c r="GW181" s="359"/>
      <c r="GX181" s="359"/>
      <c r="GY181" s="359"/>
      <c r="GZ181" s="359"/>
      <c r="HA181" s="359"/>
      <c r="HB181" s="359"/>
      <c r="HC181" s="359"/>
      <c r="HD181" s="359"/>
      <c r="HE181" s="359"/>
      <c r="HF181" s="359"/>
      <c r="HG181" s="359"/>
      <c r="HH181" s="359"/>
      <c r="HI181" s="359"/>
      <c r="HJ181" s="359"/>
      <c r="HK181" s="359"/>
      <c r="HL181" s="359"/>
      <c r="HM181" s="359"/>
      <c r="HN181" s="359"/>
      <c r="HO181" s="359"/>
      <c r="HP181" s="359"/>
      <c r="HQ181" s="359"/>
      <c r="HR181" s="359"/>
      <c r="HS181" s="359"/>
      <c r="HT181" s="359"/>
      <c r="HU181" s="359"/>
      <c r="HV181" s="359"/>
      <c r="HW181" s="359"/>
      <c r="HX181" s="359"/>
      <c r="HY181" s="359"/>
      <c r="HZ181" s="359"/>
      <c r="IA181" s="359"/>
      <c r="IB181" s="359"/>
      <c r="IC181" s="359"/>
      <c r="ID181" s="359"/>
      <c r="IE181" s="359"/>
      <c r="IF181" s="359"/>
      <c r="IG181" s="359"/>
      <c r="IH181" s="359"/>
      <c r="II181" s="359"/>
      <c r="IJ181" s="359"/>
      <c r="IK181" s="359"/>
      <c r="IL181" s="359"/>
      <c r="IM181" s="359"/>
      <c r="IN181" s="359"/>
      <c r="IO181" s="359"/>
      <c r="IP181" s="359"/>
      <c r="IQ181" s="359"/>
      <c r="IR181" s="359"/>
      <c r="IS181" s="359"/>
      <c r="IT181" s="359"/>
      <c r="IU181" s="359"/>
      <c r="IV181" s="359"/>
    </row>
    <row r="182" spans="1:256">
      <c r="A182" s="353"/>
      <c r="B182" s="354" t="s">
        <v>506</v>
      </c>
      <c r="C182" s="355">
        <v>1</v>
      </c>
      <c r="D182" s="355"/>
      <c r="E182" s="355">
        <v>1</v>
      </c>
      <c r="F182" s="356">
        <v>1.5</v>
      </c>
      <c r="G182" s="356"/>
      <c r="H182" s="356">
        <v>2.1</v>
      </c>
      <c r="I182" s="336">
        <f t="shared" ref="I182" si="8">PRODUCT(C182:H182)</f>
        <v>3.1500000000000004</v>
      </c>
      <c r="J182" s="358"/>
      <c r="K182" s="359"/>
      <c r="L182" s="359"/>
      <c r="M182" s="359"/>
      <c r="N182" s="359"/>
      <c r="O182" s="359"/>
      <c r="P182" s="359"/>
      <c r="Q182" s="359"/>
      <c r="R182" s="359"/>
      <c r="S182" s="359"/>
      <c r="T182" s="359"/>
      <c r="U182" s="359"/>
      <c r="V182" s="359"/>
      <c r="W182" s="359"/>
      <c r="X182" s="359"/>
      <c r="Y182" s="359"/>
      <c r="Z182" s="359"/>
      <c r="AA182" s="359"/>
      <c r="AB182" s="359"/>
      <c r="AC182" s="359"/>
      <c r="AD182" s="359"/>
      <c r="AE182" s="359"/>
      <c r="AF182" s="359"/>
      <c r="AG182" s="359"/>
      <c r="AH182" s="359"/>
      <c r="AI182" s="359"/>
      <c r="AJ182" s="359"/>
      <c r="AK182" s="359"/>
      <c r="AL182" s="359"/>
      <c r="AM182" s="359"/>
      <c r="AN182" s="359"/>
      <c r="AO182" s="359"/>
      <c r="AP182" s="359"/>
      <c r="AQ182" s="359"/>
      <c r="AR182" s="359"/>
      <c r="AS182" s="359"/>
      <c r="AT182" s="359"/>
      <c r="AU182" s="359"/>
      <c r="AV182" s="359"/>
      <c r="AW182" s="359"/>
      <c r="AX182" s="359"/>
      <c r="AY182" s="359"/>
      <c r="AZ182" s="359"/>
      <c r="BA182" s="359"/>
      <c r="BB182" s="359"/>
      <c r="BC182" s="359"/>
      <c r="BD182" s="359"/>
      <c r="BE182" s="359"/>
      <c r="BF182" s="359"/>
      <c r="BG182" s="359"/>
      <c r="BH182" s="359"/>
      <c r="BI182" s="359"/>
      <c r="BJ182" s="359"/>
      <c r="BK182" s="359"/>
      <c r="BL182" s="359"/>
      <c r="BM182" s="359"/>
      <c r="BN182" s="359"/>
      <c r="BO182" s="359"/>
      <c r="BP182" s="359"/>
      <c r="BQ182" s="359"/>
      <c r="BR182" s="359"/>
      <c r="BS182" s="359"/>
      <c r="BT182" s="359"/>
      <c r="BU182" s="359"/>
      <c r="BV182" s="359"/>
      <c r="BW182" s="359"/>
      <c r="BX182" s="359"/>
      <c r="BY182" s="359"/>
      <c r="BZ182" s="359"/>
      <c r="CA182" s="359"/>
      <c r="CB182" s="359"/>
      <c r="CC182" s="359"/>
      <c r="CD182" s="359"/>
      <c r="CE182" s="359"/>
      <c r="CF182" s="359"/>
      <c r="CG182" s="359"/>
      <c r="CH182" s="359"/>
      <c r="CI182" s="359"/>
      <c r="CJ182" s="359"/>
      <c r="CK182" s="359"/>
      <c r="CL182" s="359"/>
      <c r="CM182" s="359"/>
      <c r="CN182" s="359"/>
      <c r="CO182" s="359"/>
      <c r="CP182" s="359"/>
      <c r="CQ182" s="359"/>
      <c r="CR182" s="359"/>
      <c r="CS182" s="359"/>
      <c r="CT182" s="359"/>
      <c r="CU182" s="359"/>
      <c r="CV182" s="359"/>
      <c r="CW182" s="359"/>
      <c r="CX182" s="359"/>
      <c r="CY182" s="359"/>
      <c r="CZ182" s="359"/>
      <c r="DA182" s="359"/>
      <c r="DB182" s="359"/>
      <c r="DC182" s="359"/>
      <c r="DD182" s="359"/>
      <c r="DE182" s="359"/>
      <c r="DF182" s="359"/>
      <c r="DG182" s="359"/>
      <c r="DH182" s="359"/>
      <c r="DI182" s="359"/>
      <c r="DJ182" s="359"/>
      <c r="DK182" s="359"/>
      <c r="DL182" s="359"/>
      <c r="DM182" s="359"/>
      <c r="DN182" s="359"/>
      <c r="DO182" s="359"/>
      <c r="DP182" s="359"/>
      <c r="DQ182" s="359"/>
      <c r="DR182" s="359"/>
      <c r="DS182" s="359"/>
      <c r="DT182" s="359"/>
      <c r="DU182" s="359"/>
      <c r="DV182" s="359"/>
      <c r="DW182" s="359"/>
      <c r="DX182" s="359"/>
      <c r="DY182" s="359"/>
      <c r="DZ182" s="359"/>
      <c r="EA182" s="359"/>
      <c r="EB182" s="359"/>
      <c r="EC182" s="359"/>
      <c r="ED182" s="359"/>
      <c r="EE182" s="359"/>
      <c r="EF182" s="359"/>
      <c r="EG182" s="359"/>
      <c r="EH182" s="359"/>
      <c r="EI182" s="359"/>
      <c r="EJ182" s="359"/>
      <c r="EK182" s="359"/>
      <c r="EL182" s="359"/>
      <c r="EM182" s="359"/>
      <c r="EN182" s="359"/>
      <c r="EO182" s="359"/>
      <c r="EP182" s="359"/>
      <c r="EQ182" s="359"/>
      <c r="ER182" s="359"/>
      <c r="ES182" s="359"/>
      <c r="ET182" s="359"/>
      <c r="EU182" s="359"/>
      <c r="EV182" s="359"/>
      <c r="EW182" s="359"/>
      <c r="EX182" s="359"/>
      <c r="EY182" s="359"/>
      <c r="EZ182" s="359"/>
      <c r="FA182" s="359"/>
      <c r="FB182" s="359"/>
      <c r="FC182" s="359"/>
      <c r="FD182" s="359"/>
      <c r="FE182" s="359"/>
      <c r="FF182" s="359"/>
      <c r="FG182" s="359"/>
      <c r="FH182" s="359"/>
      <c r="FI182" s="359"/>
      <c r="FJ182" s="359"/>
      <c r="FK182" s="359"/>
      <c r="FL182" s="359"/>
      <c r="FM182" s="359"/>
      <c r="FN182" s="359"/>
      <c r="FO182" s="359"/>
      <c r="FP182" s="359"/>
      <c r="FQ182" s="359"/>
      <c r="FR182" s="359"/>
      <c r="FS182" s="359"/>
      <c r="FT182" s="359"/>
      <c r="FU182" s="359"/>
      <c r="FV182" s="359"/>
      <c r="FW182" s="359"/>
      <c r="FX182" s="359"/>
      <c r="FY182" s="359"/>
      <c r="FZ182" s="359"/>
      <c r="GA182" s="359"/>
      <c r="GB182" s="359"/>
      <c r="GC182" s="359"/>
      <c r="GD182" s="359"/>
      <c r="GE182" s="359"/>
      <c r="GF182" s="359"/>
      <c r="GG182" s="359"/>
      <c r="GH182" s="359"/>
      <c r="GI182" s="359"/>
      <c r="GJ182" s="359"/>
      <c r="GK182" s="359"/>
      <c r="GL182" s="359"/>
      <c r="GM182" s="359"/>
      <c r="GN182" s="359"/>
      <c r="GO182" s="359"/>
      <c r="GP182" s="359"/>
      <c r="GQ182" s="359"/>
      <c r="GR182" s="359"/>
      <c r="GS182" s="359"/>
      <c r="GT182" s="359"/>
      <c r="GU182" s="359"/>
      <c r="GV182" s="359"/>
      <c r="GW182" s="359"/>
      <c r="GX182" s="359"/>
      <c r="GY182" s="359"/>
      <c r="GZ182" s="359"/>
      <c r="HA182" s="359"/>
      <c r="HB182" s="359"/>
      <c r="HC182" s="359"/>
      <c r="HD182" s="359"/>
      <c r="HE182" s="359"/>
      <c r="HF182" s="359"/>
      <c r="HG182" s="359"/>
      <c r="HH182" s="359"/>
      <c r="HI182" s="359"/>
      <c r="HJ182" s="359"/>
      <c r="HK182" s="359"/>
      <c r="HL182" s="359"/>
      <c r="HM182" s="359"/>
      <c r="HN182" s="359"/>
      <c r="HO182" s="359"/>
      <c r="HP182" s="359"/>
      <c r="HQ182" s="359"/>
      <c r="HR182" s="359"/>
      <c r="HS182" s="359"/>
      <c r="HT182" s="359"/>
      <c r="HU182" s="359"/>
      <c r="HV182" s="359"/>
      <c r="HW182" s="359"/>
      <c r="HX182" s="359"/>
      <c r="HY182" s="359"/>
      <c r="HZ182" s="359"/>
      <c r="IA182" s="359"/>
      <c r="IB182" s="359"/>
      <c r="IC182" s="359"/>
      <c r="ID182" s="359"/>
      <c r="IE182" s="359"/>
      <c r="IF182" s="359"/>
      <c r="IG182" s="359"/>
      <c r="IH182" s="359"/>
      <c r="II182" s="359"/>
      <c r="IJ182" s="359"/>
      <c r="IK182" s="359"/>
      <c r="IL182" s="359"/>
      <c r="IM182" s="359"/>
      <c r="IN182" s="359"/>
      <c r="IO182" s="359"/>
      <c r="IP182" s="359"/>
      <c r="IQ182" s="359"/>
      <c r="IR182" s="359"/>
      <c r="IS182" s="359"/>
      <c r="IT182" s="359"/>
      <c r="IU182" s="359"/>
      <c r="IV182" s="359"/>
    </row>
    <row r="183" spans="1:256">
      <c r="A183" s="337"/>
      <c r="B183" s="338"/>
      <c r="C183" s="339"/>
      <c r="D183" s="339"/>
      <c r="E183" s="339"/>
      <c r="F183" s="336"/>
      <c r="G183" s="336"/>
      <c r="H183" s="345" t="s">
        <v>491</v>
      </c>
      <c r="I183" s="345">
        <f>I182</f>
        <v>3.1500000000000004</v>
      </c>
      <c r="J183" s="346" t="s">
        <v>289</v>
      </c>
    </row>
    <row r="184" spans="1:256">
      <c r="A184" s="337"/>
      <c r="B184" s="338"/>
      <c r="C184" s="339"/>
      <c r="D184" s="339"/>
      <c r="E184" s="339"/>
      <c r="F184" s="336"/>
      <c r="G184" s="336"/>
      <c r="H184" s="336"/>
      <c r="I184" s="336"/>
    </row>
    <row r="185" spans="1:256" ht="31.5">
      <c r="A185" s="337">
        <v>6</v>
      </c>
      <c r="B185" s="338" t="s">
        <v>534</v>
      </c>
      <c r="C185" s="339"/>
      <c r="D185" s="339"/>
      <c r="E185" s="339"/>
      <c r="F185" s="336"/>
      <c r="G185" s="336"/>
      <c r="H185" s="336"/>
      <c r="I185" s="336"/>
      <c r="L185" s="344"/>
    </row>
    <row r="186" spans="1:256">
      <c r="A186" s="353"/>
      <c r="B186" s="354" t="s">
        <v>507</v>
      </c>
      <c r="C186" s="355">
        <v>1</v>
      </c>
      <c r="D186" s="355"/>
      <c r="E186" s="355">
        <v>20</v>
      </c>
      <c r="F186" s="356">
        <v>1.8</v>
      </c>
      <c r="G186" s="356"/>
      <c r="H186" s="336">
        <v>1.35</v>
      </c>
      <c r="I186" s="336">
        <f t="shared" ref="I186:I190" si="9">PRODUCT(C186:H186)</f>
        <v>48.6</v>
      </c>
    </row>
    <row r="187" spans="1:256">
      <c r="A187" s="337"/>
      <c r="B187" s="354" t="s">
        <v>508</v>
      </c>
      <c r="C187" s="355">
        <v>1</v>
      </c>
      <c r="D187" s="355"/>
      <c r="E187" s="355">
        <v>5</v>
      </c>
      <c r="F187" s="336">
        <v>1.35</v>
      </c>
      <c r="G187" s="336"/>
      <c r="H187" s="336">
        <v>1.35</v>
      </c>
      <c r="I187" s="336">
        <f t="shared" si="9"/>
        <v>9.1125000000000007</v>
      </c>
    </row>
    <row r="188" spans="1:256">
      <c r="A188" s="337"/>
      <c r="B188" s="354" t="s">
        <v>670</v>
      </c>
      <c r="C188" s="355">
        <v>1</v>
      </c>
      <c r="D188" s="355"/>
      <c r="E188" s="355">
        <v>1</v>
      </c>
      <c r="F188" s="336">
        <v>1.8</v>
      </c>
      <c r="G188" s="336"/>
      <c r="H188" s="336">
        <v>1.05</v>
      </c>
      <c r="I188" s="336">
        <f t="shared" si="9"/>
        <v>1.8900000000000001</v>
      </c>
    </row>
    <row r="189" spans="1:256">
      <c r="A189" s="337"/>
      <c r="B189" s="354" t="s">
        <v>671</v>
      </c>
      <c r="C189" s="355">
        <v>1</v>
      </c>
      <c r="D189" s="355"/>
      <c r="E189" s="355">
        <v>2</v>
      </c>
      <c r="F189" s="336">
        <v>1.35</v>
      </c>
      <c r="G189" s="336"/>
      <c r="H189" s="336">
        <v>1.05</v>
      </c>
      <c r="I189" s="336">
        <f t="shared" si="9"/>
        <v>2.8350000000000004</v>
      </c>
    </row>
    <row r="190" spans="1:256">
      <c r="A190" s="337"/>
      <c r="B190" s="354" t="s">
        <v>511</v>
      </c>
      <c r="C190" s="355">
        <v>1</v>
      </c>
      <c r="D190" s="355"/>
      <c r="E190" s="355">
        <v>26</v>
      </c>
      <c r="F190" s="336">
        <v>0.9</v>
      </c>
      <c r="G190" s="336"/>
      <c r="H190" s="336">
        <v>0.6</v>
      </c>
      <c r="I190" s="336">
        <f t="shared" si="9"/>
        <v>14.040000000000001</v>
      </c>
    </row>
    <row r="191" spans="1:256">
      <c r="A191" s="337"/>
      <c r="B191" s="338"/>
      <c r="C191" s="339"/>
      <c r="D191" s="339"/>
      <c r="E191" s="339"/>
      <c r="F191" s="336"/>
      <c r="G191" s="336"/>
      <c r="H191" s="336"/>
      <c r="I191" s="336">
        <f>SUM(I186:I190)</f>
        <v>76.477500000000006</v>
      </c>
    </row>
    <row r="192" spans="1:256">
      <c r="A192" s="337"/>
      <c r="B192" s="338" t="s">
        <v>703</v>
      </c>
      <c r="C192" s="339"/>
      <c r="D192" s="339"/>
      <c r="E192" s="339"/>
      <c r="F192" s="336"/>
      <c r="G192" s="336"/>
      <c r="H192" s="336"/>
      <c r="I192" s="336">
        <f>I191*40%</f>
        <v>30.591000000000005</v>
      </c>
    </row>
    <row r="193" spans="1:10">
      <c r="A193" s="337"/>
      <c r="B193" s="338"/>
      <c r="C193" s="339"/>
      <c r="D193" s="339"/>
      <c r="E193" s="339"/>
      <c r="F193" s="336"/>
      <c r="G193" s="336"/>
      <c r="H193" s="345" t="s">
        <v>491</v>
      </c>
      <c r="I193" s="345">
        <v>30.6</v>
      </c>
      <c r="J193" s="346" t="s">
        <v>289</v>
      </c>
    </row>
    <row r="194" spans="1:10" ht="31.5">
      <c r="A194" s="337">
        <v>7</v>
      </c>
      <c r="B194" s="426" t="s">
        <v>704</v>
      </c>
      <c r="C194" s="339"/>
      <c r="D194" s="339"/>
      <c r="E194" s="339"/>
      <c r="F194" s="336"/>
      <c r="G194" s="336"/>
      <c r="H194" s="336"/>
      <c r="I194" s="336"/>
    </row>
    <row r="195" spans="1:10">
      <c r="A195" s="337"/>
      <c r="B195" s="347" t="s">
        <v>705</v>
      </c>
      <c r="C195" s="339">
        <v>1</v>
      </c>
      <c r="D195" s="339"/>
      <c r="E195" s="339">
        <v>1</v>
      </c>
      <c r="F195" s="336"/>
      <c r="G195" s="336"/>
      <c r="H195" s="336"/>
      <c r="I195" s="345">
        <f t="shared" ref="I195" si="10">PRODUCT(C195:H195)</f>
        <v>1</v>
      </c>
      <c r="J195" s="346" t="s">
        <v>18</v>
      </c>
    </row>
    <row r="196" spans="1:10">
      <c r="A196" s="337"/>
      <c r="B196" s="347"/>
      <c r="C196" s="339"/>
      <c r="D196" s="339"/>
      <c r="E196" s="339"/>
      <c r="F196" s="336"/>
      <c r="G196" s="336"/>
      <c r="H196" s="336"/>
      <c r="I196" s="336"/>
    </row>
    <row r="197" spans="1:10" ht="184.5" customHeight="1">
      <c r="A197" s="337">
        <v>8</v>
      </c>
      <c r="B197" s="338" t="s">
        <v>706</v>
      </c>
      <c r="C197" s="339"/>
      <c r="D197" s="339"/>
      <c r="E197" s="339"/>
      <c r="F197" s="336"/>
      <c r="G197" s="336"/>
      <c r="H197" s="336"/>
      <c r="I197" s="336"/>
    </row>
    <row r="198" spans="1:10">
      <c r="A198" s="337"/>
      <c r="B198" s="338" t="s">
        <v>707</v>
      </c>
      <c r="C198" s="339">
        <v>1</v>
      </c>
      <c r="D198" s="339"/>
      <c r="E198" s="339">
        <v>2</v>
      </c>
      <c r="F198" s="336"/>
      <c r="G198" s="336"/>
      <c r="H198" s="336"/>
      <c r="I198" s="345">
        <f t="shared" ref="I198" si="11">PRODUCT(C198:H198)</f>
        <v>2</v>
      </c>
      <c r="J198" s="346" t="s">
        <v>18</v>
      </c>
    </row>
    <row r="199" spans="1:10">
      <c r="A199" s="337"/>
      <c r="B199" s="338"/>
      <c r="C199" s="339"/>
      <c r="D199" s="339"/>
      <c r="E199" s="339"/>
      <c r="F199" s="336"/>
      <c r="G199" s="336"/>
      <c r="H199" s="336"/>
      <c r="I199" s="336"/>
    </row>
    <row r="200" spans="1:10">
      <c r="A200" s="337"/>
      <c r="B200" s="338"/>
      <c r="C200" s="339"/>
      <c r="D200" s="339"/>
      <c r="E200" s="339"/>
      <c r="F200" s="336"/>
      <c r="G200" s="336"/>
      <c r="H200" s="336"/>
      <c r="I200" s="336"/>
    </row>
    <row r="201" spans="1:10" ht="30" customHeight="1">
      <c r="A201" s="337">
        <v>9</v>
      </c>
      <c r="B201" s="354" t="s">
        <v>708</v>
      </c>
      <c r="C201" s="339"/>
      <c r="D201" s="339"/>
      <c r="E201" s="339"/>
      <c r="F201" s="336"/>
      <c r="G201" s="336"/>
      <c r="H201" s="336"/>
      <c r="I201" s="336"/>
    </row>
    <row r="202" spans="1:10">
      <c r="A202" s="337"/>
      <c r="B202" s="338" t="s">
        <v>542</v>
      </c>
      <c r="C202" s="339">
        <v>1</v>
      </c>
      <c r="D202" s="339"/>
      <c r="E202" s="339">
        <v>1</v>
      </c>
      <c r="F202" s="336">
        <v>1.2</v>
      </c>
      <c r="G202" s="336"/>
      <c r="H202" s="336">
        <v>2.1</v>
      </c>
      <c r="I202" s="336">
        <f t="shared" ref="I202:I203" si="12">PRODUCT(C202:H202)</f>
        <v>2.52</v>
      </c>
    </row>
    <row r="203" spans="1:10">
      <c r="A203" s="337"/>
      <c r="B203" s="338" t="s">
        <v>478</v>
      </c>
      <c r="C203" s="339">
        <v>1</v>
      </c>
      <c r="D203" s="339"/>
      <c r="E203" s="339">
        <v>1</v>
      </c>
      <c r="F203" s="336">
        <v>1.2</v>
      </c>
      <c r="G203" s="336"/>
      <c r="H203" s="336">
        <v>2.1</v>
      </c>
      <c r="I203" s="336">
        <f t="shared" si="12"/>
        <v>2.52</v>
      </c>
    </row>
    <row r="204" spans="1:10">
      <c r="A204" s="337"/>
      <c r="B204" s="338"/>
      <c r="C204" s="339"/>
      <c r="D204" s="339"/>
      <c r="E204" s="339"/>
      <c r="F204" s="336"/>
      <c r="G204" s="336"/>
      <c r="H204" s="336"/>
      <c r="I204" s="336">
        <f>SUM(I202:I203)</f>
        <v>5.04</v>
      </c>
      <c r="J204" s="340" t="s">
        <v>289</v>
      </c>
    </row>
    <row r="205" spans="1:10">
      <c r="A205" s="337"/>
      <c r="B205" s="338"/>
      <c r="C205" s="339"/>
      <c r="D205" s="339"/>
      <c r="E205" s="339"/>
      <c r="F205" s="336"/>
      <c r="G205" s="336"/>
      <c r="H205" s="345" t="s">
        <v>491</v>
      </c>
      <c r="I205" s="345">
        <v>5.0999999999999996</v>
      </c>
      <c r="J205" s="346" t="s">
        <v>289</v>
      </c>
    </row>
    <row r="206" spans="1:10">
      <c r="A206" s="337"/>
      <c r="B206" s="376"/>
      <c r="C206" s="374"/>
      <c r="D206" s="374"/>
      <c r="E206" s="374"/>
      <c r="F206" s="375"/>
      <c r="G206" s="375"/>
      <c r="H206" s="375"/>
      <c r="I206" s="375"/>
    </row>
    <row r="207" spans="1:10" ht="30">
      <c r="A207" s="337">
        <v>10</v>
      </c>
      <c r="B207" s="419" t="s">
        <v>709</v>
      </c>
      <c r="C207" s="374"/>
      <c r="D207" s="374"/>
      <c r="E207" s="374"/>
      <c r="F207" s="375"/>
      <c r="G207" s="375"/>
      <c r="H207" s="375"/>
      <c r="I207" s="375"/>
    </row>
    <row r="208" spans="1:10">
      <c r="A208" s="337"/>
      <c r="B208" s="338" t="s">
        <v>541</v>
      </c>
      <c r="C208" s="339"/>
      <c r="D208" s="339"/>
      <c r="E208" s="339"/>
      <c r="F208" s="336"/>
      <c r="G208" s="336"/>
      <c r="H208" s="336"/>
      <c r="I208" s="336"/>
    </row>
    <row r="209" spans="1:10">
      <c r="A209" s="337"/>
      <c r="B209" s="338" t="s">
        <v>542</v>
      </c>
      <c r="C209" s="339">
        <v>2</v>
      </c>
      <c r="D209" s="339"/>
      <c r="E209" s="339">
        <v>4</v>
      </c>
      <c r="F209" s="336">
        <v>0.75</v>
      </c>
      <c r="G209" s="336"/>
      <c r="H209" s="336">
        <v>2.1</v>
      </c>
      <c r="I209" s="336">
        <f t="shared" ref="I209:I210" si="13">PRODUCT(C209:H209)</f>
        <v>12.600000000000001</v>
      </c>
    </row>
    <row r="210" spans="1:10">
      <c r="A210" s="337"/>
      <c r="B210" s="376" t="s">
        <v>478</v>
      </c>
      <c r="C210" s="339">
        <v>2</v>
      </c>
      <c r="D210" s="339"/>
      <c r="E210" s="339">
        <v>4</v>
      </c>
      <c r="F210" s="336">
        <v>0.75</v>
      </c>
      <c r="G210" s="336"/>
      <c r="H210" s="336">
        <v>2.1</v>
      </c>
      <c r="I210" s="336">
        <f t="shared" si="13"/>
        <v>12.600000000000001</v>
      </c>
      <c r="J210" s="377"/>
    </row>
    <row r="211" spans="1:10">
      <c r="A211" s="337"/>
      <c r="B211" s="373"/>
      <c r="C211" s="374"/>
      <c r="D211" s="374"/>
      <c r="E211" s="374"/>
      <c r="F211" s="375"/>
      <c r="G211" s="375"/>
      <c r="H211" s="375"/>
      <c r="I211" s="378">
        <f>SUM(I209:I210)</f>
        <v>25.200000000000003</v>
      </c>
      <c r="J211" s="379" t="s">
        <v>289</v>
      </c>
    </row>
    <row r="212" spans="1:10">
      <c r="A212" s="337"/>
      <c r="B212" s="373"/>
      <c r="C212" s="374"/>
      <c r="D212" s="374"/>
      <c r="E212" s="374"/>
      <c r="F212" s="375"/>
      <c r="G212" s="375"/>
      <c r="H212" s="375"/>
      <c r="I212" s="336"/>
    </row>
    <row r="213" spans="1:10" ht="38.25" customHeight="1">
      <c r="A213" s="337">
        <v>11</v>
      </c>
      <c r="B213" s="338" t="s">
        <v>543</v>
      </c>
      <c r="C213" s="374"/>
      <c r="D213" s="374"/>
      <c r="E213" s="374"/>
      <c r="F213" s="375"/>
      <c r="G213" s="375"/>
      <c r="H213" s="375"/>
      <c r="I213" s="375"/>
      <c r="J213" s="377"/>
    </row>
    <row r="214" spans="1:10">
      <c r="A214" s="337"/>
      <c r="B214" s="338" t="s">
        <v>544</v>
      </c>
      <c r="C214" s="374">
        <v>1</v>
      </c>
      <c r="D214" s="374"/>
      <c r="E214" s="374">
        <v>3</v>
      </c>
      <c r="F214" s="375">
        <v>8</v>
      </c>
      <c r="G214" s="375"/>
      <c r="H214" s="375">
        <v>2</v>
      </c>
      <c r="I214" s="336">
        <f t="shared" ref="I214" si="14">PRODUCT(C214:H214)</f>
        <v>48</v>
      </c>
    </row>
    <row r="215" spans="1:10">
      <c r="A215" s="337"/>
      <c r="B215" s="338"/>
      <c r="C215" s="374"/>
      <c r="D215" s="374"/>
      <c r="E215" s="374"/>
      <c r="F215" s="375"/>
      <c r="G215" s="375"/>
      <c r="H215" s="375"/>
      <c r="I215" s="345">
        <f>I214</f>
        <v>48</v>
      </c>
      <c r="J215" s="346" t="s">
        <v>289</v>
      </c>
    </row>
    <row r="216" spans="1:10" hidden="1">
      <c r="A216" s="337"/>
      <c r="B216" s="354"/>
      <c r="C216" s="339"/>
      <c r="D216" s="339"/>
      <c r="E216" s="339"/>
      <c r="F216" s="336"/>
      <c r="G216" s="336"/>
      <c r="H216" s="336"/>
      <c r="I216" s="375"/>
    </row>
    <row r="217" spans="1:10">
      <c r="A217" s="337"/>
      <c r="B217" s="380"/>
      <c r="C217" s="339"/>
      <c r="D217" s="339"/>
      <c r="E217" s="339"/>
      <c r="F217" s="336"/>
      <c r="G217" s="336"/>
      <c r="H217" s="336"/>
      <c r="I217" s="336"/>
    </row>
    <row r="218" spans="1:10">
      <c r="A218" s="337">
        <v>12</v>
      </c>
      <c r="B218" s="354" t="s">
        <v>545</v>
      </c>
      <c r="C218" s="339"/>
      <c r="D218" s="339"/>
      <c r="E218" s="339"/>
      <c r="F218" s="336"/>
      <c r="G218" s="336"/>
      <c r="H218" s="336"/>
      <c r="I218" s="336"/>
    </row>
    <row r="219" spans="1:10">
      <c r="A219" s="337"/>
      <c r="B219" s="354" t="s">
        <v>546</v>
      </c>
      <c r="C219" s="339">
        <v>1</v>
      </c>
      <c r="D219" s="339"/>
      <c r="E219" s="339">
        <v>1</v>
      </c>
      <c r="F219" s="336">
        <v>6</v>
      </c>
      <c r="G219" s="336"/>
      <c r="H219" s="336">
        <v>2</v>
      </c>
      <c r="I219" s="336">
        <f t="shared" ref="I219" si="15">PRODUCT(C219:H219)</f>
        <v>12</v>
      </c>
    </row>
    <row r="220" spans="1:10">
      <c r="A220" s="337"/>
      <c r="B220" s="338"/>
      <c r="C220" s="339"/>
      <c r="D220" s="339"/>
      <c r="E220" s="339"/>
      <c r="F220" s="336"/>
      <c r="G220" s="336"/>
      <c r="H220" s="336"/>
      <c r="I220" s="345">
        <f>I219</f>
        <v>12</v>
      </c>
      <c r="J220" s="346" t="s">
        <v>289</v>
      </c>
    </row>
    <row r="221" spans="1:10">
      <c r="A221" s="337"/>
      <c r="B221" s="354"/>
      <c r="C221" s="339"/>
      <c r="D221" s="339"/>
      <c r="E221" s="339"/>
      <c r="F221" s="336"/>
      <c r="G221" s="336"/>
      <c r="H221" s="336"/>
      <c r="I221" s="375"/>
    </row>
    <row r="222" spans="1:10" ht="41.25" customHeight="1">
      <c r="A222" s="337">
        <v>13</v>
      </c>
      <c r="B222" s="338" t="s">
        <v>710</v>
      </c>
      <c r="C222" s="339"/>
      <c r="D222" s="339"/>
      <c r="E222" s="339"/>
      <c r="F222" s="336"/>
      <c r="G222" s="336"/>
      <c r="H222" s="336"/>
      <c r="I222" s="336"/>
    </row>
    <row r="223" spans="1:10" ht="19.5" customHeight="1">
      <c r="A223" s="337"/>
      <c r="B223" s="338" t="s">
        <v>711</v>
      </c>
      <c r="C223" s="339"/>
      <c r="D223" s="339"/>
      <c r="E223" s="339"/>
      <c r="F223" s="336"/>
      <c r="G223" s="336"/>
      <c r="H223" s="336"/>
      <c r="I223" s="336"/>
    </row>
    <row r="224" spans="1:10">
      <c r="A224" s="337"/>
      <c r="B224" s="373" t="s">
        <v>712</v>
      </c>
      <c r="C224" s="339">
        <v>1</v>
      </c>
      <c r="D224" s="339"/>
      <c r="E224" s="339">
        <v>1</v>
      </c>
      <c r="F224" s="336">
        <v>1.5</v>
      </c>
      <c r="G224" s="336">
        <v>0.45</v>
      </c>
      <c r="H224" s="336">
        <v>0.45</v>
      </c>
      <c r="I224" s="336">
        <f t="shared" ref="I224:I229" si="16">PRODUCT(C224:H224)</f>
        <v>0.30375000000000002</v>
      </c>
    </row>
    <row r="225" spans="1:10">
      <c r="A225" s="337"/>
      <c r="B225" s="373"/>
      <c r="C225" s="339"/>
      <c r="D225" s="339"/>
      <c r="E225" s="339"/>
      <c r="F225" s="336"/>
      <c r="G225" s="336"/>
      <c r="H225" s="336"/>
      <c r="I225" s="345">
        <f>I224</f>
        <v>0.30375000000000002</v>
      </c>
      <c r="J225" s="346" t="s">
        <v>638</v>
      </c>
    </row>
    <row r="226" spans="1:10">
      <c r="A226" s="337"/>
      <c r="B226" s="373"/>
      <c r="C226" s="339"/>
      <c r="D226" s="339"/>
      <c r="E226" s="339"/>
      <c r="F226" s="336"/>
      <c r="G226" s="336"/>
      <c r="H226" s="336"/>
      <c r="I226" s="336"/>
    </row>
    <row r="227" spans="1:10">
      <c r="A227" s="337"/>
      <c r="B227" s="373" t="s">
        <v>713</v>
      </c>
      <c r="C227" s="339"/>
      <c r="D227" s="339"/>
      <c r="E227" s="339"/>
      <c r="F227" s="336"/>
      <c r="G227" s="336"/>
      <c r="H227" s="336"/>
      <c r="I227" s="336"/>
    </row>
    <row r="228" spans="1:10">
      <c r="A228" s="337"/>
      <c r="B228" s="373" t="s">
        <v>714</v>
      </c>
      <c r="C228" s="339">
        <v>1</v>
      </c>
      <c r="D228" s="339"/>
      <c r="E228" s="339">
        <v>1</v>
      </c>
      <c r="F228" s="336">
        <v>4.4000000000000004</v>
      </c>
      <c r="G228" s="336">
        <v>0.23</v>
      </c>
      <c r="H228" s="336">
        <v>0.3</v>
      </c>
      <c r="I228" s="336">
        <f t="shared" si="16"/>
        <v>0.30360000000000004</v>
      </c>
    </row>
    <row r="229" spans="1:10">
      <c r="A229" s="337"/>
      <c r="B229" s="373"/>
      <c r="C229" s="339">
        <v>1</v>
      </c>
      <c r="D229" s="339"/>
      <c r="E229" s="339">
        <v>1</v>
      </c>
      <c r="F229" s="336">
        <v>2.5</v>
      </c>
      <c r="G229" s="336">
        <v>0.23</v>
      </c>
      <c r="H229" s="336">
        <v>0.3</v>
      </c>
      <c r="I229" s="336">
        <f t="shared" si="16"/>
        <v>0.17250000000000001</v>
      </c>
    </row>
    <row r="230" spans="1:10">
      <c r="A230" s="337"/>
      <c r="B230" s="338"/>
      <c r="C230" s="339"/>
      <c r="D230" s="339"/>
      <c r="E230" s="339"/>
      <c r="F230" s="336"/>
      <c r="G230" s="336"/>
      <c r="H230" s="336"/>
      <c r="I230" s="345">
        <f>SUM(I228:I229)</f>
        <v>0.47610000000000008</v>
      </c>
      <c r="J230" s="346" t="s">
        <v>642</v>
      </c>
    </row>
    <row r="231" spans="1:10">
      <c r="A231" s="337"/>
      <c r="B231" s="354"/>
      <c r="C231" s="339"/>
      <c r="D231" s="339"/>
      <c r="E231" s="339"/>
      <c r="F231" s="336"/>
      <c r="G231" s="336"/>
      <c r="H231" s="345" t="s">
        <v>491</v>
      </c>
      <c r="I231" s="378">
        <v>0.5</v>
      </c>
      <c r="J231" s="346" t="s">
        <v>642</v>
      </c>
    </row>
    <row r="232" spans="1:10">
      <c r="A232" s="337"/>
      <c r="B232" s="354"/>
      <c r="C232" s="339"/>
      <c r="D232" s="339"/>
      <c r="E232" s="339"/>
      <c r="F232" s="336"/>
      <c r="G232" s="336"/>
      <c r="H232" s="336"/>
      <c r="I232" s="375"/>
    </row>
    <row r="233" spans="1:10">
      <c r="A233" s="337">
        <v>14</v>
      </c>
      <c r="B233" s="338" t="s">
        <v>547</v>
      </c>
      <c r="C233" s="339"/>
      <c r="D233" s="339"/>
      <c r="E233" s="339"/>
      <c r="F233" s="336"/>
      <c r="G233" s="336"/>
      <c r="H233" s="336"/>
      <c r="I233" s="336"/>
    </row>
    <row r="234" spans="1:10">
      <c r="A234" s="337"/>
      <c r="B234" s="338" t="s">
        <v>715</v>
      </c>
      <c r="C234" s="339">
        <v>1</v>
      </c>
      <c r="D234" s="339"/>
      <c r="E234" s="339">
        <v>1</v>
      </c>
      <c r="F234" s="336">
        <v>2.4</v>
      </c>
      <c r="G234" s="336"/>
      <c r="H234" s="336">
        <v>0.45</v>
      </c>
      <c r="I234" s="336">
        <f t="shared" ref="I234:I239" si="17">PRODUCT(C234:H234)</f>
        <v>1.08</v>
      </c>
    </row>
    <row r="235" spans="1:10">
      <c r="A235" s="337"/>
      <c r="B235" s="373" t="s">
        <v>716</v>
      </c>
      <c r="C235" s="339">
        <v>1</v>
      </c>
      <c r="D235" s="339"/>
      <c r="E235" s="339">
        <v>1</v>
      </c>
      <c r="F235" s="336">
        <v>4.8499999999999996</v>
      </c>
      <c r="G235" s="336"/>
      <c r="H235" s="336">
        <v>0.3</v>
      </c>
      <c r="I235" s="336">
        <f t="shared" si="17"/>
        <v>1.4549999999999998</v>
      </c>
    </row>
    <row r="236" spans="1:10">
      <c r="A236" s="337"/>
      <c r="B236" s="373"/>
      <c r="C236" s="339">
        <v>1</v>
      </c>
      <c r="D236" s="339"/>
      <c r="E236" s="339">
        <v>1</v>
      </c>
      <c r="F236" s="336">
        <v>2.5</v>
      </c>
      <c r="G236" s="336"/>
      <c r="H236" s="336">
        <v>0.3</v>
      </c>
      <c r="I236" s="336">
        <f t="shared" si="17"/>
        <v>0.75</v>
      </c>
    </row>
    <row r="237" spans="1:10">
      <c r="A237" s="337"/>
      <c r="B237" s="373"/>
      <c r="C237" s="339">
        <v>1</v>
      </c>
      <c r="D237" s="339"/>
      <c r="E237" s="339">
        <v>1</v>
      </c>
      <c r="F237" s="336">
        <v>4.3899999999999997</v>
      </c>
      <c r="G237" s="336"/>
      <c r="H237" s="336">
        <v>0.3</v>
      </c>
      <c r="I237" s="336">
        <f t="shared" si="17"/>
        <v>1.3169999999999999</v>
      </c>
    </row>
    <row r="238" spans="1:10">
      <c r="A238" s="337"/>
      <c r="B238" s="373"/>
      <c r="C238" s="339">
        <v>1</v>
      </c>
      <c r="D238" s="339"/>
      <c r="E238" s="339">
        <v>1</v>
      </c>
      <c r="F238" s="336">
        <v>2.04</v>
      </c>
      <c r="G238" s="336"/>
      <c r="H238" s="336">
        <v>0.3</v>
      </c>
      <c r="I238" s="336">
        <f t="shared" si="17"/>
        <v>0.61199999999999999</v>
      </c>
    </row>
    <row r="239" spans="1:10">
      <c r="A239" s="337"/>
      <c r="B239" s="373"/>
      <c r="C239" s="339">
        <v>1</v>
      </c>
      <c r="D239" s="339"/>
      <c r="E239" s="339">
        <v>1</v>
      </c>
      <c r="F239" s="336">
        <v>13.78</v>
      </c>
      <c r="G239" s="336"/>
      <c r="H239" s="336">
        <v>0.3</v>
      </c>
      <c r="I239" s="336">
        <f t="shared" si="17"/>
        <v>4.1339999999999995</v>
      </c>
    </row>
    <row r="240" spans="1:10">
      <c r="A240" s="337"/>
      <c r="B240" s="373"/>
      <c r="C240" s="339"/>
      <c r="D240" s="339"/>
      <c r="E240" s="339"/>
      <c r="F240" s="336"/>
      <c r="G240" s="336"/>
      <c r="H240" s="336"/>
      <c r="I240" s="336">
        <f>SUM(I234:I239)</f>
        <v>9.347999999999999</v>
      </c>
    </row>
    <row r="241" spans="1:12">
      <c r="A241" s="337"/>
      <c r="B241" s="381"/>
      <c r="C241" s="339"/>
      <c r="D241" s="339"/>
      <c r="E241" s="339"/>
      <c r="F241" s="336"/>
      <c r="G241" s="336"/>
      <c r="H241" s="345" t="s">
        <v>491</v>
      </c>
      <c r="I241" s="345">
        <v>9.4</v>
      </c>
      <c r="J241" s="346" t="s">
        <v>289</v>
      </c>
    </row>
    <row r="242" spans="1:12">
      <c r="A242" s="337"/>
      <c r="B242" s="338"/>
      <c r="C242" s="339"/>
      <c r="D242" s="339"/>
      <c r="E242" s="339"/>
      <c r="F242" s="336"/>
      <c r="G242" s="336"/>
      <c r="H242" s="336"/>
      <c r="I242" s="336"/>
    </row>
    <row r="243" spans="1:12" ht="31.5">
      <c r="A243" s="337">
        <v>15</v>
      </c>
      <c r="B243" s="338" t="s">
        <v>717</v>
      </c>
      <c r="C243" s="339"/>
      <c r="D243" s="339"/>
      <c r="E243" s="339"/>
      <c r="F243" s="336"/>
      <c r="G243" s="336"/>
      <c r="H243" s="336"/>
      <c r="I243" s="336"/>
    </row>
    <row r="244" spans="1:12">
      <c r="A244" s="337"/>
      <c r="B244" s="338" t="s">
        <v>718</v>
      </c>
      <c r="C244" s="339">
        <v>1</v>
      </c>
      <c r="D244" s="339"/>
      <c r="E244" s="339">
        <v>1</v>
      </c>
      <c r="F244" s="336">
        <v>5.4</v>
      </c>
      <c r="G244" s="336">
        <v>2.6</v>
      </c>
      <c r="H244" s="336">
        <v>0.3</v>
      </c>
      <c r="I244" s="336">
        <f t="shared" ref="I244:I245" si="18">PRODUCT(C244:H244)</f>
        <v>4.2119999999999997</v>
      </c>
    </row>
    <row r="245" spans="1:12">
      <c r="A245" s="337"/>
      <c r="B245" s="338" t="s">
        <v>719</v>
      </c>
      <c r="C245" s="339">
        <v>1</v>
      </c>
      <c r="D245" s="339"/>
      <c r="E245" s="339">
        <v>2</v>
      </c>
      <c r="F245" s="336">
        <v>1.2</v>
      </c>
      <c r="G245" s="336">
        <v>2.6</v>
      </c>
      <c r="H245" s="336">
        <v>2.1</v>
      </c>
      <c r="I245" s="336">
        <f t="shared" si="18"/>
        <v>13.104000000000001</v>
      </c>
    </row>
    <row r="246" spans="1:12">
      <c r="A246" s="337"/>
      <c r="B246" s="338"/>
      <c r="C246" s="339"/>
      <c r="D246" s="339"/>
      <c r="E246" s="339"/>
      <c r="F246" s="336"/>
      <c r="G246" s="336"/>
      <c r="H246" s="345"/>
      <c r="I246" s="345">
        <f>SUM(I244:I245)</f>
        <v>17.316000000000003</v>
      </c>
      <c r="J246" s="346" t="s">
        <v>289</v>
      </c>
    </row>
    <row r="247" spans="1:12">
      <c r="A247" s="337"/>
      <c r="B247" s="338"/>
      <c r="C247" s="339"/>
      <c r="D247" s="339"/>
      <c r="E247" s="339"/>
      <c r="F247" s="336"/>
      <c r="G247" s="336"/>
      <c r="H247" s="345" t="s">
        <v>491</v>
      </c>
      <c r="I247" s="345">
        <v>17.399999999999999</v>
      </c>
      <c r="J247" s="346" t="s">
        <v>289</v>
      </c>
    </row>
    <row r="248" spans="1:12">
      <c r="A248" s="337"/>
      <c r="B248" s="338"/>
      <c r="C248" s="339"/>
      <c r="D248" s="339"/>
      <c r="E248" s="339"/>
      <c r="F248" s="336"/>
      <c r="G248" s="336"/>
      <c r="H248" s="336"/>
      <c r="I248" s="336"/>
    </row>
    <row r="249" spans="1:12" ht="31.5">
      <c r="A249" s="337">
        <v>16</v>
      </c>
      <c r="B249" s="338" t="s">
        <v>553</v>
      </c>
      <c r="C249" s="339"/>
      <c r="D249" s="339"/>
      <c r="E249" s="339"/>
      <c r="F249" s="336"/>
      <c r="G249" s="336"/>
      <c r="H249" s="336"/>
      <c r="I249" s="336"/>
    </row>
    <row r="250" spans="1:12">
      <c r="A250" s="337"/>
      <c r="B250" s="338" t="s">
        <v>554</v>
      </c>
      <c r="C250" s="339">
        <v>1</v>
      </c>
      <c r="D250" s="339"/>
      <c r="E250" s="339">
        <v>10</v>
      </c>
      <c r="F250" s="336">
        <v>1.2</v>
      </c>
      <c r="G250" s="336">
        <v>2.4</v>
      </c>
      <c r="H250" s="336">
        <v>2.1</v>
      </c>
      <c r="I250" s="336">
        <f>PRODUCT(C250:H250)</f>
        <v>60.48</v>
      </c>
    </row>
    <row r="251" spans="1:12">
      <c r="A251" s="337"/>
      <c r="B251" s="338"/>
      <c r="C251" s="339"/>
      <c r="D251" s="339"/>
      <c r="E251" s="339"/>
      <c r="F251" s="336"/>
      <c r="G251" s="336"/>
      <c r="H251" s="345" t="s">
        <v>491</v>
      </c>
      <c r="I251" s="345">
        <v>60.5</v>
      </c>
      <c r="J251" s="346" t="s">
        <v>289</v>
      </c>
    </row>
    <row r="252" spans="1:12">
      <c r="A252" s="337"/>
      <c r="B252" s="338"/>
      <c r="C252" s="339"/>
      <c r="D252" s="339"/>
      <c r="E252" s="339"/>
      <c r="F252" s="336"/>
      <c r="G252" s="336"/>
      <c r="H252" s="336"/>
      <c r="I252" s="336"/>
    </row>
    <row r="253" spans="1:12" ht="31.5">
      <c r="A253" s="337">
        <v>17</v>
      </c>
      <c r="B253" s="338" t="s">
        <v>555</v>
      </c>
      <c r="C253" s="339"/>
      <c r="D253" s="339"/>
      <c r="E253" s="339"/>
      <c r="F253" s="336"/>
      <c r="G253" s="336"/>
      <c r="H253" s="336"/>
      <c r="I253" s="336"/>
      <c r="L253" s="344">
        <f>2*8*0.5*1.45*2.9</f>
        <v>33.64</v>
      </c>
    </row>
    <row r="254" spans="1:12">
      <c r="A254" s="353"/>
      <c r="B254" s="354" t="s">
        <v>507</v>
      </c>
      <c r="C254" s="355">
        <v>1</v>
      </c>
      <c r="D254" s="355"/>
      <c r="E254" s="355">
        <v>20</v>
      </c>
      <c r="F254" s="356">
        <v>1.8</v>
      </c>
      <c r="G254" s="356"/>
      <c r="H254" s="336">
        <v>1.35</v>
      </c>
      <c r="I254" s="336">
        <f t="shared" ref="I254:I259" si="19">PRODUCT(C254:H254)</f>
        <v>48.6</v>
      </c>
      <c r="L254" s="344"/>
    </row>
    <row r="255" spans="1:12">
      <c r="A255" s="337"/>
      <c r="B255" s="354" t="s">
        <v>508</v>
      </c>
      <c r="C255" s="355">
        <v>1</v>
      </c>
      <c r="D255" s="355"/>
      <c r="E255" s="355">
        <v>5</v>
      </c>
      <c r="F255" s="336">
        <v>1.35</v>
      </c>
      <c r="G255" s="336"/>
      <c r="H255" s="336">
        <v>1.35</v>
      </c>
      <c r="I255" s="336">
        <f t="shared" si="19"/>
        <v>9.1125000000000007</v>
      </c>
      <c r="L255" s="344"/>
    </row>
    <row r="256" spans="1:12">
      <c r="A256" s="337"/>
      <c r="B256" s="354" t="s">
        <v>670</v>
      </c>
      <c r="C256" s="355">
        <v>1</v>
      </c>
      <c r="D256" s="355"/>
      <c r="E256" s="355">
        <v>1</v>
      </c>
      <c r="F256" s="336">
        <v>1.8</v>
      </c>
      <c r="G256" s="336"/>
      <c r="H256" s="336">
        <v>1.05</v>
      </c>
      <c r="I256" s="336">
        <f t="shared" si="19"/>
        <v>1.8900000000000001</v>
      </c>
      <c r="L256" s="344"/>
    </row>
    <row r="257" spans="1:12">
      <c r="A257" s="337"/>
      <c r="B257" s="354" t="s">
        <v>671</v>
      </c>
      <c r="C257" s="355">
        <v>1</v>
      </c>
      <c r="D257" s="355"/>
      <c r="E257" s="355">
        <v>2</v>
      </c>
      <c r="F257" s="336">
        <v>1.35</v>
      </c>
      <c r="G257" s="336"/>
      <c r="H257" s="336">
        <v>1.05</v>
      </c>
      <c r="I257" s="336">
        <f t="shared" si="19"/>
        <v>2.8350000000000004</v>
      </c>
      <c r="L257" s="344"/>
    </row>
    <row r="258" spans="1:12">
      <c r="A258" s="337"/>
      <c r="B258" s="354" t="s">
        <v>511</v>
      </c>
      <c r="C258" s="355">
        <v>1</v>
      </c>
      <c r="D258" s="355"/>
      <c r="E258" s="355">
        <v>26</v>
      </c>
      <c r="F258" s="336">
        <v>0.9</v>
      </c>
      <c r="G258" s="336"/>
      <c r="H258" s="336">
        <v>0.6</v>
      </c>
      <c r="I258" s="336">
        <f t="shared" si="19"/>
        <v>14.040000000000001</v>
      </c>
      <c r="L258" s="344"/>
    </row>
    <row r="259" spans="1:12">
      <c r="A259" s="337"/>
      <c r="B259" s="354" t="s">
        <v>720</v>
      </c>
      <c r="C259" s="355">
        <v>1</v>
      </c>
      <c r="D259" s="355"/>
      <c r="E259" s="355">
        <v>1</v>
      </c>
      <c r="F259" s="336">
        <v>1</v>
      </c>
      <c r="G259" s="336"/>
      <c r="H259" s="336">
        <v>2.1</v>
      </c>
      <c r="I259" s="336">
        <f t="shared" si="19"/>
        <v>2.1</v>
      </c>
      <c r="L259" s="344"/>
    </row>
    <row r="260" spans="1:12">
      <c r="A260" s="337"/>
      <c r="B260" s="338"/>
      <c r="C260" s="339"/>
      <c r="D260" s="339"/>
      <c r="E260" s="339"/>
      <c r="F260" s="336"/>
      <c r="G260" s="336"/>
      <c r="H260" s="336"/>
      <c r="I260" s="336">
        <f>SUM(I254:I259)</f>
        <v>78.577500000000001</v>
      </c>
      <c r="L260" s="344"/>
    </row>
    <row r="261" spans="1:12">
      <c r="A261" s="337"/>
      <c r="B261" s="338"/>
      <c r="C261" s="339"/>
      <c r="D261" s="339"/>
      <c r="E261" s="339"/>
      <c r="F261" s="336"/>
      <c r="G261" s="336"/>
      <c r="H261" s="345" t="s">
        <v>491</v>
      </c>
      <c r="I261" s="345">
        <v>78.599999999999994</v>
      </c>
      <c r="J261" s="346" t="s">
        <v>289</v>
      </c>
      <c r="L261" s="344"/>
    </row>
    <row r="262" spans="1:12">
      <c r="A262" s="337"/>
      <c r="B262" s="338"/>
      <c r="C262" s="339"/>
      <c r="D262" s="339"/>
      <c r="E262" s="339"/>
      <c r="F262" s="336"/>
      <c r="G262" s="336"/>
      <c r="H262" s="336"/>
      <c r="I262" s="336"/>
      <c r="L262" s="344"/>
    </row>
    <row r="263" spans="1:12" ht="71.25" customHeight="1">
      <c r="A263" s="337">
        <v>18</v>
      </c>
      <c r="B263" s="338" t="s">
        <v>564</v>
      </c>
      <c r="C263" s="339"/>
      <c r="D263" s="339"/>
      <c r="E263" s="339"/>
      <c r="F263" s="336"/>
      <c r="G263" s="336"/>
      <c r="H263" s="336"/>
      <c r="I263" s="336"/>
      <c r="L263" s="344"/>
    </row>
    <row r="264" spans="1:12">
      <c r="A264" s="337"/>
      <c r="B264" s="338" t="s">
        <v>721</v>
      </c>
      <c r="C264" s="339">
        <v>1</v>
      </c>
      <c r="D264" s="339"/>
      <c r="E264" s="339">
        <v>4</v>
      </c>
      <c r="F264" s="336">
        <v>1.5</v>
      </c>
      <c r="G264" s="336"/>
      <c r="H264" s="336">
        <v>1.2</v>
      </c>
      <c r="I264" s="336">
        <f t="shared" ref="I264:I265" si="20">PRODUCT(C264:H264)</f>
        <v>7.1999999999999993</v>
      </c>
      <c r="L264" s="344"/>
    </row>
    <row r="265" spans="1:12">
      <c r="A265" s="337"/>
      <c r="B265" s="338" t="s">
        <v>722</v>
      </c>
      <c r="C265" s="339">
        <v>1</v>
      </c>
      <c r="D265" s="339"/>
      <c r="E265" s="339">
        <v>4</v>
      </c>
      <c r="F265" s="336">
        <v>1.5</v>
      </c>
      <c r="G265" s="336"/>
      <c r="H265" s="336">
        <v>1.2</v>
      </c>
      <c r="I265" s="336">
        <f t="shared" si="20"/>
        <v>7.1999999999999993</v>
      </c>
      <c r="L265" s="344"/>
    </row>
    <row r="266" spans="1:12">
      <c r="A266" s="337"/>
      <c r="B266" s="338"/>
      <c r="C266" s="339"/>
      <c r="D266" s="339"/>
      <c r="E266" s="339"/>
      <c r="F266" s="336"/>
      <c r="G266" s="336"/>
      <c r="H266" s="336"/>
      <c r="I266" s="336">
        <f>SUM(I264:I265)</f>
        <v>14.399999999999999</v>
      </c>
      <c r="L266" s="344"/>
    </row>
    <row r="267" spans="1:12">
      <c r="A267" s="337"/>
      <c r="B267" s="338"/>
      <c r="C267" s="339"/>
      <c r="D267" s="339"/>
      <c r="E267" s="339"/>
      <c r="F267" s="336"/>
      <c r="G267" s="336"/>
      <c r="H267" s="345" t="s">
        <v>491</v>
      </c>
      <c r="I267" s="345">
        <v>14.5</v>
      </c>
      <c r="J267" s="346" t="s">
        <v>289</v>
      </c>
      <c r="L267" s="344"/>
    </row>
    <row r="268" spans="1:12">
      <c r="A268" s="337"/>
      <c r="B268" s="338"/>
      <c r="C268" s="339"/>
      <c r="D268" s="339"/>
      <c r="E268" s="339"/>
      <c r="F268" s="336"/>
      <c r="G268" s="336"/>
      <c r="H268" s="336"/>
      <c r="I268" s="336"/>
      <c r="L268" s="344"/>
    </row>
    <row r="269" spans="1:12" ht="47.25" customHeight="1">
      <c r="A269" s="337">
        <v>19</v>
      </c>
      <c r="B269" s="338" t="s">
        <v>570</v>
      </c>
      <c r="C269" s="339"/>
      <c r="D269" s="339"/>
      <c r="E269" s="339"/>
      <c r="F269" s="336"/>
      <c r="G269" s="336"/>
      <c r="H269" s="336"/>
      <c r="I269" s="336"/>
      <c r="L269" s="344"/>
    </row>
    <row r="270" spans="1:12">
      <c r="A270" s="337"/>
      <c r="B270" s="338" t="s">
        <v>581</v>
      </c>
      <c r="C270" s="339">
        <v>1</v>
      </c>
      <c r="D270" s="339"/>
      <c r="E270" s="339">
        <v>1</v>
      </c>
      <c r="F270" s="336">
        <v>5.46</v>
      </c>
      <c r="G270" s="336"/>
      <c r="H270" s="336">
        <v>8.08</v>
      </c>
      <c r="I270" s="336">
        <f t="shared" ref="I270:I277" si="21">PRODUCT(C270:H270)</f>
        <v>44.116799999999998</v>
      </c>
      <c r="L270" s="344"/>
    </row>
    <row r="271" spans="1:12">
      <c r="A271" s="337"/>
      <c r="B271" s="338"/>
      <c r="C271" s="339">
        <v>1</v>
      </c>
      <c r="D271" s="339"/>
      <c r="E271" s="339">
        <v>1</v>
      </c>
      <c r="F271" s="336">
        <v>8.0299999999999994</v>
      </c>
      <c r="G271" s="336"/>
      <c r="H271" s="336">
        <v>4</v>
      </c>
      <c r="I271" s="336">
        <f t="shared" si="21"/>
        <v>32.119999999999997</v>
      </c>
      <c r="L271" s="344"/>
    </row>
    <row r="272" spans="1:12">
      <c r="A272" s="337"/>
      <c r="B272" s="338"/>
      <c r="C272" s="339">
        <v>1</v>
      </c>
      <c r="D272" s="339"/>
      <c r="E272" s="339">
        <v>1</v>
      </c>
      <c r="F272" s="336">
        <v>31.93</v>
      </c>
      <c r="G272" s="336"/>
      <c r="H272" s="336">
        <v>5.55</v>
      </c>
      <c r="I272" s="336">
        <f t="shared" si="21"/>
        <v>177.2115</v>
      </c>
      <c r="L272" s="344"/>
    </row>
    <row r="273" spans="1:12">
      <c r="A273" s="337"/>
      <c r="B273" s="338" t="s">
        <v>552</v>
      </c>
      <c r="C273" s="339">
        <v>1</v>
      </c>
      <c r="D273" s="339"/>
      <c r="E273" s="339">
        <v>1</v>
      </c>
      <c r="F273" s="336">
        <v>74.959999999999994</v>
      </c>
      <c r="G273" s="336"/>
      <c r="H273" s="336">
        <v>0.15</v>
      </c>
      <c r="I273" s="336">
        <f t="shared" si="21"/>
        <v>11.243999999999998</v>
      </c>
      <c r="L273" s="344"/>
    </row>
    <row r="274" spans="1:12">
      <c r="A274" s="337"/>
      <c r="B274" s="338"/>
      <c r="C274" s="339">
        <v>1</v>
      </c>
      <c r="D274" s="339"/>
      <c r="E274" s="339">
        <v>1</v>
      </c>
      <c r="F274" s="336">
        <v>5</v>
      </c>
      <c r="G274" s="336"/>
      <c r="H274" s="336">
        <v>0.15</v>
      </c>
      <c r="I274" s="336">
        <f t="shared" si="21"/>
        <v>0.75</v>
      </c>
      <c r="L274" s="344"/>
    </row>
    <row r="275" spans="1:12">
      <c r="A275" s="337"/>
      <c r="B275" s="338"/>
      <c r="C275" s="339">
        <v>1</v>
      </c>
      <c r="D275" s="339"/>
      <c r="E275" s="339">
        <v>1</v>
      </c>
      <c r="F275" s="336">
        <v>16.16</v>
      </c>
      <c r="G275" s="336"/>
      <c r="H275" s="336">
        <v>0.15</v>
      </c>
      <c r="I275" s="336">
        <f t="shared" si="21"/>
        <v>2.4239999999999999</v>
      </c>
      <c r="L275" s="344"/>
    </row>
    <row r="276" spans="1:12">
      <c r="A276" s="337"/>
      <c r="B276" s="338" t="s">
        <v>723</v>
      </c>
      <c r="C276" s="339">
        <v>1</v>
      </c>
      <c r="D276" s="339"/>
      <c r="E276" s="339">
        <v>1</v>
      </c>
      <c r="F276" s="336">
        <v>14.7</v>
      </c>
      <c r="G276" s="336"/>
      <c r="H276" s="336">
        <v>0.15</v>
      </c>
      <c r="I276" s="336">
        <f t="shared" si="21"/>
        <v>2.2049999999999996</v>
      </c>
      <c r="L276" s="344"/>
    </row>
    <row r="277" spans="1:12">
      <c r="A277" s="337"/>
      <c r="B277" s="338" t="s">
        <v>724</v>
      </c>
      <c r="C277" s="339">
        <v>1</v>
      </c>
      <c r="D277" s="339"/>
      <c r="E277" s="339">
        <v>1</v>
      </c>
      <c r="F277" s="336">
        <v>24.06</v>
      </c>
      <c r="G277" s="336"/>
      <c r="H277" s="336">
        <v>0.15</v>
      </c>
      <c r="I277" s="336">
        <f t="shared" si="21"/>
        <v>3.6089999999999995</v>
      </c>
      <c r="L277" s="344"/>
    </row>
    <row r="278" spans="1:12">
      <c r="A278" s="337"/>
      <c r="B278" s="338"/>
      <c r="C278" s="339"/>
      <c r="D278" s="339"/>
      <c r="E278" s="339"/>
      <c r="F278" s="336"/>
      <c r="G278" s="336"/>
      <c r="H278" s="336"/>
      <c r="I278" s="336">
        <f>SUM(I270:I277)</f>
        <v>273.68029999999993</v>
      </c>
      <c r="L278" s="344"/>
    </row>
    <row r="279" spans="1:12">
      <c r="A279" s="337"/>
      <c r="B279" s="338"/>
      <c r="C279" s="339"/>
      <c r="D279" s="339"/>
      <c r="E279" s="339"/>
      <c r="F279" s="336"/>
      <c r="G279" s="336"/>
      <c r="H279" s="345" t="s">
        <v>491</v>
      </c>
      <c r="I279" s="345">
        <v>274</v>
      </c>
      <c r="J279" s="346" t="s">
        <v>289</v>
      </c>
      <c r="L279" s="344"/>
    </row>
    <row r="280" spans="1:12">
      <c r="A280" s="337"/>
      <c r="B280" s="338"/>
      <c r="C280" s="339"/>
      <c r="D280" s="339"/>
      <c r="E280" s="339"/>
      <c r="F280" s="336"/>
      <c r="G280" s="336"/>
      <c r="H280" s="336"/>
      <c r="I280" s="336"/>
      <c r="L280" s="344"/>
    </row>
    <row r="281" spans="1:12">
      <c r="A281" s="337">
        <v>20</v>
      </c>
      <c r="B281" s="338" t="s">
        <v>725</v>
      </c>
      <c r="C281" s="339"/>
      <c r="D281" s="339"/>
      <c r="E281" s="339"/>
      <c r="F281" s="336"/>
      <c r="G281" s="336"/>
      <c r="H281" s="336"/>
      <c r="I281" s="336"/>
      <c r="L281" s="344"/>
    </row>
    <row r="282" spans="1:12">
      <c r="A282" s="337"/>
      <c r="B282" s="338" t="s">
        <v>581</v>
      </c>
      <c r="C282" s="339">
        <v>1</v>
      </c>
      <c r="D282" s="339"/>
      <c r="E282" s="339">
        <v>1</v>
      </c>
      <c r="F282" s="336">
        <v>5.46</v>
      </c>
      <c r="G282" s="336">
        <v>8.08</v>
      </c>
      <c r="H282" s="336"/>
      <c r="I282" s="336">
        <f t="shared" ref="I282:I289" si="22">PRODUCT(C282:H282)</f>
        <v>44.116799999999998</v>
      </c>
      <c r="L282" s="344"/>
    </row>
    <row r="283" spans="1:12">
      <c r="A283" s="337"/>
      <c r="B283" s="338"/>
      <c r="C283" s="339">
        <v>1</v>
      </c>
      <c r="D283" s="339"/>
      <c r="E283" s="339">
        <v>1</v>
      </c>
      <c r="F283" s="336">
        <v>8.0299999999999994</v>
      </c>
      <c r="G283" s="336">
        <v>4</v>
      </c>
      <c r="H283" s="336"/>
      <c r="I283" s="336">
        <f t="shared" si="22"/>
        <v>32.119999999999997</v>
      </c>
      <c r="L283" s="344"/>
    </row>
    <row r="284" spans="1:12">
      <c r="A284" s="337"/>
      <c r="B284" s="338"/>
      <c r="C284" s="339">
        <v>1</v>
      </c>
      <c r="D284" s="339"/>
      <c r="E284" s="339">
        <v>1</v>
      </c>
      <c r="F284" s="336">
        <v>31.93</v>
      </c>
      <c r="G284" s="336">
        <v>5.55</v>
      </c>
      <c r="H284" s="336"/>
      <c r="I284" s="336">
        <f t="shared" si="22"/>
        <v>177.2115</v>
      </c>
      <c r="L284" s="344"/>
    </row>
    <row r="285" spans="1:12">
      <c r="A285" s="337"/>
      <c r="B285" s="338" t="s">
        <v>552</v>
      </c>
      <c r="C285" s="339">
        <v>1</v>
      </c>
      <c r="D285" s="339"/>
      <c r="E285" s="339">
        <v>1</v>
      </c>
      <c r="F285" s="336">
        <v>74.959999999999994</v>
      </c>
      <c r="G285" s="336"/>
      <c r="H285" s="336">
        <v>0.1</v>
      </c>
      <c r="I285" s="336">
        <f t="shared" si="22"/>
        <v>7.4959999999999996</v>
      </c>
      <c r="L285" s="344"/>
    </row>
    <row r="286" spans="1:12">
      <c r="A286" s="337"/>
      <c r="B286" s="338"/>
      <c r="C286" s="339">
        <v>1</v>
      </c>
      <c r="D286" s="339"/>
      <c r="E286" s="339">
        <v>1</v>
      </c>
      <c r="F286" s="336">
        <v>5</v>
      </c>
      <c r="G286" s="336"/>
      <c r="H286" s="336">
        <v>0.1</v>
      </c>
      <c r="I286" s="336">
        <f t="shared" si="22"/>
        <v>0.5</v>
      </c>
      <c r="L286" s="344"/>
    </row>
    <row r="287" spans="1:12">
      <c r="A287" s="337"/>
      <c r="B287" s="338"/>
      <c r="C287" s="339">
        <v>1</v>
      </c>
      <c r="D287" s="339"/>
      <c r="E287" s="339">
        <v>1</v>
      </c>
      <c r="F287" s="336">
        <v>16.16</v>
      </c>
      <c r="G287" s="336"/>
      <c r="H287" s="336">
        <v>0.1</v>
      </c>
      <c r="I287" s="336">
        <f t="shared" si="22"/>
        <v>1.6160000000000001</v>
      </c>
      <c r="L287" s="344"/>
    </row>
    <row r="288" spans="1:12">
      <c r="A288" s="337"/>
      <c r="B288" s="338" t="s">
        <v>723</v>
      </c>
      <c r="C288" s="339">
        <v>1</v>
      </c>
      <c r="D288" s="339"/>
      <c r="E288" s="339">
        <v>1</v>
      </c>
      <c r="F288" s="336">
        <v>14.7</v>
      </c>
      <c r="G288" s="336"/>
      <c r="H288" s="336">
        <v>0.1</v>
      </c>
      <c r="I288" s="336">
        <f t="shared" si="22"/>
        <v>1.47</v>
      </c>
      <c r="L288" s="344"/>
    </row>
    <row r="289" spans="1:12">
      <c r="A289" s="337"/>
      <c r="B289" s="338" t="s">
        <v>724</v>
      </c>
      <c r="C289" s="339">
        <v>1</v>
      </c>
      <c r="D289" s="339"/>
      <c r="E289" s="339">
        <v>1</v>
      </c>
      <c r="F289" s="336">
        <v>24.06</v>
      </c>
      <c r="G289" s="336"/>
      <c r="H289" s="336">
        <v>0.1</v>
      </c>
      <c r="I289" s="336">
        <f t="shared" si="22"/>
        <v>2.4060000000000001</v>
      </c>
      <c r="L289" s="344"/>
    </row>
    <row r="290" spans="1:12">
      <c r="A290" s="337"/>
      <c r="B290" s="338"/>
      <c r="C290" s="339"/>
      <c r="D290" s="339"/>
      <c r="E290" s="339"/>
      <c r="F290" s="336"/>
      <c r="G290" s="336"/>
      <c r="H290" s="336"/>
      <c r="I290" s="336">
        <f>SUM(I282:I289)</f>
        <v>266.93630000000002</v>
      </c>
      <c r="L290" s="344"/>
    </row>
    <row r="291" spans="1:12">
      <c r="A291" s="337"/>
      <c r="B291" s="338"/>
      <c r="C291" s="339"/>
      <c r="D291" s="339"/>
      <c r="E291" s="339"/>
      <c r="F291" s="336"/>
      <c r="G291" s="336"/>
      <c r="H291" s="345" t="s">
        <v>491</v>
      </c>
      <c r="I291" s="345">
        <v>267</v>
      </c>
      <c r="J291" s="346" t="s">
        <v>289</v>
      </c>
      <c r="L291" s="344"/>
    </row>
    <row r="292" spans="1:12">
      <c r="A292" s="337"/>
      <c r="B292" s="338"/>
      <c r="C292" s="339"/>
      <c r="D292" s="339"/>
      <c r="E292" s="339"/>
      <c r="F292" s="336"/>
      <c r="G292" s="336"/>
      <c r="H292" s="336"/>
      <c r="I292" s="336"/>
      <c r="L292" s="344"/>
    </row>
    <row r="293" spans="1:12" ht="47.25">
      <c r="A293" s="337">
        <v>21</v>
      </c>
      <c r="B293" s="338" t="s">
        <v>572</v>
      </c>
      <c r="C293" s="339"/>
      <c r="D293" s="339"/>
      <c r="E293" s="339"/>
      <c r="F293" s="336"/>
      <c r="G293" s="336"/>
      <c r="H293" s="336"/>
      <c r="I293" s="336"/>
      <c r="L293" s="344"/>
    </row>
    <row r="294" spans="1:12">
      <c r="A294" s="337"/>
      <c r="B294" s="338" t="s">
        <v>726</v>
      </c>
      <c r="C294" s="339">
        <v>4</v>
      </c>
      <c r="D294" s="339"/>
      <c r="E294" s="339">
        <v>4</v>
      </c>
      <c r="F294" s="336">
        <v>1.5</v>
      </c>
      <c r="G294" s="336">
        <v>1.2</v>
      </c>
      <c r="H294" s="336"/>
      <c r="I294" s="336">
        <f t="shared" ref="I294:I300" si="23">PRODUCT(C294:H294)</f>
        <v>28.799999999999997</v>
      </c>
      <c r="L294" s="344"/>
    </row>
    <row r="295" spans="1:12">
      <c r="A295" s="337"/>
      <c r="B295" s="338" t="s">
        <v>726</v>
      </c>
      <c r="C295" s="339">
        <v>2</v>
      </c>
      <c r="D295" s="339"/>
      <c r="E295" s="339">
        <v>2</v>
      </c>
      <c r="F295" s="363">
        <v>5.61</v>
      </c>
      <c r="G295" s="336">
        <v>1</v>
      </c>
      <c r="H295" s="336"/>
      <c r="I295" s="336">
        <f t="shared" si="23"/>
        <v>22.44</v>
      </c>
      <c r="L295" s="344"/>
    </row>
    <row r="296" spans="1:12">
      <c r="A296" s="337"/>
      <c r="B296" s="338" t="s">
        <v>727</v>
      </c>
      <c r="C296" s="339">
        <v>4</v>
      </c>
      <c r="D296" s="339"/>
      <c r="E296" s="339">
        <v>4</v>
      </c>
      <c r="F296" s="363">
        <v>0.75</v>
      </c>
      <c r="G296" s="363">
        <v>0.115</v>
      </c>
      <c r="H296" s="336"/>
      <c r="I296" s="336">
        <f t="shared" si="23"/>
        <v>1.3800000000000001</v>
      </c>
      <c r="L296" s="344"/>
    </row>
    <row r="297" spans="1:12">
      <c r="A297" s="337"/>
      <c r="B297" s="338" t="s">
        <v>728</v>
      </c>
      <c r="C297" s="339">
        <v>2</v>
      </c>
      <c r="D297" s="339"/>
      <c r="E297" s="339">
        <v>2</v>
      </c>
      <c r="F297" s="363">
        <v>1.615</v>
      </c>
      <c r="G297" s="363">
        <v>1.585</v>
      </c>
      <c r="H297" s="336"/>
      <c r="I297" s="336">
        <f t="shared" si="23"/>
        <v>10.239100000000001</v>
      </c>
      <c r="L297" s="344"/>
    </row>
    <row r="298" spans="1:12">
      <c r="A298" s="337"/>
      <c r="B298" s="338" t="s">
        <v>727</v>
      </c>
      <c r="C298" s="339">
        <v>2</v>
      </c>
      <c r="D298" s="339"/>
      <c r="E298" s="339">
        <v>2</v>
      </c>
      <c r="F298" s="363">
        <v>1</v>
      </c>
      <c r="G298" s="363">
        <v>0.115</v>
      </c>
      <c r="H298" s="336"/>
      <c r="I298" s="336">
        <f t="shared" si="23"/>
        <v>0.46</v>
      </c>
      <c r="L298" s="344"/>
    </row>
    <row r="299" spans="1:12">
      <c r="A299" s="337"/>
      <c r="B299" s="338" t="s">
        <v>729</v>
      </c>
      <c r="C299" s="339">
        <v>2</v>
      </c>
      <c r="D299" s="339"/>
      <c r="E299" s="339">
        <v>2</v>
      </c>
      <c r="F299" s="363">
        <v>1.615</v>
      </c>
      <c r="G299" s="336"/>
      <c r="H299" s="336">
        <v>0.15</v>
      </c>
      <c r="I299" s="336">
        <f t="shared" si="23"/>
        <v>0.96899999999999997</v>
      </c>
      <c r="L299" s="344"/>
    </row>
    <row r="300" spans="1:12">
      <c r="A300" s="337"/>
      <c r="B300" s="338" t="s">
        <v>730</v>
      </c>
      <c r="C300" s="339">
        <v>1</v>
      </c>
      <c r="D300" s="339"/>
      <c r="E300" s="339">
        <v>2</v>
      </c>
      <c r="F300" s="363">
        <v>5.46</v>
      </c>
      <c r="G300" s="336">
        <v>1</v>
      </c>
      <c r="H300" s="336"/>
      <c r="I300" s="336">
        <f t="shared" si="23"/>
        <v>10.92</v>
      </c>
      <c r="L300" s="344"/>
    </row>
    <row r="301" spans="1:12">
      <c r="A301" s="337"/>
      <c r="B301" s="338" t="s">
        <v>730</v>
      </c>
      <c r="C301" s="339">
        <v>1</v>
      </c>
      <c r="D301" s="339"/>
      <c r="E301" s="339">
        <v>2</v>
      </c>
      <c r="F301" s="363">
        <v>2</v>
      </c>
      <c r="G301" s="336">
        <v>1.82</v>
      </c>
      <c r="H301" s="336"/>
      <c r="I301" s="336">
        <f>PRODUCT(C301:H301)</f>
        <v>7.28</v>
      </c>
      <c r="L301" s="344"/>
    </row>
    <row r="302" spans="1:12">
      <c r="A302" s="337"/>
      <c r="B302" s="338"/>
      <c r="C302" s="339"/>
      <c r="D302" s="339"/>
      <c r="E302" s="339"/>
      <c r="F302" s="363"/>
      <c r="G302" s="336"/>
      <c r="H302" s="336"/>
      <c r="I302" s="336">
        <f>SUM(I294:I301)</f>
        <v>82.488100000000003</v>
      </c>
      <c r="L302" s="344"/>
    </row>
    <row r="303" spans="1:12">
      <c r="A303" s="337"/>
      <c r="B303" s="338"/>
      <c r="C303" s="339"/>
      <c r="D303" s="339"/>
      <c r="E303" s="339"/>
      <c r="F303" s="336"/>
      <c r="G303" s="336"/>
      <c r="H303" s="336"/>
      <c r="I303" s="345">
        <v>82.5</v>
      </c>
      <c r="J303" s="346" t="s">
        <v>289</v>
      </c>
      <c r="L303" s="344"/>
    </row>
    <row r="304" spans="1:12">
      <c r="A304" s="337"/>
      <c r="B304" s="338"/>
      <c r="C304" s="339"/>
      <c r="D304" s="339"/>
      <c r="E304" s="339"/>
      <c r="F304" s="336"/>
      <c r="G304" s="336"/>
      <c r="H304" s="336"/>
      <c r="I304" s="336"/>
      <c r="L304" s="344"/>
    </row>
    <row r="305" spans="1:12" ht="31.5">
      <c r="A305" s="337">
        <v>22</v>
      </c>
      <c r="B305" s="338" t="s">
        <v>573</v>
      </c>
      <c r="C305" s="339"/>
      <c r="D305" s="339"/>
      <c r="E305" s="339"/>
      <c r="F305" s="336"/>
      <c r="G305" s="336"/>
      <c r="H305" s="336"/>
      <c r="I305" s="336"/>
      <c r="K305" s="328">
        <f>5.605+1+5.605</f>
        <v>12.21</v>
      </c>
      <c r="L305" s="344">
        <f>1.585+0.23+2+2</f>
        <v>5.8149999999999995</v>
      </c>
    </row>
    <row r="306" spans="1:12">
      <c r="A306" s="337"/>
      <c r="B306" s="338" t="s">
        <v>731</v>
      </c>
      <c r="C306" s="339">
        <v>4</v>
      </c>
      <c r="D306" s="339"/>
      <c r="E306" s="339">
        <v>4</v>
      </c>
      <c r="F306" s="336">
        <v>3.9</v>
      </c>
      <c r="G306" s="336"/>
      <c r="H306" s="336">
        <v>2.1</v>
      </c>
      <c r="I306" s="336">
        <f t="shared" ref="I306:I317" si="24">PRODUCT(C306:H306)</f>
        <v>131.04</v>
      </c>
      <c r="K306" s="328">
        <f>1.615+1.585*2</f>
        <v>4.7850000000000001</v>
      </c>
      <c r="L306" s="344"/>
    </row>
    <row r="307" spans="1:12">
      <c r="A307" s="337"/>
      <c r="B307" s="338" t="s">
        <v>732</v>
      </c>
      <c r="C307" s="339">
        <v>-4</v>
      </c>
      <c r="D307" s="339"/>
      <c r="E307" s="339">
        <v>4</v>
      </c>
      <c r="F307" s="336">
        <v>0.75</v>
      </c>
      <c r="G307" s="336"/>
      <c r="H307" s="336">
        <v>2.1</v>
      </c>
      <c r="I307" s="336">
        <f t="shared" si="24"/>
        <v>-25.200000000000003</v>
      </c>
      <c r="K307" s="328">
        <f>3+0.23+0.23</f>
        <v>3.46</v>
      </c>
      <c r="L307" s="344"/>
    </row>
    <row r="308" spans="1:12">
      <c r="A308" s="337"/>
      <c r="B308" s="338" t="s">
        <v>733</v>
      </c>
      <c r="C308" s="339">
        <v>2</v>
      </c>
      <c r="D308" s="339"/>
      <c r="E308" s="339">
        <v>2</v>
      </c>
      <c r="F308" s="336">
        <v>12.21</v>
      </c>
      <c r="G308" s="336"/>
      <c r="H308" s="336">
        <v>2.1</v>
      </c>
      <c r="I308" s="336">
        <f t="shared" si="24"/>
        <v>102.56400000000001</v>
      </c>
      <c r="L308" s="344"/>
    </row>
    <row r="309" spans="1:12">
      <c r="A309" s="337"/>
      <c r="B309" s="338" t="s">
        <v>732</v>
      </c>
      <c r="C309" s="339">
        <v>-4</v>
      </c>
      <c r="D309" s="339"/>
      <c r="E309" s="339">
        <v>4</v>
      </c>
      <c r="F309" s="336">
        <v>0.75</v>
      </c>
      <c r="G309" s="336"/>
      <c r="H309" s="336">
        <v>2.1</v>
      </c>
      <c r="I309" s="336">
        <f t="shared" si="24"/>
        <v>-25.200000000000003</v>
      </c>
      <c r="L309" s="344"/>
    </row>
    <row r="310" spans="1:12">
      <c r="A310" s="337"/>
      <c r="B310" s="338" t="s">
        <v>733</v>
      </c>
      <c r="C310" s="339">
        <v>2</v>
      </c>
      <c r="D310" s="339"/>
      <c r="E310" s="339">
        <v>2</v>
      </c>
      <c r="F310" s="336">
        <v>1</v>
      </c>
      <c r="G310" s="336"/>
      <c r="H310" s="336">
        <v>2.1</v>
      </c>
      <c r="I310" s="336">
        <f t="shared" si="24"/>
        <v>8.4</v>
      </c>
      <c r="K310" s="328">
        <f>0.115+1.615+1.585</f>
        <v>3.3149999999999999</v>
      </c>
      <c r="L310" s="344"/>
    </row>
    <row r="311" spans="1:12">
      <c r="A311" s="337"/>
      <c r="B311" s="338" t="s">
        <v>734</v>
      </c>
      <c r="C311" s="339">
        <v>2</v>
      </c>
      <c r="D311" s="339"/>
      <c r="E311" s="339">
        <v>2</v>
      </c>
      <c r="F311" s="336">
        <v>4.79</v>
      </c>
      <c r="G311" s="336"/>
      <c r="H311" s="336">
        <v>2.1</v>
      </c>
      <c r="I311" s="336">
        <f t="shared" si="24"/>
        <v>40.236000000000004</v>
      </c>
      <c r="L311" s="344"/>
    </row>
    <row r="312" spans="1:12">
      <c r="A312" s="337"/>
      <c r="B312" s="338" t="s">
        <v>735</v>
      </c>
      <c r="C312" s="339">
        <v>-2</v>
      </c>
      <c r="D312" s="339"/>
      <c r="E312" s="339">
        <v>4</v>
      </c>
      <c r="F312" s="336">
        <v>1</v>
      </c>
      <c r="G312" s="336"/>
      <c r="H312" s="336">
        <v>2.1</v>
      </c>
      <c r="I312" s="336">
        <f t="shared" si="24"/>
        <v>-16.8</v>
      </c>
      <c r="L312" s="344"/>
    </row>
    <row r="313" spans="1:12">
      <c r="A313" s="337"/>
      <c r="B313" s="338" t="s">
        <v>736</v>
      </c>
      <c r="C313" s="339">
        <v>2</v>
      </c>
      <c r="D313" s="339"/>
      <c r="E313" s="339">
        <v>2</v>
      </c>
      <c r="F313" s="336">
        <v>3.32</v>
      </c>
      <c r="G313" s="336"/>
      <c r="H313" s="336">
        <v>2.1</v>
      </c>
      <c r="I313" s="336">
        <f t="shared" si="24"/>
        <v>27.887999999999998</v>
      </c>
      <c r="L313" s="344"/>
    </row>
    <row r="314" spans="1:12">
      <c r="A314" s="337"/>
      <c r="B314" s="338" t="s">
        <v>737</v>
      </c>
      <c r="C314" s="339">
        <v>1</v>
      </c>
      <c r="D314" s="339"/>
      <c r="E314" s="339">
        <v>2</v>
      </c>
      <c r="F314" s="336">
        <v>3.46</v>
      </c>
      <c r="G314" s="336"/>
      <c r="H314" s="336">
        <v>2.1</v>
      </c>
      <c r="I314" s="336">
        <f t="shared" si="24"/>
        <v>14.532</v>
      </c>
      <c r="L314" s="344"/>
    </row>
    <row r="315" spans="1:12">
      <c r="A315" s="337"/>
      <c r="B315" s="338" t="s">
        <v>738</v>
      </c>
      <c r="C315" s="339">
        <v>1</v>
      </c>
      <c r="D315" s="339"/>
      <c r="E315" s="339">
        <v>2</v>
      </c>
      <c r="F315" s="336">
        <v>5.82</v>
      </c>
      <c r="G315" s="336"/>
      <c r="H315" s="336">
        <v>2.1</v>
      </c>
      <c r="I315" s="336">
        <f t="shared" si="24"/>
        <v>24.444000000000003</v>
      </c>
      <c r="L315" s="344"/>
    </row>
    <row r="316" spans="1:12">
      <c r="A316" s="337"/>
      <c r="B316" s="338" t="s">
        <v>260</v>
      </c>
      <c r="C316" s="339">
        <v>-1</v>
      </c>
      <c r="D316" s="339"/>
      <c r="E316" s="339">
        <v>2</v>
      </c>
      <c r="F316" s="336">
        <v>1</v>
      </c>
      <c r="G316" s="336"/>
      <c r="H316" s="336">
        <v>2.1</v>
      </c>
      <c r="I316" s="336">
        <f t="shared" si="24"/>
        <v>-4.2</v>
      </c>
      <c r="L316" s="344"/>
    </row>
    <row r="317" spans="1:12">
      <c r="A317" s="337"/>
      <c r="B317" s="338" t="s">
        <v>739</v>
      </c>
      <c r="C317" s="339">
        <v>1</v>
      </c>
      <c r="D317" s="339"/>
      <c r="E317" s="339">
        <v>1</v>
      </c>
      <c r="F317" s="336">
        <v>8.1</v>
      </c>
      <c r="G317" s="336"/>
      <c r="H317" s="336">
        <v>0.6</v>
      </c>
      <c r="I317" s="336">
        <f t="shared" si="24"/>
        <v>4.8599999999999994</v>
      </c>
      <c r="L317" s="344"/>
    </row>
    <row r="318" spans="1:12">
      <c r="A318" s="337"/>
      <c r="B318" s="338"/>
      <c r="C318" s="339"/>
      <c r="D318" s="339"/>
      <c r="E318" s="339"/>
      <c r="F318" s="336"/>
      <c r="G318" s="336"/>
      <c r="H318" s="336"/>
      <c r="I318" s="336">
        <f>SUM(I306:I317)</f>
        <v>282.56400000000008</v>
      </c>
      <c r="L318" s="344"/>
    </row>
    <row r="319" spans="1:12">
      <c r="A319" s="337"/>
      <c r="B319" s="338"/>
      <c r="C319" s="339"/>
      <c r="D319" s="339"/>
      <c r="E319" s="339"/>
      <c r="F319" s="336"/>
      <c r="G319" s="336"/>
      <c r="H319" s="336"/>
      <c r="I319" s="345">
        <v>282.60000000000002</v>
      </c>
      <c r="J319" s="346" t="s">
        <v>289</v>
      </c>
      <c r="L319" s="344"/>
    </row>
    <row r="320" spans="1:12">
      <c r="A320" s="337"/>
      <c r="B320" s="338"/>
      <c r="C320" s="339"/>
      <c r="D320" s="339"/>
      <c r="E320" s="339"/>
      <c r="F320" s="336"/>
      <c r="G320" s="336"/>
      <c r="H320" s="336"/>
      <c r="I320" s="336"/>
      <c r="L320" s="344"/>
    </row>
    <row r="321" spans="1:12">
      <c r="A321" s="337">
        <v>23</v>
      </c>
      <c r="B321" s="419" t="s">
        <v>740</v>
      </c>
      <c r="C321" s="339"/>
      <c r="D321" s="339"/>
      <c r="E321" s="339"/>
      <c r="F321" s="336"/>
      <c r="G321" s="336"/>
      <c r="H321" s="336"/>
      <c r="I321" s="336"/>
      <c r="L321" s="344"/>
    </row>
    <row r="322" spans="1:12">
      <c r="A322" s="337"/>
      <c r="B322" s="425" t="s">
        <v>678</v>
      </c>
      <c r="C322" s="339"/>
      <c r="D322" s="339"/>
      <c r="E322" s="339"/>
      <c r="F322" s="336"/>
      <c r="G322" s="336"/>
      <c r="H322" s="336"/>
      <c r="I322" s="336"/>
      <c r="L322" s="344"/>
    </row>
    <row r="323" spans="1:12">
      <c r="A323" s="337"/>
      <c r="B323" s="419" t="s">
        <v>521</v>
      </c>
      <c r="C323" s="339">
        <v>1</v>
      </c>
      <c r="D323" s="339"/>
      <c r="E323" s="339">
        <v>1</v>
      </c>
      <c r="F323" s="336">
        <v>2.5499999999999998</v>
      </c>
      <c r="G323" s="336">
        <v>5.5</v>
      </c>
      <c r="H323" s="336"/>
      <c r="I323" s="336">
        <f t="shared" ref="I323:I347" si="25">PRODUCT(C323:H323)</f>
        <v>14.024999999999999</v>
      </c>
      <c r="K323" s="328">
        <f>5.815+5.5+5.815+5.5</f>
        <v>22.630000000000003</v>
      </c>
      <c r="L323" s="344"/>
    </row>
    <row r="324" spans="1:12">
      <c r="A324" s="337"/>
      <c r="B324" s="419" t="s">
        <v>741</v>
      </c>
      <c r="C324" s="339">
        <v>1</v>
      </c>
      <c r="D324" s="339"/>
      <c r="E324" s="339">
        <v>1</v>
      </c>
      <c r="F324" s="336">
        <v>16.2</v>
      </c>
      <c r="G324" s="336"/>
      <c r="H324" s="336">
        <v>0.1</v>
      </c>
      <c r="I324" s="336">
        <f t="shared" si="25"/>
        <v>1.62</v>
      </c>
      <c r="L324" s="344"/>
    </row>
    <row r="325" spans="1:12">
      <c r="A325" s="337"/>
      <c r="B325" s="419" t="s">
        <v>742</v>
      </c>
      <c r="C325" s="339">
        <v>1</v>
      </c>
      <c r="D325" s="339"/>
      <c r="E325" s="339">
        <v>1</v>
      </c>
      <c r="F325" s="363">
        <v>5.8150000000000004</v>
      </c>
      <c r="G325" s="336">
        <v>5.5</v>
      </c>
      <c r="H325" s="336"/>
      <c r="I325" s="336">
        <f t="shared" si="25"/>
        <v>31.982500000000002</v>
      </c>
      <c r="L325" s="344"/>
    </row>
    <row r="326" spans="1:12">
      <c r="A326" s="337"/>
      <c r="B326" s="419" t="s">
        <v>741</v>
      </c>
      <c r="C326" s="339">
        <v>1</v>
      </c>
      <c r="D326" s="339"/>
      <c r="E326" s="339">
        <v>1</v>
      </c>
      <c r="F326" s="336">
        <v>22.63</v>
      </c>
      <c r="G326" s="336"/>
      <c r="H326" s="336">
        <v>0.1</v>
      </c>
      <c r="I326" s="336">
        <f t="shared" si="25"/>
        <v>2.2629999999999999</v>
      </c>
      <c r="L326" s="344"/>
    </row>
    <row r="327" spans="1:12">
      <c r="A327" s="337"/>
      <c r="B327" s="419" t="s">
        <v>472</v>
      </c>
      <c r="C327" s="339">
        <v>1</v>
      </c>
      <c r="D327" s="339"/>
      <c r="E327" s="339">
        <v>1</v>
      </c>
      <c r="F327" s="336">
        <v>6.73</v>
      </c>
      <c r="G327" s="336">
        <v>5.5</v>
      </c>
      <c r="H327" s="336"/>
      <c r="I327" s="336">
        <f t="shared" si="25"/>
        <v>37.015000000000001</v>
      </c>
      <c r="K327" s="328">
        <f>6.73+5.5+6.73+5.5+2+3</f>
        <v>29.46</v>
      </c>
      <c r="L327" s="344"/>
    </row>
    <row r="328" spans="1:12">
      <c r="A328" s="337"/>
      <c r="B328" s="419" t="s">
        <v>741</v>
      </c>
      <c r="C328" s="339">
        <v>1</v>
      </c>
      <c r="D328" s="339"/>
      <c r="E328" s="339">
        <v>1</v>
      </c>
      <c r="F328" s="336">
        <v>29.46</v>
      </c>
      <c r="G328" s="336"/>
      <c r="H328" s="336">
        <v>0.1</v>
      </c>
      <c r="I328" s="336">
        <f t="shared" si="25"/>
        <v>2.9460000000000002</v>
      </c>
      <c r="L328" s="344"/>
    </row>
    <row r="329" spans="1:12">
      <c r="A329" s="337"/>
      <c r="B329" s="419" t="s">
        <v>735</v>
      </c>
      <c r="C329" s="339">
        <v>-1</v>
      </c>
      <c r="D329" s="339"/>
      <c r="E329" s="339">
        <v>1</v>
      </c>
      <c r="F329" s="336">
        <v>1.5</v>
      </c>
      <c r="G329" s="336"/>
      <c r="H329" s="336">
        <v>0.1</v>
      </c>
      <c r="I329" s="336">
        <f t="shared" si="25"/>
        <v>-0.15000000000000002</v>
      </c>
      <c r="L329" s="344"/>
    </row>
    <row r="330" spans="1:12">
      <c r="A330" s="337"/>
      <c r="B330" s="419" t="s">
        <v>743</v>
      </c>
      <c r="C330" s="339">
        <v>1</v>
      </c>
      <c r="D330" s="339"/>
      <c r="E330" s="339">
        <v>1</v>
      </c>
      <c r="F330" s="336">
        <v>8</v>
      </c>
      <c r="G330" s="336">
        <v>5.5</v>
      </c>
      <c r="H330" s="336"/>
      <c r="I330" s="336">
        <f t="shared" si="25"/>
        <v>44</v>
      </c>
      <c r="L330" s="344"/>
    </row>
    <row r="331" spans="1:12">
      <c r="A331" s="337"/>
      <c r="B331" s="419" t="s">
        <v>741</v>
      </c>
      <c r="C331" s="339">
        <v>1</v>
      </c>
      <c r="D331" s="339"/>
      <c r="E331" s="339">
        <v>1</v>
      </c>
      <c r="F331" s="336">
        <v>27</v>
      </c>
      <c r="G331" s="336"/>
      <c r="H331" s="336">
        <v>0.1</v>
      </c>
      <c r="I331" s="336">
        <f t="shared" si="25"/>
        <v>2.7</v>
      </c>
      <c r="L331" s="344"/>
    </row>
    <row r="332" spans="1:12">
      <c r="A332" s="337"/>
      <c r="B332" s="419" t="s">
        <v>744</v>
      </c>
      <c r="C332" s="339">
        <v>1</v>
      </c>
      <c r="D332" s="339"/>
      <c r="E332" s="339">
        <v>1</v>
      </c>
      <c r="F332" s="336">
        <v>3</v>
      </c>
      <c r="G332" s="336">
        <v>5.5</v>
      </c>
      <c r="H332" s="336"/>
      <c r="I332" s="336">
        <f t="shared" si="25"/>
        <v>16.5</v>
      </c>
      <c r="L332" s="344"/>
    </row>
    <row r="333" spans="1:12">
      <c r="A333" s="337"/>
      <c r="B333" s="419" t="s">
        <v>741</v>
      </c>
      <c r="C333" s="339">
        <v>1</v>
      </c>
      <c r="D333" s="339"/>
      <c r="E333" s="339">
        <v>1</v>
      </c>
      <c r="F333" s="336">
        <v>17</v>
      </c>
      <c r="G333" s="336"/>
      <c r="H333" s="336">
        <v>0.1</v>
      </c>
      <c r="I333" s="336">
        <f t="shared" si="25"/>
        <v>1.7000000000000002</v>
      </c>
      <c r="L333" s="344"/>
    </row>
    <row r="334" spans="1:12">
      <c r="A334" s="337"/>
      <c r="B334" s="419" t="s">
        <v>474</v>
      </c>
      <c r="C334" s="339">
        <v>1</v>
      </c>
      <c r="D334" s="339"/>
      <c r="E334" s="339">
        <v>1</v>
      </c>
      <c r="F334" s="336">
        <v>4.8</v>
      </c>
      <c r="G334" s="336">
        <v>5.5</v>
      </c>
      <c r="H334" s="336"/>
      <c r="I334" s="336">
        <f t="shared" si="25"/>
        <v>26.4</v>
      </c>
      <c r="L334" s="344"/>
    </row>
    <row r="335" spans="1:12">
      <c r="A335" s="337"/>
      <c r="B335" s="419" t="s">
        <v>741</v>
      </c>
      <c r="C335" s="339">
        <v>1</v>
      </c>
      <c r="D335" s="339"/>
      <c r="E335" s="339">
        <v>1</v>
      </c>
      <c r="F335" s="336">
        <v>20.6</v>
      </c>
      <c r="G335" s="336"/>
      <c r="H335" s="336">
        <v>0.1</v>
      </c>
      <c r="I335" s="336">
        <f t="shared" si="25"/>
        <v>2.06</v>
      </c>
      <c r="K335" s="328">
        <f>4.8+5.5+4.8+5.5</f>
        <v>20.6</v>
      </c>
      <c r="L335" s="344"/>
    </row>
    <row r="336" spans="1:12">
      <c r="A336" s="337"/>
      <c r="B336" s="419" t="s">
        <v>473</v>
      </c>
      <c r="C336" s="339">
        <v>1</v>
      </c>
      <c r="D336" s="339"/>
      <c r="E336" s="339">
        <v>1</v>
      </c>
      <c r="F336" s="363">
        <v>5.5149999999999997</v>
      </c>
      <c r="G336" s="336">
        <v>4</v>
      </c>
      <c r="H336" s="336"/>
      <c r="I336" s="336">
        <f t="shared" si="25"/>
        <v>22.06</v>
      </c>
      <c r="L336" s="344"/>
    </row>
    <row r="337" spans="1:12">
      <c r="A337" s="337"/>
      <c r="B337" s="419" t="s">
        <v>741</v>
      </c>
      <c r="C337" s="339">
        <v>1</v>
      </c>
      <c r="D337" s="339"/>
      <c r="E337" s="339">
        <v>1</v>
      </c>
      <c r="F337" s="336">
        <v>18.03</v>
      </c>
      <c r="G337" s="336"/>
      <c r="H337" s="336">
        <v>0.1</v>
      </c>
      <c r="I337" s="336">
        <f t="shared" si="25"/>
        <v>1.8030000000000002</v>
      </c>
      <c r="K337" s="328">
        <f>5.515+4+5.515+4-1</f>
        <v>18.03</v>
      </c>
      <c r="L337" s="344"/>
    </row>
    <row r="338" spans="1:12">
      <c r="A338" s="337"/>
      <c r="B338" s="419" t="s">
        <v>657</v>
      </c>
      <c r="C338" s="339">
        <v>1</v>
      </c>
      <c r="D338" s="339"/>
      <c r="E338" s="339">
        <v>1</v>
      </c>
      <c r="F338" s="336">
        <v>2.4</v>
      </c>
      <c r="G338" s="336">
        <v>4</v>
      </c>
      <c r="H338" s="336"/>
      <c r="I338" s="336">
        <f t="shared" si="25"/>
        <v>9.6</v>
      </c>
      <c r="L338" s="344"/>
    </row>
    <row r="339" spans="1:12">
      <c r="A339" s="337"/>
      <c r="B339" s="419" t="s">
        <v>741</v>
      </c>
      <c r="C339" s="339">
        <v>1</v>
      </c>
      <c r="D339" s="339"/>
      <c r="E339" s="339">
        <v>1</v>
      </c>
      <c r="F339" s="336">
        <v>11.8</v>
      </c>
      <c r="G339" s="336"/>
      <c r="H339" s="336">
        <v>0.1</v>
      </c>
      <c r="I339" s="336">
        <f t="shared" si="25"/>
        <v>1.1800000000000002</v>
      </c>
      <c r="K339" s="328">
        <f>2.4+4+2.4+4-1</f>
        <v>11.8</v>
      </c>
      <c r="L339" s="344"/>
    </row>
    <row r="340" spans="1:12">
      <c r="A340" s="337"/>
      <c r="B340" s="425" t="s">
        <v>683</v>
      </c>
      <c r="C340" s="339"/>
      <c r="D340" s="339"/>
      <c r="E340" s="339"/>
      <c r="F340" s="336"/>
      <c r="G340" s="336"/>
      <c r="H340" s="336"/>
      <c r="I340" s="336">
        <f t="shared" si="25"/>
        <v>0</v>
      </c>
      <c r="L340" s="344"/>
    </row>
    <row r="341" spans="1:12">
      <c r="A341" s="337"/>
      <c r="B341" s="419" t="s">
        <v>475</v>
      </c>
      <c r="C341" s="339">
        <v>1</v>
      </c>
      <c r="D341" s="339"/>
      <c r="E341" s="339">
        <v>1</v>
      </c>
      <c r="F341" s="336">
        <v>8.48</v>
      </c>
      <c r="G341" s="336">
        <v>5.5</v>
      </c>
      <c r="H341" s="336"/>
      <c r="I341" s="336">
        <f t="shared" si="25"/>
        <v>46.64</v>
      </c>
      <c r="L341" s="344"/>
    </row>
    <row r="342" spans="1:12">
      <c r="A342" s="337"/>
      <c r="B342" s="419" t="s">
        <v>741</v>
      </c>
      <c r="C342" s="339">
        <v>1</v>
      </c>
      <c r="D342" s="339"/>
      <c r="E342" s="339">
        <v>1</v>
      </c>
      <c r="F342" s="336">
        <v>26.96</v>
      </c>
      <c r="G342" s="336"/>
      <c r="H342" s="336">
        <v>0.1</v>
      </c>
      <c r="I342" s="336">
        <f t="shared" si="25"/>
        <v>2.6960000000000002</v>
      </c>
      <c r="K342" s="328">
        <f>8.48+5.5+8.48+5.5-1</f>
        <v>26.96</v>
      </c>
      <c r="L342" s="344"/>
    </row>
    <row r="343" spans="1:12">
      <c r="A343" s="337"/>
      <c r="B343" s="419" t="s">
        <v>472</v>
      </c>
      <c r="C343" s="339">
        <v>1</v>
      </c>
      <c r="D343" s="339"/>
      <c r="E343" s="339">
        <v>1</v>
      </c>
      <c r="F343" s="336">
        <v>5.4</v>
      </c>
      <c r="G343" s="336">
        <v>5.5</v>
      </c>
      <c r="H343" s="336"/>
      <c r="I343" s="336">
        <f t="shared" si="25"/>
        <v>29.700000000000003</v>
      </c>
      <c r="L343" s="344"/>
    </row>
    <row r="344" spans="1:12">
      <c r="A344" s="337"/>
      <c r="B344" s="419" t="s">
        <v>741</v>
      </c>
      <c r="C344" s="339">
        <v>1</v>
      </c>
      <c r="D344" s="339"/>
      <c r="E344" s="339">
        <v>1</v>
      </c>
      <c r="F344" s="336">
        <v>26.8</v>
      </c>
      <c r="G344" s="336"/>
      <c r="H344" s="336">
        <v>0.1</v>
      </c>
      <c r="I344" s="336">
        <f t="shared" si="25"/>
        <v>2.68</v>
      </c>
      <c r="L344" s="344"/>
    </row>
    <row r="345" spans="1:12">
      <c r="A345" s="337"/>
      <c r="B345" s="419" t="s">
        <v>735</v>
      </c>
      <c r="C345" s="339">
        <v>-1</v>
      </c>
      <c r="D345" s="339"/>
      <c r="E345" s="339">
        <v>1</v>
      </c>
      <c r="F345" s="336">
        <v>1</v>
      </c>
      <c r="G345" s="336"/>
      <c r="H345" s="336">
        <v>0.1</v>
      </c>
      <c r="I345" s="336">
        <f t="shared" si="25"/>
        <v>-0.1</v>
      </c>
      <c r="K345" s="328">
        <f>5.4+5.5+5.4+5.5+2+3</f>
        <v>26.8</v>
      </c>
      <c r="L345" s="344"/>
    </row>
    <row r="346" spans="1:12">
      <c r="A346" s="337"/>
      <c r="B346" s="419" t="s">
        <v>475</v>
      </c>
      <c r="C346" s="339">
        <v>1</v>
      </c>
      <c r="D346" s="339"/>
      <c r="E346" s="339">
        <v>1</v>
      </c>
      <c r="F346" s="363">
        <v>17.704999999999998</v>
      </c>
      <c r="G346" s="336">
        <v>5.5</v>
      </c>
      <c r="H346" s="336"/>
      <c r="I346" s="336">
        <f t="shared" si="25"/>
        <v>97.377499999999998</v>
      </c>
      <c r="L346" s="344"/>
    </row>
    <row r="347" spans="1:12">
      <c r="A347" s="337"/>
      <c r="B347" s="419" t="s">
        <v>741</v>
      </c>
      <c r="C347" s="339">
        <v>1</v>
      </c>
      <c r="D347" s="339"/>
      <c r="E347" s="339">
        <v>1</v>
      </c>
      <c r="F347" s="336">
        <v>45.41</v>
      </c>
      <c r="G347" s="336"/>
      <c r="H347" s="336">
        <v>0.1</v>
      </c>
      <c r="I347" s="336">
        <f t="shared" si="25"/>
        <v>4.5409999999999995</v>
      </c>
      <c r="K347" s="328">
        <f>17.705+5.5+17.705+5.5-1</f>
        <v>45.41</v>
      </c>
      <c r="L347" s="344"/>
    </row>
    <row r="348" spans="1:12">
      <c r="A348" s="337"/>
      <c r="B348" s="419"/>
      <c r="C348" s="339"/>
      <c r="D348" s="339"/>
      <c r="E348" s="339"/>
      <c r="F348" s="336"/>
      <c r="G348" s="336"/>
      <c r="H348" s="336" t="s">
        <v>34</v>
      </c>
      <c r="I348" s="336">
        <f>SUM(I323:I347)</f>
        <v>401.23899999999998</v>
      </c>
      <c r="L348" s="344"/>
    </row>
    <row r="349" spans="1:12">
      <c r="A349" s="337"/>
      <c r="B349" s="419"/>
      <c r="C349" s="339"/>
      <c r="D349" s="339"/>
      <c r="E349" s="339"/>
      <c r="F349" s="336"/>
      <c r="G349" s="336"/>
      <c r="H349" s="345" t="s">
        <v>25</v>
      </c>
      <c r="I349" s="345">
        <v>401.3</v>
      </c>
      <c r="J349" s="346" t="s">
        <v>247</v>
      </c>
      <c r="L349" s="344"/>
    </row>
    <row r="350" spans="1:12">
      <c r="A350" s="337"/>
      <c r="B350" s="419"/>
      <c r="C350" s="339"/>
      <c r="D350" s="339"/>
      <c r="E350" s="339"/>
      <c r="F350" s="336"/>
      <c r="G350" s="336"/>
      <c r="H350" s="336"/>
      <c r="I350" s="336"/>
      <c r="L350" s="344"/>
    </row>
    <row r="351" spans="1:12">
      <c r="A351" s="337">
        <v>24</v>
      </c>
      <c r="B351" s="425" t="s">
        <v>745</v>
      </c>
      <c r="C351" s="339"/>
      <c r="D351" s="339"/>
      <c r="E351" s="339"/>
      <c r="F351" s="336"/>
      <c r="G351" s="336"/>
      <c r="H351" s="336"/>
      <c r="I351" s="336"/>
      <c r="L351" s="344"/>
    </row>
    <row r="352" spans="1:12">
      <c r="A352" s="337"/>
      <c r="B352" s="419" t="s">
        <v>746</v>
      </c>
      <c r="C352" s="339">
        <v>1</v>
      </c>
      <c r="D352" s="339"/>
      <c r="E352" s="339">
        <v>1</v>
      </c>
      <c r="F352" s="336">
        <v>32.39</v>
      </c>
      <c r="G352" s="336">
        <v>2</v>
      </c>
      <c r="H352" s="336"/>
      <c r="I352" s="336">
        <f t="shared" ref="I352:I357" si="26">PRODUCT(C352:H352)</f>
        <v>64.78</v>
      </c>
      <c r="K352" s="328">
        <f>9.98+5.92+16.72</f>
        <v>32.619999999999997</v>
      </c>
      <c r="L352" s="344"/>
    </row>
    <row r="353" spans="1:12">
      <c r="A353" s="337"/>
      <c r="B353" s="419" t="s">
        <v>741</v>
      </c>
      <c r="C353" s="339">
        <v>1</v>
      </c>
      <c r="D353" s="339"/>
      <c r="E353" s="339">
        <v>1</v>
      </c>
      <c r="F353" s="336">
        <v>32.39</v>
      </c>
      <c r="G353" s="336"/>
      <c r="H353" s="336">
        <v>0.1</v>
      </c>
      <c r="I353" s="336">
        <f t="shared" si="26"/>
        <v>3.2390000000000003</v>
      </c>
      <c r="K353" s="328">
        <f>32.39+2+2+32.39+1.67+1.67</f>
        <v>72.12</v>
      </c>
      <c r="L353" s="344"/>
    </row>
    <row r="354" spans="1:12">
      <c r="A354" s="337"/>
      <c r="B354" s="419" t="s">
        <v>747</v>
      </c>
      <c r="C354" s="339">
        <v>2</v>
      </c>
      <c r="D354" s="339"/>
      <c r="E354" s="339">
        <v>14</v>
      </c>
      <c r="F354" s="336">
        <v>1</v>
      </c>
      <c r="G354" s="336">
        <v>0.3</v>
      </c>
      <c r="H354" s="336"/>
      <c r="I354" s="336">
        <f t="shared" si="26"/>
        <v>8.4</v>
      </c>
      <c r="L354" s="344"/>
    </row>
    <row r="355" spans="1:12">
      <c r="A355" s="337"/>
      <c r="B355" s="419" t="s">
        <v>748</v>
      </c>
      <c r="C355" s="339">
        <v>2</v>
      </c>
      <c r="D355" s="339"/>
      <c r="E355" s="339">
        <v>15</v>
      </c>
      <c r="F355" s="336">
        <v>1</v>
      </c>
      <c r="G355" s="336">
        <v>0.15</v>
      </c>
      <c r="H355" s="336"/>
      <c r="I355" s="336">
        <f t="shared" si="26"/>
        <v>4.5</v>
      </c>
      <c r="L355" s="344"/>
    </row>
    <row r="356" spans="1:12">
      <c r="A356" s="337"/>
      <c r="B356" s="419" t="s">
        <v>749</v>
      </c>
      <c r="C356" s="339">
        <v>1</v>
      </c>
      <c r="D356" s="339"/>
      <c r="E356" s="339">
        <v>1</v>
      </c>
      <c r="F356" s="336">
        <v>32.39</v>
      </c>
      <c r="G356" s="336">
        <v>2</v>
      </c>
      <c r="H356" s="336"/>
      <c r="I356" s="336">
        <f t="shared" si="26"/>
        <v>64.78</v>
      </c>
      <c r="L356" s="344"/>
    </row>
    <row r="357" spans="1:12">
      <c r="A357" s="337"/>
      <c r="B357" s="419" t="s">
        <v>741</v>
      </c>
      <c r="C357" s="339">
        <v>1</v>
      </c>
      <c r="D357" s="339"/>
      <c r="E357" s="339">
        <v>1</v>
      </c>
      <c r="F357" s="336">
        <v>72.12</v>
      </c>
      <c r="G357" s="336"/>
      <c r="H357" s="336">
        <v>0.1</v>
      </c>
      <c r="I357" s="336">
        <f t="shared" si="26"/>
        <v>7.2120000000000006</v>
      </c>
      <c r="L357" s="344"/>
    </row>
    <row r="358" spans="1:12">
      <c r="A358" s="337"/>
      <c r="B358" s="338"/>
      <c r="C358" s="339"/>
      <c r="D358" s="339"/>
      <c r="E358" s="339"/>
      <c r="F358" s="336"/>
      <c r="G358" s="336"/>
      <c r="H358" s="336"/>
      <c r="I358" s="336">
        <f>SUM(I352:I357)</f>
        <v>152.911</v>
      </c>
      <c r="L358" s="344"/>
    </row>
    <row r="359" spans="1:12">
      <c r="A359" s="337"/>
      <c r="B359" s="338"/>
      <c r="C359" s="339"/>
      <c r="D359" s="339"/>
      <c r="E359" s="339"/>
      <c r="F359" s="336"/>
      <c r="G359" s="336"/>
      <c r="H359" s="345" t="s">
        <v>491</v>
      </c>
      <c r="I359" s="345">
        <v>152.94999999999999</v>
      </c>
      <c r="J359" s="346" t="s">
        <v>289</v>
      </c>
      <c r="L359" s="344"/>
    </row>
    <row r="360" spans="1:12">
      <c r="A360" s="337"/>
      <c r="B360" s="338"/>
      <c r="C360" s="339"/>
      <c r="D360" s="339"/>
      <c r="E360" s="339"/>
      <c r="F360" s="336"/>
      <c r="G360" s="336"/>
      <c r="H360" s="336"/>
      <c r="I360" s="336"/>
      <c r="L360" s="344"/>
    </row>
    <row r="361" spans="1:12">
      <c r="A361" s="337"/>
      <c r="B361" s="338"/>
      <c r="C361" s="339"/>
      <c r="D361" s="339"/>
      <c r="E361" s="339"/>
      <c r="F361" s="336"/>
      <c r="G361" s="336"/>
      <c r="H361" s="336"/>
      <c r="I361" s="336"/>
      <c r="L361" s="344"/>
    </row>
    <row r="362" spans="1:12" ht="31.5">
      <c r="A362" s="337">
        <v>25</v>
      </c>
      <c r="B362" s="338" t="s">
        <v>750</v>
      </c>
      <c r="C362" s="339"/>
      <c r="D362" s="339"/>
      <c r="E362" s="339"/>
      <c r="F362" s="336"/>
      <c r="G362" s="336"/>
      <c r="H362" s="336"/>
      <c r="I362" s="336"/>
      <c r="L362" s="344"/>
    </row>
    <row r="363" spans="1:12">
      <c r="A363" s="337"/>
      <c r="B363" s="338" t="s">
        <v>715</v>
      </c>
      <c r="C363" s="339">
        <v>1</v>
      </c>
      <c r="D363" s="339"/>
      <c r="E363" s="339">
        <v>1</v>
      </c>
      <c r="F363" s="336">
        <v>2.4</v>
      </c>
      <c r="G363" s="336"/>
      <c r="H363" s="336">
        <v>0.45</v>
      </c>
      <c r="I363" s="336">
        <f t="shared" ref="I363:I368" si="27">PRODUCT(C363:H363)</f>
        <v>1.08</v>
      </c>
      <c r="L363" s="344"/>
    </row>
    <row r="364" spans="1:12">
      <c r="A364" s="337"/>
      <c r="B364" s="373" t="s">
        <v>716</v>
      </c>
      <c r="C364" s="339">
        <v>1</v>
      </c>
      <c r="D364" s="339"/>
      <c r="E364" s="339">
        <v>1</v>
      </c>
      <c r="F364" s="336">
        <v>4.8499999999999996</v>
      </c>
      <c r="G364" s="336"/>
      <c r="H364" s="336">
        <v>0.3</v>
      </c>
      <c r="I364" s="336">
        <f t="shared" si="27"/>
        <v>1.4549999999999998</v>
      </c>
      <c r="L364" s="344"/>
    </row>
    <row r="365" spans="1:12">
      <c r="A365" s="337"/>
      <c r="B365" s="373"/>
      <c r="C365" s="339">
        <v>1</v>
      </c>
      <c r="D365" s="339"/>
      <c r="E365" s="339">
        <v>1</v>
      </c>
      <c r="F365" s="336">
        <v>2.5</v>
      </c>
      <c r="G365" s="336"/>
      <c r="H365" s="336">
        <v>0.3</v>
      </c>
      <c r="I365" s="336">
        <f t="shared" si="27"/>
        <v>0.75</v>
      </c>
      <c r="L365" s="344"/>
    </row>
    <row r="366" spans="1:12">
      <c r="A366" s="337"/>
      <c r="B366" s="373"/>
      <c r="C366" s="339">
        <v>1</v>
      </c>
      <c r="D366" s="339"/>
      <c r="E366" s="339">
        <v>1</v>
      </c>
      <c r="F366" s="336">
        <v>4.3899999999999997</v>
      </c>
      <c r="G366" s="336"/>
      <c r="H366" s="336">
        <v>0.3</v>
      </c>
      <c r="I366" s="336">
        <f t="shared" si="27"/>
        <v>1.3169999999999999</v>
      </c>
      <c r="L366" s="344"/>
    </row>
    <row r="367" spans="1:12">
      <c r="A367" s="337"/>
      <c r="B367" s="373"/>
      <c r="C367" s="339">
        <v>1</v>
      </c>
      <c r="D367" s="339"/>
      <c r="E367" s="339">
        <v>1</v>
      </c>
      <c r="F367" s="336">
        <v>2.04</v>
      </c>
      <c r="G367" s="336"/>
      <c r="H367" s="336">
        <v>0.3</v>
      </c>
      <c r="I367" s="336">
        <f t="shared" si="27"/>
        <v>0.61199999999999999</v>
      </c>
      <c r="L367" s="344"/>
    </row>
    <row r="368" spans="1:12">
      <c r="A368" s="337"/>
      <c r="B368" s="373"/>
      <c r="C368" s="339">
        <v>1</v>
      </c>
      <c r="D368" s="339"/>
      <c r="E368" s="339">
        <v>1</v>
      </c>
      <c r="F368" s="336">
        <v>13.78</v>
      </c>
      <c r="G368" s="336"/>
      <c r="H368" s="336">
        <v>0.3</v>
      </c>
      <c r="I368" s="336">
        <f t="shared" si="27"/>
        <v>4.1339999999999995</v>
      </c>
      <c r="L368" s="344"/>
    </row>
    <row r="369" spans="1:12">
      <c r="A369" s="337"/>
      <c r="B369" s="373"/>
      <c r="C369" s="339"/>
      <c r="D369" s="339"/>
      <c r="E369" s="339"/>
      <c r="F369" s="336"/>
      <c r="G369" s="336"/>
      <c r="H369" s="336"/>
      <c r="I369" s="336">
        <f>SUM(I363:I368)</f>
        <v>9.347999999999999</v>
      </c>
      <c r="L369" s="344"/>
    </row>
    <row r="370" spans="1:12">
      <c r="A370" s="337"/>
      <c r="B370" s="381"/>
      <c r="C370" s="339"/>
      <c r="D370" s="339"/>
      <c r="E370" s="339"/>
      <c r="F370" s="336"/>
      <c r="G370" s="336"/>
      <c r="H370" s="345" t="s">
        <v>491</v>
      </c>
      <c r="I370" s="345">
        <v>9.4</v>
      </c>
      <c r="J370" s="346" t="s">
        <v>289</v>
      </c>
      <c r="L370" s="344"/>
    </row>
    <row r="371" spans="1:12">
      <c r="A371" s="337"/>
      <c r="B371" s="338"/>
      <c r="C371" s="339"/>
      <c r="D371" s="339"/>
      <c r="E371" s="339"/>
      <c r="F371" s="336"/>
      <c r="G371" s="336"/>
      <c r="H371" s="336"/>
      <c r="I371" s="336"/>
      <c r="L371" s="344"/>
    </row>
    <row r="372" spans="1:12" ht="78.75" customHeight="1">
      <c r="A372" s="337">
        <v>26</v>
      </c>
      <c r="B372" s="338" t="s">
        <v>751</v>
      </c>
      <c r="C372" s="339"/>
      <c r="D372" s="339"/>
      <c r="E372" s="339"/>
      <c r="F372" s="336"/>
      <c r="G372" s="336"/>
      <c r="H372" s="336"/>
      <c r="I372" s="336"/>
      <c r="L372" s="344"/>
    </row>
    <row r="373" spans="1:12">
      <c r="A373" s="337"/>
      <c r="B373" s="338" t="s">
        <v>485</v>
      </c>
      <c r="C373" s="339"/>
      <c r="D373" s="339"/>
      <c r="E373" s="339"/>
      <c r="F373" s="336"/>
      <c r="G373" s="336"/>
      <c r="H373" s="336"/>
      <c r="I373" s="336"/>
      <c r="L373" s="344"/>
    </row>
    <row r="374" spans="1:12">
      <c r="A374" s="337"/>
      <c r="B374" s="373" t="s">
        <v>752</v>
      </c>
      <c r="C374" s="339">
        <v>1</v>
      </c>
      <c r="D374" s="339"/>
      <c r="E374" s="339">
        <v>1</v>
      </c>
      <c r="F374" s="336">
        <v>4.8499999999999996</v>
      </c>
      <c r="G374" s="336"/>
      <c r="H374" s="336">
        <v>0.3</v>
      </c>
      <c r="I374" s="336">
        <f t="shared" ref="I374:I378" si="28">PRODUCT(C374:H374)</f>
        <v>1.4549999999999998</v>
      </c>
      <c r="L374" s="344"/>
    </row>
    <row r="375" spans="1:12">
      <c r="A375" s="337"/>
      <c r="B375" s="373"/>
      <c r="C375" s="339">
        <v>1</v>
      </c>
      <c r="D375" s="339"/>
      <c r="E375" s="339">
        <v>1</v>
      </c>
      <c r="F375" s="336">
        <v>2.5</v>
      </c>
      <c r="G375" s="336"/>
      <c r="H375" s="336">
        <v>0.3</v>
      </c>
      <c r="I375" s="336">
        <f t="shared" si="28"/>
        <v>0.75</v>
      </c>
      <c r="L375" s="344"/>
    </row>
    <row r="376" spans="1:12">
      <c r="A376" s="337"/>
      <c r="B376" s="373"/>
      <c r="C376" s="339">
        <v>1</v>
      </c>
      <c r="D376" s="339"/>
      <c r="E376" s="339">
        <v>1</v>
      </c>
      <c r="F376" s="336">
        <v>4.3899999999999997</v>
      </c>
      <c r="G376" s="336"/>
      <c r="H376" s="336">
        <v>0.3</v>
      </c>
      <c r="I376" s="336">
        <f t="shared" si="28"/>
        <v>1.3169999999999999</v>
      </c>
      <c r="L376" s="344"/>
    </row>
    <row r="377" spans="1:12">
      <c r="A377" s="337"/>
      <c r="B377" s="373"/>
      <c r="C377" s="339">
        <v>1</v>
      </c>
      <c r="D377" s="339"/>
      <c r="E377" s="339">
        <v>1</v>
      </c>
      <c r="F377" s="336">
        <v>2.04</v>
      </c>
      <c r="G377" s="336"/>
      <c r="H377" s="336">
        <v>0.3</v>
      </c>
      <c r="I377" s="336">
        <f t="shared" si="28"/>
        <v>0.61199999999999999</v>
      </c>
      <c r="L377" s="344"/>
    </row>
    <row r="378" spans="1:12">
      <c r="A378" s="337"/>
      <c r="B378" s="373"/>
      <c r="C378" s="339">
        <v>1</v>
      </c>
      <c r="D378" s="339"/>
      <c r="E378" s="339">
        <v>1</v>
      </c>
      <c r="F378" s="336">
        <v>13.78</v>
      </c>
      <c r="G378" s="336"/>
      <c r="H378" s="336">
        <v>0.3</v>
      </c>
      <c r="I378" s="336">
        <f t="shared" si="28"/>
        <v>4.1339999999999995</v>
      </c>
      <c r="L378" s="344"/>
    </row>
    <row r="379" spans="1:12">
      <c r="A379" s="337"/>
      <c r="B379" s="338"/>
      <c r="C379" s="339"/>
      <c r="D379" s="339"/>
      <c r="E379" s="339"/>
      <c r="F379" s="336"/>
      <c r="G379" s="336"/>
      <c r="H379" s="336"/>
      <c r="I379" s="336">
        <f>SUM(I374:I378)</f>
        <v>8.2680000000000007</v>
      </c>
      <c r="L379" s="344"/>
    </row>
    <row r="380" spans="1:12">
      <c r="A380" s="337"/>
      <c r="B380" s="338"/>
      <c r="C380" s="339"/>
      <c r="D380" s="339"/>
      <c r="E380" s="339"/>
      <c r="F380" s="336"/>
      <c r="G380" s="336"/>
      <c r="H380" s="345" t="s">
        <v>491</v>
      </c>
      <c r="I380" s="345">
        <v>8.3000000000000007</v>
      </c>
      <c r="J380" s="346" t="s">
        <v>642</v>
      </c>
      <c r="L380" s="344"/>
    </row>
    <row r="381" spans="1:12">
      <c r="A381" s="337"/>
      <c r="B381" s="338"/>
      <c r="C381" s="339"/>
      <c r="D381" s="339"/>
      <c r="E381" s="339"/>
      <c r="F381" s="336"/>
      <c r="G381" s="336"/>
      <c r="H381" s="336"/>
      <c r="I381" s="336"/>
      <c r="L381" s="344"/>
    </row>
    <row r="382" spans="1:12" ht="31.5">
      <c r="A382" s="337">
        <v>27</v>
      </c>
      <c r="B382" s="338" t="s">
        <v>753</v>
      </c>
      <c r="C382" s="339"/>
      <c r="D382" s="339"/>
      <c r="E382" s="339"/>
      <c r="F382" s="336"/>
      <c r="G382" s="336"/>
      <c r="H382" s="336"/>
      <c r="I382" s="336"/>
      <c r="L382" s="344"/>
    </row>
    <row r="383" spans="1:12">
      <c r="A383" s="337"/>
      <c r="B383" s="338" t="s">
        <v>584</v>
      </c>
      <c r="C383" s="339">
        <v>2</v>
      </c>
      <c r="D383" s="339"/>
      <c r="E383" s="339">
        <v>8</v>
      </c>
      <c r="F383" s="336">
        <v>0.5</v>
      </c>
      <c r="G383" s="336"/>
      <c r="H383" s="336"/>
      <c r="I383" s="336">
        <f t="shared" ref="I383:I387" si="29">PRODUCT(C383:H383)</f>
        <v>8</v>
      </c>
      <c r="J383" s="340" t="s">
        <v>15</v>
      </c>
      <c r="L383" s="344"/>
    </row>
    <row r="384" spans="1:12">
      <c r="A384" s="337"/>
      <c r="B384" s="338"/>
      <c r="C384" s="339"/>
      <c r="D384" s="339"/>
      <c r="E384" s="339"/>
      <c r="F384" s="336"/>
      <c r="G384" s="336"/>
      <c r="H384" s="336"/>
      <c r="I384" s="336"/>
      <c r="L384" s="344"/>
    </row>
    <row r="385" spans="1:12">
      <c r="A385" s="337">
        <v>28</v>
      </c>
      <c r="B385" s="338" t="s">
        <v>593</v>
      </c>
      <c r="C385" s="339">
        <v>2</v>
      </c>
      <c r="D385" s="339"/>
      <c r="E385" s="339">
        <v>8</v>
      </c>
      <c r="F385" s="336"/>
      <c r="G385" s="336"/>
      <c r="H385" s="336"/>
      <c r="I385" s="336">
        <f t="shared" si="29"/>
        <v>16</v>
      </c>
      <c r="J385" s="340" t="s">
        <v>18</v>
      </c>
      <c r="L385" s="344"/>
    </row>
    <row r="386" spans="1:12">
      <c r="A386" s="337"/>
      <c r="B386" s="338"/>
      <c r="C386" s="339"/>
      <c r="D386" s="339"/>
      <c r="E386" s="339"/>
      <c r="F386" s="336"/>
      <c r="G386" s="336"/>
      <c r="H386" s="336"/>
      <c r="I386" s="336"/>
      <c r="L386" s="344"/>
    </row>
    <row r="387" spans="1:12">
      <c r="A387" s="337">
        <v>29</v>
      </c>
      <c r="B387" s="338" t="s">
        <v>754</v>
      </c>
      <c r="C387" s="339">
        <v>2</v>
      </c>
      <c r="D387" s="339"/>
      <c r="E387" s="339">
        <v>6</v>
      </c>
      <c r="F387" s="336"/>
      <c r="G387" s="336"/>
      <c r="H387" s="336"/>
      <c r="I387" s="336">
        <f t="shared" si="29"/>
        <v>12</v>
      </c>
      <c r="J387" s="340" t="s">
        <v>18</v>
      </c>
      <c r="L387" s="344"/>
    </row>
    <row r="388" spans="1:12">
      <c r="A388" s="337"/>
      <c r="B388" s="338"/>
      <c r="C388" s="339"/>
      <c r="D388" s="339"/>
      <c r="E388" s="339"/>
      <c r="F388" s="336"/>
      <c r="G388" s="336"/>
      <c r="H388" s="336"/>
      <c r="I388" s="336"/>
      <c r="L388" s="344"/>
    </row>
    <row r="389" spans="1:12">
      <c r="A389" s="337">
        <v>30</v>
      </c>
      <c r="B389" s="338" t="s">
        <v>594</v>
      </c>
      <c r="C389" s="339"/>
      <c r="D389" s="339"/>
      <c r="E389" s="339"/>
      <c r="F389" s="336"/>
      <c r="G389" s="336"/>
      <c r="H389" s="336"/>
      <c r="I389" s="336"/>
      <c r="L389" s="344"/>
    </row>
    <row r="390" spans="1:12">
      <c r="A390" s="337"/>
      <c r="B390" s="338" t="s">
        <v>595</v>
      </c>
      <c r="C390" s="339">
        <v>2</v>
      </c>
      <c r="D390" s="339"/>
      <c r="E390" s="339">
        <v>10</v>
      </c>
      <c r="F390" s="336"/>
      <c r="G390" s="336"/>
      <c r="H390" s="336"/>
      <c r="I390" s="336">
        <f t="shared" ref="I390" si="30">PRODUCT(C390:H390)</f>
        <v>20</v>
      </c>
      <c r="J390" s="340" t="s">
        <v>18</v>
      </c>
      <c r="L390" s="344"/>
    </row>
    <row r="391" spans="1:12">
      <c r="A391" s="337"/>
      <c r="B391" s="338"/>
      <c r="C391" s="339"/>
      <c r="D391" s="339"/>
      <c r="E391" s="339"/>
      <c r="F391" s="336"/>
      <c r="G391" s="336"/>
      <c r="H391" s="336"/>
      <c r="I391" s="336"/>
      <c r="L391" s="344"/>
    </row>
    <row r="392" spans="1:12" ht="31.5">
      <c r="A392" s="337">
        <v>31</v>
      </c>
      <c r="B392" s="338" t="s">
        <v>755</v>
      </c>
      <c r="C392" s="339"/>
      <c r="D392" s="339"/>
      <c r="E392" s="339"/>
      <c r="F392" s="336"/>
      <c r="G392" s="336"/>
      <c r="H392" s="336"/>
      <c r="I392" s="336"/>
      <c r="L392" s="344"/>
    </row>
    <row r="393" spans="1:12">
      <c r="A393" s="337"/>
      <c r="B393" s="338" t="s">
        <v>756</v>
      </c>
      <c r="C393" s="339">
        <v>2</v>
      </c>
      <c r="D393" s="339"/>
      <c r="E393" s="339">
        <v>6</v>
      </c>
      <c r="F393" s="336">
        <v>1</v>
      </c>
      <c r="G393" s="336"/>
      <c r="H393" s="336"/>
      <c r="I393" s="336">
        <f t="shared" ref="I393:I394" si="31">PRODUCT(C393:H393)</f>
        <v>12</v>
      </c>
      <c r="L393" s="344"/>
    </row>
    <row r="394" spans="1:12">
      <c r="A394" s="337"/>
      <c r="B394" s="338"/>
      <c r="C394" s="339">
        <v>2</v>
      </c>
      <c r="D394" s="339"/>
      <c r="E394" s="339">
        <v>4</v>
      </c>
      <c r="F394" s="336">
        <v>1</v>
      </c>
      <c r="G394" s="336"/>
      <c r="H394" s="336"/>
      <c r="I394" s="336">
        <f t="shared" si="31"/>
        <v>8</v>
      </c>
      <c r="L394" s="344"/>
    </row>
    <row r="395" spans="1:12">
      <c r="A395" s="337"/>
      <c r="B395" s="338"/>
      <c r="C395" s="339"/>
      <c r="D395" s="339"/>
      <c r="E395" s="339"/>
      <c r="F395" s="336"/>
      <c r="G395" s="336"/>
      <c r="H395" s="336"/>
      <c r="I395" s="345">
        <f>SUM(I393:I394)</f>
        <v>20</v>
      </c>
      <c r="J395" s="346" t="s">
        <v>15</v>
      </c>
      <c r="L395" s="344"/>
    </row>
    <row r="396" spans="1:12">
      <c r="A396" s="337"/>
      <c r="B396" s="338"/>
      <c r="C396" s="339"/>
      <c r="D396" s="339"/>
      <c r="E396" s="339"/>
      <c r="F396" s="336"/>
      <c r="G396" s="336"/>
      <c r="H396" s="336"/>
      <c r="I396" s="336"/>
      <c r="L396" s="344"/>
    </row>
    <row r="397" spans="1:12" ht="62.25" customHeight="1">
      <c r="A397" s="337">
        <v>32</v>
      </c>
      <c r="B397" s="338" t="s">
        <v>608</v>
      </c>
      <c r="C397" s="339"/>
      <c r="D397" s="339"/>
      <c r="E397" s="339"/>
      <c r="F397" s="336"/>
      <c r="G397" s="336"/>
      <c r="H397" s="336"/>
      <c r="I397" s="336"/>
      <c r="L397" s="344"/>
    </row>
    <row r="398" spans="1:12">
      <c r="A398" s="337"/>
      <c r="B398" s="338" t="s">
        <v>470</v>
      </c>
      <c r="C398" s="339"/>
      <c r="D398" s="339"/>
      <c r="E398" s="339"/>
      <c r="F398" s="336"/>
      <c r="G398" s="336"/>
      <c r="H398" s="336"/>
      <c r="I398" s="336"/>
      <c r="L398" s="344"/>
    </row>
    <row r="399" spans="1:12">
      <c r="A399" s="337"/>
      <c r="B399" s="338" t="s">
        <v>474</v>
      </c>
      <c r="C399" s="339">
        <v>1</v>
      </c>
      <c r="D399" s="339"/>
      <c r="E399" s="339">
        <v>7</v>
      </c>
      <c r="F399" s="336"/>
      <c r="G399" s="336"/>
      <c r="H399" s="336"/>
      <c r="I399" s="336">
        <f t="shared" ref="I399:I413" si="32">PRODUCT(C399:H399)</f>
        <v>7</v>
      </c>
      <c r="L399" s="344"/>
    </row>
    <row r="400" spans="1:12">
      <c r="A400" s="337"/>
      <c r="B400" s="338" t="s">
        <v>656</v>
      </c>
      <c r="C400" s="339">
        <v>1</v>
      </c>
      <c r="D400" s="339"/>
      <c r="E400" s="339">
        <v>4</v>
      </c>
      <c r="F400" s="336"/>
      <c r="G400" s="336"/>
      <c r="H400" s="336"/>
      <c r="I400" s="336">
        <f t="shared" si="32"/>
        <v>4</v>
      </c>
      <c r="L400" s="344"/>
    </row>
    <row r="401" spans="1:12">
      <c r="A401" s="337"/>
      <c r="B401" s="338" t="s">
        <v>501</v>
      </c>
      <c r="C401" s="339">
        <v>1</v>
      </c>
      <c r="D401" s="339"/>
      <c r="E401" s="339">
        <v>7</v>
      </c>
      <c r="F401" s="336"/>
      <c r="G401" s="336"/>
      <c r="H401" s="336"/>
      <c r="I401" s="336">
        <f t="shared" si="32"/>
        <v>7</v>
      </c>
      <c r="L401" s="344"/>
    </row>
    <row r="402" spans="1:12">
      <c r="A402" s="337"/>
      <c r="B402" s="338" t="s">
        <v>609</v>
      </c>
      <c r="C402" s="339">
        <v>1</v>
      </c>
      <c r="D402" s="339"/>
      <c r="E402" s="339">
        <v>4</v>
      </c>
      <c r="F402" s="336"/>
      <c r="G402" s="336"/>
      <c r="H402" s="336"/>
      <c r="I402" s="336">
        <f t="shared" si="32"/>
        <v>4</v>
      </c>
      <c r="L402" s="344"/>
    </row>
    <row r="403" spans="1:12">
      <c r="A403" s="337"/>
      <c r="B403" s="338" t="s">
        <v>654</v>
      </c>
      <c r="C403" s="339">
        <v>1</v>
      </c>
      <c r="D403" s="339"/>
      <c r="E403" s="339">
        <v>7</v>
      </c>
      <c r="F403" s="336"/>
      <c r="G403" s="336"/>
      <c r="H403" s="336"/>
      <c r="I403" s="336">
        <f t="shared" si="32"/>
        <v>7</v>
      </c>
      <c r="L403" s="344"/>
    </row>
    <row r="404" spans="1:12">
      <c r="A404" s="337"/>
      <c r="B404" s="338" t="s">
        <v>472</v>
      </c>
      <c r="C404" s="339">
        <v>1</v>
      </c>
      <c r="D404" s="339"/>
      <c r="E404" s="339">
        <v>10</v>
      </c>
      <c r="F404" s="336"/>
      <c r="G404" s="336"/>
      <c r="H404" s="336"/>
      <c r="I404" s="336">
        <f t="shared" si="32"/>
        <v>10</v>
      </c>
      <c r="L404" s="344"/>
    </row>
    <row r="405" spans="1:12">
      <c r="A405" s="337"/>
      <c r="B405" s="338" t="s">
        <v>658</v>
      </c>
      <c r="C405" s="339">
        <v>1</v>
      </c>
      <c r="D405" s="339"/>
      <c r="E405" s="339">
        <v>15</v>
      </c>
      <c r="F405" s="336"/>
      <c r="G405" s="336"/>
      <c r="H405" s="336"/>
      <c r="I405" s="336">
        <f t="shared" si="32"/>
        <v>15</v>
      </c>
      <c r="L405" s="344"/>
    </row>
    <row r="406" spans="1:12">
      <c r="A406" s="337"/>
      <c r="B406" s="338" t="s">
        <v>521</v>
      </c>
      <c r="C406" s="339">
        <v>1</v>
      </c>
      <c r="D406" s="339"/>
      <c r="E406" s="339">
        <v>7</v>
      </c>
      <c r="F406" s="336"/>
      <c r="G406" s="336"/>
      <c r="H406" s="336"/>
      <c r="I406" s="336">
        <f t="shared" si="32"/>
        <v>7</v>
      </c>
      <c r="L406" s="344"/>
    </row>
    <row r="407" spans="1:12">
      <c r="A407" s="337"/>
      <c r="B407" s="338" t="s">
        <v>481</v>
      </c>
      <c r="C407" s="339">
        <v>1</v>
      </c>
      <c r="D407" s="339"/>
      <c r="E407" s="339">
        <v>17</v>
      </c>
      <c r="F407" s="336"/>
      <c r="G407" s="336"/>
      <c r="H407" s="336"/>
      <c r="I407" s="336">
        <f t="shared" si="32"/>
        <v>17</v>
      </c>
      <c r="L407" s="344"/>
    </row>
    <row r="408" spans="1:12">
      <c r="A408" s="337"/>
      <c r="B408" s="338" t="s">
        <v>478</v>
      </c>
      <c r="C408" s="339"/>
      <c r="D408" s="339"/>
      <c r="E408" s="339"/>
      <c r="F408" s="336"/>
      <c r="G408" s="336"/>
      <c r="H408" s="336"/>
      <c r="I408" s="336">
        <f t="shared" si="32"/>
        <v>0</v>
      </c>
      <c r="L408" s="344"/>
    </row>
    <row r="409" spans="1:12">
      <c r="A409" s="337"/>
      <c r="B409" s="338" t="s">
        <v>661</v>
      </c>
      <c r="C409" s="339">
        <v>1</v>
      </c>
      <c r="D409" s="339"/>
      <c r="E409" s="339">
        <v>26</v>
      </c>
      <c r="F409" s="336"/>
      <c r="G409" s="336"/>
      <c r="H409" s="336"/>
      <c r="I409" s="336">
        <f t="shared" si="32"/>
        <v>26</v>
      </c>
      <c r="L409" s="344"/>
    </row>
    <row r="410" spans="1:12">
      <c r="A410" s="337"/>
      <c r="B410" s="338" t="s">
        <v>757</v>
      </c>
      <c r="C410" s="339">
        <v>1</v>
      </c>
      <c r="D410" s="339"/>
      <c r="E410" s="339">
        <v>26</v>
      </c>
      <c r="F410" s="336"/>
      <c r="G410" s="336"/>
      <c r="H410" s="336"/>
      <c r="I410" s="336">
        <f t="shared" si="32"/>
        <v>26</v>
      </c>
      <c r="L410" s="344"/>
    </row>
    <row r="411" spans="1:12">
      <c r="A411" s="337"/>
      <c r="B411" s="338" t="s">
        <v>472</v>
      </c>
      <c r="C411" s="339">
        <v>1</v>
      </c>
      <c r="D411" s="339"/>
      <c r="E411" s="339">
        <v>10</v>
      </c>
      <c r="F411" s="336"/>
      <c r="G411" s="336"/>
      <c r="H411" s="336"/>
      <c r="I411" s="336">
        <f t="shared" si="32"/>
        <v>10</v>
      </c>
      <c r="L411" s="344"/>
    </row>
    <row r="412" spans="1:12">
      <c r="A412" s="337"/>
      <c r="B412" s="338" t="s">
        <v>659</v>
      </c>
      <c r="C412" s="339">
        <v>2</v>
      </c>
      <c r="D412" s="339"/>
      <c r="E412" s="339">
        <v>4</v>
      </c>
      <c r="F412" s="336"/>
      <c r="G412" s="336"/>
      <c r="H412" s="336"/>
      <c r="I412" s="336">
        <f t="shared" si="32"/>
        <v>8</v>
      </c>
      <c r="L412" s="344"/>
    </row>
    <row r="413" spans="1:12">
      <c r="A413" s="337"/>
      <c r="B413" s="338" t="s">
        <v>481</v>
      </c>
      <c r="C413" s="339">
        <v>1</v>
      </c>
      <c r="D413" s="339"/>
      <c r="E413" s="339">
        <v>18</v>
      </c>
      <c r="F413" s="336"/>
      <c r="G413" s="336"/>
      <c r="H413" s="336"/>
      <c r="I413" s="336">
        <f t="shared" si="32"/>
        <v>18</v>
      </c>
      <c r="L413" s="344"/>
    </row>
    <row r="414" spans="1:12">
      <c r="A414" s="337"/>
      <c r="B414" s="338"/>
      <c r="C414" s="339"/>
      <c r="D414" s="339"/>
      <c r="E414" s="339"/>
      <c r="F414" s="336"/>
      <c r="G414" s="336"/>
      <c r="H414" s="336"/>
      <c r="I414" s="345">
        <f>SUM(I399:I413)</f>
        <v>166</v>
      </c>
      <c r="J414" s="346" t="s">
        <v>18</v>
      </c>
      <c r="L414" s="344"/>
    </row>
    <row r="415" spans="1:12">
      <c r="A415" s="337"/>
      <c r="B415" s="338"/>
      <c r="C415" s="339"/>
      <c r="D415" s="339"/>
      <c r="E415" s="339"/>
      <c r="F415" s="336"/>
      <c r="G415" s="336"/>
      <c r="H415" s="336"/>
      <c r="I415" s="336"/>
      <c r="L415" s="344"/>
    </row>
    <row r="416" spans="1:12" ht="31.5">
      <c r="A416" s="337">
        <v>33</v>
      </c>
      <c r="B416" s="338" t="s">
        <v>614</v>
      </c>
      <c r="C416" s="339"/>
      <c r="D416" s="339"/>
      <c r="E416" s="339"/>
      <c r="F416" s="336"/>
      <c r="G416" s="336"/>
      <c r="H416" s="336"/>
      <c r="I416" s="336"/>
      <c r="L416" s="344"/>
    </row>
    <row r="417" spans="1:12">
      <c r="A417" s="337"/>
      <c r="B417" s="338" t="s">
        <v>615</v>
      </c>
      <c r="C417" s="339"/>
      <c r="D417" s="339"/>
      <c r="E417" s="339"/>
      <c r="F417" s="336"/>
      <c r="G417" s="336"/>
      <c r="H417" s="336"/>
      <c r="I417" s="336"/>
      <c r="L417" s="344"/>
    </row>
    <row r="418" spans="1:12">
      <c r="A418" s="337"/>
      <c r="B418" s="338" t="s">
        <v>470</v>
      </c>
      <c r="C418" s="339"/>
      <c r="D418" s="339"/>
      <c r="E418" s="339"/>
      <c r="F418" s="336"/>
      <c r="G418" s="336"/>
      <c r="H418" s="336"/>
      <c r="I418" s="336"/>
      <c r="L418" s="344"/>
    </row>
    <row r="419" spans="1:12">
      <c r="A419" s="337"/>
      <c r="B419" s="338" t="s">
        <v>474</v>
      </c>
      <c r="C419" s="339">
        <v>1</v>
      </c>
      <c r="D419" s="339"/>
      <c r="E419" s="339">
        <v>1</v>
      </c>
      <c r="F419" s="336"/>
      <c r="G419" s="336"/>
      <c r="H419" s="336"/>
      <c r="I419" s="336">
        <f t="shared" ref="I419:I429" si="33">PRODUCT(C419:H419)</f>
        <v>1</v>
      </c>
      <c r="L419" s="344"/>
    </row>
    <row r="420" spans="1:12">
      <c r="A420" s="337"/>
      <c r="B420" s="338" t="s">
        <v>656</v>
      </c>
      <c r="C420" s="339">
        <v>1</v>
      </c>
      <c r="D420" s="339"/>
      <c r="E420" s="339">
        <v>1</v>
      </c>
      <c r="F420" s="336"/>
      <c r="G420" s="336"/>
      <c r="H420" s="336"/>
      <c r="I420" s="336">
        <f t="shared" si="33"/>
        <v>1</v>
      </c>
      <c r="L420" s="344"/>
    </row>
    <row r="421" spans="1:12">
      <c r="A421" s="337"/>
      <c r="B421" s="338" t="s">
        <v>501</v>
      </c>
      <c r="C421" s="339">
        <v>1</v>
      </c>
      <c r="D421" s="339"/>
      <c r="E421" s="339">
        <v>1</v>
      </c>
      <c r="F421" s="336"/>
      <c r="G421" s="336"/>
      <c r="H421" s="336"/>
      <c r="I421" s="336">
        <f t="shared" si="33"/>
        <v>1</v>
      </c>
      <c r="L421" s="344"/>
    </row>
    <row r="422" spans="1:12">
      <c r="A422" s="337"/>
      <c r="B422" s="338" t="s">
        <v>609</v>
      </c>
      <c r="C422" s="339">
        <v>1</v>
      </c>
      <c r="D422" s="339"/>
      <c r="E422" s="339">
        <v>1</v>
      </c>
      <c r="F422" s="336"/>
      <c r="G422" s="336"/>
      <c r="H422" s="336"/>
      <c r="I422" s="336">
        <f t="shared" si="33"/>
        <v>1</v>
      </c>
      <c r="L422" s="344"/>
    </row>
    <row r="423" spans="1:12">
      <c r="A423" s="337"/>
      <c r="B423" s="338" t="s">
        <v>472</v>
      </c>
      <c r="C423" s="339">
        <v>1</v>
      </c>
      <c r="D423" s="339"/>
      <c r="E423" s="339">
        <v>1</v>
      </c>
      <c r="F423" s="336"/>
      <c r="G423" s="336"/>
      <c r="H423" s="336"/>
      <c r="I423" s="336">
        <f t="shared" si="33"/>
        <v>1</v>
      </c>
      <c r="L423" s="344"/>
    </row>
    <row r="424" spans="1:12">
      <c r="A424" s="337"/>
      <c r="B424" s="338" t="s">
        <v>521</v>
      </c>
      <c r="C424" s="339">
        <v>1</v>
      </c>
      <c r="D424" s="339"/>
      <c r="E424" s="339">
        <v>1</v>
      </c>
      <c r="F424" s="336"/>
      <c r="G424" s="336"/>
      <c r="H424" s="336"/>
      <c r="I424" s="336">
        <f t="shared" si="33"/>
        <v>1</v>
      </c>
      <c r="L424" s="344"/>
    </row>
    <row r="425" spans="1:12">
      <c r="A425" s="337"/>
      <c r="B425" s="338" t="s">
        <v>481</v>
      </c>
      <c r="C425" s="339">
        <v>1</v>
      </c>
      <c r="D425" s="339"/>
      <c r="E425" s="339">
        <v>2</v>
      </c>
      <c r="F425" s="336"/>
      <c r="G425" s="336"/>
      <c r="H425" s="336"/>
      <c r="I425" s="336">
        <f t="shared" si="33"/>
        <v>2</v>
      </c>
      <c r="L425" s="344"/>
    </row>
    <row r="426" spans="1:12">
      <c r="A426" s="337"/>
      <c r="B426" s="338" t="s">
        <v>478</v>
      </c>
      <c r="C426" s="339"/>
      <c r="D426" s="339"/>
      <c r="E426" s="339"/>
      <c r="F426" s="336"/>
      <c r="G426" s="336"/>
      <c r="H426" s="336"/>
      <c r="I426" s="336">
        <f t="shared" si="33"/>
        <v>0</v>
      </c>
      <c r="L426" s="344"/>
    </row>
    <row r="427" spans="1:12">
      <c r="A427" s="337"/>
      <c r="B427" s="338" t="s">
        <v>472</v>
      </c>
      <c r="C427" s="339">
        <v>1</v>
      </c>
      <c r="D427" s="339"/>
      <c r="E427" s="339">
        <v>1</v>
      </c>
      <c r="F427" s="336"/>
      <c r="G427" s="336"/>
      <c r="H427" s="336"/>
      <c r="I427" s="336">
        <f t="shared" si="33"/>
        <v>1</v>
      </c>
      <c r="L427" s="344"/>
    </row>
    <row r="428" spans="1:12">
      <c r="A428" s="337"/>
      <c r="B428" s="338" t="s">
        <v>659</v>
      </c>
      <c r="C428" s="339">
        <v>2</v>
      </c>
      <c r="D428" s="339"/>
      <c r="E428" s="339">
        <v>1</v>
      </c>
      <c r="F428" s="336"/>
      <c r="G428" s="336"/>
      <c r="H428" s="336"/>
      <c r="I428" s="336">
        <f t="shared" si="33"/>
        <v>2</v>
      </c>
      <c r="L428" s="344"/>
    </row>
    <row r="429" spans="1:12">
      <c r="A429" s="337"/>
      <c r="B429" s="338" t="s">
        <v>481</v>
      </c>
      <c r="C429" s="339">
        <v>1</v>
      </c>
      <c r="D429" s="339"/>
      <c r="E429" s="339">
        <v>2</v>
      </c>
      <c r="F429" s="336"/>
      <c r="G429" s="336"/>
      <c r="H429" s="336"/>
      <c r="I429" s="336">
        <f t="shared" si="33"/>
        <v>2</v>
      </c>
      <c r="L429" s="344"/>
    </row>
    <row r="430" spans="1:12">
      <c r="A430" s="337"/>
      <c r="B430" s="338"/>
      <c r="C430" s="339"/>
      <c r="D430" s="339"/>
      <c r="E430" s="339"/>
      <c r="F430" s="336"/>
      <c r="G430" s="336"/>
      <c r="H430" s="336"/>
      <c r="I430" s="345">
        <f>SUM(I419:I429)</f>
        <v>13</v>
      </c>
      <c r="J430" s="346" t="s">
        <v>18</v>
      </c>
    </row>
    <row r="431" spans="1:12">
      <c r="A431" s="337"/>
      <c r="B431" s="338"/>
      <c r="C431" s="339"/>
      <c r="D431" s="339"/>
      <c r="E431" s="339"/>
      <c r="F431" s="336"/>
      <c r="G431" s="336"/>
      <c r="H431" s="336"/>
      <c r="I431" s="336"/>
    </row>
    <row r="432" spans="1:12">
      <c r="A432" s="337"/>
      <c r="B432" s="338" t="s">
        <v>618</v>
      </c>
      <c r="C432" s="339"/>
      <c r="D432" s="339"/>
      <c r="E432" s="339"/>
      <c r="F432" s="336"/>
      <c r="G432" s="336"/>
      <c r="H432" s="336"/>
      <c r="I432" s="336"/>
    </row>
    <row r="433" spans="1:10">
      <c r="A433" s="337"/>
      <c r="B433" s="338" t="s">
        <v>470</v>
      </c>
      <c r="C433" s="339"/>
      <c r="D433" s="339"/>
      <c r="E433" s="339"/>
      <c r="F433" s="336"/>
      <c r="G433" s="336"/>
      <c r="H433" s="336"/>
      <c r="I433" s="336"/>
    </row>
    <row r="434" spans="1:10">
      <c r="A434" s="337"/>
      <c r="B434" s="338" t="s">
        <v>654</v>
      </c>
      <c r="C434" s="339">
        <v>1</v>
      </c>
      <c r="D434" s="339"/>
      <c r="E434" s="339">
        <v>2</v>
      </c>
      <c r="F434" s="336"/>
      <c r="G434" s="336"/>
      <c r="H434" s="336"/>
      <c r="I434" s="336">
        <f t="shared" ref="I434:I438" si="34">PRODUCT(C434:H434)</f>
        <v>2</v>
      </c>
    </row>
    <row r="435" spans="1:10">
      <c r="A435" s="337"/>
      <c r="B435" s="338" t="s">
        <v>658</v>
      </c>
      <c r="C435" s="339">
        <v>1</v>
      </c>
      <c r="D435" s="339"/>
      <c r="E435" s="339">
        <v>2</v>
      </c>
      <c r="F435" s="336"/>
      <c r="G435" s="336"/>
      <c r="H435" s="336"/>
      <c r="I435" s="336">
        <f t="shared" si="34"/>
        <v>2</v>
      </c>
    </row>
    <row r="436" spans="1:10">
      <c r="A436" s="337"/>
      <c r="B436" s="338" t="s">
        <v>478</v>
      </c>
      <c r="C436" s="339"/>
      <c r="D436" s="339"/>
      <c r="E436" s="339"/>
      <c r="F436" s="336"/>
      <c r="G436" s="336"/>
      <c r="H436" s="336"/>
      <c r="I436" s="336">
        <f t="shared" si="34"/>
        <v>0</v>
      </c>
    </row>
    <row r="437" spans="1:10">
      <c r="A437" s="337"/>
      <c r="B437" s="338" t="s">
        <v>661</v>
      </c>
      <c r="C437" s="339">
        <v>1</v>
      </c>
      <c r="D437" s="339"/>
      <c r="E437" s="339">
        <v>2</v>
      </c>
      <c r="F437" s="336"/>
      <c r="G437" s="336"/>
      <c r="H437" s="336"/>
      <c r="I437" s="336">
        <f t="shared" si="34"/>
        <v>2</v>
      </c>
    </row>
    <row r="438" spans="1:10">
      <c r="A438" s="337"/>
      <c r="B438" s="338" t="s">
        <v>757</v>
      </c>
      <c r="C438" s="339">
        <v>1</v>
      </c>
      <c r="D438" s="339"/>
      <c r="E438" s="339">
        <v>2</v>
      </c>
      <c r="F438" s="336"/>
      <c r="G438" s="336"/>
      <c r="H438" s="336"/>
      <c r="I438" s="336">
        <f t="shared" si="34"/>
        <v>2</v>
      </c>
    </row>
    <row r="439" spans="1:10">
      <c r="A439" s="337"/>
      <c r="B439" s="338"/>
      <c r="C439" s="339"/>
      <c r="D439" s="339"/>
      <c r="E439" s="339"/>
      <c r="F439" s="336"/>
      <c r="G439" s="336"/>
      <c r="H439" s="336"/>
      <c r="I439" s="345">
        <f>SUM(I434:I438)</f>
        <v>8</v>
      </c>
      <c r="J439" s="346" t="s">
        <v>18</v>
      </c>
    </row>
    <row r="440" spans="1:10">
      <c r="A440" s="337"/>
      <c r="B440" s="338"/>
      <c r="C440" s="339"/>
      <c r="D440" s="339"/>
      <c r="E440" s="339"/>
      <c r="F440" s="336"/>
      <c r="G440" s="336"/>
      <c r="H440" s="336"/>
      <c r="I440" s="336"/>
    </row>
    <row r="441" spans="1:10" ht="47.25">
      <c r="A441" s="337">
        <v>34</v>
      </c>
      <c r="B441" s="338" t="s">
        <v>620</v>
      </c>
      <c r="C441" s="339"/>
      <c r="D441" s="339"/>
      <c r="E441" s="339"/>
      <c r="F441" s="336"/>
      <c r="G441" s="336"/>
      <c r="H441" s="336"/>
      <c r="I441" s="336"/>
    </row>
    <row r="442" spans="1:10">
      <c r="A442" s="337"/>
      <c r="B442" s="338" t="s">
        <v>470</v>
      </c>
      <c r="C442" s="339"/>
      <c r="D442" s="339"/>
      <c r="E442" s="339"/>
      <c r="F442" s="336"/>
      <c r="G442" s="336"/>
      <c r="H442" s="336"/>
      <c r="I442" s="336"/>
    </row>
    <row r="443" spans="1:10">
      <c r="A443" s="337"/>
      <c r="B443" s="338" t="s">
        <v>474</v>
      </c>
      <c r="C443" s="339">
        <v>1</v>
      </c>
      <c r="D443" s="339"/>
      <c r="E443" s="339">
        <v>1</v>
      </c>
      <c r="F443" s="336"/>
      <c r="G443" s="336"/>
      <c r="H443" s="336"/>
      <c r="I443" s="336">
        <f t="shared" ref="I443:I457" si="35">PRODUCT(C443:H443)</f>
        <v>1</v>
      </c>
    </row>
    <row r="444" spans="1:10">
      <c r="A444" s="337"/>
      <c r="B444" s="338" t="s">
        <v>656</v>
      </c>
      <c r="C444" s="339">
        <v>1</v>
      </c>
      <c r="D444" s="339"/>
      <c r="E444" s="339">
        <v>1</v>
      </c>
      <c r="F444" s="336"/>
      <c r="G444" s="336"/>
      <c r="H444" s="336"/>
      <c r="I444" s="336">
        <f t="shared" si="35"/>
        <v>1</v>
      </c>
    </row>
    <row r="445" spans="1:10">
      <c r="A445" s="337"/>
      <c r="B445" s="338" t="s">
        <v>501</v>
      </c>
      <c r="C445" s="339">
        <v>1</v>
      </c>
      <c r="D445" s="339"/>
      <c r="E445" s="339">
        <v>1</v>
      </c>
      <c r="F445" s="336"/>
      <c r="G445" s="336"/>
      <c r="H445" s="336"/>
      <c r="I445" s="336">
        <f t="shared" si="35"/>
        <v>1</v>
      </c>
    </row>
    <row r="446" spans="1:10">
      <c r="A446" s="337"/>
      <c r="B446" s="338" t="s">
        <v>609</v>
      </c>
      <c r="C446" s="339">
        <v>1</v>
      </c>
      <c r="D446" s="339"/>
      <c r="E446" s="339">
        <v>1</v>
      </c>
      <c r="F446" s="336"/>
      <c r="G446" s="336"/>
      <c r="H446" s="336"/>
      <c r="I446" s="336">
        <f t="shared" si="35"/>
        <v>1</v>
      </c>
    </row>
    <row r="447" spans="1:10">
      <c r="A447" s="337"/>
      <c r="B447" s="338" t="s">
        <v>472</v>
      </c>
      <c r="C447" s="339">
        <v>1</v>
      </c>
      <c r="D447" s="339"/>
      <c r="E447" s="339">
        <v>1</v>
      </c>
      <c r="F447" s="336"/>
      <c r="G447" s="336"/>
      <c r="H447" s="336"/>
      <c r="I447" s="336">
        <f t="shared" si="35"/>
        <v>1</v>
      </c>
    </row>
    <row r="448" spans="1:10">
      <c r="A448" s="337"/>
      <c r="B448" s="338" t="s">
        <v>521</v>
      </c>
      <c r="C448" s="339">
        <v>1</v>
      </c>
      <c r="D448" s="339"/>
      <c r="E448" s="339">
        <v>1</v>
      </c>
      <c r="F448" s="336"/>
      <c r="G448" s="336"/>
      <c r="H448" s="336"/>
      <c r="I448" s="336">
        <f t="shared" si="35"/>
        <v>1</v>
      </c>
    </row>
    <row r="449" spans="1:10">
      <c r="A449" s="337"/>
      <c r="B449" s="338" t="s">
        <v>481</v>
      </c>
      <c r="C449" s="339">
        <v>1</v>
      </c>
      <c r="D449" s="339"/>
      <c r="E449" s="339">
        <v>2</v>
      </c>
      <c r="F449" s="336"/>
      <c r="G449" s="336"/>
      <c r="H449" s="336"/>
      <c r="I449" s="336">
        <f t="shared" si="35"/>
        <v>2</v>
      </c>
    </row>
    <row r="450" spans="1:10">
      <c r="A450" s="337"/>
      <c r="B450" s="338" t="s">
        <v>654</v>
      </c>
      <c r="C450" s="339">
        <v>1</v>
      </c>
      <c r="D450" s="339"/>
      <c r="E450" s="339">
        <v>2</v>
      </c>
      <c r="F450" s="336"/>
      <c r="G450" s="336"/>
      <c r="H450" s="336"/>
      <c r="I450" s="336">
        <f t="shared" si="35"/>
        <v>2</v>
      </c>
    </row>
    <row r="451" spans="1:10">
      <c r="A451" s="337"/>
      <c r="B451" s="338" t="s">
        <v>658</v>
      </c>
      <c r="C451" s="339">
        <v>1</v>
      </c>
      <c r="D451" s="339"/>
      <c r="E451" s="339">
        <v>2</v>
      </c>
      <c r="F451" s="336"/>
      <c r="G451" s="336"/>
      <c r="H451" s="336"/>
      <c r="I451" s="336">
        <f t="shared" si="35"/>
        <v>2</v>
      </c>
    </row>
    <row r="452" spans="1:10">
      <c r="A452" s="337"/>
      <c r="B452" s="338" t="s">
        <v>478</v>
      </c>
      <c r="C452" s="339"/>
      <c r="D452" s="339"/>
      <c r="E452" s="339"/>
      <c r="F452" s="336"/>
      <c r="G452" s="336"/>
      <c r="H452" s="336"/>
      <c r="I452" s="336">
        <f t="shared" si="35"/>
        <v>0</v>
      </c>
    </row>
    <row r="453" spans="1:10">
      <c r="A453" s="337"/>
      <c r="B453" s="338" t="s">
        <v>472</v>
      </c>
      <c r="C453" s="339">
        <v>1</v>
      </c>
      <c r="D453" s="339"/>
      <c r="E453" s="339">
        <v>1</v>
      </c>
      <c r="F453" s="336"/>
      <c r="G453" s="336"/>
      <c r="H453" s="336"/>
      <c r="I453" s="336">
        <f t="shared" si="35"/>
        <v>1</v>
      </c>
    </row>
    <row r="454" spans="1:10">
      <c r="A454" s="337"/>
      <c r="B454" s="338" t="s">
        <v>659</v>
      </c>
      <c r="C454" s="339">
        <v>2</v>
      </c>
      <c r="D454" s="339"/>
      <c r="E454" s="339">
        <v>1</v>
      </c>
      <c r="F454" s="336"/>
      <c r="G454" s="336"/>
      <c r="H454" s="336"/>
      <c r="I454" s="336">
        <f t="shared" si="35"/>
        <v>2</v>
      </c>
    </row>
    <row r="455" spans="1:10">
      <c r="A455" s="337"/>
      <c r="B455" s="338" t="s">
        <v>661</v>
      </c>
      <c r="C455" s="339">
        <v>1</v>
      </c>
      <c r="D455" s="339"/>
      <c r="E455" s="339">
        <v>2</v>
      </c>
      <c r="F455" s="336"/>
      <c r="G455" s="336"/>
      <c r="H455" s="336"/>
      <c r="I455" s="336">
        <f t="shared" si="35"/>
        <v>2</v>
      </c>
    </row>
    <row r="456" spans="1:10">
      <c r="A456" s="337"/>
      <c r="B456" s="338" t="s">
        <v>757</v>
      </c>
      <c r="C456" s="339">
        <v>1</v>
      </c>
      <c r="D456" s="339"/>
      <c r="E456" s="339">
        <v>2</v>
      </c>
      <c r="F456" s="336"/>
      <c r="G456" s="336"/>
      <c r="H456" s="336"/>
      <c r="I456" s="336">
        <f t="shared" si="35"/>
        <v>2</v>
      </c>
    </row>
    <row r="457" spans="1:10">
      <c r="A457" s="337"/>
      <c r="B457" s="338" t="s">
        <v>481</v>
      </c>
      <c r="C457" s="339">
        <v>1</v>
      </c>
      <c r="D457" s="339"/>
      <c r="E457" s="339">
        <v>2</v>
      </c>
      <c r="F457" s="336"/>
      <c r="G457" s="336"/>
      <c r="H457" s="336"/>
      <c r="I457" s="336">
        <f t="shared" si="35"/>
        <v>2</v>
      </c>
    </row>
    <row r="458" spans="1:10">
      <c r="A458" s="337"/>
      <c r="B458" s="338"/>
      <c r="C458" s="339"/>
      <c r="D458" s="339"/>
      <c r="E458" s="339"/>
      <c r="F458" s="336"/>
      <c r="G458" s="336"/>
      <c r="H458" s="336"/>
      <c r="I458" s="345">
        <f>SUM(I443:I457)</f>
        <v>21</v>
      </c>
      <c r="J458" s="346" t="s">
        <v>18</v>
      </c>
    </row>
    <row r="459" spans="1:10">
      <c r="A459" s="337"/>
      <c r="B459" s="338"/>
      <c r="C459" s="339"/>
      <c r="D459" s="339"/>
      <c r="E459" s="339"/>
      <c r="F459" s="336"/>
      <c r="G459" s="336"/>
      <c r="H459" s="336"/>
      <c r="I459" s="345"/>
      <c r="J459" s="346"/>
    </row>
    <row r="460" spans="1:10" ht="141.75">
      <c r="A460" s="337">
        <v>35</v>
      </c>
      <c r="B460" s="338" t="s">
        <v>434</v>
      </c>
      <c r="C460" s="339"/>
      <c r="D460" s="339"/>
      <c r="E460" s="339"/>
      <c r="F460" s="336"/>
      <c r="G460" s="336"/>
      <c r="H460" s="336"/>
      <c r="I460" s="345"/>
      <c r="J460" s="346"/>
    </row>
    <row r="461" spans="1:10">
      <c r="A461" s="337"/>
      <c r="B461" s="338" t="s">
        <v>621</v>
      </c>
      <c r="C461" s="339">
        <v>2</v>
      </c>
      <c r="D461" s="339"/>
      <c r="E461" s="339">
        <v>3</v>
      </c>
      <c r="F461" s="336">
        <v>8</v>
      </c>
      <c r="G461" s="336"/>
      <c r="H461" s="336"/>
      <c r="I461" s="336">
        <f t="shared" ref="I461" si="36">PRODUCT(C461:H461)</f>
        <v>48</v>
      </c>
      <c r="J461" s="346"/>
    </row>
    <row r="462" spans="1:10">
      <c r="A462" s="337"/>
      <c r="B462" s="338"/>
      <c r="C462" s="339"/>
      <c r="D462" s="339"/>
      <c r="E462" s="339"/>
      <c r="F462" s="336"/>
      <c r="G462" s="336"/>
      <c r="H462" s="336"/>
      <c r="I462" s="345">
        <f>I461</f>
        <v>48</v>
      </c>
      <c r="J462" s="346" t="s">
        <v>138</v>
      </c>
    </row>
    <row r="463" spans="1:10">
      <c r="A463" s="337"/>
      <c r="B463" s="338"/>
      <c r="C463" s="339"/>
      <c r="D463" s="339"/>
      <c r="E463" s="339"/>
      <c r="F463" s="336"/>
      <c r="G463" s="336"/>
      <c r="H463" s="336"/>
      <c r="I463" s="345"/>
      <c r="J463" s="346"/>
    </row>
    <row r="464" spans="1:10" ht="141.75">
      <c r="A464" s="337">
        <v>36</v>
      </c>
      <c r="B464" s="338" t="s">
        <v>622</v>
      </c>
      <c r="C464" s="339"/>
      <c r="D464" s="339"/>
      <c r="E464" s="339"/>
      <c r="F464" s="336"/>
      <c r="G464" s="336"/>
      <c r="H464" s="336"/>
      <c r="I464" s="345"/>
      <c r="J464" s="346"/>
    </row>
    <row r="465" spans="1:10">
      <c r="A465" s="337"/>
      <c r="B465" s="338" t="s">
        <v>758</v>
      </c>
      <c r="C465" s="339">
        <v>1</v>
      </c>
      <c r="D465" s="339"/>
      <c r="E465" s="339">
        <v>1</v>
      </c>
      <c r="F465" s="336">
        <v>5</v>
      </c>
      <c r="G465" s="336"/>
      <c r="H465" s="336"/>
      <c r="I465" s="336">
        <f t="shared" ref="I465:I466" si="37">PRODUCT(C465:H465)</f>
        <v>5</v>
      </c>
      <c r="J465" s="346"/>
    </row>
    <row r="466" spans="1:10">
      <c r="A466" s="337"/>
      <c r="B466" s="338"/>
      <c r="C466" s="339">
        <v>1</v>
      </c>
      <c r="D466" s="339"/>
      <c r="E466" s="339">
        <v>1</v>
      </c>
      <c r="F466" s="336">
        <v>13</v>
      </c>
      <c r="G466" s="336"/>
      <c r="H466" s="336"/>
      <c r="I466" s="336">
        <f t="shared" si="37"/>
        <v>13</v>
      </c>
      <c r="J466" s="346"/>
    </row>
    <row r="467" spans="1:10">
      <c r="A467" s="337"/>
      <c r="B467" s="338"/>
      <c r="C467" s="339"/>
      <c r="D467" s="339"/>
      <c r="E467" s="339"/>
      <c r="F467" s="336"/>
      <c r="G467" s="336"/>
      <c r="H467" s="336"/>
      <c r="I467" s="345">
        <f>SUM(I465:I466)</f>
        <v>18</v>
      </c>
      <c r="J467" s="346" t="s">
        <v>15</v>
      </c>
    </row>
    <row r="468" spans="1:10">
      <c r="A468" s="337"/>
      <c r="B468" s="338"/>
      <c r="C468" s="339"/>
      <c r="D468" s="339"/>
      <c r="E468" s="339"/>
      <c r="F468" s="336"/>
      <c r="G468" s="336"/>
      <c r="H468" s="336"/>
      <c r="I468" s="345"/>
      <c r="J468" s="346"/>
    </row>
    <row r="469" spans="1:10" ht="153" customHeight="1">
      <c r="A469" s="337">
        <v>37</v>
      </c>
      <c r="B469" s="338" t="s">
        <v>624</v>
      </c>
      <c r="C469" s="339"/>
      <c r="D469" s="339"/>
      <c r="E469" s="339"/>
      <c r="F469" s="336"/>
      <c r="G469" s="336"/>
      <c r="H469" s="336"/>
      <c r="I469" s="345"/>
      <c r="J469" s="346"/>
    </row>
    <row r="470" spans="1:10">
      <c r="A470" s="337"/>
      <c r="B470" s="338" t="s">
        <v>625</v>
      </c>
      <c r="C470" s="339">
        <v>1</v>
      </c>
      <c r="D470" s="339"/>
      <c r="E470" s="339">
        <v>4</v>
      </c>
      <c r="F470" s="336"/>
      <c r="G470" s="336"/>
      <c r="H470" s="336"/>
      <c r="I470" s="345">
        <f t="shared" ref="I470" si="38">PRODUCT(C470:H470)</f>
        <v>4</v>
      </c>
      <c r="J470" s="346" t="s">
        <v>18</v>
      </c>
    </row>
    <row r="471" spans="1:10">
      <c r="A471" s="337"/>
      <c r="B471" s="338"/>
      <c r="C471" s="339"/>
      <c r="D471" s="339"/>
      <c r="E471" s="339"/>
      <c r="F471" s="336"/>
      <c r="G471" s="336"/>
      <c r="H471" s="336"/>
      <c r="I471" s="345"/>
      <c r="J471" s="346"/>
    </row>
    <row r="472" spans="1:10">
      <c r="A472" s="337">
        <v>38</v>
      </c>
      <c r="B472" s="338" t="s">
        <v>759</v>
      </c>
      <c r="C472" s="339"/>
      <c r="D472" s="339"/>
      <c r="E472" s="339"/>
      <c r="F472" s="336"/>
      <c r="G472" s="336"/>
      <c r="H472" s="336"/>
      <c r="I472" s="345"/>
      <c r="J472" s="346"/>
    </row>
    <row r="473" spans="1:10">
      <c r="A473" s="337"/>
      <c r="B473" s="338" t="s">
        <v>760</v>
      </c>
      <c r="C473" s="339">
        <v>2</v>
      </c>
      <c r="D473" s="339"/>
      <c r="E473" s="339">
        <v>2</v>
      </c>
      <c r="F473" s="336">
        <v>0.1</v>
      </c>
      <c r="G473" s="336">
        <v>0.1</v>
      </c>
      <c r="H473" s="336">
        <v>2.1</v>
      </c>
      <c r="I473" s="427">
        <f t="shared" ref="I473:I475" si="39">PRODUCT(C473:H473)</f>
        <v>8.4000000000000019E-2</v>
      </c>
      <c r="J473" s="346" t="s">
        <v>642</v>
      </c>
    </row>
    <row r="474" spans="1:10">
      <c r="A474" s="337"/>
      <c r="B474" s="338"/>
      <c r="C474" s="339"/>
      <c r="D474" s="339"/>
      <c r="E474" s="339"/>
      <c r="F474" s="336"/>
      <c r="G474" s="336"/>
      <c r="H474" s="336"/>
      <c r="I474" s="345"/>
      <c r="J474" s="346"/>
    </row>
    <row r="475" spans="1:10">
      <c r="A475" s="337"/>
      <c r="B475" s="338" t="s">
        <v>761</v>
      </c>
      <c r="C475" s="339">
        <v>1</v>
      </c>
      <c r="D475" s="339"/>
      <c r="E475" s="339">
        <v>2</v>
      </c>
      <c r="F475" s="336">
        <v>0.1</v>
      </c>
      <c r="G475" s="336">
        <v>0.15</v>
      </c>
      <c r="H475" s="336">
        <v>1.2</v>
      </c>
      <c r="I475" s="427">
        <f t="shared" si="39"/>
        <v>3.5999999999999997E-2</v>
      </c>
      <c r="J475" s="346" t="s">
        <v>642</v>
      </c>
    </row>
    <row r="476" spans="1:10">
      <c r="A476" s="337"/>
      <c r="B476" s="338"/>
      <c r="C476" s="339"/>
      <c r="D476" s="339"/>
      <c r="E476" s="339"/>
      <c r="F476" s="336"/>
      <c r="G476" s="336"/>
      <c r="H476" s="336"/>
      <c r="I476" s="345"/>
      <c r="J476" s="346"/>
    </row>
    <row r="477" spans="1:10">
      <c r="A477" s="337"/>
      <c r="B477" s="338"/>
      <c r="C477" s="339"/>
      <c r="D477" s="339"/>
      <c r="E477" s="339"/>
      <c r="F477" s="336"/>
      <c r="G477" s="336"/>
      <c r="H477" s="336"/>
      <c r="I477" s="345"/>
      <c r="J477" s="346"/>
    </row>
    <row r="478" spans="1:10" ht="31.5">
      <c r="A478" s="337">
        <v>39</v>
      </c>
      <c r="B478" s="338" t="s">
        <v>762</v>
      </c>
      <c r="C478" s="339"/>
      <c r="D478" s="339"/>
      <c r="E478" s="339"/>
      <c r="F478" s="336"/>
      <c r="G478" s="336"/>
      <c r="H478" s="336"/>
      <c r="I478" s="345"/>
      <c r="J478" s="346"/>
    </row>
    <row r="479" spans="1:10">
      <c r="A479" s="337"/>
      <c r="B479" s="338" t="s">
        <v>763</v>
      </c>
      <c r="C479" s="339">
        <v>2</v>
      </c>
      <c r="D479" s="339"/>
      <c r="E479" s="339">
        <v>20</v>
      </c>
      <c r="F479" s="336"/>
      <c r="G479" s="336"/>
      <c r="H479" s="336"/>
      <c r="I479" s="345">
        <f t="shared" ref="I479" si="40">PRODUCT(C479:H479)</f>
        <v>40</v>
      </c>
      <c r="J479" s="346" t="s">
        <v>18</v>
      </c>
    </row>
    <row r="480" spans="1:10">
      <c r="A480" s="337"/>
      <c r="B480" s="338"/>
      <c r="C480" s="339"/>
      <c r="D480" s="339"/>
      <c r="E480" s="339"/>
      <c r="F480" s="336"/>
      <c r="G480" s="336"/>
      <c r="H480" s="336"/>
      <c r="I480" s="345"/>
      <c r="J480" s="346"/>
    </row>
    <row r="481" spans="1:10">
      <c r="A481" s="337">
        <v>40</v>
      </c>
      <c r="B481" s="423" t="s">
        <v>645</v>
      </c>
      <c r="C481" s="339"/>
      <c r="D481" s="339"/>
      <c r="E481" s="339"/>
      <c r="F481" s="336"/>
      <c r="G481" s="336"/>
      <c r="H481" s="336"/>
      <c r="I481" s="345"/>
      <c r="J481" s="346"/>
    </row>
    <row r="482" spans="1:10">
      <c r="A482" s="337"/>
      <c r="B482" s="338" t="s">
        <v>646</v>
      </c>
      <c r="C482" s="339"/>
      <c r="D482" s="339"/>
      <c r="E482" s="339"/>
      <c r="F482" s="336"/>
      <c r="G482" s="336"/>
      <c r="H482" s="336"/>
      <c r="I482" s="345"/>
      <c r="J482" s="346"/>
    </row>
    <row r="483" spans="1:10">
      <c r="A483" s="337"/>
      <c r="B483" s="338" t="s">
        <v>764</v>
      </c>
      <c r="C483" s="339">
        <v>2</v>
      </c>
      <c r="D483" s="339"/>
      <c r="E483" s="339">
        <v>2</v>
      </c>
      <c r="F483" s="336">
        <v>25</v>
      </c>
      <c r="G483" s="336"/>
      <c r="H483" s="336"/>
      <c r="I483" s="345">
        <f t="shared" ref="I483" si="41">PRODUCT(C483:H483)</f>
        <v>100</v>
      </c>
      <c r="J483" s="346" t="s">
        <v>15</v>
      </c>
    </row>
    <row r="484" spans="1:10">
      <c r="A484" s="337"/>
      <c r="B484" s="338"/>
      <c r="C484" s="339"/>
      <c r="D484" s="339"/>
      <c r="E484" s="339"/>
      <c r="F484" s="336"/>
      <c r="G484" s="336"/>
      <c r="H484" s="336"/>
      <c r="I484" s="345"/>
      <c r="J484" s="346"/>
    </row>
    <row r="485" spans="1:10">
      <c r="A485" s="337"/>
      <c r="B485" s="424" t="s">
        <v>647</v>
      </c>
      <c r="C485" s="339"/>
      <c r="D485" s="339"/>
      <c r="E485" s="339"/>
      <c r="F485" s="336"/>
      <c r="G485" s="336"/>
      <c r="H485" s="336"/>
      <c r="I485" s="345"/>
      <c r="J485" s="346"/>
    </row>
    <row r="486" spans="1:10">
      <c r="A486" s="337"/>
      <c r="B486" s="338" t="s">
        <v>765</v>
      </c>
      <c r="C486" s="339">
        <v>2</v>
      </c>
      <c r="D486" s="339"/>
      <c r="E486" s="339">
        <v>5</v>
      </c>
      <c r="F486" s="336">
        <v>20</v>
      </c>
      <c r="G486" s="336"/>
      <c r="H486" s="336"/>
      <c r="I486" s="345">
        <f t="shared" ref="I486" si="42">PRODUCT(C486:H486)</f>
        <v>200</v>
      </c>
      <c r="J486" s="346" t="s">
        <v>15</v>
      </c>
    </row>
    <row r="487" spans="1:10">
      <c r="A487" s="337"/>
      <c r="B487" s="338"/>
      <c r="C487" s="339"/>
      <c r="D487" s="339"/>
      <c r="E487" s="339"/>
      <c r="F487" s="336"/>
      <c r="G487" s="336"/>
      <c r="H487" s="336"/>
      <c r="I487" s="345"/>
      <c r="J487" s="346"/>
    </row>
    <row r="488" spans="1:10" ht="30.75">
      <c r="A488" s="337">
        <v>41</v>
      </c>
      <c r="B488" s="424" t="s">
        <v>648</v>
      </c>
      <c r="C488" s="339"/>
      <c r="D488" s="339"/>
      <c r="E488" s="339"/>
      <c r="F488" s="336"/>
      <c r="G488" s="336"/>
      <c r="H488" s="336"/>
      <c r="I488" s="345"/>
      <c r="J488" s="346"/>
    </row>
    <row r="489" spans="1:10">
      <c r="A489" s="337"/>
      <c r="B489" s="338" t="s">
        <v>766</v>
      </c>
      <c r="C489" s="339">
        <v>2</v>
      </c>
      <c r="D489" s="339"/>
      <c r="E489" s="339">
        <v>3</v>
      </c>
      <c r="F489" s="336">
        <v>15</v>
      </c>
      <c r="G489" s="336"/>
      <c r="H489" s="336"/>
      <c r="I489" s="345">
        <f t="shared" ref="I489" si="43">PRODUCT(C489:H489)</f>
        <v>90</v>
      </c>
      <c r="J489" s="346" t="s">
        <v>15</v>
      </c>
    </row>
    <row r="490" spans="1:10">
      <c r="A490" s="337"/>
      <c r="B490" s="338"/>
      <c r="C490" s="339"/>
      <c r="D490" s="339"/>
      <c r="E490" s="339"/>
      <c r="F490" s="336"/>
      <c r="G490" s="336"/>
      <c r="H490" s="336"/>
      <c r="I490" s="345"/>
      <c r="J490" s="346"/>
    </row>
    <row r="491" spans="1:10" ht="31.5">
      <c r="A491" s="337">
        <v>42</v>
      </c>
      <c r="B491" s="425" t="s">
        <v>649</v>
      </c>
      <c r="C491" s="339"/>
      <c r="D491" s="339"/>
      <c r="E491" s="339"/>
      <c r="F491" s="336"/>
      <c r="G491" s="336"/>
      <c r="H491" s="336"/>
      <c r="I491" s="345"/>
      <c r="J491" s="346"/>
    </row>
    <row r="492" spans="1:10">
      <c r="A492" s="337"/>
      <c r="B492" s="419" t="s">
        <v>650</v>
      </c>
      <c r="C492" s="339"/>
      <c r="D492" s="339"/>
      <c r="E492" s="339"/>
      <c r="F492" s="336"/>
      <c r="G492" s="336"/>
      <c r="H492" s="336"/>
      <c r="I492" s="345"/>
      <c r="J492" s="346"/>
    </row>
    <row r="493" spans="1:10">
      <c r="A493" s="337"/>
      <c r="B493" s="338" t="s">
        <v>767</v>
      </c>
      <c r="C493" s="339">
        <v>2</v>
      </c>
      <c r="D493" s="339"/>
      <c r="E493" s="339">
        <v>4</v>
      </c>
      <c r="F493" s="336">
        <v>12</v>
      </c>
      <c r="G493" s="336"/>
      <c r="H493" s="336"/>
      <c r="I493" s="345">
        <f t="shared" ref="I493" si="44">PRODUCT(C493:H493)</f>
        <v>96</v>
      </c>
      <c r="J493" s="346" t="s">
        <v>15</v>
      </c>
    </row>
    <row r="494" spans="1:10">
      <c r="A494" s="337"/>
      <c r="B494" s="338"/>
      <c r="C494" s="339"/>
      <c r="D494" s="339"/>
      <c r="E494" s="339"/>
      <c r="F494" s="336"/>
      <c r="G494" s="336"/>
      <c r="H494" s="336"/>
      <c r="I494" s="345"/>
      <c r="J494" s="346"/>
    </row>
    <row r="495" spans="1:10">
      <c r="A495" s="337"/>
      <c r="B495" s="419" t="s">
        <v>651</v>
      </c>
      <c r="C495" s="339"/>
      <c r="D495" s="339"/>
      <c r="E495" s="339"/>
      <c r="F495" s="336"/>
      <c r="G495" s="336"/>
      <c r="H495" s="336"/>
      <c r="I495" s="345"/>
      <c r="J495" s="346"/>
    </row>
    <row r="496" spans="1:10">
      <c r="A496" s="337"/>
      <c r="B496" s="338" t="s">
        <v>767</v>
      </c>
      <c r="C496" s="339">
        <v>2</v>
      </c>
      <c r="D496" s="339"/>
      <c r="E496" s="339">
        <v>4</v>
      </c>
      <c r="F496" s="336">
        <v>12</v>
      </c>
      <c r="G496" s="336"/>
      <c r="H496" s="336"/>
      <c r="I496" s="345">
        <f t="shared" ref="I496" si="45">PRODUCT(C496:H496)</f>
        <v>96</v>
      </c>
      <c r="J496" s="346" t="s">
        <v>15</v>
      </c>
    </row>
    <row r="497" spans="1:10">
      <c r="A497" s="337"/>
      <c r="B497" s="338"/>
      <c r="C497" s="339"/>
      <c r="D497" s="339"/>
      <c r="E497" s="339"/>
      <c r="F497" s="336"/>
      <c r="G497" s="336"/>
      <c r="H497" s="336"/>
      <c r="I497" s="345"/>
      <c r="J497" s="346"/>
    </row>
    <row r="498" spans="1:10">
      <c r="A498" s="337">
        <v>43</v>
      </c>
      <c r="B498" s="419" t="s">
        <v>216</v>
      </c>
      <c r="C498" s="339"/>
      <c r="D498" s="339"/>
      <c r="E498" s="339"/>
      <c r="F498" s="336"/>
      <c r="G498" s="336"/>
      <c r="H498" s="336"/>
      <c r="I498" s="382" t="s">
        <v>38</v>
      </c>
      <c r="J498" s="346"/>
    </row>
    <row r="499" spans="1:10" ht="27" customHeight="1">
      <c r="A499" s="337">
        <v>44</v>
      </c>
      <c r="B499" s="419" t="s">
        <v>217</v>
      </c>
      <c r="C499" s="339"/>
      <c r="D499" s="339"/>
      <c r="E499" s="339"/>
      <c r="F499" s="336"/>
      <c r="G499" s="336"/>
      <c r="H499" s="336"/>
      <c r="I499" s="382" t="s">
        <v>38</v>
      </c>
    </row>
    <row r="500" spans="1:10" ht="36" customHeight="1">
      <c r="A500" s="337">
        <v>45</v>
      </c>
      <c r="B500" s="419" t="s">
        <v>218</v>
      </c>
      <c r="C500" s="339"/>
      <c r="D500" s="339"/>
      <c r="E500" s="339"/>
      <c r="F500" s="336"/>
      <c r="G500" s="336"/>
      <c r="H500" s="336"/>
      <c r="I500" s="382" t="s">
        <v>38</v>
      </c>
    </row>
    <row r="501" spans="1:10" ht="30.75" customHeight="1">
      <c r="A501" s="337">
        <v>46</v>
      </c>
      <c r="B501" s="419" t="s">
        <v>219</v>
      </c>
      <c r="C501" s="339"/>
      <c r="D501" s="339"/>
      <c r="E501" s="339"/>
      <c r="F501" s="336"/>
      <c r="G501" s="336"/>
      <c r="H501" s="336"/>
      <c r="I501" s="382" t="s">
        <v>38</v>
      </c>
    </row>
    <row r="502" spans="1:10">
      <c r="J502" s="328"/>
    </row>
    <row r="503" spans="1:10">
      <c r="A503" s="385"/>
      <c r="B503" s="385"/>
      <c r="C503" s="385"/>
      <c r="D503" s="385"/>
      <c r="E503" s="385"/>
      <c r="F503" s="385"/>
      <c r="G503" s="385"/>
      <c r="H503" s="385"/>
      <c r="I503" s="385"/>
      <c r="J503" s="385"/>
    </row>
    <row r="504" spans="1:10">
      <c r="H504" s="420"/>
      <c r="I504" s="420"/>
      <c r="J504" s="420"/>
    </row>
    <row r="505" spans="1:10">
      <c r="J505" s="328"/>
    </row>
    <row r="506" spans="1:10">
      <c r="J506" s="328"/>
    </row>
    <row r="507" spans="1:10">
      <c r="J507" s="328"/>
    </row>
    <row r="508" spans="1:10">
      <c r="J508" s="328"/>
    </row>
  </sheetData>
  <mergeCells count="13">
    <mergeCell ref="O37:Q37"/>
    <mergeCell ref="A503:J503"/>
    <mergeCell ref="H504:J504"/>
    <mergeCell ref="A1:J1"/>
    <mergeCell ref="A2:J2"/>
    <mergeCell ref="A3:J3"/>
    <mergeCell ref="A4:J4"/>
    <mergeCell ref="A5:J5"/>
    <mergeCell ref="A6:A7"/>
    <mergeCell ref="B6:B7"/>
    <mergeCell ref="C6:E7"/>
    <mergeCell ref="F6:H6"/>
    <mergeCell ref="I6:J7"/>
  </mergeCells>
  <printOptions horizontalCentered="1"/>
  <pageMargins left="0.74803149606299213" right="0.27559055118110237" top="0.35433070866141736" bottom="0.39370078740157483" header="0.35433070866141736" footer="0.19685039370078741"/>
  <pageSetup paperSize="9" scale="90" orientation="portrait" r:id="rId1"/>
  <headerFooter differentOddEven="1">
    <oddHeader>&amp;C&amp;"+,Italic"V &amp; AC @ Alandur</oddHeader>
    <oddFooter>&amp;C&amp;"+,Italic"&amp;P</oddFooter>
  </headerFooter>
</worksheet>
</file>

<file path=xl/worksheets/sheet7.xml><?xml version="1.0" encoding="utf-8"?>
<worksheet xmlns="http://schemas.openxmlformats.org/spreadsheetml/2006/main" xmlns:r="http://schemas.openxmlformats.org/officeDocument/2006/relationships">
  <dimension ref="A1:J24"/>
  <sheetViews>
    <sheetView workbookViewId="0">
      <selection activeCell="F15" sqref="F15"/>
    </sheetView>
  </sheetViews>
  <sheetFormatPr defaultRowHeight="15.75"/>
  <cols>
    <col min="1" max="1" width="6.140625" style="183" customWidth="1"/>
    <col min="2" max="2" width="35.85546875" style="183" customWidth="1"/>
    <col min="3" max="3" width="5.28515625" style="183" customWidth="1"/>
    <col min="4" max="4" width="5" style="183" customWidth="1"/>
    <col min="5" max="5" width="4.7109375" style="183" customWidth="1"/>
    <col min="6" max="6" width="7.5703125" style="183" customWidth="1"/>
    <col min="7" max="7" width="6.28515625" style="183" customWidth="1"/>
    <col min="8" max="8" width="8.42578125" style="183" customWidth="1"/>
    <col min="9" max="9" width="8.85546875" style="183" customWidth="1"/>
    <col min="10" max="10" width="8.5703125" style="183" customWidth="1"/>
    <col min="11" max="256" width="9.140625" style="183"/>
    <col min="257" max="257" width="6.140625" style="183" customWidth="1"/>
    <col min="258" max="258" width="35.85546875" style="183" customWidth="1"/>
    <col min="259" max="259" width="5.28515625" style="183" customWidth="1"/>
    <col min="260" max="260" width="5" style="183" customWidth="1"/>
    <col min="261" max="261" width="4.7109375" style="183" customWidth="1"/>
    <col min="262" max="262" width="7.5703125" style="183" customWidth="1"/>
    <col min="263" max="263" width="6.28515625" style="183" customWidth="1"/>
    <col min="264" max="264" width="8.42578125" style="183" customWidth="1"/>
    <col min="265" max="265" width="8.85546875" style="183" customWidth="1"/>
    <col min="266" max="266" width="8.5703125" style="183" customWidth="1"/>
    <col min="267" max="512" width="9.140625" style="183"/>
    <col min="513" max="513" width="6.140625" style="183" customWidth="1"/>
    <col min="514" max="514" width="35.85546875" style="183" customWidth="1"/>
    <col min="515" max="515" width="5.28515625" style="183" customWidth="1"/>
    <col min="516" max="516" width="5" style="183" customWidth="1"/>
    <col min="517" max="517" width="4.7109375" style="183" customWidth="1"/>
    <col min="518" max="518" width="7.5703125" style="183" customWidth="1"/>
    <col min="519" max="519" width="6.28515625" style="183" customWidth="1"/>
    <col min="520" max="520" width="8.42578125" style="183" customWidth="1"/>
    <col min="521" max="521" width="8.85546875" style="183" customWidth="1"/>
    <col min="522" max="522" width="8.5703125" style="183" customWidth="1"/>
    <col min="523" max="768" width="9.140625" style="183"/>
    <col min="769" max="769" width="6.140625" style="183" customWidth="1"/>
    <col min="770" max="770" width="35.85546875" style="183" customWidth="1"/>
    <col min="771" max="771" width="5.28515625" style="183" customWidth="1"/>
    <col min="772" max="772" width="5" style="183" customWidth="1"/>
    <col min="773" max="773" width="4.7109375" style="183" customWidth="1"/>
    <col min="774" max="774" width="7.5703125" style="183" customWidth="1"/>
    <col min="775" max="775" width="6.28515625" style="183" customWidth="1"/>
    <col min="776" max="776" width="8.42578125" style="183" customWidth="1"/>
    <col min="777" max="777" width="8.85546875" style="183" customWidth="1"/>
    <col min="778" max="778" width="8.5703125" style="183" customWidth="1"/>
    <col min="779" max="1024" width="9.140625" style="183"/>
    <col min="1025" max="1025" width="6.140625" style="183" customWidth="1"/>
    <col min="1026" max="1026" width="35.85546875" style="183" customWidth="1"/>
    <col min="1027" max="1027" width="5.28515625" style="183" customWidth="1"/>
    <col min="1028" max="1028" width="5" style="183" customWidth="1"/>
    <col min="1029" max="1029" width="4.7109375" style="183" customWidth="1"/>
    <col min="1030" max="1030" width="7.5703125" style="183" customWidth="1"/>
    <col min="1031" max="1031" width="6.28515625" style="183" customWidth="1"/>
    <col min="1032" max="1032" width="8.42578125" style="183" customWidth="1"/>
    <col min="1033" max="1033" width="8.85546875" style="183" customWidth="1"/>
    <col min="1034" max="1034" width="8.5703125" style="183" customWidth="1"/>
    <col min="1035" max="1280" width="9.140625" style="183"/>
    <col min="1281" max="1281" width="6.140625" style="183" customWidth="1"/>
    <col min="1282" max="1282" width="35.85546875" style="183" customWidth="1"/>
    <col min="1283" max="1283" width="5.28515625" style="183" customWidth="1"/>
    <col min="1284" max="1284" width="5" style="183" customWidth="1"/>
    <col min="1285" max="1285" width="4.7109375" style="183" customWidth="1"/>
    <col min="1286" max="1286" width="7.5703125" style="183" customWidth="1"/>
    <col min="1287" max="1287" width="6.28515625" style="183" customWidth="1"/>
    <col min="1288" max="1288" width="8.42578125" style="183" customWidth="1"/>
    <col min="1289" max="1289" width="8.85546875" style="183" customWidth="1"/>
    <col min="1290" max="1290" width="8.5703125" style="183" customWidth="1"/>
    <col min="1291" max="1536" width="9.140625" style="183"/>
    <col min="1537" max="1537" width="6.140625" style="183" customWidth="1"/>
    <col min="1538" max="1538" width="35.85546875" style="183" customWidth="1"/>
    <col min="1539" max="1539" width="5.28515625" style="183" customWidth="1"/>
    <col min="1540" max="1540" width="5" style="183" customWidth="1"/>
    <col min="1541" max="1541" width="4.7109375" style="183" customWidth="1"/>
    <col min="1542" max="1542" width="7.5703125" style="183" customWidth="1"/>
    <col min="1543" max="1543" width="6.28515625" style="183" customWidth="1"/>
    <col min="1544" max="1544" width="8.42578125" style="183" customWidth="1"/>
    <col min="1545" max="1545" width="8.85546875" style="183" customWidth="1"/>
    <col min="1546" max="1546" width="8.5703125" style="183" customWidth="1"/>
    <col min="1547" max="1792" width="9.140625" style="183"/>
    <col min="1793" max="1793" width="6.140625" style="183" customWidth="1"/>
    <col min="1794" max="1794" width="35.85546875" style="183" customWidth="1"/>
    <col min="1795" max="1795" width="5.28515625" style="183" customWidth="1"/>
    <col min="1796" max="1796" width="5" style="183" customWidth="1"/>
    <col min="1797" max="1797" width="4.7109375" style="183" customWidth="1"/>
    <col min="1798" max="1798" width="7.5703125" style="183" customWidth="1"/>
    <col min="1799" max="1799" width="6.28515625" style="183" customWidth="1"/>
    <col min="1800" max="1800" width="8.42578125" style="183" customWidth="1"/>
    <col min="1801" max="1801" width="8.85546875" style="183" customWidth="1"/>
    <col min="1802" max="1802" width="8.5703125" style="183" customWidth="1"/>
    <col min="1803" max="2048" width="9.140625" style="183"/>
    <col min="2049" max="2049" width="6.140625" style="183" customWidth="1"/>
    <col min="2050" max="2050" width="35.85546875" style="183" customWidth="1"/>
    <col min="2051" max="2051" width="5.28515625" style="183" customWidth="1"/>
    <col min="2052" max="2052" width="5" style="183" customWidth="1"/>
    <col min="2053" max="2053" width="4.7109375" style="183" customWidth="1"/>
    <col min="2054" max="2054" width="7.5703125" style="183" customWidth="1"/>
    <col min="2055" max="2055" width="6.28515625" style="183" customWidth="1"/>
    <col min="2056" max="2056" width="8.42578125" style="183" customWidth="1"/>
    <col min="2057" max="2057" width="8.85546875" style="183" customWidth="1"/>
    <col min="2058" max="2058" width="8.5703125" style="183" customWidth="1"/>
    <col min="2059" max="2304" width="9.140625" style="183"/>
    <col min="2305" max="2305" width="6.140625" style="183" customWidth="1"/>
    <col min="2306" max="2306" width="35.85546875" style="183" customWidth="1"/>
    <col min="2307" max="2307" width="5.28515625" style="183" customWidth="1"/>
    <col min="2308" max="2308" width="5" style="183" customWidth="1"/>
    <col min="2309" max="2309" width="4.7109375" style="183" customWidth="1"/>
    <col min="2310" max="2310" width="7.5703125" style="183" customWidth="1"/>
    <col min="2311" max="2311" width="6.28515625" style="183" customWidth="1"/>
    <col min="2312" max="2312" width="8.42578125" style="183" customWidth="1"/>
    <col min="2313" max="2313" width="8.85546875" style="183" customWidth="1"/>
    <col min="2314" max="2314" width="8.5703125" style="183" customWidth="1"/>
    <col min="2315" max="2560" width="9.140625" style="183"/>
    <col min="2561" max="2561" width="6.140625" style="183" customWidth="1"/>
    <col min="2562" max="2562" width="35.85546875" style="183" customWidth="1"/>
    <col min="2563" max="2563" width="5.28515625" style="183" customWidth="1"/>
    <col min="2564" max="2564" width="5" style="183" customWidth="1"/>
    <col min="2565" max="2565" width="4.7109375" style="183" customWidth="1"/>
    <col min="2566" max="2566" width="7.5703125" style="183" customWidth="1"/>
    <col min="2567" max="2567" width="6.28515625" style="183" customWidth="1"/>
    <col min="2568" max="2568" width="8.42578125" style="183" customWidth="1"/>
    <col min="2569" max="2569" width="8.85546875" style="183" customWidth="1"/>
    <col min="2570" max="2570" width="8.5703125" style="183" customWidth="1"/>
    <col min="2571" max="2816" width="9.140625" style="183"/>
    <col min="2817" max="2817" width="6.140625" style="183" customWidth="1"/>
    <col min="2818" max="2818" width="35.85546875" style="183" customWidth="1"/>
    <col min="2819" max="2819" width="5.28515625" style="183" customWidth="1"/>
    <col min="2820" max="2820" width="5" style="183" customWidth="1"/>
    <col min="2821" max="2821" width="4.7109375" style="183" customWidth="1"/>
    <col min="2822" max="2822" width="7.5703125" style="183" customWidth="1"/>
    <col min="2823" max="2823" width="6.28515625" style="183" customWidth="1"/>
    <col min="2824" max="2824" width="8.42578125" style="183" customWidth="1"/>
    <col min="2825" max="2825" width="8.85546875" style="183" customWidth="1"/>
    <col min="2826" max="2826" width="8.5703125" style="183" customWidth="1"/>
    <col min="2827" max="3072" width="9.140625" style="183"/>
    <col min="3073" max="3073" width="6.140625" style="183" customWidth="1"/>
    <col min="3074" max="3074" width="35.85546875" style="183" customWidth="1"/>
    <col min="3075" max="3075" width="5.28515625" style="183" customWidth="1"/>
    <col min="3076" max="3076" width="5" style="183" customWidth="1"/>
    <col min="3077" max="3077" width="4.7109375" style="183" customWidth="1"/>
    <col min="3078" max="3078" width="7.5703125" style="183" customWidth="1"/>
    <col min="3079" max="3079" width="6.28515625" style="183" customWidth="1"/>
    <col min="3080" max="3080" width="8.42578125" style="183" customWidth="1"/>
    <col min="3081" max="3081" width="8.85546875" style="183" customWidth="1"/>
    <col min="3082" max="3082" width="8.5703125" style="183" customWidth="1"/>
    <col min="3083" max="3328" width="9.140625" style="183"/>
    <col min="3329" max="3329" width="6.140625" style="183" customWidth="1"/>
    <col min="3330" max="3330" width="35.85546875" style="183" customWidth="1"/>
    <col min="3331" max="3331" width="5.28515625" style="183" customWidth="1"/>
    <col min="3332" max="3332" width="5" style="183" customWidth="1"/>
    <col min="3333" max="3333" width="4.7109375" style="183" customWidth="1"/>
    <col min="3334" max="3334" width="7.5703125" style="183" customWidth="1"/>
    <col min="3335" max="3335" width="6.28515625" style="183" customWidth="1"/>
    <col min="3336" max="3336" width="8.42578125" style="183" customWidth="1"/>
    <col min="3337" max="3337" width="8.85546875" style="183" customWidth="1"/>
    <col min="3338" max="3338" width="8.5703125" style="183" customWidth="1"/>
    <col min="3339" max="3584" width="9.140625" style="183"/>
    <col min="3585" max="3585" width="6.140625" style="183" customWidth="1"/>
    <col min="3586" max="3586" width="35.85546875" style="183" customWidth="1"/>
    <col min="3587" max="3587" width="5.28515625" style="183" customWidth="1"/>
    <col min="3588" max="3588" width="5" style="183" customWidth="1"/>
    <col min="3589" max="3589" width="4.7109375" style="183" customWidth="1"/>
    <col min="3590" max="3590" width="7.5703125" style="183" customWidth="1"/>
    <col min="3591" max="3591" width="6.28515625" style="183" customWidth="1"/>
    <col min="3592" max="3592" width="8.42578125" style="183" customWidth="1"/>
    <col min="3593" max="3593" width="8.85546875" style="183" customWidth="1"/>
    <col min="3594" max="3594" width="8.5703125" style="183" customWidth="1"/>
    <col min="3595" max="3840" width="9.140625" style="183"/>
    <col min="3841" max="3841" width="6.140625" style="183" customWidth="1"/>
    <col min="3842" max="3842" width="35.85546875" style="183" customWidth="1"/>
    <col min="3843" max="3843" width="5.28515625" style="183" customWidth="1"/>
    <col min="3844" max="3844" width="5" style="183" customWidth="1"/>
    <col min="3845" max="3845" width="4.7109375" style="183" customWidth="1"/>
    <col min="3846" max="3846" width="7.5703125" style="183" customWidth="1"/>
    <col min="3847" max="3847" width="6.28515625" style="183" customWidth="1"/>
    <col min="3848" max="3848" width="8.42578125" style="183" customWidth="1"/>
    <col min="3849" max="3849" width="8.85546875" style="183" customWidth="1"/>
    <col min="3850" max="3850" width="8.5703125" style="183" customWidth="1"/>
    <col min="3851" max="4096" width="9.140625" style="183"/>
    <col min="4097" max="4097" width="6.140625" style="183" customWidth="1"/>
    <col min="4098" max="4098" width="35.85546875" style="183" customWidth="1"/>
    <col min="4099" max="4099" width="5.28515625" style="183" customWidth="1"/>
    <col min="4100" max="4100" width="5" style="183" customWidth="1"/>
    <col min="4101" max="4101" width="4.7109375" style="183" customWidth="1"/>
    <col min="4102" max="4102" width="7.5703125" style="183" customWidth="1"/>
    <col min="4103" max="4103" width="6.28515625" style="183" customWidth="1"/>
    <col min="4104" max="4104" width="8.42578125" style="183" customWidth="1"/>
    <col min="4105" max="4105" width="8.85546875" style="183" customWidth="1"/>
    <col min="4106" max="4106" width="8.5703125" style="183" customWidth="1"/>
    <col min="4107" max="4352" width="9.140625" style="183"/>
    <col min="4353" max="4353" width="6.140625" style="183" customWidth="1"/>
    <col min="4354" max="4354" width="35.85546875" style="183" customWidth="1"/>
    <col min="4355" max="4355" width="5.28515625" style="183" customWidth="1"/>
    <col min="4356" max="4356" width="5" style="183" customWidth="1"/>
    <col min="4357" max="4357" width="4.7109375" style="183" customWidth="1"/>
    <col min="4358" max="4358" width="7.5703125" style="183" customWidth="1"/>
    <col min="4359" max="4359" width="6.28515625" style="183" customWidth="1"/>
    <col min="4360" max="4360" width="8.42578125" style="183" customWidth="1"/>
    <col min="4361" max="4361" width="8.85546875" style="183" customWidth="1"/>
    <col min="4362" max="4362" width="8.5703125" style="183" customWidth="1"/>
    <col min="4363" max="4608" width="9.140625" style="183"/>
    <col min="4609" max="4609" width="6.140625" style="183" customWidth="1"/>
    <col min="4610" max="4610" width="35.85546875" style="183" customWidth="1"/>
    <col min="4611" max="4611" width="5.28515625" style="183" customWidth="1"/>
    <col min="4612" max="4612" width="5" style="183" customWidth="1"/>
    <col min="4613" max="4613" width="4.7109375" style="183" customWidth="1"/>
    <col min="4614" max="4614" width="7.5703125" style="183" customWidth="1"/>
    <col min="4615" max="4615" width="6.28515625" style="183" customWidth="1"/>
    <col min="4616" max="4616" width="8.42578125" style="183" customWidth="1"/>
    <col min="4617" max="4617" width="8.85546875" style="183" customWidth="1"/>
    <col min="4618" max="4618" width="8.5703125" style="183" customWidth="1"/>
    <col min="4619" max="4864" width="9.140625" style="183"/>
    <col min="4865" max="4865" width="6.140625" style="183" customWidth="1"/>
    <col min="4866" max="4866" width="35.85546875" style="183" customWidth="1"/>
    <col min="4867" max="4867" width="5.28515625" style="183" customWidth="1"/>
    <col min="4868" max="4868" width="5" style="183" customWidth="1"/>
    <col min="4869" max="4869" width="4.7109375" style="183" customWidth="1"/>
    <col min="4870" max="4870" width="7.5703125" style="183" customWidth="1"/>
    <col min="4871" max="4871" width="6.28515625" style="183" customWidth="1"/>
    <col min="4872" max="4872" width="8.42578125" style="183" customWidth="1"/>
    <col min="4873" max="4873" width="8.85546875" style="183" customWidth="1"/>
    <col min="4874" max="4874" width="8.5703125" style="183" customWidth="1"/>
    <col min="4875" max="5120" width="9.140625" style="183"/>
    <col min="5121" max="5121" width="6.140625" style="183" customWidth="1"/>
    <col min="5122" max="5122" width="35.85546875" style="183" customWidth="1"/>
    <col min="5123" max="5123" width="5.28515625" style="183" customWidth="1"/>
    <col min="5124" max="5124" width="5" style="183" customWidth="1"/>
    <col min="5125" max="5125" width="4.7109375" style="183" customWidth="1"/>
    <col min="5126" max="5126" width="7.5703125" style="183" customWidth="1"/>
    <col min="5127" max="5127" width="6.28515625" style="183" customWidth="1"/>
    <col min="5128" max="5128" width="8.42578125" style="183" customWidth="1"/>
    <col min="5129" max="5129" width="8.85546875" style="183" customWidth="1"/>
    <col min="5130" max="5130" width="8.5703125" style="183" customWidth="1"/>
    <col min="5131" max="5376" width="9.140625" style="183"/>
    <col min="5377" max="5377" width="6.140625" style="183" customWidth="1"/>
    <col min="5378" max="5378" width="35.85546875" style="183" customWidth="1"/>
    <col min="5379" max="5379" width="5.28515625" style="183" customWidth="1"/>
    <col min="5380" max="5380" width="5" style="183" customWidth="1"/>
    <col min="5381" max="5381" width="4.7109375" style="183" customWidth="1"/>
    <col min="5382" max="5382" width="7.5703125" style="183" customWidth="1"/>
    <col min="5383" max="5383" width="6.28515625" style="183" customWidth="1"/>
    <col min="5384" max="5384" width="8.42578125" style="183" customWidth="1"/>
    <col min="5385" max="5385" width="8.85546875" style="183" customWidth="1"/>
    <col min="5386" max="5386" width="8.5703125" style="183" customWidth="1"/>
    <col min="5387" max="5632" width="9.140625" style="183"/>
    <col min="5633" max="5633" width="6.140625" style="183" customWidth="1"/>
    <col min="5634" max="5634" width="35.85546875" style="183" customWidth="1"/>
    <col min="5635" max="5635" width="5.28515625" style="183" customWidth="1"/>
    <col min="5636" max="5636" width="5" style="183" customWidth="1"/>
    <col min="5637" max="5637" width="4.7109375" style="183" customWidth="1"/>
    <col min="5638" max="5638" width="7.5703125" style="183" customWidth="1"/>
    <col min="5639" max="5639" width="6.28515625" style="183" customWidth="1"/>
    <col min="5640" max="5640" width="8.42578125" style="183" customWidth="1"/>
    <col min="5641" max="5641" width="8.85546875" style="183" customWidth="1"/>
    <col min="5642" max="5642" width="8.5703125" style="183" customWidth="1"/>
    <col min="5643" max="5888" width="9.140625" style="183"/>
    <col min="5889" max="5889" width="6.140625" style="183" customWidth="1"/>
    <col min="5890" max="5890" width="35.85546875" style="183" customWidth="1"/>
    <col min="5891" max="5891" width="5.28515625" style="183" customWidth="1"/>
    <col min="5892" max="5892" width="5" style="183" customWidth="1"/>
    <col min="5893" max="5893" width="4.7109375" style="183" customWidth="1"/>
    <col min="5894" max="5894" width="7.5703125" style="183" customWidth="1"/>
    <col min="5895" max="5895" width="6.28515625" style="183" customWidth="1"/>
    <col min="5896" max="5896" width="8.42578125" style="183" customWidth="1"/>
    <col min="5897" max="5897" width="8.85546875" style="183" customWidth="1"/>
    <col min="5898" max="5898" width="8.5703125" style="183" customWidth="1"/>
    <col min="5899" max="6144" width="9.140625" style="183"/>
    <col min="6145" max="6145" width="6.140625" style="183" customWidth="1"/>
    <col min="6146" max="6146" width="35.85546875" style="183" customWidth="1"/>
    <col min="6147" max="6147" width="5.28515625" style="183" customWidth="1"/>
    <col min="6148" max="6148" width="5" style="183" customWidth="1"/>
    <col min="6149" max="6149" width="4.7109375" style="183" customWidth="1"/>
    <col min="6150" max="6150" width="7.5703125" style="183" customWidth="1"/>
    <col min="6151" max="6151" width="6.28515625" style="183" customWidth="1"/>
    <col min="6152" max="6152" width="8.42578125" style="183" customWidth="1"/>
    <col min="6153" max="6153" width="8.85546875" style="183" customWidth="1"/>
    <col min="6154" max="6154" width="8.5703125" style="183" customWidth="1"/>
    <col min="6155" max="6400" width="9.140625" style="183"/>
    <col min="6401" max="6401" width="6.140625" style="183" customWidth="1"/>
    <col min="6402" max="6402" width="35.85546875" style="183" customWidth="1"/>
    <col min="6403" max="6403" width="5.28515625" style="183" customWidth="1"/>
    <col min="6404" max="6404" width="5" style="183" customWidth="1"/>
    <col min="6405" max="6405" width="4.7109375" style="183" customWidth="1"/>
    <col min="6406" max="6406" width="7.5703125" style="183" customWidth="1"/>
    <col min="6407" max="6407" width="6.28515625" style="183" customWidth="1"/>
    <col min="6408" max="6408" width="8.42578125" style="183" customWidth="1"/>
    <col min="6409" max="6409" width="8.85546875" style="183" customWidth="1"/>
    <col min="6410" max="6410" width="8.5703125" style="183" customWidth="1"/>
    <col min="6411" max="6656" width="9.140625" style="183"/>
    <col min="6657" max="6657" width="6.140625" style="183" customWidth="1"/>
    <col min="6658" max="6658" width="35.85546875" style="183" customWidth="1"/>
    <col min="6659" max="6659" width="5.28515625" style="183" customWidth="1"/>
    <col min="6660" max="6660" width="5" style="183" customWidth="1"/>
    <col min="6661" max="6661" width="4.7109375" style="183" customWidth="1"/>
    <col min="6662" max="6662" width="7.5703125" style="183" customWidth="1"/>
    <col min="6663" max="6663" width="6.28515625" style="183" customWidth="1"/>
    <col min="6664" max="6664" width="8.42578125" style="183" customWidth="1"/>
    <col min="6665" max="6665" width="8.85546875" style="183" customWidth="1"/>
    <col min="6666" max="6666" width="8.5703125" style="183" customWidth="1"/>
    <col min="6667" max="6912" width="9.140625" style="183"/>
    <col min="6913" max="6913" width="6.140625" style="183" customWidth="1"/>
    <col min="6914" max="6914" width="35.85546875" style="183" customWidth="1"/>
    <col min="6915" max="6915" width="5.28515625" style="183" customWidth="1"/>
    <col min="6916" max="6916" width="5" style="183" customWidth="1"/>
    <col min="6917" max="6917" width="4.7109375" style="183" customWidth="1"/>
    <col min="6918" max="6918" width="7.5703125" style="183" customWidth="1"/>
    <col min="6919" max="6919" width="6.28515625" style="183" customWidth="1"/>
    <col min="6920" max="6920" width="8.42578125" style="183" customWidth="1"/>
    <col min="6921" max="6921" width="8.85546875" style="183" customWidth="1"/>
    <col min="6922" max="6922" width="8.5703125" style="183" customWidth="1"/>
    <col min="6923" max="7168" width="9.140625" style="183"/>
    <col min="7169" max="7169" width="6.140625" style="183" customWidth="1"/>
    <col min="7170" max="7170" width="35.85546875" style="183" customWidth="1"/>
    <col min="7171" max="7171" width="5.28515625" style="183" customWidth="1"/>
    <col min="7172" max="7172" width="5" style="183" customWidth="1"/>
    <col min="7173" max="7173" width="4.7109375" style="183" customWidth="1"/>
    <col min="7174" max="7174" width="7.5703125" style="183" customWidth="1"/>
    <col min="7175" max="7175" width="6.28515625" style="183" customWidth="1"/>
    <col min="7176" max="7176" width="8.42578125" style="183" customWidth="1"/>
    <col min="7177" max="7177" width="8.85546875" style="183" customWidth="1"/>
    <col min="7178" max="7178" width="8.5703125" style="183" customWidth="1"/>
    <col min="7179" max="7424" width="9.140625" style="183"/>
    <col min="7425" max="7425" width="6.140625" style="183" customWidth="1"/>
    <col min="7426" max="7426" width="35.85546875" style="183" customWidth="1"/>
    <col min="7427" max="7427" width="5.28515625" style="183" customWidth="1"/>
    <col min="7428" max="7428" width="5" style="183" customWidth="1"/>
    <col min="7429" max="7429" width="4.7109375" style="183" customWidth="1"/>
    <col min="7430" max="7430" width="7.5703125" style="183" customWidth="1"/>
    <col min="7431" max="7431" width="6.28515625" style="183" customWidth="1"/>
    <col min="7432" max="7432" width="8.42578125" style="183" customWidth="1"/>
    <col min="7433" max="7433" width="8.85546875" style="183" customWidth="1"/>
    <col min="7434" max="7434" width="8.5703125" style="183" customWidth="1"/>
    <col min="7435" max="7680" width="9.140625" style="183"/>
    <col min="7681" max="7681" width="6.140625" style="183" customWidth="1"/>
    <col min="7682" max="7682" width="35.85546875" style="183" customWidth="1"/>
    <col min="7683" max="7683" width="5.28515625" style="183" customWidth="1"/>
    <col min="7684" max="7684" width="5" style="183" customWidth="1"/>
    <col min="7685" max="7685" width="4.7109375" style="183" customWidth="1"/>
    <col min="7686" max="7686" width="7.5703125" style="183" customWidth="1"/>
    <col min="7687" max="7687" width="6.28515625" style="183" customWidth="1"/>
    <col min="7688" max="7688" width="8.42578125" style="183" customWidth="1"/>
    <col min="7689" max="7689" width="8.85546875" style="183" customWidth="1"/>
    <col min="7690" max="7690" width="8.5703125" style="183" customWidth="1"/>
    <col min="7691" max="7936" width="9.140625" style="183"/>
    <col min="7937" max="7937" width="6.140625" style="183" customWidth="1"/>
    <col min="7938" max="7938" width="35.85546875" style="183" customWidth="1"/>
    <col min="7939" max="7939" width="5.28515625" style="183" customWidth="1"/>
    <col min="7940" max="7940" width="5" style="183" customWidth="1"/>
    <col min="7941" max="7941" width="4.7109375" style="183" customWidth="1"/>
    <col min="7942" max="7942" width="7.5703125" style="183" customWidth="1"/>
    <col min="7943" max="7943" width="6.28515625" style="183" customWidth="1"/>
    <col min="7944" max="7944" width="8.42578125" style="183" customWidth="1"/>
    <col min="7945" max="7945" width="8.85546875" style="183" customWidth="1"/>
    <col min="7946" max="7946" width="8.5703125" style="183" customWidth="1"/>
    <col min="7947" max="8192" width="9.140625" style="183"/>
    <col min="8193" max="8193" width="6.140625" style="183" customWidth="1"/>
    <col min="8194" max="8194" width="35.85546875" style="183" customWidth="1"/>
    <col min="8195" max="8195" width="5.28515625" style="183" customWidth="1"/>
    <col min="8196" max="8196" width="5" style="183" customWidth="1"/>
    <col min="8197" max="8197" width="4.7109375" style="183" customWidth="1"/>
    <col min="8198" max="8198" width="7.5703125" style="183" customWidth="1"/>
    <col min="8199" max="8199" width="6.28515625" style="183" customWidth="1"/>
    <col min="8200" max="8200" width="8.42578125" style="183" customWidth="1"/>
    <col min="8201" max="8201" width="8.85546875" style="183" customWidth="1"/>
    <col min="8202" max="8202" width="8.5703125" style="183" customWidth="1"/>
    <col min="8203" max="8448" width="9.140625" style="183"/>
    <col min="8449" max="8449" width="6.140625" style="183" customWidth="1"/>
    <col min="8450" max="8450" width="35.85546875" style="183" customWidth="1"/>
    <col min="8451" max="8451" width="5.28515625" style="183" customWidth="1"/>
    <col min="8452" max="8452" width="5" style="183" customWidth="1"/>
    <col min="8453" max="8453" width="4.7109375" style="183" customWidth="1"/>
    <col min="8454" max="8454" width="7.5703125" style="183" customWidth="1"/>
    <col min="8455" max="8455" width="6.28515625" style="183" customWidth="1"/>
    <col min="8456" max="8456" width="8.42578125" style="183" customWidth="1"/>
    <col min="8457" max="8457" width="8.85546875" style="183" customWidth="1"/>
    <col min="8458" max="8458" width="8.5703125" style="183" customWidth="1"/>
    <col min="8459" max="8704" width="9.140625" style="183"/>
    <col min="8705" max="8705" width="6.140625" style="183" customWidth="1"/>
    <col min="8706" max="8706" width="35.85546875" style="183" customWidth="1"/>
    <col min="8707" max="8707" width="5.28515625" style="183" customWidth="1"/>
    <col min="8708" max="8708" width="5" style="183" customWidth="1"/>
    <col min="8709" max="8709" width="4.7109375" style="183" customWidth="1"/>
    <col min="8710" max="8710" width="7.5703125" style="183" customWidth="1"/>
    <col min="8711" max="8711" width="6.28515625" style="183" customWidth="1"/>
    <col min="8712" max="8712" width="8.42578125" style="183" customWidth="1"/>
    <col min="8713" max="8713" width="8.85546875" style="183" customWidth="1"/>
    <col min="8714" max="8714" width="8.5703125" style="183" customWidth="1"/>
    <col min="8715" max="8960" width="9.140625" style="183"/>
    <col min="8961" max="8961" width="6.140625" style="183" customWidth="1"/>
    <col min="8962" max="8962" width="35.85546875" style="183" customWidth="1"/>
    <col min="8963" max="8963" width="5.28515625" style="183" customWidth="1"/>
    <col min="8964" max="8964" width="5" style="183" customWidth="1"/>
    <col min="8965" max="8965" width="4.7109375" style="183" customWidth="1"/>
    <col min="8966" max="8966" width="7.5703125" style="183" customWidth="1"/>
    <col min="8967" max="8967" width="6.28515625" style="183" customWidth="1"/>
    <col min="8968" max="8968" width="8.42578125" style="183" customWidth="1"/>
    <col min="8969" max="8969" width="8.85546875" style="183" customWidth="1"/>
    <col min="8970" max="8970" width="8.5703125" style="183" customWidth="1"/>
    <col min="8971" max="9216" width="9.140625" style="183"/>
    <col min="9217" max="9217" width="6.140625" style="183" customWidth="1"/>
    <col min="9218" max="9218" width="35.85546875" style="183" customWidth="1"/>
    <col min="9219" max="9219" width="5.28515625" style="183" customWidth="1"/>
    <col min="9220" max="9220" width="5" style="183" customWidth="1"/>
    <col min="9221" max="9221" width="4.7109375" style="183" customWidth="1"/>
    <col min="9222" max="9222" width="7.5703125" style="183" customWidth="1"/>
    <col min="9223" max="9223" width="6.28515625" style="183" customWidth="1"/>
    <col min="9224" max="9224" width="8.42578125" style="183" customWidth="1"/>
    <col min="9225" max="9225" width="8.85546875" style="183" customWidth="1"/>
    <col min="9226" max="9226" width="8.5703125" style="183" customWidth="1"/>
    <col min="9227" max="9472" width="9.140625" style="183"/>
    <col min="9473" max="9473" width="6.140625" style="183" customWidth="1"/>
    <col min="9474" max="9474" width="35.85546875" style="183" customWidth="1"/>
    <col min="9475" max="9475" width="5.28515625" style="183" customWidth="1"/>
    <col min="9476" max="9476" width="5" style="183" customWidth="1"/>
    <col min="9477" max="9477" width="4.7109375" style="183" customWidth="1"/>
    <col min="9478" max="9478" width="7.5703125" style="183" customWidth="1"/>
    <col min="9479" max="9479" width="6.28515625" style="183" customWidth="1"/>
    <col min="9480" max="9480" width="8.42578125" style="183" customWidth="1"/>
    <col min="9481" max="9481" width="8.85546875" style="183" customWidth="1"/>
    <col min="9482" max="9482" width="8.5703125" style="183" customWidth="1"/>
    <col min="9483" max="9728" width="9.140625" style="183"/>
    <col min="9729" max="9729" width="6.140625" style="183" customWidth="1"/>
    <col min="9730" max="9730" width="35.85546875" style="183" customWidth="1"/>
    <col min="9731" max="9731" width="5.28515625" style="183" customWidth="1"/>
    <col min="9732" max="9732" width="5" style="183" customWidth="1"/>
    <col min="9733" max="9733" width="4.7109375" style="183" customWidth="1"/>
    <col min="9734" max="9734" width="7.5703125" style="183" customWidth="1"/>
    <col min="9735" max="9735" width="6.28515625" style="183" customWidth="1"/>
    <col min="9736" max="9736" width="8.42578125" style="183" customWidth="1"/>
    <col min="9737" max="9737" width="8.85546875" style="183" customWidth="1"/>
    <col min="9738" max="9738" width="8.5703125" style="183" customWidth="1"/>
    <col min="9739" max="9984" width="9.140625" style="183"/>
    <col min="9985" max="9985" width="6.140625" style="183" customWidth="1"/>
    <col min="9986" max="9986" width="35.85546875" style="183" customWidth="1"/>
    <col min="9987" max="9987" width="5.28515625" style="183" customWidth="1"/>
    <col min="9988" max="9988" width="5" style="183" customWidth="1"/>
    <col min="9989" max="9989" width="4.7109375" style="183" customWidth="1"/>
    <col min="9990" max="9990" width="7.5703125" style="183" customWidth="1"/>
    <col min="9991" max="9991" width="6.28515625" style="183" customWidth="1"/>
    <col min="9992" max="9992" width="8.42578125" style="183" customWidth="1"/>
    <col min="9993" max="9993" width="8.85546875" style="183" customWidth="1"/>
    <col min="9994" max="9994" width="8.5703125" style="183" customWidth="1"/>
    <col min="9995" max="10240" width="9.140625" style="183"/>
    <col min="10241" max="10241" width="6.140625" style="183" customWidth="1"/>
    <col min="10242" max="10242" width="35.85546875" style="183" customWidth="1"/>
    <col min="10243" max="10243" width="5.28515625" style="183" customWidth="1"/>
    <col min="10244" max="10244" width="5" style="183" customWidth="1"/>
    <col min="10245" max="10245" width="4.7109375" style="183" customWidth="1"/>
    <col min="10246" max="10246" width="7.5703125" style="183" customWidth="1"/>
    <col min="10247" max="10247" width="6.28515625" style="183" customWidth="1"/>
    <col min="10248" max="10248" width="8.42578125" style="183" customWidth="1"/>
    <col min="10249" max="10249" width="8.85546875" style="183" customWidth="1"/>
    <col min="10250" max="10250" width="8.5703125" style="183" customWidth="1"/>
    <col min="10251" max="10496" width="9.140625" style="183"/>
    <col min="10497" max="10497" width="6.140625" style="183" customWidth="1"/>
    <col min="10498" max="10498" width="35.85546875" style="183" customWidth="1"/>
    <col min="10499" max="10499" width="5.28515625" style="183" customWidth="1"/>
    <col min="10500" max="10500" width="5" style="183" customWidth="1"/>
    <col min="10501" max="10501" width="4.7109375" style="183" customWidth="1"/>
    <col min="10502" max="10502" width="7.5703125" style="183" customWidth="1"/>
    <col min="10503" max="10503" width="6.28515625" style="183" customWidth="1"/>
    <col min="10504" max="10504" width="8.42578125" style="183" customWidth="1"/>
    <col min="10505" max="10505" width="8.85546875" style="183" customWidth="1"/>
    <col min="10506" max="10506" width="8.5703125" style="183" customWidth="1"/>
    <col min="10507" max="10752" width="9.140625" style="183"/>
    <col min="10753" max="10753" width="6.140625" style="183" customWidth="1"/>
    <col min="10754" max="10754" width="35.85546875" style="183" customWidth="1"/>
    <col min="10755" max="10755" width="5.28515625" style="183" customWidth="1"/>
    <col min="10756" max="10756" width="5" style="183" customWidth="1"/>
    <col min="10757" max="10757" width="4.7109375" style="183" customWidth="1"/>
    <col min="10758" max="10758" width="7.5703125" style="183" customWidth="1"/>
    <col min="10759" max="10759" width="6.28515625" style="183" customWidth="1"/>
    <col min="10760" max="10760" width="8.42578125" style="183" customWidth="1"/>
    <col min="10761" max="10761" width="8.85546875" style="183" customWidth="1"/>
    <col min="10762" max="10762" width="8.5703125" style="183" customWidth="1"/>
    <col min="10763" max="11008" width="9.140625" style="183"/>
    <col min="11009" max="11009" width="6.140625" style="183" customWidth="1"/>
    <col min="11010" max="11010" width="35.85546875" style="183" customWidth="1"/>
    <col min="11011" max="11011" width="5.28515625" style="183" customWidth="1"/>
    <col min="11012" max="11012" width="5" style="183" customWidth="1"/>
    <col min="11013" max="11013" width="4.7109375" style="183" customWidth="1"/>
    <col min="11014" max="11014" width="7.5703125" style="183" customWidth="1"/>
    <col min="11015" max="11015" width="6.28515625" style="183" customWidth="1"/>
    <col min="11016" max="11016" width="8.42578125" style="183" customWidth="1"/>
    <col min="11017" max="11017" width="8.85546875" style="183" customWidth="1"/>
    <col min="11018" max="11018" width="8.5703125" style="183" customWidth="1"/>
    <col min="11019" max="11264" width="9.140625" style="183"/>
    <col min="11265" max="11265" width="6.140625" style="183" customWidth="1"/>
    <col min="11266" max="11266" width="35.85546875" style="183" customWidth="1"/>
    <col min="11267" max="11267" width="5.28515625" style="183" customWidth="1"/>
    <col min="11268" max="11268" width="5" style="183" customWidth="1"/>
    <col min="11269" max="11269" width="4.7109375" style="183" customWidth="1"/>
    <col min="11270" max="11270" width="7.5703125" style="183" customWidth="1"/>
    <col min="11271" max="11271" width="6.28515625" style="183" customWidth="1"/>
    <col min="11272" max="11272" width="8.42578125" style="183" customWidth="1"/>
    <col min="11273" max="11273" width="8.85546875" style="183" customWidth="1"/>
    <col min="11274" max="11274" width="8.5703125" style="183" customWidth="1"/>
    <col min="11275" max="11520" width="9.140625" style="183"/>
    <col min="11521" max="11521" width="6.140625" style="183" customWidth="1"/>
    <col min="11522" max="11522" width="35.85546875" style="183" customWidth="1"/>
    <col min="11523" max="11523" width="5.28515625" style="183" customWidth="1"/>
    <col min="11524" max="11524" width="5" style="183" customWidth="1"/>
    <col min="11525" max="11525" width="4.7109375" style="183" customWidth="1"/>
    <col min="11526" max="11526" width="7.5703125" style="183" customWidth="1"/>
    <col min="11527" max="11527" width="6.28515625" style="183" customWidth="1"/>
    <col min="11528" max="11528" width="8.42578125" style="183" customWidth="1"/>
    <col min="11529" max="11529" width="8.85546875" style="183" customWidth="1"/>
    <col min="11530" max="11530" width="8.5703125" style="183" customWidth="1"/>
    <col min="11531" max="11776" width="9.140625" style="183"/>
    <col min="11777" max="11777" width="6.140625" style="183" customWidth="1"/>
    <col min="11778" max="11778" width="35.85546875" style="183" customWidth="1"/>
    <col min="11779" max="11779" width="5.28515625" style="183" customWidth="1"/>
    <col min="11780" max="11780" width="5" style="183" customWidth="1"/>
    <col min="11781" max="11781" width="4.7109375" style="183" customWidth="1"/>
    <col min="11782" max="11782" width="7.5703125" style="183" customWidth="1"/>
    <col min="11783" max="11783" width="6.28515625" style="183" customWidth="1"/>
    <col min="11784" max="11784" width="8.42578125" style="183" customWidth="1"/>
    <col min="11785" max="11785" width="8.85546875" style="183" customWidth="1"/>
    <col min="11786" max="11786" width="8.5703125" style="183" customWidth="1"/>
    <col min="11787" max="12032" width="9.140625" style="183"/>
    <col min="12033" max="12033" width="6.140625" style="183" customWidth="1"/>
    <col min="12034" max="12034" width="35.85546875" style="183" customWidth="1"/>
    <col min="12035" max="12035" width="5.28515625" style="183" customWidth="1"/>
    <col min="12036" max="12036" width="5" style="183" customWidth="1"/>
    <col min="12037" max="12037" width="4.7109375" style="183" customWidth="1"/>
    <col min="12038" max="12038" width="7.5703125" style="183" customWidth="1"/>
    <col min="12039" max="12039" width="6.28515625" style="183" customWidth="1"/>
    <col min="12040" max="12040" width="8.42578125" style="183" customWidth="1"/>
    <col min="12041" max="12041" width="8.85546875" style="183" customWidth="1"/>
    <col min="12042" max="12042" width="8.5703125" style="183" customWidth="1"/>
    <col min="12043" max="12288" width="9.140625" style="183"/>
    <col min="12289" max="12289" width="6.140625" style="183" customWidth="1"/>
    <col min="12290" max="12290" width="35.85546875" style="183" customWidth="1"/>
    <col min="12291" max="12291" width="5.28515625" style="183" customWidth="1"/>
    <col min="12292" max="12292" width="5" style="183" customWidth="1"/>
    <col min="12293" max="12293" width="4.7109375" style="183" customWidth="1"/>
    <col min="12294" max="12294" width="7.5703125" style="183" customWidth="1"/>
    <col min="12295" max="12295" width="6.28515625" style="183" customWidth="1"/>
    <col min="12296" max="12296" width="8.42578125" style="183" customWidth="1"/>
    <col min="12297" max="12297" width="8.85546875" style="183" customWidth="1"/>
    <col min="12298" max="12298" width="8.5703125" style="183" customWidth="1"/>
    <col min="12299" max="12544" width="9.140625" style="183"/>
    <col min="12545" max="12545" width="6.140625" style="183" customWidth="1"/>
    <col min="12546" max="12546" width="35.85546875" style="183" customWidth="1"/>
    <col min="12547" max="12547" width="5.28515625" style="183" customWidth="1"/>
    <col min="12548" max="12548" width="5" style="183" customWidth="1"/>
    <col min="12549" max="12549" width="4.7109375" style="183" customWidth="1"/>
    <col min="12550" max="12550" width="7.5703125" style="183" customWidth="1"/>
    <col min="12551" max="12551" width="6.28515625" style="183" customWidth="1"/>
    <col min="12552" max="12552" width="8.42578125" style="183" customWidth="1"/>
    <col min="12553" max="12553" width="8.85546875" style="183" customWidth="1"/>
    <col min="12554" max="12554" width="8.5703125" style="183" customWidth="1"/>
    <col min="12555" max="12800" width="9.140625" style="183"/>
    <col min="12801" max="12801" width="6.140625" style="183" customWidth="1"/>
    <col min="12802" max="12802" width="35.85546875" style="183" customWidth="1"/>
    <col min="12803" max="12803" width="5.28515625" style="183" customWidth="1"/>
    <col min="12804" max="12804" width="5" style="183" customWidth="1"/>
    <col min="12805" max="12805" width="4.7109375" style="183" customWidth="1"/>
    <col min="12806" max="12806" width="7.5703125" style="183" customWidth="1"/>
    <col min="12807" max="12807" width="6.28515625" style="183" customWidth="1"/>
    <col min="12808" max="12808" width="8.42578125" style="183" customWidth="1"/>
    <col min="12809" max="12809" width="8.85546875" style="183" customWidth="1"/>
    <col min="12810" max="12810" width="8.5703125" style="183" customWidth="1"/>
    <col min="12811" max="13056" width="9.140625" style="183"/>
    <col min="13057" max="13057" width="6.140625" style="183" customWidth="1"/>
    <col min="13058" max="13058" width="35.85546875" style="183" customWidth="1"/>
    <col min="13059" max="13059" width="5.28515625" style="183" customWidth="1"/>
    <col min="13060" max="13060" width="5" style="183" customWidth="1"/>
    <col min="13061" max="13061" width="4.7109375" style="183" customWidth="1"/>
    <col min="13062" max="13062" width="7.5703125" style="183" customWidth="1"/>
    <col min="13063" max="13063" width="6.28515625" style="183" customWidth="1"/>
    <col min="13064" max="13064" width="8.42578125" style="183" customWidth="1"/>
    <col min="13065" max="13065" width="8.85546875" style="183" customWidth="1"/>
    <col min="13066" max="13066" width="8.5703125" style="183" customWidth="1"/>
    <col min="13067" max="13312" width="9.140625" style="183"/>
    <col min="13313" max="13313" width="6.140625" style="183" customWidth="1"/>
    <col min="13314" max="13314" width="35.85546875" style="183" customWidth="1"/>
    <col min="13315" max="13315" width="5.28515625" style="183" customWidth="1"/>
    <col min="13316" max="13316" width="5" style="183" customWidth="1"/>
    <col min="13317" max="13317" width="4.7109375" style="183" customWidth="1"/>
    <col min="13318" max="13318" width="7.5703125" style="183" customWidth="1"/>
    <col min="13319" max="13319" width="6.28515625" style="183" customWidth="1"/>
    <col min="13320" max="13320" width="8.42578125" style="183" customWidth="1"/>
    <col min="13321" max="13321" width="8.85546875" style="183" customWidth="1"/>
    <col min="13322" max="13322" width="8.5703125" style="183" customWidth="1"/>
    <col min="13323" max="13568" width="9.140625" style="183"/>
    <col min="13569" max="13569" width="6.140625" style="183" customWidth="1"/>
    <col min="13570" max="13570" width="35.85546875" style="183" customWidth="1"/>
    <col min="13571" max="13571" width="5.28515625" style="183" customWidth="1"/>
    <col min="13572" max="13572" width="5" style="183" customWidth="1"/>
    <col min="13573" max="13573" width="4.7109375" style="183" customWidth="1"/>
    <col min="13574" max="13574" width="7.5703125" style="183" customWidth="1"/>
    <col min="13575" max="13575" width="6.28515625" style="183" customWidth="1"/>
    <col min="13576" max="13576" width="8.42578125" style="183" customWidth="1"/>
    <col min="13577" max="13577" width="8.85546875" style="183" customWidth="1"/>
    <col min="13578" max="13578" width="8.5703125" style="183" customWidth="1"/>
    <col min="13579" max="13824" width="9.140625" style="183"/>
    <col min="13825" max="13825" width="6.140625" style="183" customWidth="1"/>
    <col min="13826" max="13826" width="35.85546875" style="183" customWidth="1"/>
    <col min="13827" max="13827" width="5.28515625" style="183" customWidth="1"/>
    <col min="13828" max="13828" width="5" style="183" customWidth="1"/>
    <col min="13829" max="13829" width="4.7109375" style="183" customWidth="1"/>
    <col min="13830" max="13830" width="7.5703125" style="183" customWidth="1"/>
    <col min="13831" max="13831" width="6.28515625" style="183" customWidth="1"/>
    <col min="13832" max="13832" width="8.42578125" style="183" customWidth="1"/>
    <col min="13833" max="13833" width="8.85546875" style="183" customWidth="1"/>
    <col min="13834" max="13834" width="8.5703125" style="183" customWidth="1"/>
    <col min="13835" max="14080" width="9.140625" style="183"/>
    <col min="14081" max="14081" width="6.140625" style="183" customWidth="1"/>
    <col min="14082" max="14082" width="35.85546875" style="183" customWidth="1"/>
    <col min="14083" max="14083" width="5.28515625" style="183" customWidth="1"/>
    <col min="14084" max="14084" width="5" style="183" customWidth="1"/>
    <col min="14085" max="14085" width="4.7109375" style="183" customWidth="1"/>
    <col min="14086" max="14086" width="7.5703125" style="183" customWidth="1"/>
    <col min="14087" max="14087" width="6.28515625" style="183" customWidth="1"/>
    <col min="14088" max="14088" width="8.42578125" style="183" customWidth="1"/>
    <col min="14089" max="14089" width="8.85546875" style="183" customWidth="1"/>
    <col min="14090" max="14090" width="8.5703125" style="183" customWidth="1"/>
    <col min="14091" max="14336" width="9.140625" style="183"/>
    <col min="14337" max="14337" width="6.140625" style="183" customWidth="1"/>
    <col min="14338" max="14338" width="35.85546875" style="183" customWidth="1"/>
    <col min="14339" max="14339" width="5.28515625" style="183" customWidth="1"/>
    <col min="14340" max="14340" width="5" style="183" customWidth="1"/>
    <col min="14341" max="14341" width="4.7109375" style="183" customWidth="1"/>
    <col min="14342" max="14342" width="7.5703125" style="183" customWidth="1"/>
    <col min="14343" max="14343" width="6.28515625" style="183" customWidth="1"/>
    <col min="14344" max="14344" width="8.42578125" style="183" customWidth="1"/>
    <col min="14345" max="14345" width="8.85546875" style="183" customWidth="1"/>
    <col min="14346" max="14346" width="8.5703125" style="183" customWidth="1"/>
    <col min="14347" max="14592" width="9.140625" style="183"/>
    <col min="14593" max="14593" width="6.140625" style="183" customWidth="1"/>
    <col min="14594" max="14594" width="35.85546875" style="183" customWidth="1"/>
    <col min="14595" max="14595" width="5.28515625" style="183" customWidth="1"/>
    <col min="14596" max="14596" width="5" style="183" customWidth="1"/>
    <col min="14597" max="14597" width="4.7109375" style="183" customWidth="1"/>
    <col min="14598" max="14598" width="7.5703125" style="183" customWidth="1"/>
    <col min="14599" max="14599" width="6.28515625" style="183" customWidth="1"/>
    <col min="14600" max="14600" width="8.42578125" style="183" customWidth="1"/>
    <col min="14601" max="14601" width="8.85546875" style="183" customWidth="1"/>
    <col min="14602" max="14602" width="8.5703125" style="183" customWidth="1"/>
    <col min="14603" max="14848" width="9.140625" style="183"/>
    <col min="14849" max="14849" width="6.140625" style="183" customWidth="1"/>
    <col min="14850" max="14850" width="35.85546875" style="183" customWidth="1"/>
    <col min="14851" max="14851" width="5.28515625" style="183" customWidth="1"/>
    <col min="14852" max="14852" width="5" style="183" customWidth="1"/>
    <col min="14853" max="14853" width="4.7109375" style="183" customWidth="1"/>
    <col min="14854" max="14854" width="7.5703125" style="183" customWidth="1"/>
    <col min="14855" max="14855" width="6.28515625" style="183" customWidth="1"/>
    <col min="14856" max="14856" width="8.42578125" style="183" customWidth="1"/>
    <col min="14857" max="14857" width="8.85546875" style="183" customWidth="1"/>
    <col min="14858" max="14858" width="8.5703125" style="183" customWidth="1"/>
    <col min="14859" max="15104" width="9.140625" style="183"/>
    <col min="15105" max="15105" width="6.140625" style="183" customWidth="1"/>
    <col min="15106" max="15106" width="35.85546875" style="183" customWidth="1"/>
    <col min="15107" max="15107" width="5.28515625" style="183" customWidth="1"/>
    <col min="15108" max="15108" width="5" style="183" customWidth="1"/>
    <col min="15109" max="15109" width="4.7109375" style="183" customWidth="1"/>
    <col min="15110" max="15110" width="7.5703125" style="183" customWidth="1"/>
    <col min="15111" max="15111" width="6.28515625" style="183" customWidth="1"/>
    <col min="15112" max="15112" width="8.42578125" style="183" customWidth="1"/>
    <col min="15113" max="15113" width="8.85546875" style="183" customWidth="1"/>
    <col min="15114" max="15114" width="8.5703125" style="183" customWidth="1"/>
    <col min="15115" max="15360" width="9.140625" style="183"/>
    <col min="15361" max="15361" width="6.140625" style="183" customWidth="1"/>
    <col min="15362" max="15362" width="35.85546875" style="183" customWidth="1"/>
    <col min="15363" max="15363" width="5.28515625" style="183" customWidth="1"/>
    <col min="15364" max="15364" width="5" style="183" customWidth="1"/>
    <col min="15365" max="15365" width="4.7109375" style="183" customWidth="1"/>
    <col min="15366" max="15366" width="7.5703125" style="183" customWidth="1"/>
    <col min="15367" max="15367" width="6.28515625" style="183" customWidth="1"/>
    <col min="15368" max="15368" width="8.42578125" style="183" customWidth="1"/>
    <col min="15369" max="15369" width="8.85546875" style="183" customWidth="1"/>
    <col min="15370" max="15370" width="8.5703125" style="183" customWidth="1"/>
    <col min="15371" max="15616" width="9.140625" style="183"/>
    <col min="15617" max="15617" width="6.140625" style="183" customWidth="1"/>
    <col min="15618" max="15618" width="35.85546875" style="183" customWidth="1"/>
    <col min="15619" max="15619" width="5.28515625" style="183" customWidth="1"/>
    <col min="15620" max="15620" width="5" style="183" customWidth="1"/>
    <col min="15621" max="15621" width="4.7109375" style="183" customWidth="1"/>
    <col min="15622" max="15622" width="7.5703125" style="183" customWidth="1"/>
    <col min="15623" max="15623" width="6.28515625" style="183" customWidth="1"/>
    <col min="15624" max="15624" width="8.42578125" style="183" customWidth="1"/>
    <col min="15625" max="15625" width="8.85546875" style="183" customWidth="1"/>
    <col min="15626" max="15626" width="8.5703125" style="183" customWidth="1"/>
    <col min="15627" max="15872" width="9.140625" style="183"/>
    <col min="15873" max="15873" width="6.140625" style="183" customWidth="1"/>
    <col min="15874" max="15874" width="35.85546875" style="183" customWidth="1"/>
    <col min="15875" max="15875" width="5.28515625" style="183" customWidth="1"/>
    <col min="15876" max="15876" width="5" style="183" customWidth="1"/>
    <col min="15877" max="15877" width="4.7109375" style="183" customWidth="1"/>
    <col min="15878" max="15878" width="7.5703125" style="183" customWidth="1"/>
    <col min="15879" max="15879" width="6.28515625" style="183" customWidth="1"/>
    <col min="15880" max="15880" width="8.42578125" style="183" customWidth="1"/>
    <col min="15881" max="15881" width="8.85546875" style="183" customWidth="1"/>
    <col min="15882" max="15882" width="8.5703125" style="183" customWidth="1"/>
    <col min="15883" max="16128" width="9.140625" style="183"/>
    <col min="16129" max="16129" width="6.140625" style="183" customWidth="1"/>
    <col min="16130" max="16130" width="35.85546875" style="183" customWidth="1"/>
    <col min="16131" max="16131" width="5.28515625" style="183" customWidth="1"/>
    <col min="16132" max="16132" width="5" style="183" customWidth="1"/>
    <col min="16133" max="16133" width="4.7109375" style="183" customWidth="1"/>
    <col min="16134" max="16134" width="7.5703125" style="183" customWidth="1"/>
    <col min="16135" max="16135" width="6.28515625" style="183" customWidth="1"/>
    <col min="16136" max="16136" width="8.42578125" style="183" customWidth="1"/>
    <col min="16137" max="16137" width="8.85546875" style="183" customWidth="1"/>
    <col min="16138" max="16138" width="8.5703125" style="183" customWidth="1"/>
    <col min="16139" max="16384" width="9.140625" style="183"/>
  </cols>
  <sheetData>
    <row r="1" spans="1:10">
      <c r="A1" s="182" t="s">
        <v>200</v>
      </c>
      <c r="B1" s="182"/>
      <c r="C1" s="182"/>
      <c r="D1" s="182"/>
      <c r="E1" s="182"/>
      <c r="F1" s="182"/>
      <c r="G1" s="182"/>
      <c r="H1" s="182"/>
      <c r="I1" s="182"/>
      <c r="J1" s="182"/>
    </row>
    <row r="2" spans="1:10">
      <c r="A2" s="182" t="s">
        <v>201</v>
      </c>
      <c r="B2" s="182"/>
      <c r="C2" s="182"/>
      <c r="D2" s="182"/>
      <c r="E2" s="182"/>
      <c r="F2" s="182"/>
      <c r="G2" s="182"/>
      <c r="H2" s="182"/>
      <c r="I2" s="182"/>
      <c r="J2" s="182"/>
    </row>
    <row r="3" spans="1:10">
      <c r="A3" s="182" t="s">
        <v>202</v>
      </c>
      <c r="B3" s="182"/>
      <c r="C3" s="182"/>
      <c r="D3" s="182"/>
      <c r="E3" s="182"/>
      <c r="F3" s="182"/>
      <c r="G3" s="182"/>
      <c r="H3" s="182"/>
      <c r="I3" s="182"/>
      <c r="J3" s="182"/>
    </row>
    <row r="4" spans="1:10">
      <c r="A4" s="182" t="s">
        <v>203</v>
      </c>
      <c r="B4" s="182"/>
      <c r="C4" s="182"/>
      <c r="D4" s="182"/>
      <c r="E4" s="182"/>
      <c r="F4" s="182"/>
      <c r="G4" s="182"/>
      <c r="H4" s="182"/>
      <c r="I4" s="182"/>
      <c r="J4" s="182"/>
    </row>
    <row r="5" spans="1:10" ht="44.25" customHeight="1">
      <c r="A5" s="184" t="s">
        <v>220</v>
      </c>
      <c r="B5" s="185"/>
      <c r="C5" s="185"/>
      <c r="D5" s="185"/>
      <c r="E5" s="185"/>
      <c r="F5" s="185"/>
      <c r="G5" s="185"/>
      <c r="H5" s="185"/>
      <c r="I5" s="185"/>
      <c r="J5" s="186"/>
    </row>
    <row r="6" spans="1:10" ht="31.5" customHeight="1">
      <c r="A6" s="187" t="s">
        <v>204</v>
      </c>
      <c r="B6" s="188" t="s">
        <v>205</v>
      </c>
      <c r="C6" s="189" t="s">
        <v>206</v>
      </c>
      <c r="D6" s="189"/>
      <c r="E6" s="189"/>
      <c r="F6" s="190" t="s">
        <v>207</v>
      </c>
      <c r="G6" s="191"/>
      <c r="H6" s="192"/>
      <c r="I6" s="193" t="s">
        <v>208</v>
      </c>
      <c r="J6" s="193"/>
    </row>
    <row r="7" spans="1:10" ht="14.25" customHeight="1">
      <c r="A7" s="187"/>
      <c r="B7" s="188"/>
      <c r="C7" s="189"/>
      <c r="D7" s="189"/>
      <c r="E7" s="189"/>
      <c r="F7" s="194" t="s">
        <v>5</v>
      </c>
      <c r="G7" s="194" t="s">
        <v>6</v>
      </c>
      <c r="H7" s="194" t="s">
        <v>7</v>
      </c>
      <c r="I7" s="193"/>
      <c r="J7" s="193"/>
    </row>
    <row r="8" spans="1:10" ht="51.75" customHeight="1">
      <c r="A8" s="195">
        <v>1</v>
      </c>
      <c r="B8" s="196" t="s">
        <v>221</v>
      </c>
      <c r="C8" s="197"/>
      <c r="D8" s="197"/>
      <c r="E8" s="197"/>
      <c r="F8" s="194"/>
      <c r="G8" s="194"/>
      <c r="H8" s="194"/>
      <c r="I8" s="194"/>
      <c r="J8" s="198"/>
    </row>
    <row r="9" spans="1:10" ht="19.5" customHeight="1">
      <c r="A9" s="195"/>
      <c r="B9" s="199" t="s">
        <v>222</v>
      </c>
      <c r="C9" s="197">
        <v>1</v>
      </c>
      <c r="D9" s="197" t="s">
        <v>28</v>
      </c>
      <c r="E9" s="197">
        <v>10</v>
      </c>
      <c r="F9" s="194"/>
      <c r="G9" s="194"/>
      <c r="H9" s="194"/>
      <c r="I9" s="194">
        <f>PRODUCT(C9:H9)</f>
        <v>10</v>
      </c>
      <c r="J9" s="198"/>
    </row>
    <row r="10" spans="1:10">
      <c r="A10" s="195"/>
      <c r="B10" s="199"/>
      <c r="C10" s="197"/>
      <c r="D10" s="197"/>
      <c r="E10" s="197"/>
      <c r="F10" s="194"/>
      <c r="G10" s="194"/>
      <c r="H10" s="200" t="s">
        <v>211</v>
      </c>
      <c r="I10" s="200">
        <f>SUM(I9:I9)</f>
        <v>10</v>
      </c>
      <c r="J10" s="201" t="s">
        <v>37</v>
      </c>
    </row>
    <row r="11" spans="1:10" ht="31.5">
      <c r="A11" s="195">
        <v>2</v>
      </c>
      <c r="B11" s="199" t="s">
        <v>212</v>
      </c>
      <c r="C11" s="197"/>
      <c r="D11" s="197"/>
      <c r="E11" s="197"/>
      <c r="F11" s="194"/>
      <c r="G11" s="194"/>
      <c r="H11" s="194"/>
      <c r="I11" s="200"/>
      <c r="J11" s="201"/>
    </row>
    <row r="12" spans="1:10">
      <c r="A12" s="195"/>
      <c r="B12" s="199"/>
      <c r="C12" s="197">
        <v>1</v>
      </c>
      <c r="D12" s="197" t="s">
        <v>28</v>
      </c>
      <c r="E12" s="197">
        <v>10</v>
      </c>
      <c r="F12" s="194"/>
      <c r="G12" s="194"/>
      <c r="H12" s="194"/>
      <c r="I12" s="194">
        <f>PRODUCT(C12:H12)</f>
        <v>10</v>
      </c>
      <c r="J12" s="201"/>
    </row>
    <row r="13" spans="1:10">
      <c r="A13" s="195"/>
      <c r="B13" s="199"/>
      <c r="C13" s="197"/>
      <c r="D13" s="197"/>
      <c r="E13" s="197"/>
      <c r="F13" s="194"/>
      <c r="G13" s="194"/>
      <c r="H13" s="200" t="s">
        <v>211</v>
      </c>
      <c r="I13" s="200">
        <f>SUM(I12:I12)</f>
        <v>10</v>
      </c>
      <c r="J13" s="201" t="s">
        <v>187</v>
      </c>
    </row>
    <row r="14" spans="1:10">
      <c r="A14" s="195">
        <v>3</v>
      </c>
      <c r="B14" s="199" t="s">
        <v>213</v>
      </c>
      <c r="C14" s="197"/>
      <c r="D14" s="197"/>
      <c r="E14" s="197"/>
      <c r="F14" s="194"/>
      <c r="G14" s="194"/>
      <c r="H14" s="194"/>
      <c r="I14" s="200"/>
      <c r="J14" s="201"/>
    </row>
    <row r="15" spans="1:10">
      <c r="A15" s="195"/>
      <c r="B15" s="199"/>
      <c r="C15" s="197">
        <v>1</v>
      </c>
      <c r="D15" s="197" t="s">
        <v>28</v>
      </c>
      <c r="E15" s="197">
        <v>28</v>
      </c>
      <c r="F15" s="194"/>
      <c r="G15" s="194"/>
      <c r="H15" s="194"/>
      <c r="I15" s="194">
        <f>PRODUCT(C15:H15)</f>
        <v>28</v>
      </c>
      <c r="J15" s="201"/>
    </row>
    <row r="16" spans="1:10">
      <c r="A16" s="195"/>
      <c r="B16" s="199"/>
      <c r="C16" s="197"/>
      <c r="D16" s="197"/>
      <c r="E16" s="197"/>
      <c r="F16" s="194"/>
      <c r="G16" s="194"/>
      <c r="H16" s="200" t="s">
        <v>211</v>
      </c>
      <c r="I16" s="200">
        <f>SUM(I15:I15)</f>
        <v>28</v>
      </c>
      <c r="J16" s="201" t="s">
        <v>37</v>
      </c>
    </row>
    <row r="17" spans="1:10">
      <c r="A17" s="195">
        <v>4</v>
      </c>
      <c r="B17" s="199" t="s">
        <v>214</v>
      </c>
      <c r="C17" s="197"/>
      <c r="D17" s="197"/>
      <c r="E17" s="197"/>
      <c r="F17" s="194"/>
      <c r="G17" s="194"/>
      <c r="H17" s="194"/>
      <c r="I17" s="200"/>
      <c r="J17" s="201"/>
    </row>
    <row r="18" spans="1:10">
      <c r="A18" s="195"/>
      <c r="B18" s="199"/>
      <c r="C18" s="197">
        <v>1</v>
      </c>
      <c r="D18" s="197" t="s">
        <v>28</v>
      </c>
      <c r="E18" s="197">
        <v>2</v>
      </c>
      <c r="F18" s="194"/>
      <c r="G18" s="194"/>
      <c r="H18" s="194"/>
      <c r="I18" s="194">
        <f>PRODUCT(C18:H18)</f>
        <v>2</v>
      </c>
      <c r="J18" s="201"/>
    </row>
    <row r="19" spans="1:10">
      <c r="A19" s="195"/>
      <c r="B19" s="199"/>
      <c r="C19" s="197"/>
      <c r="D19" s="197"/>
      <c r="E19" s="197"/>
      <c r="F19" s="194"/>
      <c r="G19" s="194"/>
      <c r="H19" s="200" t="s">
        <v>211</v>
      </c>
      <c r="I19" s="200">
        <f>SUM(I18:I18)</f>
        <v>2</v>
      </c>
      <c r="J19" s="202" t="s">
        <v>215</v>
      </c>
    </row>
    <row r="20" spans="1:10">
      <c r="A20" s="195"/>
      <c r="B20" s="199"/>
      <c r="C20" s="197"/>
      <c r="D20" s="197"/>
      <c r="E20" s="197"/>
      <c r="F20" s="194"/>
      <c r="G20" s="194"/>
      <c r="H20" s="194"/>
      <c r="I20" s="200"/>
      <c r="J20" s="201"/>
    </row>
    <row r="21" spans="1:10">
      <c r="A21" s="195">
        <v>5</v>
      </c>
      <c r="B21" s="203" t="s">
        <v>216</v>
      </c>
      <c r="C21" s="197"/>
      <c r="D21" s="197"/>
      <c r="E21" s="197"/>
      <c r="F21" s="194"/>
      <c r="G21" s="194"/>
      <c r="H21" s="194"/>
      <c r="I21" s="204" t="s">
        <v>38</v>
      </c>
      <c r="J21" s="201"/>
    </row>
    <row r="22" spans="1:10" ht="27.75" customHeight="1">
      <c r="A22" s="195">
        <v>6</v>
      </c>
      <c r="B22" s="203" t="s">
        <v>217</v>
      </c>
      <c r="C22" s="197"/>
      <c r="D22" s="197"/>
      <c r="E22" s="197"/>
      <c r="F22" s="194"/>
      <c r="G22" s="194"/>
      <c r="H22" s="194"/>
      <c r="I22" s="204" t="s">
        <v>38</v>
      </c>
      <c r="J22" s="198"/>
    </row>
    <row r="23" spans="1:10" ht="41.25" customHeight="1">
      <c r="A23" s="195">
        <v>7</v>
      </c>
      <c r="B23" s="203" t="s">
        <v>218</v>
      </c>
      <c r="C23" s="197"/>
      <c r="D23" s="197"/>
      <c r="E23" s="197"/>
      <c r="F23" s="194"/>
      <c r="G23" s="194"/>
      <c r="H23" s="194"/>
      <c r="I23" s="204" t="s">
        <v>38</v>
      </c>
      <c r="J23" s="198"/>
    </row>
    <row r="24" spans="1:10" ht="26.25" customHeight="1">
      <c r="A24" s="195">
        <v>8</v>
      </c>
      <c r="B24" s="203" t="s">
        <v>219</v>
      </c>
      <c r="C24" s="197"/>
      <c r="D24" s="197"/>
      <c r="E24" s="197"/>
      <c r="F24" s="194"/>
      <c r="G24" s="194"/>
      <c r="H24" s="194"/>
      <c r="I24" s="204" t="s">
        <v>38</v>
      </c>
      <c r="J24" s="198"/>
    </row>
  </sheetData>
  <mergeCells count="10">
    <mergeCell ref="A1:J1"/>
    <mergeCell ref="A2:J2"/>
    <mergeCell ref="A3:J3"/>
    <mergeCell ref="A4:J4"/>
    <mergeCell ref="A5:J5"/>
    <mergeCell ref="A6:A7"/>
    <mergeCell ref="B6:B7"/>
    <mergeCell ref="C6:E7"/>
    <mergeCell ref="F6:H6"/>
    <mergeCell ref="I6:J7"/>
  </mergeCells>
  <pageMargins left="0.7" right="0.7" top="0.4"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O56"/>
  <sheetViews>
    <sheetView showZeros="0" view="pageBreakPreview" zoomScale="70" zoomScaleSheetLayoutView="70" workbookViewId="0">
      <selection activeCell="G10" sqref="G10"/>
    </sheetView>
  </sheetViews>
  <sheetFormatPr defaultRowHeight="15.75"/>
  <cols>
    <col min="1" max="1" width="6.28515625" style="177" customWidth="1"/>
    <col min="2" max="2" width="8.5703125" style="178" hidden="1" customWidth="1"/>
    <col min="3" max="3" width="8.5703125" style="177" customWidth="1"/>
    <col min="4" max="4" width="62.5703125" style="179" customWidth="1"/>
    <col min="5" max="5" width="10.42578125" style="179" customWidth="1"/>
    <col min="6" max="6" width="15.42578125" style="180" customWidth="1"/>
    <col min="7" max="7" width="23.28515625" style="124" customWidth="1"/>
    <col min="8" max="8" width="14.85546875" style="124" hidden="1" customWidth="1"/>
    <col min="9" max="9" width="14.85546875" style="181" hidden="1" customWidth="1"/>
    <col min="10" max="10" width="13" style="124" hidden="1" customWidth="1"/>
    <col min="11" max="11" width="15.85546875" style="124" hidden="1" customWidth="1"/>
    <col min="12" max="12" width="13" style="124" bestFit="1" customWidth="1"/>
    <col min="13" max="13" width="4.7109375" style="125" bestFit="1" customWidth="1"/>
    <col min="14" max="14" width="9.140625" style="125"/>
    <col min="15" max="15" width="12.42578125" style="125" bestFit="1" customWidth="1"/>
    <col min="16" max="256" width="9.140625" style="125"/>
    <col min="257" max="257" width="6.28515625" style="125" customWidth="1"/>
    <col min="258" max="258" width="0" style="125" hidden="1" customWidth="1"/>
    <col min="259" max="259" width="8.5703125" style="125" customWidth="1"/>
    <col min="260" max="260" width="62.5703125" style="125" customWidth="1"/>
    <col min="261" max="261" width="10.42578125" style="125" customWidth="1"/>
    <col min="262" max="262" width="15.42578125" style="125" customWidth="1"/>
    <col min="263" max="263" width="23.28515625" style="125" customWidth="1"/>
    <col min="264" max="267" width="0" style="125" hidden="1" customWidth="1"/>
    <col min="268" max="268" width="13" style="125" bestFit="1" customWidth="1"/>
    <col min="269" max="269" width="4.7109375" style="125" bestFit="1" customWidth="1"/>
    <col min="270" max="270" width="9.140625" style="125"/>
    <col min="271" max="271" width="12.42578125" style="125" bestFit="1" customWidth="1"/>
    <col min="272" max="512" width="9.140625" style="125"/>
    <col min="513" max="513" width="6.28515625" style="125" customWidth="1"/>
    <col min="514" max="514" width="0" style="125" hidden="1" customWidth="1"/>
    <col min="515" max="515" width="8.5703125" style="125" customWidth="1"/>
    <col min="516" max="516" width="62.5703125" style="125" customWidth="1"/>
    <col min="517" max="517" width="10.42578125" style="125" customWidth="1"/>
    <col min="518" max="518" width="15.42578125" style="125" customWidth="1"/>
    <col min="519" max="519" width="23.28515625" style="125" customWidth="1"/>
    <col min="520" max="523" width="0" style="125" hidden="1" customWidth="1"/>
    <col min="524" max="524" width="13" style="125" bestFit="1" customWidth="1"/>
    <col min="525" max="525" width="4.7109375" style="125" bestFit="1" customWidth="1"/>
    <col min="526" max="526" width="9.140625" style="125"/>
    <col min="527" max="527" width="12.42578125" style="125" bestFit="1" customWidth="1"/>
    <col min="528" max="768" width="9.140625" style="125"/>
    <col min="769" max="769" width="6.28515625" style="125" customWidth="1"/>
    <col min="770" max="770" width="0" style="125" hidden="1" customWidth="1"/>
    <col min="771" max="771" width="8.5703125" style="125" customWidth="1"/>
    <col min="772" max="772" width="62.5703125" style="125" customWidth="1"/>
    <col min="773" max="773" width="10.42578125" style="125" customWidth="1"/>
    <col min="774" max="774" width="15.42578125" style="125" customWidth="1"/>
    <col min="775" max="775" width="23.28515625" style="125" customWidth="1"/>
    <col min="776" max="779" width="0" style="125" hidden="1" customWidth="1"/>
    <col min="780" max="780" width="13" style="125" bestFit="1" customWidth="1"/>
    <col min="781" max="781" width="4.7109375" style="125" bestFit="1" customWidth="1"/>
    <col min="782" max="782" width="9.140625" style="125"/>
    <col min="783" max="783" width="12.42578125" style="125" bestFit="1" customWidth="1"/>
    <col min="784" max="1024" width="9.140625" style="125"/>
    <col min="1025" max="1025" width="6.28515625" style="125" customWidth="1"/>
    <col min="1026" max="1026" width="0" style="125" hidden="1" customWidth="1"/>
    <col min="1027" max="1027" width="8.5703125" style="125" customWidth="1"/>
    <col min="1028" max="1028" width="62.5703125" style="125" customWidth="1"/>
    <col min="1029" max="1029" width="10.42578125" style="125" customWidth="1"/>
    <col min="1030" max="1030" width="15.42578125" style="125" customWidth="1"/>
    <col min="1031" max="1031" width="23.28515625" style="125" customWidth="1"/>
    <col min="1032" max="1035" width="0" style="125" hidden="1" customWidth="1"/>
    <col min="1036" max="1036" width="13" style="125" bestFit="1" customWidth="1"/>
    <col min="1037" max="1037" width="4.7109375" style="125" bestFit="1" customWidth="1"/>
    <col min="1038" max="1038" width="9.140625" style="125"/>
    <col min="1039" max="1039" width="12.42578125" style="125" bestFit="1" customWidth="1"/>
    <col min="1040" max="1280" width="9.140625" style="125"/>
    <col min="1281" max="1281" width="6.28515625" style="125" customWidth="1"/>
    <col min="1282" max="1282" width="0" style="125" hidden="1" customWidth="1"/>
    <col min="1283" max="1283" width="8.5703125" style="125" customWidth="1"/>
    <col min="1284" max="1284" width="62.5703125" style="125" customWidth="1"/>
    <col min="1285" max="1285" width="10.42578125" style="125" customWidth="1"/>
    <col min="1286" max="1286" width="15.42578125" style="125" customWidth="1"/>
    <col min="1287" max="1287" width="23.28515625" style="125" customWidth="1"/>
    <col min="1288" max="1291" width="0" style="125" hidden="1" customWidth="1"/>
    <col min="1292" max="1292" width="13" style="125" bestFit="1" customWidth="1"/>
    <col min="1293" max="1293" width="4.7109375" style="125" bestFit="1" customWidth="1"/>
    <col min="1294" max="1294" width="9.140625" style="125"/>
    <col min="1295" max="1295" width="12.42578125" style="125" bestFit="1" customWidth="1"/>
    <col min="1296" max="1536" width="9.140625" style="125"/>
    <col min="1537" max="1537" width="6.28515625" style="125" customWidth="1"/>
    <col min="1538" max="1538" width="0" style="125" hidden="1" customWidth="1"/>
    <col min="1539" max="1539" width="8.5703125" style="125" customWidth="1"/>
    <col min="1540" max="1540" width="62.5703125" style="125" customWidth="1"/>
    <col min="1541" max="1541" width="10.42578125" style="125" customWidth="1"/>
    <col min="1542" max="1542" width="15.42578125" style="125" customWidth="1"/>
    <col min="1543" max="1543" width="23.28515625" style="125" customWidth="1"/>
    <col min="1544" max="1547" width="0" style="125" hidden="1" customWidth="1"/>
    <col min="1548" max="1548" width="13" style="125" bestFit="1" customWidth="1"/>
    <col min="1549" max="1549" width="4.7109375" style="125" bestFit="1" customWidth="1"/>
    <col min="1550" max="1550" width="9.140625" style="125"/>
    <col min="1551" max="1551" width="12.42578125" style="125" bestFit="1" customWidth="1"/>
    <col min="1552" max="1792" width="9.140625" style="125"/>
    <col min="1793" max="1793" width="6.28515625" style="125" customWidth="1"/>
    <col min="1794" max="1794" width="0" style="125" hidden="1" customWidth="1"/>
    <col min="1795" max="1795" width="8.5703125" style="125" customWidth="1"/>
    <col min="1796" max="1796" width="62.5703125" style="125" customWidth="1"/>
    <col min="1797" max="1797" width="10.42578125" style="125" customWidth="1"/>
    <col min="1798" max="1798" width="15.42578125" style="125" customWidth="1"/>
    <col min="1799" max="1799" width="23.28515625" style="125" customWidth="1"/>
    <col min="1800" max="1803" width="0" style="125" hidden="1" customWidth="1"/>
    <col min="1804" max="1804" width="13" style="125" bestFit="1" customWidth="1"/>
    <col min="1805" max="1805" width="4.7109375" style="125" bestFit="1" customWidth="1"/>
    <col min="1806" max="1806" width="9.140625" style="125"/>
    <col min="1807" max="1807" width="12.42578125" style="125" bestFit="1" customWidth="1"/>
    <col min="1808" max="2048" width="9.140625" style="125"/>
    <col min="2049" max="2049" width="6.28515625" style="125" customWidth="1"/>
    <col min="2050" max="2050" width="0" style="125" hidden="1" customWidth="1"/>
    <col min="2051" max="2051" width="8.5703125" style="125" customWidth="1"/>
    <col min="2052" max="2052" width="62.5703125" style="125" customWidth="1"/>
    <col min="2053" max="2053" width="10.42578125" style="125" customWidth="1"/>
    <col min="2054" max="2054" width="15.42578125" style="125" customWidth="1"/>
    <col min="2055" max="2055" width="23.28515625" style="125" customWidth="1"/>
    <col min="2056" max="2059" width="0" style="125" hidden="1" customWidth="1"/>
    <col min="2060" max="2060" width="13" style="125" bestFit="1" customWidth="1"/>
    <col min="2061" max="2061" width="4.7109375" style="125" bestFit="1" customWidth="1"/>
    <col min="2062" max="2062" width="9.140625" style="125"/>
    <col min="2063" max="2063" width="12.42578125" style="125" bestFit="1" customWidth="1"/>
    <col min="2064" max="2304" width="9.140625" style="125"/>
    <col min="2305" max="2305" width="6.28515625" style="125" customWidth="1"/>
    <col min="2306" max="2306" width="0" style="125" hidden="1" customWidth="1"/>
    <col min="2307" max="2307" width="8.5703125" style="125" customWidth="1"/>
    <col min="2308" max="2308" width="62.5703125" style="125" customWidth="1"/>
    <col min="2309" max="2309" width="10.42578125" style="125" customWidth="1"/>
    <col min="2310" max="2310" width="15.42578125" style="125" customWidth="1"/>
    <col min="2311" max="2311" width="23.28515625" style="125" customWidth="1"/>
    <col min="2312" max="2315" width="0" style="125" hidden="1" customWidth="1"/>
    <col min="2316" max="2316" width="13" style="125" bestFit="1" customWidth="1"/>
    <col min="2317" max="2317" width="4.7109375" style="125" bestFit="1" customWidth="1"/>
    <col min="2318" max="2318" width="9.140625" style="125"/>
    <col min="2319" max="2319" width="12.42578125" style="125" bestFit="1" customWidth="1"/>
    <col min="2320" max="2560" width="9.140625" style="125"/>
    <col min="2561" max="2561" width="6.28515625" style="125" customWidth="1"/>
    <col min="2562" max="2562" width="0" style="125" hidden="1" customWidth="1"/>
    <col min="2563" max="2563" width="8.5703125" style="125" customWidth="1"/>
    <col min="2564" max="2564" width="62.5703125" style="125" customWidth="1"/>
    <col min="2565" max="2565" width="10.42578125" style="125" customWidth="1"/>
    <col min="2566" max="2566" width="15.42578125" style="125" customWidth="1"/>
    <col min="2567" max="2567" width="23.28515625" style="125" customWidth="1"/>
    <col min="2568" max="2571" width="0" style="125" hidden="1" customWidth="1"/>
    <col min="2572" max="2572" width="13" style="125" bestFit="1" customWidth="1"/>
    <col min="2573" max="2573" width="4.7109375" style="125" bestFit="1" customWidth="1"/>
    <col min="2574" max="2574" width="9.140625" style="125"/>
    <col min="2575" max="2575" width="12.42578125" style="125" bestFit="1" customWidth="1"/>
    <col min="2576" max="2816" width="9.140625" style="125"/>
    <col min="2817" max="2817" width="6.28515625" style="125" customWidth="1"/>
    <col min="2818" max="2818" width="0" style="125" hidden="1" customWidth="1"/>
    <col min="2819" max="2819" width="8.5703125" style="125" customWidth="1"/>
    <col min="2820" max="2820" width="62.5703125" style="125" customWidth="1"/>
    <col min="2821" max="2821" width="10.42578125" style="125" customWidth="1"/>
    <col min="2822" max="2822" width="15.42578125" style="125" customWidth="1"/>
    <col min="2823" max="2823" width="23.28515625" style="125" customWidth="1"/>
    <col min="2824" max="2827" width="0" style="125" hidden="1" customWidth="1"/>
    <col min="2828" max="2828" width="13" style="125" bestFit="1" customWidth="1"/>
    <col min="2829" max="2829" width="4.7109375" style="125" bestFit="1" customWidth="1"/>
    <col min="2830" max="2830" width="9.140625" style="125"/>
    <col min="2831" max="2831" width="12.42578125" style="125" bestFit="1" customWidth="1"/>
    <col min="2832" max="3072" width="9.140625" style="125"/>
    <col min="3073" max="3073" width="6.28515625" style="125" customWidth="1"/>
    <col min="3074" max="3074" width="0" style="125" hidden="1" customWidth="1"/>
    <col min="3075" max="3075" width="8.5703125" style="125" customWidth="1"/>
    <col min="3076" max="3076" width="62.5703125" style="125" customWidth="1"/>
    <col min="3077" max="3077" width="10.42578125" style="125" customWidth="1"/>
    <col min="3078" max="3078" width="15.42578125" style="125" customWidth="1"/>
    <col min="3079" max="3079" width="23.28515625" style="125" customWidth="1"/>
    <col min="3080" max="3083" width="0" style="125" hidden="1" customWidth="1"/>
    <col min="3084" max="3084" width="13" style="125" bestFit="1" customWidth="1"/>
    <col min="3085" max="3085" width="4.7109375" style="125" bestFit="1" customWidth="1"/>
    <col min="3086" max="3086" width="9.140625" style="125"/>
    <col min="3087" max="3087" width="12.42578125" style="125" bestFit="1" customWidth="1"/>
    <col min="3088" max="3328" width="9.140625" style="125"/>
    <col min="3329" max="3329" width="6.28515625" style="125" customWidth="1"/>
    <col min="3330" max="3330" width="0" style="125" hidden="1" customWidth="1"/>
    <col min="3331" max="3331" width="8.5703125" style="125" customWidth="1"/>
    <col min="3332" max="3332" width="62.5703125" style="125" customWidth="1"/>
    <col min="3333" max="3333" width="10.42578125" style="125" customWidth="1"/>
    <col min="3334" max="3334" width="15.42578125" style="125" customWidth="1"/>
    <col min="3335" max="3335" width="23.28515625" style="125" customWidth="1"/>
    <col min="3336" max="3339" width="0" style="125" hidden="1" customWidth="1"/>
    <col min="3340" max="3340" width="13" style="125" bestFit="1" customWidth="1"/>
    <col min="3341" max="3341" width="4.7109375" style="125" bestFit="1" customWidth="1"/>
    <col min="3342" max="3342" width="9.140625" style="125"/>
    <col min="3343" max="3343" width="12.42578125" style="125" bestFit="1" customWidth="1"/>
    <col min="3344" max="3584" width="9.140625" style="125"/>
    <col min="3585" max="3585" width="6.28515625" style="125" customWidth="1"/>
    <col min="3586" max="3586" width="0" style="125" hidden="1" customWidth="1"/>
    <col min="3587" max="3587" width="8.5703125" style="125" customWidth="1"/>
    <col min="3588" max="3588" width="62.5703125" style="125" customWidth="1"/>
    <col min="3589" max="3589" width="10.42578125" style="125" customWidth="1"/>
    <col min="3590" max="3590" width="15.42578125" style="125" customWidth="1"/>
    <col min="3591" max="3591" width="23.28515625" style="125" customWidth="1"/>
    <col min="3592" max="3595" width="0" style="125" hidden="1" customWidth="1"/>
    <col min="3596" max="3596" width="13" style="125" bestFit="1" customWidth="1"/>
    <col min="3597" max="3597" width="4.7109375" style="125" bestFit="1" customWidth="1"/>
    <col min="3598" max="3598" width="9.140625" style="125"/>
    <col min="3599" max="3599" width="12.42578125" style="125" bestFit="1" customWidth="1"/>
    <col min="3600" max="3840" width="9.140625" style="125"/>
    <col min="3841" max="3841" width="6.28515625" style="125" customWidth="1"/>
    <col min="3842" max="3842" width="0" style="125" hidden="1" customWidth="1"/>
    <col min="3843" max="3843" width="8.5703125" style="125" customWidth="1"/>
    <col min="3844" max="3844" width="62.5703125" style="125" customWidth="1"/>
    <col min="3845" max="3845" width="10.42578125" style="125" customWidth="1"/>
    <col min="3846" max="3846" width="15.42578125" style="125" customWidth="1"/>
    <col min="3847" max="3847" width="23.28515625" style="125" customWidth="1"/>
    <col min="3848" max="3851" width="0" style="125" hidden="1" customWidth="1"/>
    <col min="3852" max="3852" width="13" style="125" bestFit="1" customWidth="1"/>
    <col min="3853" max="3853" width="4.7109375" style="125" bestFit="1" customWidth="1"/>
    <col min="3854" max="3854" width="9.140625" style="125"/>
    <col min="3855" max="3855" width="12.42578125" style="125" bestFit="1" customWidth="1"/>
    <col min="3856" max="4096" width="9.140625" style="125"/>
    <col min="4097" max="4097" width="6.28515625" style="125" customWidth="1"/>
    <col min="4098" max="4098" width="0" style="125" hidden="1" customWidth="1"/>
    <col min="4099" max="4099" width="8.5703125" style="125" customWidth="1"/>
    <col min="4100" max="4100" width="62.5703125" style="125" customWidth="1"/>
    <col min="4101" max="4101" width="10.42578125" style="125" customWidth="1"/>
    <col min="4102" max="4102" width="15.42578125" style="125" customWidth="1"/>
    <col min="4103" max="4103" width="23.28515625" style="125" customWidth="1"/>
    <col min="4104" max="4107" width="0" style="125" hidden="1" customWidth="1"/>
    <col min="4108" max="4108" width="13" style="125" bestFit="1" customWidth="1"/>
    <col min="4109" max="4109" width="4.7109375" style="125" bestFit="1" customWidth="1"/>
    <col min="4110" max="4110" width="9.140625" style="125"/>
    <col min="4111" max="4111" width="12.42578125" style="125" bestFit="1" customWidth="1"/>
    <col min="4112" max="4352" width="9.140625" style="125"/>
    <col min="4353" max="4353" width="6.28515625" style="125" customWidth="1"/>
    <col min="4354" max="4354" width="0" style="125" hidden="1" customWidth="1"/>
    <col min="4355" max="4355" width="8.5703125" style="125" customWidth="1"/>
    <col min="4356" max="4356" width="62.5703125" style="125" customWidth="1"/>
    <col min="4357" max="4357" width="10.42578125" style="125" customWidth="1"/>
    <col min="4358" max="4358" width="15.42578125" style="125" customWidth="1"/>
    <col min="4359" max="4359" width="23.28515625" style="125" customWidth="1"/>
    <col min="4360" max="4363" width="0" style="125" hidden="1" customWidth="1"/>
    <col min="4364" max="4364" width="13" style="125" bestFit="1" customWidth="1"/>
    <col min="4365" max="4365" width="4.7109375" style="125" bestFit="1" customWidth="1"/>
    <col min="4366" max="4366" width="9.140625" style="125"/>
    <col min="4367" max="4367" width="12.42578125" style="125" bestFit="1" customWidth="1"/>
    <col min="4368" max="4608" width="9.140625" style="125"/>
    <col min="4609" max="4609" width="6.28515625" style="125" customWidth="1"/>
    <col min="4610" max="4610" width="0" style="125" hidden="1" customWidth="1"/>
    <col min="4611" max="4611" width="8.5703125" style="125" customWidth="1"/>
    <col min="4612" max="4612" width="62.5703125" style="125" customWidth="1"/>
    <col min="4613" max="4613" width="10.42578125" style="125" customWidth="1"/>
    <col min="4614" max="4614" width="15.42578125" style="125" customWidth="1"/>
    <col min="4615" max="4615" width="23.28515625" style="125" customWidth="1"/>
    <col min="4616" max="4619" width="0" style="125" hidden="1" customWidth="1"/>
    <col min="4620" max="4620" width="13" style="125" bestFit="1" customWidth="1"/>
    <col min="4621" max="4621" width="4.7109375" style="125" bestFit="1" customWidth="1"/>
    <col min="4622" max="4622" width="9.140625" style="125"/>
    <col min="4623" max="4623" width="12.42578125" style="125" bestFit="1" customWidth="1"/>
    <col min="4624" max="4864" width="9.140625" style="125"/>
    <col min="4865" max="4865" width="6.28515625" style="125" customWidth="1"/>
    <col min="4866" max="4866" width="0" style="125" hidden="1" customWidth="1"/>
    <col min="4867" max="4867" width="8.5703125" style="125" customWidth="1"/>
    <col min="4868" max="4868" width="62.5703125" style="125" customWidth="1"/>
    <col min="4869" max="4869" width="10.42578125" style="125" customWidth="1"/>
    <col min="4870" max="4870" width="15.42578125" style="125" customWidth="1"/>
    <col min="4871" max="4871" width="23.28515625" style="125" customWidth="1"/>
    <col min="4872" max="4875" width="0" style="125" hidden="1" customWidth="1"/>
    <col min="4876" max="4876" width="13" style="125" bestFit="1" customWidth="1"/>
    <col min="4877" max="4877" width="4.7109375" style="125" bestFit="1" customWidth="1"/>
    <col min="4878" max="4878" width="9.140625" style="125"/>
    <col min="4879" max="4879" width="12.42578125" style="125" bestFit="1" customWidth="1"/>
    <col min="4880" max="5120" width="9.140625" style="125"/>
    <col min="5121" max="5121" width="6.28515625" style="125" customWidth="1"/>
    <col min="5122" max="5122" width="0" style="125" hidden="1" customWidth="1"/>
    <col min="5123" max="5123" width="8.5703125" style="125" customWidth="1"/>
    <col min="5124" max="5124" width="62.5703125" style="125" customWidth="1"/>
    <col min="5125" max="5125" width="10.42578125" style="125" customWidth="1"/>
    <col min="5126" max="5126" width="15.42578125" style="125" customWidth="1"/>
    <col min="5127" max="5127" width="23.28515625" style="125" customWidth="1"/>
    <col min="5128" max="5131" width="0" style="125" hidden="1" customWidth="1"/>
    <col min="5132" max="5132" width="13" style="125" bestFit="1" customWidth="1"/>
    <col min="5133" max="5133" width="4.7109375" style="125" bestFit="1" customWidth="1"/>
    <col min="5134" max="5134" width="9.140625" style="125"/>
    <col min="5135" max="5135" width="12.42578125" style="125" bestFit="1" customWidth="1"/>
    <col min="5136" max="5376" width="9.140625" style="125"/>
    <col min="5377" max="5377" width="6.28515625" style="125" customWidth="1"/>
    <col min="5378" max="5378" width="0" style="125" hidden="1" customWidth="1"/>
    <col min="5379" max="5379" width="8.5703125" style="125" customWidth="1"/>
    <col min="5380" max="5380" width="62.5703125" style="125" customWidth="1"/>
    <col min="5381" max="5381" width="10.42578125" style="125" customWidth="1"/>
    <col min="5382" max="5382" width="15.42578125" style="125" customWidth="1"/>
    <col min="5383" max="5383" width="23.28515625" style="125" customWidth="1"/>
    <col min="5384" max="5387" width="0" style="125" hidden="1" customWidth="1"/>
    <col min="5388" max="5388" width="13" style="125" bestFit="1" customWidth="1"/>
    <col min="5389" max="5389" width="4.7109375" style="125" bestFit="1" customWidth="1"/>
    <col min="5390" max="5390" width="9.140625" style="125"/>
    <col min="5391" max="5391" width="12.42578125" style="125" bestFit="1" customWidth="1"/>
    <col min="5392" max="5632" width="9.140625" style="125"/>
    <col min="5633" max="5633" width="6.28515625" style="125" customWidth="1"/>
    <col min="5634" max="5634" width="0" style="125" hidden="1" customWidth="1"/>
    <col min="5635" max="5635" width="8.5703125" style="125" customWidth="1"/>
    <col min="5636" max="5636" width="62.5703125" style="125" customWidth="1"/>
    <col min="5637" max="5637" width="10.42578125" style="125" customWidth="1"/>
    <col min="5638" max="5638" width="15.42578125" style="125" customWidth="1"/>
    <col min="5639" max="5639" width="23.28515625" style="125" customWidth="1"/>
    <col min="5640" max="5643" width="0" style="125" hidden="1" customWidth="1"/>
    <col min="5644" max="5644" width="13" style="125" bestFit="1" customWidth="1"/>
    <col min="5645" max="5645" width="4.7109375" style="125" bestFit="1" customWidth="1"/>
    <col min="5646" max="5646" width="9.140625" style="125"/>
    <col min="5647" max="5647" width="12.42578125" style="125" bestFit="1" customWidth="1"/>
    <col min="5648" max="5888" width="9.140625" style="125"/>
    <col min="5889" max="5889" width="6.28515625" style="125" customWidth="1"/>
    <col min="5890" max="5890" width="0" style="125" hidden="1" customWidth="1"/>
    <col min="5891" max="5891" width="8.5703125" style="125" customWidth="1"/>
    <col min="5892" max="5892" width="62.5703125" style="125" customWidth="1"/>
    <col min="5893" max="5893" width="10.42578125" style="125" customWidth="1"/>
    <col min="5894" max="5894" width="15.42578125" style="125" customWidth="1"/>
    <col min="5895" max="5895" width="23.28515625" style="125" customWidth="1"/>
    <col min="5896" max="5899" width="0" style="125" hidden="1" customWidth="1"/>
    <col min="5900" max="5900" width="13" style="125" bestFit="1" customWidth="1"/>
    <col min="5901" max="5901" width="4.7109375" style="125" bestFit="1" customWidth="1"/>
    <col min="5902" max="5902" width="9.140625" style="125"/>
    <col min="5903" max="5903" width="12.42578125" style="125" bestFit="1" customWidth="1"/>
    <col min="5904" max="6144" width="9.140625" style="125"/>
    <col min="6145" max="6145" width="6.28515625" style="125" customWidth="1"/>
    <col min="6146" max="6146" width="0" style="125" hidden="1" customWidth="1"/>
    <col min="6147" max="6147" width="8.5703125" style="125" customWidth="1"/>
    <col min="6148" max="6148" width="62.5703125" style="125" customWidth="1"/>
    <col min="6149" max="6149" width="10.42578125" style="125" customWidth="1"/>
    <col min="6150" max="6150" width="15.42578125" style="125" customWidth="1"/>
    <col min="6151" max="6151" width="23.28515625" style="125" customWidth="1"/>
    <col min="6152" max="6155" width="0" style="125" hidden="1" customWidth="1"/>
    <col min="6156" max="6156" width="13" style="125" bestFit="1" customWidth="1"/>
    <col min="6157" max="6157" width="4.7109375" style="125" bestFit="1" customWidth="1"/>
    <col min="6158" max="6158" width="9.140625" style="125"/>
    <col min="6159" max="6159" width="12.42578125" style="125" bestFit="1" customWidth="1"/>
    <col min="6160" max="6400" width="9.140625" style="125"/>
    <col min="6401" max="6401" width="6.28515625" style="125" customWidth="1"/>
    <col min="6402" max="6402" width="0" style="125" hidden="1" customWidth="1"/>
    <col min="6403" max="6403" width="8.5703125" style="125" customWidth="1"/>
    <col min="6404" max="6404" width="62.5703125" style="125" customWidth="1"/>
    <col min="6405" max="6405" width="10.42578125" style="125" customWidth="1"/>
    <col min="6406" max="6406" width="15.42578125" style="125" customWidth="1"/>
    <col min="6407" max="6407" width="23.28515625" style="125" customWidth="1"/>
    <col min="6408" max="6411" width="0" style="125" hidden="1" customWidth="1"/>
    <col min="6412" max="6412" width="13" style="125" bestFit="1" customWidth="1"/>
    <col min="6413" max="6413" width="4.7109375" style="125" bestFit="1" customWidth="1"/>
    <col min="6414" max="6414" width="9.140625" style="125"/>
    <col min="6415" max="6415" width="12.42578125" style="125" bestFit="1" customWidth="1"/>
    <col min="6416" max="6656" width="9.140625" style="125"/>
    <col min="6657" max="6657" width="6.28515625" style="125" customWidth="1"/>
    <col min="6658" max="6658" width="0" style="125" hidden="1" customWidth="1"/>
    <col min="6659" max="6659" width="8.5703125" style="125" customWidth="1"/>
    <col min="6660" max="6660" width="62.5703125" style="125" customWidth="1"/>
    <col min="6661" max="6661" width="10.42578125" style="125" customWidth="1"/>
    <col min="6662" max="6662" width="15.42578125" style="125" customWidth="1"/>
    <col min="6663" max="6663" width="23.28515625" style="125" customWidth="1"/>
    <col min="6664" max="6667" width="0" style="125" hidden="1" customWidth="1"/>
    <col min="6668" max="6668" width="13" style="125" bestFit="1" customWidth="1"/>
    <col min="6669" max="6669" width="4.7109375" style="125" bestFit="1" customWidth="1"/>
    <col min="6670" max="6670" width="9.140625" style="125"/>
    <col min="6671" max="6671" width="12.42578125" style="125" bestFit="1" customWidth="1"/>
    <col min="6672" max="6912" width="9.140625" style="125"/>
    <col min="6913" max="6913" width="6.28515625" style="125" customWidth="1"/>
    <col min="6914" max="6914" width="0" style="125" hidden="1" customWidth="1"/>
    <col min="6915" max="6915" width="8.5703125" style="125" customWidth="1"/>
    <col min="6916" max="6916" width="62.5703125" style="125" customWidth="1"/>
    <col min="6917" max="6917" width="10.42578125" style="125" customWidth="1"/>
    <col min="6918" max="6918" width="15.42578125" style="125" customWidth="1"/>
    <col min="6919" max="6919" width="23.28515625" style="125" customWidth="1"/>
    <col min="6920" max="6923" width="0" style="125" hidden="1" customWidth="1"/>
    <col min="6924" max="6924" width="13" style="125" bestFit="1" customWidth="1"/>
    <col min="6925" max="6925" width="4.7109375" style="125" bestFit="1" customWidth="1"/>
    <col min="6926" max="6926" width="9.140625" style="125"/>
    <col min="6927" max="6927" width="12.42578125" style="125" bestFit="1" customWidth="1"/>
    <col min="6928" max="7168" width="9.140625" style="125"/>
    <col min="7169" max="7169" width="6.28515625" style="125" customWidth="1"/>
    <col min="7170" max="7170" width="0" style="125" hidden="1" customWidth="1"/>
    <col min="7171" max="7171" width="8.5703125" style="125" customWidth="1"/>
    <col min="7172" max="7172" width="62.5703125" style="125" customWidth="1"/>
    <col min="7173" max="7173" width="10.42578125" style="125" customWidth="1"/>
    <col min="7174" max="7174" width="15.42578125" style="125" customWidth="1"/>
    <col min="7175" max="7175" width="23.28515625" style="125" customWidth="1"/>
    <col min="7176" max="7179" width="0" style="125" hidden="1" customWidth="1"/>
    <col min="7180" max="7180" width="13" style="125" bestFit="1" customWidth="1"/>
    <col min="7181" max="7181" width="4.7109375" style="125" bestFit="1" customWidth="1"/>
    <col min="7182" max="7182" width="9.140625" style="125"/>
    <col min="7183" max="7183" width="12.42578125" style="125" bestFit="1" customWidth="1"/>
    <col min="7184" max="7424" width="9.140625" style="125"/>
    <col min="7425" max="7425" width="6.28515625" style="125" customWidth="1"/>
    <col min="7426" max="7426" width="0" style="125" hidden="1" customWidth="1"/>
    <col min="7427" max="7427" width="8.5703125" style="125" customWidth="1"/>
    <col min="7428" max="7428" width="62.5703125" style="125" customWidth="1"/>
    <col min="7429" max="7429" width="10.42578125" style="125" customWidth="1"/>
    <col min="7430" max="7430" width="15.42578125" style="125" customWidth="1"/>
    <col min="7431" max="7431" width="23.28515625" style="125" customWidth="1"/>
    <col min="7432" max="7435" width="0" style="125" hidden="1" customWidth="1"/>
    <col min="7436" max="7436" width="13" style="125" bestFit="1" customWidth="1"/>
    <col min="7437" max="7437" width="4.7109375" style="125" bestFit="1" customWidth="1"/>
    <col min="7438" max="7438" width="9.140625" style="125"/>
    <col min="7439" max="7439" width="12.42578125" style="125" bestFit="1" customWidth="1"/>
    <col min="7440" max="7680" width="9.140625" style="125"/>
    <col min="7681" max="7681" width="6.28515625" style="125" customWidth="1"/>
    <col min="7682" max="7682" width="0" style="125" hidden="1" customWidth="1"/>
    <col min="7683" max="7683" width="8.5703125" style="125" customWidth="1"/>
    <col min="7684" max="7684" width="62.5703125" style="125" customWidth="1"/>
    <col min="7685" max="7685" width="10.42578125" style="125" customWidth="1"/>
    <col min="7686" max="7686" width="15.42578125" style="125" customWidth="1"/>
    <col min="7687" max="7687" width="23.28515625" style="125" customWidth="1"/>
    <col min="7688" max="7691" width="0" style="125" hidden="1" customWidth="1"/>
    <col min="7692" max="7692" width="13" style="125" bestFit="1" customWidth="1"/>
    <col min="7693" max="7693" width="4.7109375" style="125" bestFit="1" customWidth="1"/>
    <col min="7694" max="7694" width="9.140625" style="125"/>
    <col min="7695" max="7695" width="12.42578125" style="125" bestFit="1" customWidth="1"/>
    <col min="7696" max="7936" width="9.140625" style="125"/>
    <col min="7937" max="7937" width="6.28515625" style="125" customWidth="1"/>
    <col min="7938" max="7938" width="0" style="125" hidden="1" customWidth="1"/>
    <col min="7939" max="7939" width="8.5703125" style="125" customWidth="1"/>
    <col min="7940" max="7940" width="62.5703125" style="125" customWidth="1"/>
    <col min="7941" max="7941" width="10.42578125" style="125" customWidth="1"/>
    <col min="7942" max="7942" width="15.42578125" style="125" customWidth="1"/>
    <col min="7943" max="7943" width="23.28515625" style="125" customWidth="1"/>
    <col min="7944" max="7947" width="0" style="125" hidden="1" customWidth="1"/>
    <col min="7948" max="7948" width="13" style="125" bestFit="1" customWidth="1"/>
    <col min="7949" max="7949" width="4.7109375" style="125" bestFit="1" customWidth="1"/>
    <col min="7950" max="7950" width="9.140625" style="125"/>
    <col min="7951" max="7951" width="12.42578125" style="125" bestFit="1" customWidth="1"/>
    <col min="7952" max="8192" width="9.140625" style="125"/>
    <col min="8193" max="8193" width="6.28515625" style="125" customWidth="1"/>
    <col min="8194" max="8194" width="0" style="125" hidden="1" customWidth="1"/>
    <col min="8195" max="8195" width="8.5703125" style="125" customWidth="1"/>
    <col min="8196" max="8196" width="62.5703125" style="125" customWidth="1"/>
    <col min="8197" max="8197" width="10.42578125" style="125" customWidth="1"/>
    <col min="8198" max="8198" width="15.42578125" style="125" customWidth="1"/>
    <col min="8199" max="8199" width="23.28515625" style="125" customWidth="1"/>
    <col min="8200" max="8203" width="0" style="125" hidden="1" customWidth="1"/>
    <col min="8204" max="8204" width="13" style="125" bestFit="1" customWidth="1"/>
    <col min="8205" max="8205" width="4.7109375" style="125" bestFit="1" customWidth="1"/>
    <col min="8206" max="8206" width="9.140625" style="125"/>
    <col min="8207" max="8207" width="12.42578125" style="125" bestFit="1" customWidth="1"/>
    <col min="8208" max="8448" width="9.140625" style="125"/>
    <col min="8449" max="8449" width="6.28515625" style="125" customWidth="1"/>
    <col min="8450" max="8450" width="0" style="125" hidden="1" customWidth="1"/>
    <col min="8451" max="8451" width="8.5703125" style="125" customWidth="1"/>
    <col min="8452" max="8452" width="62.5703125" style="125" customWidth="1"/>
    <col min="8453" max="8453" width="10.42578125" style="125" customWidth="1"/>
    <col min="8454" max="8454" width="15.42578125" style="125" customWidth="1"/>
    <col min="8455" max="8455" width="23.28515625" style="125" customWidth="1"/>
    <col min="8456" max="8459" width="0" style="125" hidden="1" customWidth="1"/>
    <col min="8460" max="8460" width="13" style="125" bestFit="1" customWidth="1"/>
    <col min="8461" max="8461" width="4.7109375" style="125" bestFit="1" customWidth="1"/>
    <col min="8462" max="8462" width="9.140625" style="125"/>
    <col min="8463" max="8463" width="12.42578125" style="125" bestFit="1" customWidth="1"/>
    <col min="8464" max="8704" width="9.140625" style="125"/>
    <col min="8705" max="8705" width="6.28515625" style="125" customWidth="1"/>
    <col min="8706" max="8706" width="0" style="125" hidden="1" customWidth="1"/>
    <col min="8707" max="8707" width="8.5703125" style="125" customWidth="1"/>
    <col min="8708" max="8708" width="62.5703125" style="125" customWidth="1"/>
    <col min="8709" max="8709" width="10.42578125" style="125" customWidth="1"/>
    <col min="8710" max="8710" width="15.42578125" style="125" customWidth="1"/>
    <col min="8711" max="8711" width="23.28515625" style="125" customWidth="1"/>
    <col min="8712" max="8715" width="0" style="125" hidden="1" customWidth="1"/>
    <col min="8716" max="8716" width="13" style="125" bestFit="1" customWidth="1"/>
    <col min="8717" max="8717" width="4.7109375" style="125" bestFit="1" customWidth="1"/>
    <col min="8718" max="8718" width="9.140625" style="125"/>
    <col min="8719" max="8719" width="12.42578125" style="125" bestFit="1" customWidth="1"/>
    <col min="8720" max="8960" width="9.140625" style="125"/>
    <col min="8961" max="8961" width="6.28515625" style="125" customWidth="1"/>
    <col min="8962" max="8962" width="0" style="125" hidden="1" customWidth="1"/>
    <col min="8963" max="8963" width="8.5703125" style="125" customWidth="1"/>
    <col min="8964" max="8964" width="62.5703125" style="125" customWidth="1"/>
    <col min="8965" max="8965" width="10.42578125" style="125" customWidth="1"/>
    <col min="8966" max="8966" width="15.42578125" style="125" customWidth="1"/>
    <col min="8967" max="8967" width="23.28515625" style="125" customWidth="1"/>
    <col min="8968" max="8971" width="0" style="125" hidden="1" customWidth="1"/>
    <col min="8972" max="8972" width="13" style="125" bestFit="1" customWidth="1"/>
    <col min="8973" max="8973" width="4.7109375" style="125" bestFit="1" customWidth="1"/>
    <col min="8974" max="8974" width="9.140625" style="125"/>
    <col min="8975" max="8975" width="12.42578125" style="125" bestFit="1" customWidth="1"/>
    <col min="8976" max="9216" width="9.140625" style="125"/>
    <col min="9217" max="9217" width="6.28515625" style="125" customWidth="1"/>
    <col min="9218" max="9218" width="0" style="125" hidden="1" customWidth="1"/>
    <col min="9219" max="9219" width="8.5703125" style="125" customWidth="1"/>
    <col min="9220" max="9220" width="62.5703125" style="125" customWidth="1"/>
    <col min="9221" max="9221" width="10.42578125" style="125" customWidth="1"/>
    <col min="9222" max="9222" width="15.42578125" style="125" customWidth="1"/>
    <col min="9223" max="9223" width="23.28515625" style="125" customWidth="1"/>
    <col min="9224" max="9227" width="0" style="125" hidden="1" customWidth="1"/>
    <col min="9228" max="9228" width="13" style="125" bestFit="1" customWidth="1"/>
    <col min="9229" max="9229" width="4.7109375" style="125" bestFit="1" customWidth="1"/>
    <col min="9230" max="9230" width="9.140625" style="125"/>
    <col min="9231" max="9231" width="12.42578125" style="125" bestFit="1" customWidth="1"/>
    <col min="9232" max="9472" width="9.140625" style="125"/>
    <col min="9473" max="9473" width="6.28515625" style="125" customWidth="1"/>
    <col min="9474" max="9474" width="0" style="125" hidden="1" customWidth="1"/>
    <col min="9475" max="9475" width="8.5703125" style="125" customWidth="1"/>
    <col min="9476" max="9476" width="62.5703125" style="125" customWidth="1"/>
    <col min="9477" max="9477" width="10.42578125" style="125" customWidth="1"/>
    <col min="9478" max="9478" width="15.42578125" style="125" customWidth="1"/>
    <col min="9479" max="9479" width="23.28515625" style="125" customWidth="1"/>
    <col min="9480" max="9483" width="0" style="125" hidden="1" customWidth="1"/>
    <col min="9484" max="9484" width="13" style="125" bestFit="1" customWidth="1"/>
    <col min="9485" max="9485" width="4.7109375" style="125" bestFit="1" customWidth="1"/>
    <col min="9486" max="9486" width="9.140625" style="125"/>
    <col min="9487" max="9487" width="12.42578125" style="125" bestFit="1" customWidth="1"/>
    <col min="9488" max="9728" width="9.140625" style="125"/>
    <col min="9729" max="9729" width="6.28515625" style="125" customWidth="1"/>
    <col min="9730" max="9730" width="0" style="125" hidden="1" customWidth="1"/>
    <col min="9731" max="9731" width="8.5703125" style="125" customWidth="1"/>
    <col min="9732" max="9732" width="62.5703125" style="125" customWidth="1"/>
    <col min="9733" max="9733" width="10.42578125" style="125" customWidth="1"/>
    <col min="9734" max="9734" width="15.42578125" style="125" customWidth="1"/>
    <col min="9735" max="9735" width="23.28515625" style="125" customWidth="1"/>
    <col min="9736" max="9739" width="0" style="125" hidden="1" customWidth="1"/>
    <col min="9740" max="9740" width="13" style="125" bestFit="1" customWidth="1"/>
    <col min="9741" max="9741" width="4.7109375" style="125" bestFit="1" customWidth="1"/>
    <col min="9742" max="9742" width="9.140625" style="125"/>
    <col min="9743" max="9743" width="12.42578125" style="125" bestFit="1" customWidth="1"/>
    <col min="9744" max="9984" width="9.140625" style="125"/>
    <col min="9985" max="9985" width="6.28515625" style="125" customWidth="1"/>
    <col min="9986" max="9986" width="0" style="125" hidden="1" customWidth="1"/>
    <col min="9987" max="9987" width="8.5703125" style="125" customWidth="1"/>
    <col min="9988" max="9988" width="62.5703125" style="125" customWidth="1"/>
    <col min="9989" max="9989" width="10.42578125" style="125" customWidth="1"/>
    <col min="9990" max="9990" width="15.42578125" style="125" customWidth="1"/>
    <col min="9991" max="9991" width="23.28515625" style="125" customWidth="1"/>
    <col min="9992" max="9995" width="0" style="125" hidden="1" customWidth="1"/>
    <col min="9996" max="9996" width="13" style="125" bestFit="1" customWidth="1"/>
    <col min="9997" max="9997" width="4.7109375" style="125" bestFit="1" customWidth="1"/>
    <col min="9998" max="9998" width="9.140625" style="125"/>
    <col min="9999" max="9999" width="12.42578125" style="125" bestFit="1" customWidth="1"/>
    <col min="10000" max="10240" width="9.140625" style="125"/>
    <col min="10241" max="10241" width="6.28515625" style="125" customWidth="1"/>
    <col min="10242" max="10242" width="0" style="125" hidden="1" customWidth="1"/>
    <col min="10243" max="10243" width="8.5703125" style="125" customWidth="1"/>
    <col min="10244" max="10244" width="62.5703125" style="125" customWidth="1"/>
    <col min="10245" max="10245" width="10.42578125" style="125" customWidth="1"/>
    <col min="10246" max="10246" width="15.42578125" style="125" customWidth="1"/>
    <col min="10247" max="10247" width="23.28515625" style="125" customWidth="1"/>
    <col min="10248" max="10251" width="0" style="125" hidden="1" customWidth="1"/>
    <col min="10252" max="10252" width="13" style="125" bestFit="1" customWidth="1"/>
    <col min="10253" max="10253" width="4.7109375" style="125" bestFit="1" customWidth="1"/>
    <col min="10254" max="10254" width="9.140625" style="125"/>
    <col min="10255" max="10255" width="12.42578125" style="125" bestFit="1" customWidth="1"/>
    <col min="10256" max="10496" width="9.140625" style="125"/>
    <col min="10497" max="10497" width="6.28515625" style="125" customWidth="1"/>
    <col min="10498" max="10498" width="0" style="125" hidden="1" customWidth="1"/>
    <col min="10499" max="10499" width="8.5703125" style="125" customWidth="1"/>
    <col min="10500" max="10500" width="62.5703125" style="125" customWidth="1"/>
    <col min="10501" max="10501" width="10.42578125" style="125" customWidth="1"/>
    <col min="10502" max="10502" width="15.42578125" style="125" customWidth="1"/>
    <col min="10503" max="10503" width="23.28515625" style="125" customWidth="1"/>
    <col min="10504" max="10507" width="0" style="125" hidden="1" customWidth="1"/>
    <col min="10508" max="10508" width="13" style="125" bestFit="1" customWidth="1"/>
    <col min="10509" max="10509" width="4.7109375" style="125" bestFit="1" customWidth="1"/>
    <col min="10510" max="10510" width="9.140625" style="125"/>
    <col min="10511" max="10511" width="12.42578125" style="125" bestFit="1" customWidth="1"/>
    <col min="10512" max="10752" width="9.140625" style="125"/>
    <col min="10753" max="10753" width="6.28515625" style="125" customWidth="1"/>
    <col min="10754" max="10754" width="0" style="125" hidden="1" customWidth="1"/>
    <col min="10755" max="10755" width="8.5703125" style="125" customWidth="1"/>
    <col min="10756" max="10756" width="62.5703125" style="125" customWidth="1"/>
    <col min="10757" max="10757" width="10.42578125" style="125" customWidth="1"/>
    <col min="10758" max="10758" width="15.42578125" style="125" customWidth="1"/>
    <col min="10759" max="10759" width="23.28515625" style="125" customWidth="1"/>
    <col min="10760" max="10763" width="0" style="125" hidden="1" customWidth="1"/>
    <col min="10764" max="10764" width="13" style="125" bestFit="1" customWidth="1"/>
    <col min="10765" max="10765" width="4.7109375" style="125" bestFit="1" customWidth="1"/>
    <col min="10766" max="10766" width="9.140625" style="125"/>
    <col min="10767" max="10767" width="12.42578125" style="125" bestFit="1" customWidth="1"/>
    <col min="10768" max="11008" width="9.140625" style="125"/>
    <col min="11009" max="11009" width="6.28515625" style="125" customWidth="1"/>
    <col min="11010" max="11010" width="0" style="125" hidden="1" customWidth="1"/>
    <col min="11011" max="11011" width="8.5703125" style="125" customWidth="1"/>
    <col min="11012" max="11012" width="62.5703125" style="125" customWidth="1"/>
    <col min="11013" max="11013" width="10.42578125" style="125" customWidth="1"/>
    <col min="11014" max="11014" width="15.42578125" style="125" customWidth="1"/>
    <col min="11015" max="11015" width="23.28515625" style="125" customWidth="1"/>
    <col min="11016" max="11019" width="0" style="125" hidden="1" customWidth="1"/>
    <col min="11020" max="11020" width="13" style="125" bestFit="1" customWidth="1"/>
    <col min="11021" max="11021" width="4.7109375" style="125" bestFit="1" customWidth="1"/>
    <col min="11022" max="11022" width="9.140625" style="125"/>
    <col min="11023" max="11023" width="12.42578125" style="125" bestFit="1" customWidth="1"/>
    <col min="11024" max="11264" width="9.140625" style="125"/>
    <col min="11265" max="11265" width="6.28515625" style="125" customWidth="1"/>
    <col min="11266" max="11266" width="0" style="125" hidden="1" customWidth="1"/>
    <col min="11267" max="11267" width="8.5703125" style="125" customWidth="1"/>
    <col min="11268" max="11268" width="62.5703125" style="125" customWidth="1"/>
    <col min="11269" max="11269" width="10.42578125" style="125" customWidth="1"/>
    <col min="11270" max="11270" width="15.42578125" style="125" customWidth="1"/>
    <col min="11271" max="11271" width="23.28515625" style="125" customWidth="1"/>
    <col min="11272" max="11275" width="0" style="125" hidden="1" customWidth="1"/>
    <col min="11276" max="11276" width="13" style="125" bestFit="1" customWidth="1"/>
    <col min="11277" max="11277" width="4.7109375" style="125" bestFit="1" customWidth="1"/>
    <col min="11278" max="11278" width="9.140625" style="125"/>
    <col min="11279" max="11279" width="12.42578125" style="125" bestFit="1" customWidth="1"/>
    <col min="11280" max="11520" width="9.140625" style="125"/>
    <col min="11521" max="11521" width="6.28515625" style="125" customWidth="1"/>
    <col min="11522" max="11522" width="0" style="125" hidden="1" customWidth="1"/>
    <col min="11523" max="11523" width="8.5703125" style="125" customWidth="1"/>
    <col min="11524" max="11524" width="62.5703125" style="125" customWidth="1"/>
    <col min="11525" max="11525" width="10.42578125" style="125" customWidth="1"/>
    <col min="11526" max="11526" width="15.42578125" style="125" customWidth="1"/>
    <col min="11527" max="11527" width="23.28515625" style="125" customWidth="1"/>
    <col min="11528" max="11531" width="0" style="125" hidden="1" customWidth="1"/>
    <col min="11532" max="11532" width="13" style="125" bestFit="1" customWidth="1"/>
    <col min="11533" max="11533" width="4.7109375" style="125" bestFit="1" customWidth="1"/>
    <col min="11534" max="11534" width="9.140625" style="125"/>
    <col min="11535" max="11535" width="12.42578125" style="125" bestFit="1" customWidth="1"/>
    <col min="11536" max="11776" width="9.140625" style="125"/>
    <col min="11777" max="11777" width="6.28515625" style="125" customWidth="1"/>
    <col min="11778" max="11778" width="0" style="125" hidden="1" customWidth="1"/>
    <col min="11779" max="11779" width="8.5703125" style="125" customWidth="1"/>
    <col min="11780" max="11780" width="62.5703125" style="125" customWidth="1"/>
    <col min="11781" max="11781" width="10.42578125" style="125" customWidth="1"/>
    <col min="11782" max="11782" width="15.42578125" style="125" customWidth="1"/>
    <col min="11783" max="11783" width="23.28515625" style="125" customWidth="1"/>
    <col min="11784" max="11787" width="0" style="125" hidden="1" customWidth="1"/>
    <col min="11788" max="11788" width="13" style="125" bestFit="1" customWidth="1"/>
    <col min="11789" max="11789" width="4.7109375" style="125" bestFit="1" customWidth="1"/>
    <col min="11790" max="11790" width="9.140625" style="125"/>
    <col min="11791" max="11791" width="12.42578125" style="125" bestFit="1" customWidth="1"/>
    <col min="11792" max="12032" width="9.140625" style="125"/>
    <col min="12033" max="12033" width="6.28515625" style="125" customWidth="1"/>
    <col min="12034" max="12034" width="0" style="125" hidden="1" customWidth="1"/>
    <col min="12035" max="12035" width="8.5703125" style="125" customWidth="1"/>
    <col min="12036" max="12036" width="62.5703125" style="125" customWidth="1"/>
    <col min="12037" max="12037" width="10.42578125" style="125" customWidth="1"/>
    <col min="12038" max="12038" width="15.42578125" style="125" customWidth="1"/>
    <col min="12039" max="12039" width="23.28515625" style="125" customWidth="1"/>
    <col min="12040" max="12043" width="0" style="125" hidden="1" customWidth="1"/>
    <col min="12044" max="12044" width="13" style="125" bestFit="1" customWidth="1"/>
    <col min="12045" max="12045" width="4.7109375" style="125" bestFit="1" customWidth="1"/>
    <col min="12046" max="12046" width="9.140625" style="125"/>
    <col min="12047" max="12047" width="12.42578125" style="125" bestFit="1" customWidth="1"/>
    <col min="12048" max="12288" width="9.140625" style="125"/>
    <col min="12289" max="12289" width="6.28515625" style="125" customWidth="1"/>
    <col min="12290" max="12290" width="0" style="125" hidden="1" customWidth="1"/>
    <col min="12291" max="12291" width="8.5703125" style="125" customWidth="1"/>
    <col min="12292" max="12292" width="62.5703125" style="125" customWidth="1"/>
    <col min="12293" max="12293" width="10.42578125" style="125" customWidth="1"/>
    <col min="12294" max="12294" width="15.42578125" style="125" customWidth="1"/>
    <col min="12295" max="12295" width="23.28515625" style="125" customWidth="1"/>
    <col min="12296" max="12299" width="0" style="125" hidden="1" customWidth="1"/>
    <col min="12300" max="12300" width="13" style="125" bestFit="1" customWidth="1"/>
    <col min="12301" max="12301" width="4.7109375" style="125" bestFit="1" customWidth="1"/>
    <col min="12302" max="12302" width="9.140625" style="125"/>
    <col min="12303" max="12303" width="12.42578125" style="125" bestFit="1" customWidth="1"/>
    <col min="12304" max="12544" width="9.140625" style="125"/>
    <col min="12545" max="12545" width="6.28515625" style="125" customWidth="1"/>
    <col min="12546" max="12546" width="0" style="125" hidden="1" customWidth="1"/>
    <col min="12547" max="12547" width="8.5703125" style="125" customWidth="1"/>
    <col min="12548" max="12548" width="62.5703125" style="125" customWidth="1"/>
    <col min="12549" max="12549" width="10.42578125" style="125" customWidth="1"/>
    <col min="12550" max="12550" width="15.42578125" style="125" customWidth="1"/>
    <col min="12551" max="12551" width="23.28515625" style="125" customWidth="1"/>
    <col min="12552" max="12555" width="0" style="125" hidden="1" customWidth="1"/>
    <col min="12556" max="12556" width="13" style="125" bestFit="1" customWidth="1"/>
    <col min="12557" max="12557" width="4.7109375" style="125" bestFit="1" customWidth="1"/>
    <col min="12558" max="12558" width="9.140625" style="125"/>
    <col min="12559" max="12559" width="12.42578125" style="125" bestFit="1" customWidth="1"/>
    <col min="12560" max="12800" width="9.140625" style="125"/>
    <col min="12801" max="12801" width="6.28515625" style="125" customWidth="1"/>
    <col min="12802" max="12802" width="0" style="125" hidden="1" customWidth="1"/>
    <col min="12803" max="12803" width="8.5703125" style="125" customWidth="1"/>
    <col min="12804" max="12804" width="62.5703125" style="125" customWidth="1"/>
    <col min="12805" max="12805" width="10.42578125" style="125" customWidth="1"/>
    <col min="12806" max="12806" width="15.42578125" style="125" customWidth="1"/>
    <col min="12807" max="12807" width="23.28515625" style="125" customWidth="1"/>
    <col min="12808" max="12811" width="0" style="125" hidden="1" customWidth="1"/>
    <col min="12812" max="12812" width="13" style="125" bestFit="1" customWidth="1"/>
    <col min="12813" max="12813" width="4.7109375" style="125" bestFit="1" customWidth="1"/>
    <col min="12814" max="12814" width="9.140625" style="125"/>
    <col min="12815" max="12815" width="12.42578125" style="125" bestFit="1" customWidth="1"/>
    <col min="12816" max="13056" width="9.140625" style="125"/>
    <col min="13057" max="13057" width="6.28515625" style="125" customWidth="1"/>
    <col min="13058" max="13058" width="0" style="125" hidden="1" customWidth="1"/>
    <col min="13059" max="13059" width="8.5703125" style="125" customWidth="1"/>
    <col min="13060" max="13060" width="62.5703125" style="125" customWidth="1"/>
    <col min="13061" max="13061" width="10.42578125" style="125" customWidth="1"/>
    <col min="13062" max="13062" width="15.42578125" style="125" customWidth="1"/>
    <col min="13063" max="13063" width="23.28515625" style="125" customWidth="1"/>
    <col min="13064" max="13067" width="0" style="125" hidden="1" customWidth="1"/>
    <col min="13068" max="13068" width="13" style="125" bestFit="1" customWidth="1"/>
    <col min="13069" max="13069" width="4.7109375" style="125" bestFit="1" customWidth="1"/>
    <col min="13070" max="13070" width="9.140625" style="125"/>
    <col min="13071" max="13071" width="12.42578125" style="125" bestFit="1" customWidth="1"/>
    <col min="13072" max="13312" width="9.140625" style="125"/>
    <col min="13313" max="13313" width="6.28515625" style="125" customWidth="1"/>
    <col min="13314" max="13314" width="0" style="125" hidden="1" customWidth="1"/>
    <col min="13315" max="13315" width="8.5703125" style="125" customWidth="1"/>
    <col min="13316" max="13316" width="62.5703125" style="125" customWidth="1"/>
    <col min="13317" max="13317" width="10.42578125" style="125" customWidth="1"/>
    <col min="13318" max="13318" width="15.42578125" style="125" customWidth="1"/>
    <col min="13319" max="13319" width="23.28515625" style="125" customWidth="1"/>
    <col min="13320" max="13323" width="0" style="125" hidden="1" customWidth="1"/>
    <col min="13324" max="13324" width="13" style="125" bestFit="1" customWidth="1"/>
    <col min="13325" max="13325" width="4.7109375" style="125" bestFit="1" customWidth="1"/>
    <col min="13326" max="13326" width="9.140625" style="125"/>
    <col min="13327" max="13327" width="12.42578125" style="125" bestFit="1" customWidth="1"/>
    <col min="13328" max="13568" width="9.140625" style="125"/>
    <col min="13569" max="13569" width="6.28515625" style="125" customWidth="1"/>
    <col min="13570" max="13570" width="0" style="125" hidden="1" customWidth="1"/>
    <col min="13571" max="13571" width="8.5703125" style="125" customWidth="1"/>
    <col min="13572" max="13572" width="62.5703125" style="125" customWidth="1"/>
    <col min="13573" max="13573" width="10.42578125" style="125" customWidth="1"/>
    <col min="13574" max="13574" width="15.42578125" style="125" customWidth="1"/>
    <col min="13575" max="13575" width="23.28515625" style="125" customWidth="1"/>
    <col min="13576" max="13579" width="0" style="125" hidden="1" customWidth="1"/>
    <col min="13580" max="13580" width="13" style="125" bestFit="1" customWidth="1"/>
    <col min="13581" max="13581" width="4.7109375" style="125" bestFit="1" customWidth="1"/>
    <col min="13582" max="13582" width="9.140625" style="125"/>
    <col min="13583" max="13583" width="12.42578125" style="125" bestFit="1" customWidth="1"/>
    <col min="13584" max="13824" width="9.140625" style="125"/>
    <col min="13825" max="13825" width="6.28515625" style="125" customWidth="1"/>
    <col min="13826" max="13826" width="0" style="125" hidden="1" customWidth="1"/>
    <col min="13827" max="13827" width="8.5703125" style="125" customWidth="1"/>
    <col min="13828" max="13828" width="62.5703125" style="125" customWidth="1"/>
    <col min="13829" max="13829" width="10.42578125" style="125" customWidth="1"/>
    <col min="13830" max="13830" width="15.42578125" style="125" customWidth="1"/>
    <col min="13831" max="13831" width="23.28515625" style="125" customWidth="1"/>
    <col min="13832" max="13835" width="0" style="125" hidden="1" customWidth="1"/>
    <col min="13836" max="13836" width="13" style="125" bestFit="1" customWidth="1"/>
    <col min="13837" max="13837" width="4.7109375" style="125" bestFit="1" customWidth="1"/>
    <col min="13838" max="13838" width="9.140625" style="125"/>
    <col min="13839" max="13839" width="12.42578125" style="125" bestFit="1" customWidth="1"/>
    <col min="13840" max="14080" width="9.140625" style="125"/>
    <col min="14081" max="14081" width="6.28515625" style="125" customWidth="1"/>
    <col min="14082" max="14082" width="0" style="125" hidden="1" customWidth="1"/>
    <col min="14083" max="14083" width="8.5703125" style="125" customWidth="1"/>
    <col min="14084" max="14084" width="62.5703125" style="125" customWidth="1"/>
    <col min="14085" max="14085" width="10.42578125" style="125" customWidth="1"/>
    <col min="14086" max="14086" width="15.42578125" style="125" customWidth="1"/>
    <col min="14087" max="14087" width="23.28515625" style="125" customWidth="1"/>
    <col min="14088" max="14091" width="0" style="125" hidden="1" customWidth="1"/>
    <col min="14092" max="14092" width="13" style="125" bestFit="1" customWidth="1"/>
    <col min="14093" max="14093" width="4.7109375" style="125" bestFit="1" customWidth="1"/>
    <col min="14094" max="14094" width="9.140625" style="125"/>
    <col min="14095" max="14095" width="12.42578125" style="125" bestFit="1" customWidth="1"/>
    <col min="14096" max="14336" width="9.140625" style="125"/>
    <col min="14337" max="14337" width="6.28515625" style="125" customWidth="1"/>
    <col min="14338" max="14338" width="0" style="125" hidden="1" customWidth="1"/>
    <col min="14339" max="14339" width="8.5703125" style="125" customWidth="1"/>
    <col min="14340" max="14340" width="62.5703125" style="125" customWidth="1"/>
    <col min="14341" max="14341" width="10.42578125" style="125" customWidth="1"/>
    <col min="14342" max="14342" width="15.42578125" style="125" customWidth="1"/>
    <col min="14343" max="14343" width="23.28515625" style="125" customWidth="1"/>
    <col min="14344" max="14347" width="0" style="125" hidden="1" customWidth="1"/>
    <col min="14348" max="14348" width="13" style="125" bestFit="1" customWidth="1"/>
    <col min="14349" max="14349" width="4.7109375" style="125" bestFit="1" customWidth="1"/>
    <col min="14350" max="14350" width="9.140625" style="125"/>
    <col min="14351" max="14351" width="12.42578125" style="125" bestFit="1" customWidth="1"/>
    <col min="14352" max="14592" width="9.140625" style="125"/>
    <col min="14593" max="14593" width="6.28515625" style="125" customWidth="1"/>
    <col min="14594" max="14594" width="0" style="125" hidden="1" customWidth="1"/>
    <col min="14595" max="14595" width="8.5703125" style="125" customWidth="1"/>
    <col min="14596" max="14596" width="62.5703125" style="125" customWidth="1"/>
    <col min="14597" max="14597" width="10.42578125" style="125" customWidth="1"/>
    <col min="14598" max="14598" width="15.42578125" style="125" customWidth="1"/>
    <col min="14599" max="14599" width="23.28515625" style="125" customWidth="1"/>
    <col min="14600" max="14603" width="0" style="125" hidden="1" customWidth="1"/>
    <col min="14604" max="14604" width="13" style="125" bestFit="1" customWidth="1"/>
    <col min="14605" max="14605" width="4.7109375" style="125" bestFit="1" customWidth="1"/>
    <col min="14606" max="14606" width="9.140625" style="125"/>
    <col min="14607" max="14607" width="12.42578125" style="125" bestFit="1" customWidth="1"/>
    <col min="14608" max="14848" width="9.140625" style="125"/>
    <col min="14849" max="14849" width="6.28515625" style="125" customWidth="1"/>
    <col min="14850" max="14850" width="0" style="125" hidden="1" customWidth="1"/>
    <col min="14851" max="14851" width="8.5703125" style="125" customWidth="1"/>
    <col min="14852" max="14852" width="62.5703125" style="125" customWidth="1"/>
    <col min="14853" max="14853" width="10.42578125" style="125" customWidth="1"/>
    <col min="14854" max="14854" width="15.42578125" style="125" customWidth="1"/>
    <col min="14855" max="14855" width="23.28515625" style="125" customWidth="1"/>
    <col min="14856" max="14859" width="0" style="125" hidden="1" customWidth="1"/>
    <col min="14860" max="14860" width="13" style="125" bestFit="1" customWidth="1"/>
    <col min="14861" max="14861" width="4.7109375" style="125" bestFit="1" customWidth="1"/>
    <col min="14862" max="14862" width="9.140625" style="125"/>
    <col min="14863" max="14863" width="12.42578125" style="125" bestFit="1" customWidth="1"/>
    <col min="14864" max="15104" width="9.140625" style="125"/>
    <col min="15105" max="15105" width="6.28515625" style="125" customWidth="1"/>
    <col min="15106" max="15106" width="0" style="125" hidden="1" customWidth="1"/>
    <col min="15107" max="15107" width="8.5703125" style="125" customWidth="1"/>
    <col min="15108" max="15108" width="62.5703125" style="125" customWidth="1"/>
    <col min="15109" max="15109" width="10.42578125" style="125" customWidth="1"/>
    <col min="15110" max="15110" width="15.42578125" style="125" customWidth="1"/>
    <col min="15111" max="15111" width="23.28515625" style="125" customWidth="1"/>
    <col min="15112" max="15115" width="0" style="125" hidden="1" customWidth="1"/>
    <col min="15116" max="15116" width="13" style="125" bestFit="1" customWidth="1"/>
    <col min="15117" max="15117" width="4.7109375" style="125" bestFit="1" customWidth="1"/>
    <col min="15118" max="15118" width="9.140625" style="125"/>
    <col min="15119" max="15119" width="12.42578125" style="125" bestFit="1" customWidth="1"/>
    <col min="15120" max="15360" width="9.140625" style="125"/>
    <col min="15361" max="15361" width="6.28515625" style="125" customWidth="1"/>
    <col min="15362" max="15362" width="0" style="125" hidden="1" customWidth="1"/>
    <col min="15363" max="15363" width="8.5703125" style="125" customWidth="1"/>
    <col min="15364" max="15364" width="62.5703125" style="125" customWidth="1"/>
    <col min="15365" max="15365" width="10.42578125" style="125" customWidth="1"/>
    <col min="15366" max="15366" width="15.42578125" style="125" customWidth="1"/>
    <col min="15367" max="15367" width="23.28515625" style="125" customWidth="1"/>
    <col min="15368" max="15371" width="0" style="125" hidden="1" customWidth="1"/>
    <col min="15372" max="15372" width="13" style="125" bestFit="1" customWidth="1"/>
    <col min="15373" max="15373" width="4.7109375" style="125" bestFit="1" customWidth="1"/>
    <col min="15374" max="15374" width="9.140625" style="125"/>
    <col min="15375" max="15375" width="12.42578125" style="125" bestFit="1" customWidth="1"/>
    <col min="15376" max="15616" width="9.140625" style="125"/>
    <col min="15617" max="15617" width="6.28515625" style="125" customWidth="1"/>
    <col min="15618" max="15618" width="0" style="125" hidden="1" customWidth="1"/>
    <col min="15619" max="15619" width="8.5703125" style="125" customWidth="1"/>
    <col min="15620" max="15620" width="62.5703125" style="125" customWidth="1"/>
    <col min="15621" max="15621" width="10.42578125" style="125" customWidth="1"/>
    <col min="15622" max="15622" width="15.42578125" style="125" customWidth="1"/>
    <col min="15623" max="15623" width="23.28515625" style="125" customWidth="1"/>
    <col min="15624" max="15627" width="0" style="125" hidden="1" customWidth="1"/>
    <col min="15628" max="15628" width="13" style="125" bestFit="1" customWidth="1"/>
    <col min="15629" max="15629" width="4.7109375" style="125" bestFit="1" customWidth="1"/>
    <col min="15630" max="15630" width="9.140625" style="125"/>
    <col min="15631" max="15631" width="12.42578125" style="125" bestFit="1" customWidth="1"/>
    <col min="15632" max="15872" width="9.140625" style="125"/>
    <col min="15873" max="15873" width="6.28515625" style="125" customWidth="1"/>
    <col min="15874" max="15874" width="0" style="125" hidden="1" customWidth="1"/>
    <col min="15875" max="15875" width="8.5703125" style="125" customWidth="1"/>
    <col min="15876" max="15876" width="62.5703125" style="125" customWidth="1"/>
    <col min="15877" max="15877" width="10.42578125" style="125" customWidth="1"/>
    <col min="15878" max="15878" width="15.42578125" style="125" customWidth="1"/>
    <col min="15879" max="15879" width="23.28515625" style="125" customWidth="1"/>
    <col min="15880" max="15883" width="0" style="125" hidden="1" customWidth="1"/>
    <col min="15884" max="15884" width="13" style="125" bestFit="1" customWidth="1"/>
    <col min="15885" max="15885" width="4.7109375" style="125" bestFit="1" customWidth="1"/>
    <col min="15886" max="15886" width="9.140625" style="125"/>
    <col min="15887" max="15887" width="12.42578125" style="125" bestFit="1" customWidth="1"/>
    <col min="15888" max="16128" width="9.140625" style="125"/>
    <col min="16129" max="16129" width="6.28515625" style="125" customWidth="1"/>
    <col min="16130" max="16130" width="0" style="125" hidden="1" customWidth="1"/>
    <col min="16131" max="16131" width="8.5703125" style="125" customWidth="1"/>
    <col min="16132" max="16132" width="62.5703125" style="125" customWidth="1"/>
    <col min="16133" max="16133" width="10.42578125" style="125" customWidth="1"/>
    <col min="16134" max="16134" width="15.42578125" style="125" customWidth="1"/>
    <col min="16135" max="16135" width="23.28515625" style="125" customWidth="1"/>
    <col min="16136" max="16139" width="0" style="125" hidden="1" customWidth="1"/>
    <col min="16140" max="16140" width="13" style="125" bestFit="1" customWidth="1"/>
    <col min="16141" max="16141" width="4.7109375" style="125" bestFit="1" customWidth="1"/>
    <col min="16142" max="16142" width="9.140625" style="125"/>
    <col min="16143" max="16143" width="12.42578125" style="125" bestFit="1" customWidth="1"/>
    <col min="16144" max="16384" width="9.140625" style="125"/>
  </cols>
  <sheetData>
    <row r="1" spans="1:15" ht="48.75" customHeight="1">
      <c r="A1" s="123" t="s">
        <v>223</v>
      </c>
      <c r="B1" s="123"/>
      <c r="C1" s="123"/>
      <c r="D1" s="123"/>
      <c r="E1" s="123"/>
      <c r="F1" s="123"/>
      <c r="G1" s="123"/>
      <c r="H1" s="123"/>
      <c r="I1" s="123"/>
      <c r="J1" s="123"/>
      <c r="K1" s="123"/>
    </row>
    <row r="2" spans="1:15" ht="22.5" customHeight="1">
      <c r="A2" s="126"/>
      <c r="B2" s="127"/>
      <c r="C2" s="128"/>
      <c r="D2" s="129" t="s">
        <v>185</v>
      </c>
      <c r="E2" s="126"/>
      <c r="F2" s="127"/>
      <c r="G2" s="128"/>
      <c r="H2" s="130"/>
      <c r="I2" s="130"/>
      <c r="J2" s="130"/>
      <c r="K2" s="130"/>
    </row>
    <row r="3" spans="1:15" s="137" customFormat="1" ht="49.5" customHeight="1">
      <c r="A3" s="131" t="s">
        <v>186</v>
      </c>
      <c r="B3" s="132"/>
      <c r="C3" s="132" t="s">
        <v>187</v>
      </c>
      <c r="D3" s="133" t="s">
        <v>188</v>
      </c>
      <c r="E3" s="133" t="s">
        <v>189</v>
      </c>
      <c r="F3" s="134" t="s">
        <v>190</v>
      </c>
      <c r="G3" s="134" t="s">
        <v>191</v>
      </c>
      <c r="H3" s="135" t="s">
        <v>190</v>
      </c>
      <c r="I3" s="135" t="s">
        <v>191</v>
      </c>
      <c r="J3" s="135" t="s">
        <v>190</v>
      </c>
      <c r="K3" s="135" t="s">
        <v>191</v>
      </c>
      <c r="L3" s="136"/>
    </row>
    <row r="4" spans="1:15" s="137" customFormat="1" ht="64.5" customHeight="1">
      <c r="A4" s="138">
        <v>1</v>
      </c>
      <c r="B4" s="139">
        <v>420</v>
      </c>
      <c r="C4" s="140" t="s">
        <v>37</v>
      </c>
      <c r="D4" s="141" t="s">
        <v>224</v>
      </c>
      <c r="E4" s="142">
        <v>18</v>
      </c>
      <c r="F4" s="142">
        <v>42000</v>
      </c>
      <c r="G4" s="142">
        <f>E4*F4</f>
        <v>756000</v>
      </c>
      <c r="H4" s="143">
        <v>295</v>
      </c>
      <c r="I4" s="144">
        <f>B4*H4</f>
        <v>123900</v>
      </c>
      <c r="J4" s="145">
        <v>289</v>
      </c>
      <c r="K4" s="146">
        <f>B4*J4</f>
        <v>121380</v>
      </c>
      <c r="L4" s="136"/>
      <c r="O4" s="147"/>
    </row>
    <row r="5" spans="1:15" s="137" customFormat="1" ht="64.5" customHeight="1">
      <c r="A5" s="138">
        <v>2</v>
      </c>
      <c r="B5" s="139"/>
      <c r="C5" s="140" t="s">
        <v>215</v>
      </c>
      <c r="D5" s="141" t="s">
        <v>225</v>
      </c>
      <c r="E5" s="142">
        <v>1</v>
      </c>
      <c r="F5" s="142">
        <v>25000</v>
      </c>
      <c r="G5" s="142">
        <f>E5*F5</f>
        <v>25000</v>
      </c>
      <c r="H5" s="143"/>
      <c r="I5" s="144"/>
      <c r="J5" s="145"/>
      <c r="K5" s="146"/>
      <c r="L5" s="136"/>
      <c r="O5" s="147"/>
    </row>
    <row r="6" spans="1:15" s="137" customFormat="1" ht="30" customHeight="1">
      <c r="A6" s="148"/>
      <c r="B6" s="143"/>
      <c r="C6" s="149"/>
      <c r="D6" s="150" t="s">
        <v>193</v>
      </c>
      <c r="E6" s="151"/>
      <c r="F6" s="143"/>
      <c r="G6" s="152">
        <f>SUM(G4:G5)</f>
        <v>781000</v>
      </c>
      <c r="H6" s="143"/>
      <c r="I6" s="144">
        <f>SUM(I4:I4)</f>
        <v>123900</v>
      </c>
      <c r="J6" s="143"/>
      <c r="K6" s="144">
        <f>SUM(K4:K4)</f>
        <v>121380</v>
      </c>
      <c r="L6" s="136"/>
    </row>
    <row r="7" spans="1:15" s="160" customFormat="1" ht="33.75" customHeight="1">
      <c r="A7" s="153">
        <v>3</v>
      </c>
      <c r="B7" s="139"/>
      <c r="C7" s="154"/>
      <c r="D7" s="150" t="s">
        <v>194</v>
      </c>
      <c r="E7" s="155" t="s">
        <v>195</v>
      </c>
      <c r="F7" s="155"/>
      <c r="G7" s="156">
        <f>G6*12%</f>
        <v>93720</v>
      </c>
      <c r="H7" s="157"/>
      <c r="I7" s="158"/>
      <c r="J7" s="157"/>
      <c r="K7" s="146"/>
      <c r="L7" s="159"/>
      <c r="M7" s="159"/>
      <c r="N7" s="159"/>
    </row>
    <row r="8" spans="1:15" s="160" customFormat="1" ht="31.5" customHeight="1">
      <c r="A8" s="153"/>
      <c r="B8" s="139"/>
      <c r="C8" s="154"/>
      <c r="D8" s="161" t="s">
        <v>196</v>
      </c>
      <c r="E8" s="162"/>
      <c r="F8" s="163" t="s">
        <v>26</v>
      </c>
      <c r="G8" s="167">
        <f>SUM(G6:G7)</f>
        <v>874720</v>
      </c>
      <c r="H8" s="157"/>
      <c r="I8" s="158"/>
      <c r="J8" s="157"/>
      <c r="K8" s="146"/>
      <c r="L8" s="159"/>
      <c r="M8" s="159"/>
      <c r="N8" s="159"/>
    </row>
    <row r="9" spans="1:15" ht="37.5" customHeight="1">
      <c r="A9" s="153">
        <v>4</v>
      </c>
      <c r="B9" s="143"/>
      <c r="C9" s="165"/>
      <c r="D9" s="166" t="s">
        <v>197</v>
      </c>
      <c r="E9" s="155" t="s">
        <v>195</v>
      </c>
      <c r="F9" s="155"/>
      <c r="G9" s="167">
        <f>G6*1%</f>
        <v>7810</v>
      </c>
      <c r="H9" s="168"/>
      <c r="I9" s="168"/>
      <c r="J9" s="168"/>
      <c r="K9" s="169"/>
    </row>
    <row r="10" spans="1:15" ht="34.5" customHeight="1">
      <c r="A10" s="153">
        <v>5</v>
      </c>
      <c r="B10" s="143"/>
      <c r="C10" s="165"/>
      <c r="D10" s="166" t="s">
        <v>156</v>
      </c>
      <c r="E10" s="155" t="s">
        <v>195</v>
      </c>
      <c r="F10" s="155"/>
      <c r="G10" s="167">
        <f>G8*2.5%</f>
        <v>21868</v>
      </c>
      <c r="H10" s="168"/>
      <c r="I10" s="168"/>
      <c r="J10" s="168"/>
      <c r="K10" s="168"/>
    </row>
    <row r="11" spans="1:15" ht="37.5" customHeight="1">
      <c r="A11" s="153">
        <v>6</v>
      </c>
      <c r="B11" s="143"/>
      <c r="C11" s="165"/>
      <c r="D11" s="170" t="s">
        <v>32</v>
      </c>
      <c r="E11" s="155" t="s">
        <v>195</v>
      </c>
      <c r="F11" s="155"/>
      <c r="G11" s="167">
        <f>G8*7.5%</f>
        <v>65604</v>
      </c>
      <c r="H11" s="168"/>
      <c r="I11" s="168"/>
      <c r="J11" s="168"/>
      <c r="K11" s="168"/>
    </row>
    <row r="12" spans="1:15" ht="33" customHeight="1">
      <c r="A12" s="165"/>
      <c r="B12" s="143"/>
      <c r="C12" s="165"/>
      <c r="D12" s="171" t="s">
        <v>198</v>
      </c>
      <c r="E12" s="172"/>
      <c r="F12" s="173" t="s">
        <v>26</v>
      </c>
      <c r="G12" s="174">
        <f>SUM(G8:G11)</f>
        <v>970002</v>
      </c>
      <c r="H12" s="168"/>
      <c r="I12" s="168"/>
      <c r="J12" s="168"/>
      <c r="K12" s="168"/>
    </row>
    <row r="13" spans="1:15" ht="35.25" customHeight="1">
      <c r="A13" s="165"/>
      <c r="B13" s="143"/>
      <c r="C13" s="165"/>
      <c r="D13" s="171" t="s">
        <v>199</v>
      </c>
      <c r="E13" s="175"/>
      <c r="F13" s="173" t="s">
        <v>26</v>
      </c>
      <c r="G13" s="176">
        <f>CEILING(G12,100)</f>
        <v>970100</v>
      </c>
      <c r="H13" s="168"/>
      <c r="I13" s="168"/>
      <c r="J13" s="168"/>
      <c r="K13" s="168"/>
    </row>
    <row r="56" ht="3.75" customHeight="1"/>
  </sheetData>
  <mergeCells count="7">
    <mergeCell ref="E11:F11"/>
    <mergeCell ref="A1:K1"/>
    <mergeCell ref="A2:C2"/>
    <mergeCell ref="E2:G2"/>
    <mergeCell ref="E7:F7"/>
    <mergeCell ref="E9:F9"/>
    <mergeCell ref="E10:F10"/>
  </mergeCells>
  <printOptions horizontalCentered="1"/>
  <pageMargins left="0.36" right="0.31" top="0.43307086614173229" bottom="0.19685039370078741" header="0.19685039370078741" footer="0.19685039370078741"/>
  <pageSetup paperSize="9" scale="80" orientation="portrait" r:id="rId1"/>
  <headerFooter>
    <oddHeader>&amp;RPage&amp;P</oddHeader>
  </headerFooter>
  <colBreaks count="2" manualBreakCount="2">
    <brk id="7" max="14" man="1"/>
    <brk id="11" max="1048575" man="1"/>
  </colBreaks>
</worksheet>
</file>

<file path=xl/worksheets/sheet9.xml><?xml version="1.0" encoding="utf-8"?>
<worksheet xmlns="http://schemas.openxmlformats.org/spreadsheetml/2006/main" xmlns:r="http://schemas.openxmlformats.org/officeDocument/2006/relationships">
  <dimension ref="A1:O59"/>
  <sheetViews>
    <sheetView showZeros="0" view="pageBreakPreview" zoomScale="70" zoomScaleSheetLayoutView="70" workbookViewId="0">
      <selection activeCell="F7" sqref="F7"/>
    </sheetView>
  </sheetViews>
  <sheetFormatPr defaultRowHeight="15.75"/>
  <cols>
    <col min="1" max="1" width="6.28515625" style="177" customWidth="1"/>
    <col min="2" max="2" width="8.5703125" style="178" hidden="1" customWidth="1"/>
    <col min="3" max="3" width="8.5703125" style="177" customWidth="1"/>
    <col min="4" max="4" width="62.5703125" style="179" customWidth="1"/>
    <col min="5" max="5" width="10.42578125" style="179" customWidth="1"/>
    <col min="6" max="6" width="15.42578125" style="180" customWidth="1"/>
    <col min="7" max="7" width="23.28515625" style="124" customWidth="1"/>
    <col min="8" max="8" width="14.85546875" style="124" hidden="1" customWidth="1"/>
    <col min="9" max="9" width="14.85546875" style="181" hidden="1" customWidth="1"/>
    <col min="10" max="10" width="13" style="124" hidden="1" customWidth="1"/>
    <col min="11" max="11" width="15.85546875" style="124" hidden="1" customWidth="1"/>
    <col min="12" max="12" width="13" style="124" bestFit="1" customWidth="1"/>
    <col min="13" max="13" width="4.7109375" style="125" bestFit="1" customWidth="1"/>
    <col min="14" max="14" width="9.140625" style="125"/>
    <col min="15" max="15" width="12.42578125" style="125" bestFit="1" customWidth="1"/>
    <col min="16" max="256" width="9.140625" style="125"/>
    <col min="257" max="257" width="6.28515625" style="125" customWidth="1"/>
    <col min="258" max="258" width="0" style="125" hidden="1" customWidth="1"/>
    <col min="259" max="259" width="8.5703125" style="125" customWidth="1"/>
    <col min="260" max="260" width="62.5703125" style="125" customWidth="1"/>
    <col min="261" max="261" width="10.42578125" style="125" customWidth="1"/>
    <col min="262" max="262" width="15.42578125" style="125" customWidth="1"/>
    <col min="263" max="263" width="23.28515625" style="125" customWidth="1"/>
    <col min="264" max="267" width="0" style="125" hidden="1" customWidth="1"/>
    <col min="268" max="268" width="13" style="125" bestFit="1" customWidth="1"/>
    <col min="269" max="269" width="4.7109375" style="125" bestFit="1" customWidth="1"/>
    <col min="270" max="270" width="9.140625" style="125"/>
    <col min="271" max="271" width="12.42578125" style="125" bestFit="1" customWidth="1"/>
    <col min="272" max="512" width="9.140625" style="125"/>
    <col min="513" max="513" width="6.28515625" style="125" customWidth="1"/>
    <col min="514" max="514" width="0" style="125" hidden="1" customWidth="1"/>
    <col min="515" max="515" width="8.5703125" style="125" customWidth="1"/>
    <col min="516" max="516" width="62.5703125" style="125" customWidth="1"/>
    <col min="517" max="517" width="10.42578125" style="125" customWidth="1"/>
    <col min="518" max="518" width="15.42578125" style="125" customWidth="1"/>
    <col min="519" max="519" width="23.28515625" style="125" customWidth="1"/>
    <col min="520" max="523" width="0" style="125" hidden="1" customWidth="1"/>
    <col min="524" max="524" width="13" style="125" bestFit="1" customWidth="1"/>
    <col min="525" max="525" width="4.7109375" style="125" bestFit="1" customWidth="1"/>
    <col min="526" max="526" width="9.140625" style="125"/>
    <col min="527" max="527" width="12.42578125" style="125" bestFit="1" customWidth="1"/>
    <col min="528" max="768" width="9.140625" style="125"/>
    <col min="769" max="769" width="6.28515625" style="125" customWidth="1"/>
    <col min="770" max="770" width="0" style="125" hidden="1" customWidth="1"/>
    <col min="771" max="771" width="8.5703125" style="125" customWidth="1"/>
    <col min="772" max="772" width="62.5703125" style="125" customWidth="1"/>
    <col min="773" max="773" width="10.42578125" style="125" customWidth="1"/>
    <col min="774" max="774" width="15.42578125" style="125" customWidth="1"/>
    <col min="775" max="775" width="23.28515625" style="125" customWidth="1"/>
    <col min="776" max="779" width="0" style="125" hidden="1" customWidth="1"/>
    <col min="780" max="780" width="13" style="125" bestFit="1" customWidth="1"/>
    <col min="781" max="781" width="4.7109375" style="125" bestFit="1" customWidth="1"/>
    <col min="782" max="782" width="9.140625" style="125"/>
    <col min="783" max="783" width="12.42578125" style="125" bestFit="1" customWidth="1"/>
    <col min="784" max="1024" width="9.140625" style="125"/>
    <col min="1025" max="1025" width="6.28515625" style="125" customWidth="1"/>
    <col min="1026" max="1026" width="0" style="125" hidden="1" customWidth="1"/>
    <col min="1027" max="1027" width="8.5703125" style="125" customWidth="1"/>
    <col min="1028" max="1028" width="62.5703125" style="125" customWidth="1"/>
    <col min="1029" max="1029" width="10.42578125" style="125" customWidth="1"/>
    <col min="1030" max="1030" width="15.42578125" style="125" customWidth="1"/>
    <col min="1031" max="1031" width="23.28515625" style="125" customWidth="1"/>
    <col min="1032" max="1035" width="0" style="125" hidden="1" customWidth="1"/>
    <col min="1036" max="1036" width="13" style="125" bestFit="1" customWidth="1"/>
    <col min="1037" max="1037" width="4.7109375" style="125" bestFit="1" customWidth="1"/>
    <col min="1038" max="1038" width="9.140625" style="125"/>
    <col min="1039" max="1039" width="12.42578125" style="125" bestFit="1" customWidth="1"/>
    <col min="1040" max="1280" width="9.140625" style="125"/>
    <col min="1281" max="1281" width="6.28515625" style="125" customWidth="1"/>
    <col min="1282" max="1282" width="0" style="125" hidden="1" customWidth="1"/>
    <col min="1283" max="1283" width="8.5703125" style="125" customWidth="1"/>
    <col min="1284" max="1284" width="62.5703125" style="125" customWidth="1"/>
    <col min="1285" max="1285" width="10.42578125" style="125" customWidth="1"/>
    <col min="1286" max="1286" width="15.42578125" style="125" customWidth="1"/>
    <col min="1287" max="1287" width="23.28515625" style="125" customWidth="1"/>
    <col min="1288" max="1291" width="0" style="125" hidden="1" customWidth="1"/>
    <col min="1292" max="1292" width="13" style="125" bestFit="1" customWidth="1"/>
    <col min="1293" max="1293" width="4.7109375" style="125" bestFit="1" customWidth="1"/>
    <col min="1294" max="1294" width="9.140625" style="125"/>
    <col min="1295" max="1295" width="12.42578125" style="125" bestFit="1" customWidth="1"/>
    <col min="1296" max="1536" width="9.140625" style="125"/>
    <col min="1537" max="1537" width="6.28515625" style="125" customWidth="1"/>
    <col min="1538" max="1538" width="0" style="125" hidden="1" customWidth="1"/>
    <col min="1539" max="1539" width="8.5703125" style="125" customWidth="1"/>
    <col min="1540" max="1540" width="62.5703125" style="125" customWidth="1"/>
    <col min="1541" max="1541" width="10.42578125" style="125" customWidth="1"/>
    <col min="1542" max="1542" width="15.42578125" style="125" customWidth="1"/>
    <col min="1543" max="1543" width="23.28515625" style="125" customWidth="1"/>
    <col min="1544" max="1547" width="0" style="125" hidden="1" customWidth="1"/>
    <col min="1548" max="1548" width="13" style="125" bestFit="1" customWidth="1"/>
    <col min="1549" max="1549" width="4.7109375" style="125" bestFit="1" customWidth="1"/>
    <col min="1550" max="1550" width="9.140625" style="125"/>
    <col min="1551" max="1551" width="12.42578125" style="125" bestFit="1" customWidth="1"/>
    <col min="1552" max="1792" width="9.140625" style="125"/>
    <col min="1793" max="1793" width="6.28515625" style="125" customWidth="1"/>
    <col min="1794" max="1794" width="0" style="125" hidden="1" customWidth="1"/>
    <col min="1795" max="1795" width="8.5703125" style="125" customWidth="1"/>
    <col min="1796" max="1796" width="62.5703125" style="125" customWidth="1"/>
    <col min="1797" max="1797" width="10.42578125" style="125" customWidth="1"/>
    <col min="1798" max="1798" width="15.42578125" style="125" customWidth="1"/>
    <col min="1799" max="1799" width="23.28515625" style="125" customWidth="1"/>
    <col min="1800" max="1803" width="0" style="125" hidden="1" customWidth="1"/>
    <col min="1804" max="1804" width="13" style="125" bestFit="1" customWidth="1"/>
    <col min="1805" max="1805" width="4.7109375" style="125" bestFit="1" customWidth="1"/>
    <col min="1806" max="1806" width="9.140625" style="125"/>
    <col min="1807" max="1807" width="12.42578125" style="125" bestFit="1" customWidth="1"/>
    <col min="1808" max="2048" width="9.140625" style="125"/>
    <col min="2049" max="2049" width="6.28515625" style="125" customWidth="1"/>
    <col min="2050" max="2050" width="0" style="125" hidden="1" customWidth="1"/>
    <col min="2051" max="2051" width="8.5703125" style="125" customWidth="1"/>
    <col min="2052" max="2052" width="62.5703125" style="125" customWidth="1"/>
    <col min="2053" max="2053" width="10.42578125" style="125" customWidth="1"/>
    <col min="2054" max="2054" width="15.42578125" style="125" customWidth="1"/>
    <col min="2055" max="2055" width="23.28515625" style="125" customWidth="1"/>
    <col min="2056" max="2059" width="0" style="125" hidden="1" customWidth="1"/>
    <col min="2060" max="2060" width="13" style="125" bestFit="1" customWidth="1"/>
    <col min="2061" max="2061" width="4.7109375" style="125" bestFit="1" customWidth="1"/>
    <col min="2062" max="2062" width="9.140625" style="125"/>
    <col min="2063" max="2063" width="12.42578125" style="125" bestFit="1" customWidth="1"/>
    <col min="2064" max="2304" width="9.140625" style="125"/>
    <col min="2305" max="2305" width="6.28515625" style="125" customWidth="1"/>
    <col min="2306" max="2306" width="0" style="125" hidden="1" customWidth="1"/>
    <col min="2307" max="2307" width="8.5703125" style="125" customWidth="1"/>
    <col min="2308" max="2308" width="62.5703125" style="125" customWidth="1"/>
    <col min="2309" max="2309" width="10.42578125" style="125" customWidth="1"/>
    <col min="2310" max="2310" width="15.42578125" style="125" customWidth="1"/>
    <col min="2311" max="2311" width="23.28515625" style="125" customWidth="1"/>
    <col min="2312" max="2315" width="0" style="125" hidden="1" customWidth="1"/>
    <col min="2316" max="2316" width="13" style="125" bestFit="1" customWidth="1"/>
    <col min="2317" max="2317" width="4.7109375" style="125" bestFit="1" customWidth="1"/>
    <col min="2318" max="2318" width="9.140625" style="125"/>
    <col min="2319" max="2319" width="12.42578125" style="125" bestFit="1" customWidth="1"/>
    <col min="2320" max="2560" width="9.140625" style="125"/>
    <col min="2561" max="2561" width="6.28515625" style="125" customWidth="1"/>
    <col min="2562" max="2562" width="0" style="125" hidden="1" customWidth="1"/>
    <col min="2563" max="2563" width="8.5703125" style="125" customWidth="1"/>
    <col min="2564" max="2564" width="62.5703125" style="125" customWidth="1"/>
    <col min="2565" max="2565" width="10.42578125" style="125" customWidth="1"/>
    <col min="2566" max="2566" width="15.42578125" style="125" customWidth="1"/>
    <col min="2567" max="2567" width="23.28515625" style="125" customWidth="1"/>
    <col min="2568" max="2571" width="0" style="125" hidden="1" customWidth="1"/>
    <col min="2572" max="2572" width="13" style="125" bestFit="1" customWidth="1"/>
    <col min="2573" max="2573" width="4.7109375" style="125" bestFit="1" customWidth="1"/>
    <col min="2574" max="2574" width="9.140625" style="125"/>
    <col min="2575" max="2575" width="12.42578125" style="125" bestFit="1" customWidth="1"/>
    <col min="2576" max="2816" width="9.140625" style="125"/>
    <col min="2817" max="2817" width="6.28515625" style="125" customWidth="1"/>
    <col min="2818" max="2818" width="0" style="125" hidden="1" customWidth="1"/>
    <col min="2819" max="2819" width="8.5703125" style="125" customWidth="1"/>
    <col min="2820" max="2820" width="62.5703125" style="125" customWidth="1"/>
    <col min="2821" max="2821" width="10.42578125" style="125" customWidth="1"/>
    <col min="2822" max="2822" width="15.42578125" style="125" customWidth="1"/>
    <col min="2823" max="2823" width="23.28515625" style="125" customWidth="1"/>
    <col min="2824" max="2827" width="0" style="125" hidden="1" customWidth="1"/>
    <col min="2828" max="2828" width="13" style="125" bestFit="1" customWidth="1"/>
    <col min="2829" max="2829" width="4.7109375" style="125" bestFit="1" customWidth="1"/>
    <col min="2830" max="2830" width="9.140625" style="125"/>
    <col min="2831" max="2831" width="12.42578125" style="125" bestFit="1" customWidth="1"/>
    <col min="2832" max="3072" width="9.140625" style="125"/>
    <col min="3073" max="3073" width="6.28515625" style="125" customWidth="1"/>
    <col min="3074" max="3074" width="0" style="125" hidden="1" customWidth="1"/>
    <col min="3075" max="3075" width="8.5703125" style="125" customWidth="1"/>
    <col min="3076" max="3076" width="62.5703125" style="125" customWidth="1"/>
    <col min="3077" max="3077" width="10.42578125" style="125" customWidth="1"/>
    <col min="3078" max="3078" width="15.42578125" style="125" customWidth="1"/>
    <col min="3079" max="3079" width="23.28515625" style="125" customWidth="1"/>
    <col min="3080" max="3083" width="0" style="125" hidden="1" customWidth="1"/>
    <col min="3084" max="3084" width="13" style="125" bestFit="1" customWidth="1"/>
    <col min="3085" max="3085" width="4.7109375" style="125" bestFit="1" customWidth="1"/>
    <col min="3086" max="3086" width="9.140625" style="125"/>
    <col min="3087" max="3087" width="12.42578125" style="125" bestFit="1" customWidth="1"/>
    <col min="3088" max="3328" width="9.140625" style="125"/>
    <col min="3329" max="3329" width="6.28515625" style="125" customWidth="1"/>
    <col min="3330" max="3330" width="0" style="125" hidden="1" customWidth="1"/>
    <col min="3331" max="3331" width="8.5703125" style="125" customWidth="1"/>
    <col min="3332" max="3332" width="62.5703125" style="125" customWidth="1"/>
    <col min="3333" max="3333" width="10.42578125" style="125" customWidth="1"/>
    <col min="3334" max="3334" width="15.42578125" style="125" customWidth="1"/>
    <col min="3335" max="3335" width="23.28515625" style="125" customWidth="1"/>
    <col min="3336" max="3339" width="0" style="125" hidden="1" customWidth="1"/>
    <col min="3340" max="3340" width="13" style="125" bestFit="1" customWidth="1"/>
    <col min="3341" max="3341" width="4.7109375" style="125" bestFit="1" customWidth="1"/>
    <col min="3342" max="3342" width="9.140625" style="125"/>
    <col min="3343" max="3343" width="12.42578125" style="125" bestFit="1" customWidth="1"/>
    <col min="3344" max="3584" width="9.140625" style="125"/>
    <col min="3585" max="3585" width="6.28515625" style="125" customWidth="1"/>
    <col min="3586" max="3586" width="0" style="125" hidden="1" customWidth="1"/>
    <col min="3587" max="3587" width="8.5703125" style="125" customWidth="1"/>
    <col min="3588" max="3588" width="62.5703125" style="125" customWidth="1"/>
    <col min="3589" max="3589" width="10.42578125" style="125" customWidth="1"/>
    <col min="3590" max="3590" width="15.42578125" style="125" customWidth="1"/>
    <col min="3591" max="3591" width="23.28515625" style="125" customWidth="1"/>
    <col min="3592" max="3595" width="0" style="125" hidden="1" customWidth="1"/>
    <col min="3596" max="3596" width="13" style="125" bestFit="1" customWidth="1"/>
    <col min="3597" max="3597" width="4.7109375" style="125" bestFit="1" customWidth="1"/>
    <col min="3598" max="3598" width="9.140625" style="125"/>
    <col min="3599" max="3599" width="12.42578125" style="125" bestFit="1" customWidth="1"/>
    <col min="3600" max="3840" width="9.140625" style="125"/>
    <col min="3841" max="3841" width="6.28515625" style="125" customWidth="1"/>
    <col min="3842" max="3842" width="0" style="125" hidden="1" customWidth="1"/>
    <col min="3843" max="3843" width="8.5703125" style="125" customWidth="1"/>
    <col min="3844" max="3844" width="62.5703125" style="125" customWidth="1"/>
    <col min="3845" max="3845" width="10.42578125" style="125" customWidth="1"/>
    <col min="3846" max="3846" width="15.42578125" style="125" customWidth="1"/>
    <col min="3847" max="3847" width="23.28515625" style="125" customWidth="1"/>
    <col min="3848" max="3851" width="0" style="125" hidden="1" customWidth="1"/>
    <col min="3852" max="3852" width="13" style="125" bestFit="1" customWidth="1"/>
    <col min="3853" max="3853" width="4.7109375" style="125" bestFit="1" customWidth="1"/>
    <col min="3854" max="3854" width="9.140625" style="125"/>
    <col min="3855" max="3855" width="12.42578125" style="125" bestFit="1" customWidth="1"/>
    <col min="3856" max="4096" width="9.140625" style="125"/>
    <col min="4097" max="4097" width="6.28515625" style="125" customWidth="1"/>
    <col min="4098" max="4098" width="0" style="125" hidden="1" customWidth="1"/>
    <col min="4099" max="4099" width="8.5703125" style="125" customWidth="1"/>
    <col min="4100" max="4100" width="62.5703125" style="125" customWidth="1"/>
    <col min="4101" max="4101" width="10.42578125" style="125" customWidth="1"/>
    <col min="4102" max="4102" width="15.42578125" style="125" customWidth="1"/>
    <col min="4103" max="4103" width="23.28515625" style="125" customWidth="1"/>
    <col min="4104" max="4107" width="0" style="125" hidden="1" customWidth="1"/>
    <col min="4108" max="4108" width="13" style="125" bestFit="1" customWidth="1"/>
    <col min="4109" max="4109" width="4.7109375" style="125" bestFit="1" customWidth="1"/>
    <col min="4110" max="4110" width="9.140625" style="125"/>
    <col min="4111" max="4111" width="12.42578125" style="125" bestFit="1" customWidth="1"/>
    <col min="4112" max="4352" width="9.140625" style="125"/>
    <col min="4353" max="4353" width="6.28515625" style="125" customWidth="1"/>
    <col min="4354" max="4354" width="0" style="125" hidden="1" customWidth="1"/>
    <col min="4355" max="4355" width="8.5703125" style="125" customWidth="1"/>
    <col min="4356" max="4356" width="62.5703125" style="125" customWidth="1"/>
    <col min="4357" max="4357" width="10.42578125" style="125" customWidth="1"/>
    <col min="4358" max="4358" width="15.42578125" style="125" customWidth="1"/>
    <col min="4359" max="4359" width="23.28515625" style="125" customWidth="1"/>
    <col min="4360" max="4363" width="0" style="125" hidden="1" customWidth="1"/>
    <col min="4364" max="4364" width="13" style="125" bestFit="1" customWidth="1"/>
    <col min="4365" max="4365" width="4.7109375" style="125" bestFit="1" customWidth="1"/>
    <col min="4366" max="4366" width="9.140625" style="125"/>
    <col min="4367" max="4367" width="12.42578125" style="125" bestFit="1" customWidth="1"/>
    <col min="4368" max="4608" width="9.140625" style="125"/>
    <col min="4609" max="4609" width="6.28515625" style="125" customWidth="1"/>
    <col min="4610" max="4610" width="0" style="125" hidden="1" customWidth="1"/>
    <col min="4611" max="4611" width="8.5703125" style="125" customWidth="1"/>
    <col min="4612" max="4612" width="62.5703125" style="125" customWidth="1"/>
    <col min="4613" max="4613" width="10.42578125" style="125" customWidth="1"/>
    <col min="4614" max="4614" width="15.42578125" style="125" customWidth="1"/>
    <col min="4615" max="4615" width="23.28515625" style="125" customWidth="1"/>
    <col min="4616" max="4619" width="0" style="125" hidden="1" customWidth="1"/>
    <col min="4620" max="4620" width="13" style="125" bestFit="1" customWidth="1"/>
    <col min="4621" max="4621" width="4.7109375" style="125" bestFit="1" customWidth="1"/>
    <col min="4622" max="4622" width="9.140625" style="125"/>
    <col min="4623" max="4623" width="12.42578125" style="125" bestFit="1" customWidth="1"/>
    <col min="4624" max="4864" width="9.140625" style="125"/>
    <col min="4865" max="4865" width="6.28515625" style="125" customWidth="1"/>
    <col min="4866" max="4866" width="0" style="125" hidden="1" customWidth="1"/>
    <col min="4867" max="4867" width="8.5703125" style="125" customWidth="1"/>
    <col min="4868" max="4868" width="62.5703125" style="125" customWidth="1"/>
    <col min="4869" max="4869" width="10.42578125" style="125" customWidth="1"/>
    <col min="4870" max="4870" width="15.42578125" style="125" customWidth="1"/>
    <col min="4871" max="4871" width="23.28515625" style="125" customWidth="1"/>
    <col min="4872" max="4875" width="0" style="125" hidden="1" customWidth="1"/>
    <col min="4876" max="4876" width="13" style="125" bestFit="1" customWidth="1"/>
    <col min="4877" max="4877" width="4.7109375" style="125" bestFit="1" customWidth="1"/>
    <col min="4878" max="4878" width="9.140625" style="125"/>
    <col min="4879" max="4879" width="12.42578125" style="125" bestFit="1" customWidth="1"/>
    <col min="4880" max="5120" width="9.140625" style="125"/>
    <col min="5121" max="5121" width="6.28515625" style="125" customWidth="1"/>
    <col min="5122" max="5122" width="0" style="125" hidden="1" customWidth="1"/>
    <col min="5123" max="5123" width="8.5703125" style="125" customWidth="1"/>
    <col min="5124" max="5124" width="62.5703125" style="125" customWidth="1"/>
    <col min="5125" max="5125" width="10.42578125" style="125" customWidth="1"/>
    <col min="5126" max="5126" width="15.42578125" style="125" customWidth="1"/>
    <col min="5127" max="5127" width="23.28515625" style="125" customWidth="1"/>
    <col min="5128" max="5131" width="0" style="125" hidden="1" customWidth="1"/>
    <col min="5132" max="5132" width="13" style="125" bestFit="1" customWidth="1"/>
    <col min="5133" max="5133" width="4.7109375" style="125" bestFit="1" customWidth="1"/>
    <col min="5134" max="5134" width="9.140625" style="125"/>
    <col min="5135" max="5135" width="12.42578125" style="125" bestFit="1" customWidth="1"/>
    <col min="5136" max="5376" width="9.140625" style="125"/>
    <col min="5377" max="5377" width="6.28515625" style="125" customWidth="1"/>
    <col min="5378" max="5378" width="0" style="125" hidden="1" customWidth="1"/>
    <col min="5379" max="5379" width="8.5703125" style="125" customWidth="1"/>
    <col min="5380" max="5380" width="62.5703125" style="125" customWidth="1"/>
    <col min="5381" max="5381" width="10.42578125" style="125" customWidth="1"/>
    <col min="5382" max="5382" width="15.42578125" style="125" customWidth="1"/>
    <col min="5383" max="5383" width="23.28515625" style="125" customWidth="1"/>
    <col min="5384" max="5387" width="0" style="125" hidden="1" customWidth="1"/>
    <col min="5388" max="5388" width="13" style="125" bestFit="1" customWidth="1"/>
    <col min="5389" max="5389" width="4.7109375" style="125" bestFit="1" customWidth="1"/>
    <col min="5390" max="5390" width="9.140625" style="125"/>
    <col min="5391" max="5391" width="12.42578125" style="125" bestFit="1" customWidth="1"/>
    <col min="5392" max="5632" width="9.140625" style="125"/>
    <col min="5633" max="5633" width="6.28515625" style="125" customWidth="1"/>
    <col min="5634" max="5634" width="0" style="125" hidden="1" customWidth="1"/>
    <col min="5635" max="5635" width="8.5703125" style="125" customWidth="1"/>
    <col min="5636" max="5636" width="62.5703125" style="125" customWidth="1"/>
    <col min="5637" max="5637" width="10.42578125" style="125" customWidth="1"/>
    <col min="5638" max="5638" width="15.42578125" style="125" customWidth="1"/>
    <col min="5639" max="5639" width="23.28515625" style="125" customWidth="1"/>
    <col min="5640" max="5643" width="0" style="125" hidden="1" customWidth="1"/>
    <col min="5644" max="5644" width="13" style="125" bestFit="1" customWidth="1"/>
    <col min="5645" max="5645" width="4.7109375" style="125" bestFit="1" customWidth="1"/>
    <col min="5646" max="5646" width="9.140625" style="125"/>
    <col min="5647" max="5647" width="12.42578125" style="125" bestFit="1" customWidth="1"/>
    <col min="5648" max="5888" width="9.140625" style="125"/>
    <col min="5889" max="5889" width="6.28515625" style="125" customWidth="1"/>
    <col min="5890" max="5890" width="0" style="125" hidden="1" customWidth="1"/>
    <col min="5891" max="5891" width="8.5703125" style="125" customWidth="1"/>
    <col min="5892" max="5892" width="62.5703125" style="125" customWidth="1"/>
    <col min="5893" max="5893" width="10.42578125" style="125" customWidth="1"/>
    <col min="5894" max="5894" width="15.42578125" style="125" customWidth="1"/>
    <col min="5895" max="5895" width="23.28515625" style="125" customWidth="1"/>
    <col min="5896" max="5899" width="0" style="125" hidden="1" customWidth="1"/>
    <col min="5900" max="5900" width="13" style="125" bestFit="1" customWidth="1"/>
    <col min="5901" max="5901" width="4.7109375" style="125" bestFit="1" customWidth="1"/>
    <col min="5902" max="5902" width="9.140625" style="125"/>
    <col min="5903" max="5903" width="12.42578125" style="125" bestFit="1" customWidth="1"/>
    <col min="5904" max="6144" width="9.140625" style="125"/>
    <col min="6145" max="6145" width="6.28515625" style="125" customWidth="1"/>
    <col min="6146" max="6146" width="0" style="125" hidden="1" customWidth="1"/>
    <col min="6147" max="6147" width="8.5703125" style="125" customWidth="1"/>
    <col min="6148" max="6148" width="62.5703125" style="125" customWidth="1"/>
    <col min="6149" max="6149" width="10.42578125" style="125" customWidth="1"/>
    <col min="6150" max="6150" width="15.42578125" style="125" customWidth="1"/>
    <col min="6151" max="6151" width="23.28515625" style="125" customWidth="1"/>
    <col min="6152" max="6155" width="0" style="125" hidden="1" customWidth="1"/>
    <col min="6156" max="6156" width="13" style="125" bestFit="1" customWidth="1"/>
    <col min="6157" max="6157" width="4.7109375" style="125" bestFit="1" customWidth="1"/>
    <col min="6158" max="6158" width="9.140625" style="125"/>
    <col min="6159" max="6159" width="12.42578125" style="125" bestFit="1" customWidth="1"/>
    <col min="6160" max="6400" width="9.140625" style="125"/>
    <col min="6401" max="6401" width="6.28515625" style="125" customWidth="1"/>
    <col min="6402" max="6402" width="0" style="125" hidden="1" customWidth="1"/>
    <col min="6403" max="6403" width="8.5703125" style="125" customWidth="1"/>
    <col min="6404" max="6404" width="62.5703125" style="125" customWidth="1"/>
    <col min="6405" max="6405" width="10.42578125" style="125" customWidth="1"/>
    <col min="6406" max="6406" width="15.42578125" style="125" customWidth="1"/>
    <col min="6407" max="6407" width="23.28515625" style="125" customWidth="1"/>
    <col min="6408" max="6411" width="0" style="125" hidden="1" customWidth="1"/>
    <col min="6412" max="6412" width="13" style="125" bestFit="1" customWidth="1"/>
    <col min="6413" max="6413" width="4.7109375" style="125" bestFit="1" customWidth="1"/>
    <col min="6414" max="6414" width="9.140625" style="125"/>
    <col min="6415" max="6415" width="12.42578125" style="125" bestFit="1" customWidth="1"/>
    <col min="6416" max="6656" width="9.140625" style="125"/>
    <col min="6657" max="6657" width="6.28515625" style="125" customWidth="1"/>
    <col min="6658" max="6658" width="0" style="125" hidden="1" customWidth="1"/>
    <col min="6659" max="6659" width="8.5703125" style="125" customWidth="1"/>
    <col min="6660" max="6660" width="62.5703125" style="125" customWidth="1"/>
    <col min="6661" max="6661" width="10.42578125" style="125" customWidth="1"/>
    <col min="6662" max="6662" width="15.42578125" style="125" customWidth="1"/>
    <col min="6663" max="6663" width="23.28515625" style="125" customWidth="1"/>
    <col min="6664" max="6667" width="0" style="125" hidden="1" customWidth="1"/>
    <col min="6668" max="6668" width="13" style="125" bestFit="1" customWidth="1"/>
    <col min="6669" max="6669" width="4.7109375" style="125" bestFit="1" customWidth="1"/>
    <col min="6670" max="6670" width="9.140625" style="125"/>
    <col min="6671" max="6671" width="12.42578125" style="125" bestFit="1" customWidth="1"/>
    <col min="6672" max="6912" width="9.140625" style="125"/>
    <col min="6913" max="6913" width="6.28515625" style="125" customWidth="1"/>
    <col min="6914" max="6914" width="0" style="125" hidden="1" customWidth="1"/>
    <col min="6915" max="6915" width="8.5703125" style="125" customWidth="1"/>
    <col min="6916" max="6916" width="62.5703125" style="125" customWidth="1"/>
    <col min="6917" max="6917" width="10.42578125" style="125" customWidth="1"/>
    <col min="6918" max="6918" width="15.42578125" style="125" customWidth="1"/>
    <col min="6919" max="6919" width="23.28515625" style="125" customWidth="1"/>
    <col min="6920" max="6923" width="0" style="125" hidden="1" customWidth="1"/>
    <col min="6924" max="6924" width="13" style="125" bestFit="1" customWidth="1"/>
    <col min="6925" max="6925" width="4.7109375" style="125" bestFit="1" customWidth="1"/>
    <col min="6926" max="6926" width="9.140625" style="125"/>
    <col min="6927" max="6927" width="12.42578125" style="125" bestFit="1" customWidth="1"/>
    <col min="6928" max="7168" width="9.140625" style="125"/>
    <col min="7169" max="7169" width="6.28515625" style="125" customWidth="1"/>
    <col min="7170" max="7170" width="0" style="125" hidden="1" customWidth="1"/>
    <col min="7171" max="7171" width="8.5703125" style="125" customWidth="1"/>
    <col min="7172" max="7172" width="62.5703125" style="125" customWidth="1"/>
    <col min="7173" max="7173" width="10.42578125" style="125" customWidth="1"/>
    <col min="7174" max="7174" width="15.42578125" style="125" customWidth="1"/>
    <col min="7175" max="7175" width="23.28515625" style="125" customWidth="1"/>
    <col min="7176" max="7179" width="0" style="125" hidden="1" customWidth="1"/>
    <col min="7180" max="7180" width="13" style="125" bestFit="1" customWidth="1"/>
    <col min="7181" max="7181" width="4.7109375" style="125" bestFit="1" customWidth="1"/>
    <col min="7182" max="7182" width="9.140625" style="125"/>
    <col min="7183" max="7183" width="12.42578125" style="125" bestFit="1" customWidth="1"/>
    <col min="7184" max="7424" width="9.140625" style="125"/>
    <col min="7425" max="7425" width="6.28515625" style="125" customWidth="1"/>
    <col min="7426" max="7426" width="0" style="125" hidden="1" customWidth="1"/>
    <col min="7427" max="7427" width="8.5703125" style="125" customWidth="1"/>
    <col min="7428" max="7428" width="62.5703125" style="125" customWidth="1"/>
    <col min="7429" max="7429" width="10.42578125" style="125" customWidth="1"/>
    <col min="7430" max="7430" width="15.42578125" style="125" customWidth="1"/>
    <col min="7431" max="7431" width="23.28515625" style="125" customWidth="1"/>
    <col min="7432" max="7435" width="0" style="125" hidden="1" customWidth="1"/>
    <col min="7436" max="7436" width="13" style="125" bestFit="1" customWidth="1"/>
    <col min="7437" max="7437" width="4.7109375" style="125" bestFit="1" customWidth="1"/>
    <col min="7438" max="7438" width="9.140625" style="125"/>
    <col min="7439" max="7439" width="12.42578125" style="125" bestFit="1" customWidth="1"/>
    <col min="7440" max="7680" width="9.140625" style="125"/>
    <col min="7681" max="7681" width="6.28515625" style="125" customWidth="1"/>
    <col min="7682" max="7682" width="0" style="125" hidden="1" customWidth="1"/>
    <col min="7683" max="7683" width="8.5703125" style="125" customWidth="1"/>
    <col min="7684" max="7684" width="62.5703125" style="125" customWidth="1"/>
    <col min="7685" max="7685" width="10.42578125" style="125" customWidth="1"/>
    <col min="7686" max="7686" width="15.42578125" style="125" customWidth="1"/>
    <col min="7687" max="7687" width="23.28515625" style="125" customWidth="1"/>
    <col min="7688" max="7691" width="0" style="125" hidden="1" customWidth="1"/>
    <col min="7692" max="7692" width="13" style="125" bestFit="1" customWidth="1"/>
    <col min="7693" max="7693" width="4.7109375" style="125" bestFit="1" customWidth="1"/>
    <col min="7694" max="7694" width="9.140625" style="125"/>
    <col min="7695" max="7695" width="12.42578125" style="125" bestFit="1" customWidth="1"/>
    <col min="7696" max="7936" width="9.140625" style="125"/>
    <col min="7937" max="7937" width="6.28515625" style="125" customWidth="1"/>
    <col min="7938" max="7938" width="0" style="125" hidden="1" customWidth="1"/>
    <col min="7939" max="7939" width="8.5703125" style="125" customWidth="1"/>
    <col min="7940" max="7940" width="62.5703125" style="125" customWidth="1"/>
    <col min="7941" max="7941" width="10.42578125" style="125" customWidth="1"/>
    <col min="7942" max="7942" width="15.42578125" style="125" customWidth="1"/>
    <col min="7943" max="7943" width="23.28515625" style="125" customWidth="1"/>
    <col min="7944" max="7947" width="0" style="125" hidden="1" customWidth="1"/>
    <col min="7948" max="7948" width="13" style="125" bestFit="1" customWidth="1"/>
    <col min="7949" max="7949" width="4.7109375" style="125" bestFit="1" customWidth="1"/>
    <col min="7950" max="7950" width="9.140625" style="125"/>
    <col min="7951" max="7951" width="12.42578125" style="125" bestFit="1" customWidth="1"/>
    <col min="7952" max="8192" width="9.140625" style="125"/>
    <col min="8193" max="8193" width="6.28515625" style="125" customWidth="1"/>
    <col min="8194" max="8194" width="0" style="125" hidden="1" customWidth="1"/>
    <col min="8195" max="8195" width="8.5703125" style="125" customWidth="1"/>
    <col min="8196" max="8196" width="62.5703125" style="125" customWidth="1"/>
    <col min="8197" max="8197" width="10.42578125" style="125" customWidth="1"/>
    <col min="8198" max="8198" width="15.42578125" style="125" customWidth="1"/>
    <col min="8199" max="8199" width="23.28515625" style="125" customWidth="1"/>
    <col min="8200" max="8203" width="0" style="125" hidden="1" customWidth="1"/>
    <col min="8204" max="8204" width="13" style="125" bestFit="1" customWidth="1"/>
    <col min="8205" max="8205" width="4.7109375" style="125" bestFit="1" customWidth="1"/>
    <col min="8206" max="8206" width="9.140625" style="125"/>
    <col min="8207" max="8207" width="12.42578125" style="125" bestFit="1" customWidth="1"/>
    <col min="8208" max="8448" width="9.140625" style="125"/>
    <col min="8449" max="8449" width="6.28515625" style="125" customWidth="1"/>
    <col min="8450" max="8450" width="0" style="125" hidden="1" customWidth="1"/>
    <col min="8451" max="8451" width="8.5703125" style="125" customWidth="1"/>
    <col min="8452" max="8452" width="62.5703125" style="125" customWidth="1"/>
    <col min="8453" max="8453" width="10.42578125" style="125" customWidth="1"/>
    <col min="8454" max="8454" width="15.42578125" style="125" customWidth="1"/>
    <col min="8455" max="8455" width="23.28515625" style="125" customWidth="1"/>
    <col min="8456" max="8459" width="0" style="125" hidden="1" customWidth="1"/>
    <col min="8460" max="8460" width="13" style="125" bestFit="1" customWidth="1"/>
    <col min="8461" max="8461" width="4.7109375" style="125" bestFit="1" customWidth="1"/>
    <col min="8462" max="8462" width="9.140625" style="125"/>
    <col min="8463" max="8463" width="12.42578125" style="125" bestFit="1" customWidth="1"/>
    <col min="8464" max="8704" width="9.140625" style="125"/>
    <col min="8705" max="8705" width="6.28515625" style="125" customWidth="1"/>
    <col min="8706" max="8706" width="0" style="125" hidden="1" customWidth="1"/>
    <col min="8707" max="8707" width="8.5703125" style="125" customWidth="1"/>
    <col min="8708" max="8708" width="62.5703125" style="125" customWidth="1"/>
    <col min="8709" max="8709" width="10.42578125" style="125" customWidth="1"/>
    <col min="8710" max="8710" width="15.42578125" style="125" customWidth="1"/>
    <col min="8711" max="8711" width="23.28515625" style="125" customWidth="1"/>
    <col min="8712" max="8715" width="0" style="125" hidden="1" customWidth="1"/>
    <col min="8716" max="8716" width="13" style="125" bestFit="1" customWidth="1"/>
    <col min="8717" max="8717" width="4.7109375" style="125" bestFit="1" customWidth="1"/>
    <col min="8718" max="8718" width="9.140625" style="125"/>
    <col min="8719" max="8719" width="12.42578125" style="125" bestFit="1" customWidth="1"/>
    <col min="8720" max="8960" width="9.140625" style="125"/>
    <col min="8961" max="8961" width="6.28515625" style="125" customWidth="1"/>
    <col min="8962" max="8962" width="0" style="125" hidden="1" customWidth="1"/>
    <col min="8963" max="8963" width="8.5703125" style="125" customWidth="1"/>
    <col min="8964" max="8964" width="62.5703125" style="125" customWidth="1"/>
    <col min="8965" max="8965" width="10.42578125" style="125" customWidth="1"/>
    <col min="8966" max="8966" width="15.42578125" style="125" customWidth="1"/>
    <col min="8967" max="8967" width="23.28515625" style="125" customWidth="1"/>
    <col min="8968" max="8971" width="0" style="125" hidden="1" customWidth="1"/>
    <col min="8972" max="8972" width="13" style="125" bestFit="1" customWidth="1"/>
    <col min="8973" max="8973" width="4.7109375" style="125" bestFit="1" customWidth="1"/>
    <col min="8974" max="8974" width="9.140625" style="125"/>
    <col min="8975" max="8975" width="12.42578125" style="125" bestFit="1" customWidth="1"/>
    <col min="8976" max="9216" width="9.140625" style="125"/>
    <col min="9217" max="9217" width="6.28515625" style="125" customWidth="1"/>
    <col min="9218" max="9218" width="0" style="125" hidden="1" customWidth="1"/>
    <col min="9219" max="9219" width="8.5703125" style="125" customWidth="1"/>
    <col min="9220" max="9220" width="62.5703125" style="125" customWidth="1"/>
    <col min="9221" max="9221" width="10.42578125" style="125" customWidth="1"/>
    <col min="9222" max="9222" width="15.42578125" style="125" customWidth="1"/>
    <col min="9223" max="9223" width="23.28515625" style="125" customWidth="1"/>
    <col min="9224" max="9227" width="0" style="125" hidden="1" customWidth="1"/>
    <col min="9228" max="9228" width="13" style="125" bestFit="1" customWidth="1"/>
    <col min="9229" max="9229" width="4.7109375" style="125" bestFit="1" customWidth="1"/>
    <col min="9230" max="9230" width="9.140625" style="125"/>
    <col min="9231" max="9231" width="12.42578125" style="125" bestFit="1" customWidth="1"/>
    <col min="9232" max="9472" width="9.140625" style="125"/>
    <col min="9473" max="9473" width="6.28515625" style="125" customWidth="1"/>
    <col min="9474" max="9474" width="0" style="125" hidden="1" customWidth="1"/>
    <col min="9475" max="9475" width="8.5703125" style="125" customWidth="1"/>
    <col min="9476" max="9476" width="62.5703125" style="125" customWidth="1"/>
    <col min="9477" max="9477" width="10.42578125" style="125" customWidth="1"/>
    <col min="9478" max="9478" width="15.42578125" style="125" customWidth="1"/>
    <col min="9479" max="9479" width="23.28515625" style="125" customWidth="1"/>
    <col min="9480" max="9483" width="0" style="125" hidden="1" customWidth="1"/>
    <col min="9484" max="9484" width="13" style="125" bestFit="1" customWidth="1"/>
    <col min="9485" max="9485" width="4.7109375" style="125" bestFit="1" customWidth="1"/>
    <col min="9486" max="9486" width="9.140625" style="125"/>
    <col min="9487" max="9487" width="12.42578125" style="125" bestFit="1" customWidth="1"/>
    <col min="9488" max="9728" width="9.140625" style="125"/>
    <col min="9729" max="9729" width="6.28515625" style="125" customWidth="1"/>
    <col min="9730" max="9730" width="0" style="125" hidden="1" customWidth="1"/>
    <col min="9731" max="9731" width="8.5703125" style="125" customWidth="1"/>
    <col min="9732" max="9732" width="62.5703125" style="125" customWidth="1"/>
    <col min="9733" max="9733" width="10.42578125" style="125" customWidth="1"/>
    <col min="9734" max="9734" width="15.42578125" style="125" customWidth="1"/>
    <col min="9735" max="9735" width="23.28515625" style="125" customWidth="1"/>
    <col min="9736" max="9739" width="0" style="125" hidden="1" customWidth="1"/>
    <col min="9740" max="9740" width="13" style="125" bestFit="1" customWidth="1"/>
    <col min="9741" max="9741" width="4.7109375" style="125" bestFit="1" customWidth="1"/>
    <col min="9742" max="9742" width="9.140625" style="125"/>
    <col min="9743" max="9743" width="12.42578125" style="125" bestFit="1" customWidth="1"/>
    <col min="9744" max="9984" width="9.140625" style="125"/>
    <col min="9985" max="9985" width="6.28515625" style="125" customWidth="1"/>
    <col min="9986" max="9986" width="0" style="125" hidden="1" customWidth="1"/>
    <col min="9987" max="9987" width="8.5703125" style="125" customWidth="1"/>
    <col min="9988" max="9988" width="62.5703125" style="125" customWidth="1"/>
    <col min="9989" max="9989" width="10.42578125" style="125" customWidth="1"/>
    <col min="9990" max="9990" width="15.42578125" style="125" customWidth="1"/>
    <col min="9991" max="9991" width="23.28515625" style="125" customWidth="1"/>
    <col min="9992" max="9995" width="0" style="125" hidden="1" customWidth="1"/>
    <col min="9996" max="9996" width="13" style="125" bestFit="1" customWidth="1"/>
    <col min="9997" max="9997" width="4.7109375" style="125" bestFit="1" customWidth="1"/>
    <col min="9998" max="9998" width="9.140625" style="125"/>
    <col min="9999" max="9999" width="12.42578125" style="125" bestFit="1" customWidth="1"/>
    <col min="10000" max="10240" width="9.140625" style="125"/>
    <col min="10241" max="10241" width="6.28515625" style="125" customWidth="1"/>
    <col min="10242" max="10242" width="0" style="125" hidden="1" customWidth="1"/>
    <col min="10243" max="10243" width="8.5703125" style="125" customWidth="1"/>
    <col min="10244" max="10244" width="62.5703125" style="125" customWidth="1"/>
    <col min="10245" max="10245" width="10.42578125" style="125" customWidth="1"/>
    <col min="10246" max="10246" width="15.42578125" style="125" customWidth="1"/>
    <col min="10247" max="10247" width="23.28515625" style="125" customWidth="1"/>
    <col min="10248" max="10251" width="0" style="125" hidden="1" customWidth="1"/>
    <col min="10252" max="10252" width="13" style="125" bestFit="1" customWidth="1"/>
    <col min="10253" max="10253" width="4.7109375" style="125" bestFit="1" customWidth="1"/>
    <col min="10254" max="10254" width="9.140625" style="125"/>
    <col min="10255" max="10255" width="12.42578125" style="125" bestFit="1" customWidth="1"/>
    <col min="10256" max="10496" width="9.140625" style="125"/>
    <col min="10497" max="10497" width="6.28515625" style="125" customWidth="1"/>
    <col min="10498" max="10498" width="0" style="125" hidden="1" customWidth="1"/>
    <col min="10499" max="10499" width="8.5703125" style="125" customWidth="1"/>
    <col min="10500" max="10500" width="62.5703125" style="125" customWidth="1"/>
    <col min="10501" max="10501" width="10.42578125" style="125" customWidth="1"/>
    <col min="10502" max="10502" width="15.42578125" style="125" customWidth="1"/>
    <col min="10503" max="10503" width="23.28515625" style="125" customWidth="1"/>
    <col min="10504" max="10507" width="0" style="125" hidden="1" customWidth="1"/>
    <col min="10508" max="10508" width="13" style="125" bestFit="1" customWidth="1"/>
    <col min="10509" max="10509" width="4.7109375" style="125" bestFit="1" customWidth="1"/>
    <col min="10510" max="10510" width="9.140625" style="125"/>
    <col min="10511" max="10511" width="12.42578125" style="125" bestFit="1" customWidth="1"/>
    <col min="10512" max="10752" width="9.140625" style="125"/>
    <col min="10753" max="10753" width="6.28515625" style="125" customWidth="1"/>
    <col min="10754" max="10754" width="0" style="125" hidden="1" customWidth="1"/>
    <col min="10755" max="10755" width="8.5703125" style="125" customWidth="1"/>
    <col min="10756" max="10756" width="62.5703125" style="125" customWidth="1"/>
    <col min="10757" max="10757" width="10.42578125" style="125" customWidth="1"/>
    <col min="10758" max="10758" width="15.42578125" style="125" customWidth="1"/>
    <col min="10759" max="10759" width="23.28515625" style="125" customWidth="1"/>
    <col min="10760" max="10763" width="0" style="125" hidden="1" customWidth="1"/>
    <col min="10764" max="10764" width="13" style="125" bestFit="1" customWidth="1"/>
    <col min="10765" max="10765" width="4.7109375" style="125" bestFit="1" customWidth="1"/>
    <col min="10766" max="10766" width="9.140625" style="125"/>
    <col min="10767" max="10767" width="12.42578125" style="125" bestFit="1" customWidth="1"/>
    <col min="10768" max="11008" width="9.140625" style="125"/>
    <col min="11009" max="11009" width="6.28515625" style="125" customWidth="1"/>
    <col min="11010" max="11010" width="0" style="125" hidden="1" customWidth="1"/>
    <col min="11011" max="11011" width="8.5703125" style="125" customWidth="1"/>
    <col min="11012" max="11012" width="62.5703125" style="125" customWidth="1"/>
    <col min="11013" max="11013" width="10.42578125" style="125" customWidth="1"/>
    <col min="11014" max="11014" width="15.42578125" style="125" customWidth="1"/>
    <col min="11015" max="11015" width="23.28515625" style="125" customWidth="1"/>
    <col min="11016" max="11019" width="0" style="125" hidden="1" customWidth="1"/>
    <col min="11020" max="11020" width="13" style="125" bestFit="1" customWidth="1"/>
    <col min="11021" max="11021" width="4.7109375" style="125" bestFit="1" customWidth="1"/>
    <col min="11022" max="11022" width="9.140625" style="125"/>
    <col min="11023" max="11023" width="12.42578125" style="125" bestFit="1" customWidth="1"/>
    <col min="11024" max="11264" width="9.140625" style="125"/>
    <col min="11265" max="11265" width="6.28515625" style="125" customWidth="1"/>
    <col min="11266" max="11266" width="0" style="125" hidden="1" customWidth="1"/>
    <col min="11267" max="11267" width="8.5703125" style="125" customWidth="1"/>
    <col min="11268" max="11268" width="62.5703125" style="125" customWidth="1"/>
    <col min="11269" max="11269" width="10.42578125" style="125" customWidth="1"/>
    <col min="11270" max="11270" width="15.42578125" style="125" customWidth="1"/>
    <col min="11271" max="11271" width="23.28515625" style="125" customWidth="1"/>
    <col min="11272" max="11275" width="0" style="125" hidden="1" customWidth="1"/>
    <col min="11276" max="11276" width="13" style="125" bestFit="1" customWidth="1"/>
    <col min="11277" max="11277" width="4.7109375" style="125" bestFit="1" customWidth="1"/>
    <col min="11278" max="11278" width="9.140625" style="125"/>
    <col min="11279" max="11279" width="12.42578125" style="125" bestFit="1" customWidth="1"/>
    <col min="11280" max="11520" width="9.140625" style="125"/>
    <col min="11521" max="11521" width="6.28515625" style="125" customWidth="1"/>
    <col min="11522" max="11522" width="0" style="125" hidden="1" customWidth="1"/>
    <col min="11523" max="11523" width="8.5703125" style="125" customWidth="1"/>
    <col min="11524" max="11524" width="62.5703125" style="125" customWidth="1"/>
    <col min="11525" max="11525" width="10.42578125" style="125" customWidth="1"/>
    <col min="11526" max="11526" width="15.42578125" style="125" customWidth="1"/>
    <col min="11527" max="11527" width="23.28515625" style="125" customWidth="1"/>
    <col min="11528" max="11531" width="0" style="125" hidden="1" customWidth="1"/>
    <col min="11532" max="11532" width="13" style="125" bestFit="1" customWidth="1"/>
    <col min="11533" max="11533" width="4.7109375" style="125" bestFit="1" customWidth="1"/>
    <col min="11534" max="11534" width="9.140625" style="125"/>
    <col min="11535" max="11535" width="12.42578125" style="125" bestFit="1" customWidth="1"/>
    <col min="11536" max="11776" width="9.140625" style="125"/>
    <col min="11777" max="11777" width="6.28515625" style="125" customWidth="1"/>
    <col min="11778" max="11778" width="0" style="125" hidden="1" customWidth="1"/>
    <col min="11779" max="11779" width="8.5703125" style="125" customWidth="1"/>
    <col min="11780" max="11780" width="62.5703125" style="125" customWidth="1"/>
    <col min="11781" max="11781" width="10.42578125" style="125" customWidth="1"/>
    <col min="11782" max="11782" width="15.42578125" style="125" customWidth="1"/>
    <col min="11783" max="11783" width="23.28515625" style="125" customWidth="1"/>
    <col min="11784" max="11787" width="0" style="125" hidden="1" customWidth="1"/>
    <col min="11788" max="11788" width="13" style="125" bestFit="1" customWidth="1"/>
    <col min="11789" max="11789" width="4.7109375" style="125" bestFit="1" customWidth="1"/>
    <col min="11790" max="11790" width="9.140625" style="125"/>
    <col min="11791" max="11791" width="12.42578125" style="125" bestFit="1" customWidth="1"/>
    <col min="11792" max="12032" width="9.140625" style="125"/>
    <col min="12033" max="12033" width="6.28515625" style="125" customWidth="1"/>
    <col min="12034" max="12034" width="0" style="125" hidden="1" customWidth="1"/>
    <col min="12035" max="12035" width="8.5703125" style="125" customWidth="1"/>
    <col min="12036" max="12036" width="62.5703125" style="125" customWidth="1"/>
    <col min="12037" max="12037" width="10.42578125" style="125" customWidth="1"/>
    <col min="12038" max="12038" width="15.42578125" style="125" customWidth="1"/>
    <col min="12039" max="12039" width="23.28515625" style="125" customWidth="1"/>
    <col min="12040" max="12043" width="0" style="125" hidden="1" customWidth="1"/>
    <col min="12044" max="12044" width="13" style="125" bestFit="1" customWidth="1"/>
    <col min="12045" max="12045" width="4.7109375" style="125" bestFit="1" customWidth="1"/>
    <col min="12046" max="12046" width="9.140625" style="125"/>
    <col min="12047" max="12047" width="12.42578125" style="125" bestFit="1" customWidth="1"/>
    <col min="12048" max="12288" width="9.140625" style="125"/>
    <col min="12289" max="12289" width="6.28515625" style="125" customWidth="1"/>
    <col min="12290" max="12290" width="0" style="125" hidden="1" customWidth="1"/>
    <col min="12291" max="12291" width="8.5703125" style="125" customWidth="1"/>
    <col min="12292" max="12292" width="62.5703125" style="125" customWidth="1"/>
    <col min="12293" max="12293" width="10.42578125" style="125" customWidth="1"/>
    <col min="12294" max="12294" width="15.42578125" style="125" customWidth="1"/>
    <col min="12295" max="12295" width="23.28515625" style="125" customWidth="1"/>
    <col min="12296" max="12299" width="0" style="125" hidden="1" customWidth="1"/>
    <col min="12300" max="12300" width="13" style="125" bestFit="1" customWidth="1"/>
    <col min="12301" max="12301" width="4.7109375" style="125" bestFit="1" customWidth="1"/>
    <col min="12302" max="12302" width="9.140625" style="125"/>
    <col min="12303" max="12303" width="12.42578125" style="125" bestFit="1" customWidth="1"/>
    <col min="12304" max="12544" width="9.140625" style="125"/>
    <col min="12545" max="12545" width="6.28515625" style="125" customWidth="1"/>
    <col min="12546" max="12546" width="0" style="125" hidden="1" customWidth="1"/>
    <col min="12547" max="12547" width="8.5703125" style="125" customWidth="1"/>
    <col min="12548" max="12548" width="62.5703125" style="125" customWidth="1"/>
    <col min="12549" max="12549" width="10.42578125" style="125" customWidth="1"/>
    <col min="12550" max="12550" width="15.42578125" style="125" customWidth="1"/>
    <col min="12551" max="12551" width="23.28515625" style="125" customWidth="1"/>
    <col min="12552" max="12555" width="0" style="125" hidden="1" customWidth="1"/>
    <col min="12556" max="12556" width="13" style="125" bestFit="1" customWidth="1"/>
    <col min="12557" max="12557" width="4.7109375" style="125" bestFit="1" customWidth="1"/>
    <col min="12558" max="12558" width="9.140625" style="125"/>
    <col min="12559" max="12559" width="12.42578125" style="125" bestFit="1" customWidth="1"/>
    <col min="12560" max="12800" width="9.140625" style="125"/>
    <col min="12801" max="12801" width="6.28515625" style="125" customWidth="1"/>
    <col min="12802" max="12802" width="0" style="125" hidden="1" customWidth="1"/>
    <col min="12803" max="12803" width="8.5703125" style="125" customWidth="1"/>
    <col min="12804" max="12804" width="62.5703125" style="125" customWidth="1"/>
    <col min="12805" max="12805" width="10.42578125" style="125" customWidth="1"/>
    <col min="12806" max="12806" width="15.42578125" style="125" customWidth="1"/>
    <col min="12807" max="12807" width="23.28515625" style="125" customWidth="1"/>
    <col min="12808" max="12811" width="0" style="125" hidden="1" customWidth="1"/>
    <col min="12812" max="12812" width="13" style="125" bestFit="1" customWidth="1"/>
    <col min="12813" max="12813" width="4.7109375" style="125" bestFit="1" customWidth="1"/>
    <col min="12814" max="12814" width="9.140625" style="125"/>
    <col min="12815" max="12815" width="12.42578125" style="125" bestFit="1" customWidth="1"/>
    <col min="12816" max="13056" width="9.140625" style="125"/>
    <col min="13057" max="13057" width="6.28515625" style="125" customWidth="1"/>
    <col min="13058" max="13058" width="0" style="125" hidden="1" customWidth="1"/>
    <col min="13059" max="13059" width="8.5703125" style="125" customWidth="1"/>
    <col min="13060" max="13060" width="62.5703125" style="125" customWidth="1"/>
    <col min="13061" max="13061" width="10.42578125" style="125" customWidth="1"/>
    <col min="13062" max="13062" width="15.42578125" style="125" customWidth="1"/>
    <col min="13063" max="13063" width="23.28515625" style="125" customWidth="1"/>
    <col min="13064" max="13067" width="0" style="125" hidden="1" customWidth="1"/>
    <col min="13068" max="13068" width="13" style="125" bestFit="1" customWidth="1"/>
    <col min="13069" max="13069" width="4.7109375" style="125" bestFit="1" customWidth="1"/>
    <col min="13070" max="13070" width="9.140625" style="125"/>
    <col min="13071" max="13071" width="12.42578125" style="125" bestFit="1" customWidth="1"/>
    <col min="13072" max="13312" width="9.140625" style="125"/>
    <col min="13313" max="13313" width="6.28515625" style="125" customWidth="1"/>
    <col min="13314" max="13314" width="0" style="125" hidden="1" customWidth="1"/>
    <col min="13315" max="13315" width="8.5703125" style="125" customWidth="1"/>
    <col min="13316" max="13316" width="62.5703125" style="125" customWidth="1"/>
    <col min="13317" max="13317" width="10.42578125" style="125" customWidth="1"/>
    <col min="13318" max="13318" width="15.42578125" style="125" customWidth="1"/>
    <col min="13319" max="13319" width="23.28515625" style="125" customWidth="1"/>
    <col min="13320" max="13323" width="0" style="125" hidden="1" customWidth="1"/>
    <col min="13324" max="13324" width="13" style="125" bestFit="1" customWidth="1"/>
    <col min="13325" max="13325" width="4.7109375" style="125" bestFit="1" customWidth="1"/>
    <col min="13326" max="13326" width="9.140625" style="125"/>
    <col min="13327" max="13327" width="12.42578125" style="125" bestFit="1" customWidth="1"/>
    <col min="13328" max="13568" width="9.140625" style="125"/>
    <col min="13569" max="13569" width="6.28515625" style="125" customWidth="1"/>
    <col min="13570" max="13570" width="0" style="125" hidden="1" customWidth="1"/>
    <col min="13571" max="13571" width="8.5703125" style="125" customWidth="1"/>
    <col min="13572" max="13572" width="62.5703125" style="125" customWidth="1"/>
    <col min="13573" max="13573" width="10.42578125" style="125" customWidth="1"/>
    <col min="13574" max="13574" width="15.42578125" style="125" customWidth="1"/>
    <col min="13575" max="13575" width="23.28515625" style="125" customWidth="1"/>
    <col min="13576" max="13579" width="0" style="125" hidden="1" customWidth="1"/>
    <col min="13580" max="13580" width="13" style="125" bestFit="1" customWidth="1"/>
    <col min="13581" max="13581" width="4.7109375" style="125" bestFit="1" customWidth="1"/>
    <col min="13582" max="13582" width="9.140625" style="125"/>
    <col min="13583" max="13583" width="12.42578125" style="125" bestFit="1" customWidth="1"/>
    <col min="13584" max="13824" width="9.140625" style="125"/>
    <col min="13825" max="13825" width="6.28515625" style="125" customWidth="1"/>
    <col min="13826" max="13826" width="0" style="125" hidden="1" customWidth="1"/>
    <col min="13827" max="13827" width="8.5703125" style="125" customWidth="1"/>
    <col min="13828" max="13828" width="62.5703125" style="125" customWidth="1"/>
    <col min="13829" max="13829" width="10.42578125" style="125" customWidth="1"/>
    <col min="13830" max="13830" width="15.42578125" style="125" customWidth="1"/>
    <col min="13831" max="13831" width="23.28515625" style="125" customWidth="1"/>
    <col min="13832" max="13835" width="0" style="125" hidden="1" customWidth="1"/>
    <col min="13836" max="13836" width="13" style="125" bestFit="1" customWidth="1"/>
    <col min="13837" max="13837" width="4.7109375" style="125" bestFit="1" customWidth="1"/>
    <col min="13838" max="13838" width="9.140625" style="125"/>
    <col min="13839" max="13839" width="12.42578125" style="125" bestFit="1" customWidth="1"/>
    <col min="13840" max="14080" width="9.140625" style="125"/>
    <col min="14081" max="14081" width="6.28515625" style="125" customWidth="1"/>
    <col min="14082" max="14082" width="0" style="125" hidden="1" customWidth="1"/>
    <col min="14083" max="14083" width="8.5703125" style="125" customWidth="1"/>
    <col min="14084" max="14084" width="62.5703125" style="125" customWidth="1"/>
    <col min="14085" max="14085" width="10.42578125" style="125" customWidth="1"/>
    <col min="14086" max="14086" width="15.42578125" style="125" customWidth="1"/>
    <col min="14087" max="14087" width="23.28515625" style="125" customWidth="1"/>
    <col min="14088" max="14091" width="0" style="125" hidden="1" customWidth="1"/>
    <col min="14092" max="14092" width="13" style="125" bestFit="1" customWidth="1"/>
    <col min="14093" max="14093" width="4.7109375" style="125" bestFit="1" customWidth="1"/>
    <col min="14094" max="14094" width="9.140625" style="125"/>
    <col min="14095" max="14095" width="12.42578125" style="125" bestFit="1" customWidth="1"/>
    <col min="14096" max="14336" width="9.140625" style="125"/>
    <col min="14337" max="14337" width="6.28515625" style="125" customWidth="1"/>
    <col min="14338" max="14338" width="0" style="125" hidden="1" customWidth="1"/>
    <col min="14339" max="14339" width="8.5703125" style="125" customWidth="1"/>
    <col min="14340" max="14340" width="62.5703125" style="125" customWidth="1"/>
    <col min="14341" max="14341" width="10.42578125" style="125" customWidth="1"/>
    <col min="14342" max="14342" width="15.42578125" style="125" customWidth="1"/>
    <col min="14343" max="14343" width="23.28515625" style="125" customWidth="1"/>
    <col min="14344" max="14347" width="0" style="125" hidden="1" customWidth="1"/>
    <col min="14348" max="14348" width="13" style="125" bestFit="1" customWidth="1"/>
    <col min="14349" max="14349" width="4.7109375" style="125" bestFit="1" customWidth="1"/>
    <col min="14350" max="14350" width="9.140625" style="125"/>
    <col min="14351" max="14351" width="12.42578125" style="125" bestFit="1" customWidth="1"/>
    <col min="14352" max="14592" width="9.140625" style="125"/>
    <col min="14593" max="14593" width="6.28515625" style="125" customWidth="1"/>
    <col min="14594" max="14594" width="0" style="125" hidden="1" customWidth="1"/>
    <col min="14595" max="14595" width="8.5703125" style="125" customWidth="1"/>
    <col min="14596" max="14596" width="62.5703125" style="125" customWidth="1"/>
    <col min="14597" max="14597" width="10.42578125" style="125" customWidth="1"/>
    <col min="14598" max="14598" width="15.42578125" style="125" customWidth="1"/>
    <col min="14599" max="14599" width="23.28515625" style="125" customWidth="1"/>
    <col min="14600" max="14603" width="0" style="125" hidden="1" customWidth="1"/>
    <col min="14604" max="14604" width="13" style="125" bestFit="1" customWidth="1"/>
    <col min="14605" max="14605" width="4.7109375" style="125" bestFit="1" customWidth="1"/>
    <col min="14606" max="14606" width="9.140625" style="125"/>
    <col min="14607" max="14607" width="12.42578125" style="125" bestFit="1" customWidth="1"/>
    <col min="14608" max="14848" width="9.140625" style="125"/>
    <col min="14849" max="14849" width="6.28515625" style="125" customWidth="1"/>
    <col min="14850" max="14850" width="0" style="125" hidden="1" customWidth="1"/>
    <col min="14851" max="14851" width="8.5703125" style="125" customWidth="1"/>
    <col min="14852" max="14852" width="62.5703125" style="125" customWidth="1"/>
    <col min="14853" max="14853" width="10.42578125" style="125" customWidth="1"/>
    <col min="14854" max="14854" width="15.42578125" style="125" customWidth="1"/>
    <col min="14855" max="14855" width="23.28515625" style="125" customWidth="1"/>
    <col min="14856" max="14859" width="0" style="125" hidden="1" customWidth="1"/>
    <col min="14860" max="14860" width="13" style="125" bestFit="1" customWidth="1"/>
    <col min="14861" max="14861" width="4.7109375" style="125" bestFit="1" customWidth="1"/>
    <col min="14862" max="14862" width="9.140625" style="125"/>
    <col min="14863" max="14863" width="12.42578125" style="125" bestFit="1" customWidth="1"/>
    <col min="14864" max="15104" width="9.140625" style="125"/>
    <col min="15105" max="15105" width="6.28515625" style="125" customWidth="1"/>
    <col min="15106" max="15106" width="0" style="125" hidden="1" customWidth="1"/>
    <col min="15107" max="15107" width="8.5703125" style="125" customWidth="1"/>
    <col min="15108" max="15108" width="62.5703125" style="125" customWidth="1"/>
    <col min="15109" max="15109" width="10.42578125" style="125" customWidth="1"/>
    <col min="15110" max="15110" width="15.42578125" style="125" customWidth="1"/>
    <col min="15111" max="15111" width="23.28515625" style="125" customWidth="1"/>
    <col min="15112" max="15115" width="0" style="125" hidden="1" customWidth="1"/>
    <col min="15116" max="15116" width="13" style="125" bestFit="1" customWidth="1"/>
    <col min="15117" max="15117" width="4.7109375" style="125" bestFit="1" customWidth="1"/>
    <col min="15118" max="15118" width="9.140625" style="125"/>
    <col min="15119" max="15119" width="12.42578125" style="125" bestFit="1" customWidth="1"/>
    <col min="15120" max="15360" width="9.140625" style="125"/>
    <col min="15361" max="15361" width="6.28515625" style="125" customWidth="1"/>
    <col min="15362" max="15362" width="0" style="125" hidden="1" customWidth="1"/>
    <col min="15363" max="15363" width="8.5703125" style="125" customWidth="1"/>
    <col min="15364" max="15364" width="62.5703125" style="125" customWidth="1"/>
    <col min="15365" max="15365" width="10.42578125" style="125" customWidth="1"/>
    <col min="15366" max="15366" width="15.42578125" style="125" customWidth="1"/>
    <col min="15367" max="15367" width="23.28515625" style="125" customWidth="1"/>
    <col min="15368" max="15371" width="0" style="125" hidden="1" customWidth="1"/>
    <col min="15372" max="15372" width="13" style="125" bestFit="1" customWidth="1"/>
    <col min="15373" max="15373" width="4.7109375" style="125" bestFit="1" customWidth="1"/>
    <col min="15374" max="15374" width="9.140625" style="125"/>
    <col min="15375" max="15375" width="12.42578125" style="125" bestFit="1" customWidth="1"/>
    <col min="15376" max="15616" width="9.140625" style="125"/>
    <col min="15617" max="15617" width="6.28515625" style="125" customWidth="1"/>
    <col min="15618" max="15618" width="0" style="125" hidden="1" customWidth="1"/>
    <col min="15619" max="15619" width="8.5703125" style="125" customWidth="1"/>
    <col min="15620" max="15620" width="62.5703125" style="125" customWidth="1"/>
    <col min="15621" max="15621" width="10.42578125" style="125" customWidth="1"/>
    <col min="15622" max="15622" width="15.42578125" style="125" customWidth="1"/>
    <col min="15623" max="15623" width="23.28515625" style="125" customWidth="1"/>
    <col min="15624" max="15627" width="0" style="125" hidden="1" customWidth="1"/>
    <col min="15628" max="15628" width="13" style="125" bestFit="1" customWidth="1"/>
    <col min="15629" max="15629" width="4.7109375" style="125" bestFit="1" customWidth="1"/>
    <col min="15630" max="15630" width="9.140625" style="125"/>
    <col min="15631" max="15631" width="12.42578125" style="125" bestFit="1" customWidth="1"/>
    <col min="15632" max="15872" width="9.140625" style="125"/>
    <col min="15873" max="15873" width="6.28515625" style="125" customWidth="1"/>
    <col min="15874" max="15874" width="0" style="125" hidden="1" customWidth="1"/>
    <col min="15875" max="15875" width="8.5703125" style="125" customWidth="1"/>
    <col min="15876" max="15876" width="62.5703125" style="125" customWidth="1"/>
    <col min="15877" max="15877" width="10.42578125" style="125" customWidth="1"/>
    <col min="15878" max="15878" width="15.42578125" style="125" customWidth="1"/>
    <col min="15879" max="15879" width="23.28515625" style="125" customWidth="1"/>
    <col min="15880" max="15883" width="0" style="125" hidden="1" customWidth="1"/>
    <col min="15884" max="15884" width="13" style="125" bestFit="1" customWidth="1"/>
    <col min="15885" max="15885" width="4.7109375" style="125" bestFit="1" customWidth="1"/>
    <col min="15886" max="15886" width="9.140625" style="125"/>
    <col min="15887" max="15887" width="12.42578125" style="125" bestFit="1" customWidth="1"/>
    <col min="15888" max="16128" width="9.140625" style="125"/>
    <col min="16129" max="16129" width="6.28515625" style="125" customWidth="1"/>
    <col min="16130" max="16130" width="0" style="125" hidden="1" customWidth="1"/>
    <col min="16131" max="16131" width="8.5703125" style="125" customWidth="1"/>
    <col min="16132" max="16132" width="62.5703125" style="125" customWidth="1"/>
    <col min="16133" max="16133" width="10.42578125" style="125" customWidth="1"/>
    <col min="16134" max="16134" width="15.42578125" style="125" customWidth="1"/>
    <col min="16135" max="16135" width="23.28515625" style="125" customWidth="1"/>
    <col min="16136" max="16139" width="0" style="125" hidden="1" customWidth="1"/>
    <col min="16140" max="16140" width="13" style="125" bestFit="1" customWidth="1"/>
    <col min="16141" max="16141" width="4.7109375" style="125" bestFit="1" customWidth="1"/>
    <col min="16142" max="16142" width="9.140625" style="125"/>
    <col min="16143" max="16143" width="12.42578125" style="125" bestFit="1" customWidth="1"/>
    <col min="16144" max="16384" width="9.140625" style="125"/>
  </cols>
  <sheetData>
    <row r="1" spans="1:15" ht="48.75" customHeight="1">
      <c r="A1" s="123" t="s">
        <v>226</v>
      </c>
      <c r="B1" s="123"/>
      <c r="C1" s="123"/>
      <c r="D1" s="123"/>
      <c r="E1" s="123"/>
      <c r="F1" s="123"/>
      <c r="G1" s="123"/>
      <c r="H1" s="123"/>
      <c r="I1" s="123"/>
      <c r="J1" s="123"/>
      <c r="K1" s="123"/>
    </row>
    <row r="2" spans="1:15" ht="22.5" customHeight="1">
      <c r="A2" s="126"/>
      <c r="B2" s="127"/>
      <c r="C2" s="128"/>
      <c r="D2" s="129" t="s">
        <v>185</v>
      </c>
      <c r="E2" s="126"/>
      <c r="F2" s="127"/>
      <c r="G2" s="128"/>
      <c r="H2" s="130"/>
      <c r="I2" s="130"/>
      <c r="J2" s="130"/>
      <c r="K2" s="130"/>
    </row>
    <row r="3" spans="1:15" s="137" customFormat="1" ht="49.5" customHeight="1">
      <c r="A3" s="131" t="s">
        <v>186</v>
      </c>
      <c r="B3" s="132"/>
      <c r="C3" s="132" t="s">
        <v>187</v>
      </c>
      <c r="D3" s="133" t="s">
        <v>188</v>
      </c>
      <c r="E3" s="133" t="s">
        <v>189</v>
      </c>
      <c r="F3" s="134" t="s">
        <v>190</v>
      </c>
      <c r="G3" s="134" t="s">
        <v>191</v>
      </c>
      <c r="H3" s="135" t="s">
        <v>190</v>
      </c>
      <c r="I3" s="135" t="s">
        <v>191</v>
      </c>
      <c r="J3" s="135" t="s">
        <v>190</v>
      </c>
      <c r="K3" s="135" t="s">
        <v>191</v>
      </c>
      <c r="L3" s="136"/>
    </row>
    <row r="4" spans="1:15" s="137" customFormat="1" ht="64.5" customHeight="1">
      <c r="A4" s="138">
        <v>1</v>
      </c>
      <c r="B4" s="139">
        <v>420</v>
      </c>
      <c r="C4" s="140" t="s">
        <v>37</v>
      </c>
      <c r="D4" s="141" t="s">
        <v>227</v>
      </c>
      <c r="E4" s="142">
        <v>10</v>
      </c>
      <c r="F4" s="142">
        <v>155000</v>
      </c>
      <c r="G4" s="142">
        <f>E4*F4</f>
        <v>1550000</v>
      </c>
      <c r="H4" s="143">
        <v>295</v>
      </c>
      <c r="I4" s="144">
        <f>B4*H4</f>
        <v>123900</v>
      </c>
      <c r="J4" s="145">
        <v>289</v>
      </c>
      <c r="K4" s="146">
        <f>B4*J4</f>
        <v>121380</v>
      </c>
      <c r="L4" s="136"/>
      <c r="O4" s="147"/>
    </row>
    <row r="5" spans="1:15" s="137" customFormat="1" ht="64.5" customHeight="1">
      <c r="A5" s="138">
        <v>2</v>
      </c>
      <c r="B5" s="139"/>
      <c r="C5" s="140" t="s">
        <v>187</v>
      </c>
      <c r="D5" s="141" t="s">
        <v>212</v>
      </c>
      <c r="E5" s="142">
        <v>10</v>
      </c>
      <c r="F5" s="142">
        <v>9667</v>
      </c>
      <c r="G5" s="142">
        <f>E5*F5</f>
        <v>96670</v>
      </c>
      <c r="H5" s="143"/>
      <c r="I5" s="144"/>
      <c r="J5" s="145"/>
      <c r="K5" s="146"/>
      <c r="L5" s="136"/>
      <c r="O5" s="147"/>
    </row>
    <row r="6" spans="1:15" s="137" customFormat="1" ht="64.5" customHeight="1">
      <c r="A6" s="138">
        <v>3</v>
      </c>
      <c r="B6" s="139"/>
      <c r="C6" s="140" t="s">
        <v>37</v>
      </c>
      <c r="D6" s="141" t="s">
        <v>228</v>
      </c>
      <c r="E6" s="142">
        <v>18</v>
      </c>
      <c r="F6" s="142">
        <v>12666.6666</v>
      </c>
      <c r="G6" s="142">
        <f>E6*F6</f>
        <v>227999.9988</v>
      </c>
      <c r="H6" s="143">
        <v>295</v>
      </c>
      <c r="I6" s="144">
        <f>B6*H6</f>
        <v>0</v>
      </c>
      <c r="J6" s="145">
        <v>289</v>
      </c>
      <c r="K6" s="146">
        <f>B6*J6</f>
        <v>0</v>
      </c>
      <c r="L6" s="136"/>
      <c r="O6" s="147"/>
    </row>
    <row r="7" spans="1:15" s="137" customFormat="1" ht="64.5" customHeight="1">
      <c r="A7" s="138">
        <v>4</v>
      </c>
      <c r="B7" s="139">
        <v>420</v>
      </c>
      <c r="C7" s="140" t="s">
        <v>37</v>
      </c>
      <c r="D7" s="141" t="s">
        <v>192</v>
      </c>
      <c r="E7" s="142">
        <v>1</v>
      </c>
      <c r="F7" s="142">
        <v>126000</v>
      </c>
      <c r="G7" s="142">
        <f>E7*F7</f>
        <v>126000</v>
      </c>
      <c r="H7" s="143">
        <v>295</v>
      </c>
      <c r="I7" s="144">
        <f>B7*H7</f>
        <v>123900</v>
      </c>
      <c r="J7" s="145">
        <v>289</v>
      </c>
      <c r="K7" s="146">
        <f>B7*J7</f>
        <v>121380</v>
      </c>
      <c r="L7" s="136"/>
      <c r="O7" s="147"/>
    </row>
    <row r="8" spans="1:15" s="137" customFormat="1" ht="59.25" customHeight="1">
      <c r="A8" s="138">
        <v>5</v>
      </c>
      <c r="B8" s="139"/>
      <c r="C8" s="140" t="s">
        <v>37</v>
      </c>
      <c r="D8" s="141" t="s">
        <v>213</v>
      </c>
      <c r="E8" s="142">
        <v>28</v>
      </c>
      <c r="F8" s="142">
        <v>2100</v>
      </c>
      <c r="G8" s="142">
        <f>E8*F8</f>
        <v>58800</v>
      </c>
      <c r="H8" s="143"/>
      <c r="I8" s="144"/>
      <c r="J8" s="145"/>
      <c r="K8" s="146"/>
      <c r="L8" s="136"/>
      <c r="O8" s="147"/>
    </row>
    <row r="9" spans="1:15" s="137" customFormat="1" ht="30" customHeight="1">
      <c r="A9" s="148"/>
      <c r="B9" s="143"/>
      <c r="C9" s="149"/>
      <c r="D9" s="150" t="s">
        <v>193</v>
      </c>
      <c r="E9" s="151"/>
      <c r="F9" s="143"/>
      <c r="G9" s="152">
        <f>SUM(G4:G8)</f>
        <v>2059469.9987999999</v>
      </c>
      <c r="H9" s="143"/>
      <c r="I9" s="144">
        <f>SUM(I4:I4)</f>
        <v>123900</v>
      </c>
      <c r="J9" s="143"/>
      <c r="K9" s="144">
        <f>SUM(K4:K4)</f>
        <v>121380</v>
      </c>
      <c r="L9" s="136"/>
    </row>
    <row r="10" spans="1:15" s="160" customFormat="1" ht="33.75" customHeight="1">
      <c r="A10" s="153">
        <v>7</v>
      </c>
      <c r="B10" s="139"/>
      <c r="C10" s="154"/>
      <c r="D10" s="150" t="s">
        <v>194</v>
      </c>
      <c r="E10" s="155" t="s">
        <v>195</v>
      </c>
      <c r="F10" s="155"/>
      <c r="G10" s="156">
        <f>G9*12%</f>
        <v>247136.39985599997</v>
      </c>
      <c r="H10" s="157"/>
      <c r="I10" s="158"/>
      <c r="J10" s="157"/>
      <c r="K10" s="146"/>
      <c r="L10" s="159"/>
      <c r="M10" s="159"/>
      <c r="N10" s="159"/>
    </row>
    <row r="11" spans="1:15" s="160" customFormat="1" ht="31.5" customHeight="1">
      <c r="A11" s="153"/>
      <c r="B11" s="139"/>
      <c r="C11" s="154"/>
      <c r="D11" s="161" t="s">
        <v>196</v>
      </c>
      <c r="E11" s="162"/>
      <c r="F11" s="163" t="s">
        <v>26</v>
      </c>
      <c r="G11" s="167">
        <f>SUM(G9:G10)</f>
        <v>2306606.3986559999</v>
      </c>
      <c r="H11" s="157"/>
      <c r="I11" s="158"/>
      <c r="J11" s="157"/>
      <c r="K11" s="146"/>
      <c r="L11" s="159"/>
      <c r="M11" s="159"/>
      <c r="N11" s="159"/>
    </row>
    <row r="12" spans="1:15" ht="37.5" customHeight="1">
      <c r="A12" s="153">
        <v>8</v>
      </c>
      <c r="B12" s="143"/>
      <c r="C12" s="165"/>
      <c r="D12" s="166" t="s">
        <v>197</v>
      </c>
      <c r="E12" s="155" t="s">
        <v>195</v>
      </c>
      <c r="F12" s="155"/>
      <c r="G12" s="167">
        <f>G9*1%</f>
        <v>20594.699988</v>
      </c>
      <c r="H12" s="168"/>
      <c r="I12" s="168"/>
      <c r="J12" s="168"/>
      <c r="K12" s="169"/>
    </row>
    <row r="13" spans="1:15" ht="34.5" customHeight="1">
      <c r="A13" s="153">
        <v>9</v>
      </c>
      <c r="B13" s="143"/>
      <c r="C13" s="165"/>
      <c r="D13" s="166" t="s">
        <v>156</v>
      </c>
      <c r="E13" s="155" t="s">
        <v>195</v>
      </c>
      <c r="F13" s="155"/>
      <c r="G13" s="167">
        <f>G11*2.5%</f>
        <v>57665.159966400002</v>
      </c>
      <c r="H13" s="168"/>
      <c r="I13" s="168"/>
      <c r="J13" s="168"/>
      <c r="K13" s="168"/>
    </row>
    <row r="14" spans="1:15" ht="37.5" customHeight="1">
      <c r="A14" s="153">
        <v>10</v>
      </c>
      <c r="B14" s="143"/>
      <c r="C14" s="165"/>
      <c r="D14" s="170" t="s">
        <v>32</v>
      </c>
      <c r="E14" s="155" t="s">
        <v>195</v>
      </c>
      <c r="F14" s="155"/>
      <c r="G14" s="167">
        <f>G11*7.5%</f>
        <v>172995.4798992</v>
      </c>
      <c r="H14" s="168"/>
      <c r="I14" s="168"/>
      <c r="J14" s="168"/>
      <c r="K14" s="168"/>
    </row>
    <row r="15" spans="1:15" ht="33" customHeight="1">
      <c r="A15" s="165"/>
      <c r="B15" s="143"/>
      <c r="C15" s="165"/>
      <c r="D15" s="171" t="s">
        <v>198</v>
      </c>
      <c r="E15" s="172"/>
      <c r="F15" s="173" t="s">
        <v>26</v>
      </c>
      <c r="G15" s="174">
        <f>SUM(G11:G14)</f>
        <v>2557861.7385096001</v>
      </c>
      <c r="H15" s="168"/>
      <c r="I15" s="168"/>
      <c r="J15" s="168"/>
      <c r="K15" s="168"/>
    </row>
    <row r="16" spans="1:15" ht="35.25" customHeight="1">
      <c r="A16" s="165"/>
      <c r="B16" s="143"/>
      <c r="C16" s="165"/>
      <c r="D16" s="171" t="s">
        <v>199</v>
      </c>
      <c r="E16" s="175"/>
      <c r="F16" s="173" t="s">
        <v>26</v>
      </c>
      <c r="G16" s="176">
        <f>CEILING(G15,100)</f>
        <v>2557900</v>
      </c>
      <c r="H16" s="168"/>
      <c r="I16" s="168"/>
      <c r="J16" s="168"/>
      <c r="K16" s="168"/>
    </row>
    <row r="59" ht="3.75" customHeight="1"/>
  </sheetData>
  <mergeCells count="7">
    <mergeCell ref="E14:F14"/>
    <mergeCell ref="A1:K1"/>
    <mergeCell ref="A2:C2"/>
    <mergeCell ref="E2:G2"/>
    <mergeCell ref="E10:F10"/>
    <mergeCell ref="E12:F12"/>
    <mergeCell ref="E13:F13"/>
  </mergeCells>
  <printOptions horizontalCentered="1"/>
  <pageMargins left="0.36" right="0.31" top="0.43307086614173229" bottom="0.19685039370078741" header="0.19685039370078741" footer="0.19685039370078741"/>
  <pageSetup paperSize="9" scale="80" orientation="portrait" r:id="rId1"/>
  <headerFooter>
    <oddHeader>&amp;RPage&amp;P</oddHeader>
  </headerFooter>
  <colBreaks count="2" manualBreakCount="2">
    <brk id="7" max="14" man="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40</vt:i4>
      </vt:variant>
    </vt:vector>
  </HeadingPairs>
  <TitlesOfParts>
    <vt:vector size="66" baseType="lpstr">
      <vt:lpstr>Detail</vt:lpstr>
      <vt:lpstr>Sheet1</vt:lpstr>
      <vt:lpstr>Abs</vt:lpstr>
      <vt:lpstr>Abst</vt:lpstr>
      <vt:lpstr>Detail (2)</vt:lpstr>
      <vt:lpstr>Renovation admin Det</vt:lpstr>
      <vt:lpstr>Detail (3)</vt:lpstr>
      <vt:lpstr>Abst (2)</vt:lpstr>
      <vt:lpstr>Abst (3)</vt:lpstr>
      <vt:lpstr>DETAIL (4)</vt:lpstr>
      <vt:lpstr>abstract</vt:lpstr>
      <vt:lpstr>Guard - Data </vt:lpstr>
      <vt:lpstr>Renovation Barracks Det</vt:lpstr>
      <vt:lpstr>Renovation Barracks Abs</vt:lpstr>
      <vt:lpstr>Bund Abs</vt:lpstr>
      <vt:lpstr>Bund detail</vt:lpstr>
      <vt:lpstr>Renovation admin Abs</vt:lpstr>
      <vt:lpstr>otthi obs ab</vt:lpstr>
      <vt:lpstr>otthi obs det</vt:lpstr>
      <vt:lpstr>Abst (4)</vt:lpstr>
      <vt:lpstr>Detail (5)</vt:lpstr>
      <vt:lpstr>sullage drain abs</vt:lpstr>
      <vt:lpstr>sullage drain det</vt:lpstr>
      <vt:lpstr>detail estimate main</vt:lpstr>
      <vt:lpstr>ABS (2)</vt:lpstr>
      <vt:lpstr>Abst (5)</vt:lpstr>
      <vt:lpstr>Abs!Print_Area</vt:lpstr>
      <vt:lpstr>'ABS (2)'!Print_Area</vt:lpstr>
      <vt:lpstr>Abst!Print_Area</vt:lpstr>
      <vt:lpstr>'Abst (2)'!Print_Area</vt:lpstr>
      <vt:lpstr>'Abst (3)'!Print_Area</vt:lpstr>
      <vt:lpstr>'Abst (4)'!Print_Area</vt:lpstr>
      <vt:lpstr>'Abst (5)'!Print_Area</vt:lpstr>
      <vt:lpstr>abstract!Print_Area</vt:lpstr>
      <vt:lpstr>'Bund Abs'!Print_Area</vt:lpstr>
      <vt:lpstr>'Bund detail'!Print_Area</vt:lpstr>
      <vt:lpstr>Detail!Print_Area</vt:lpstr>
      <vt:lpstr>'DETAIL (4)'!Print_Area</vt:lpstr>
      <vt:lpstr>'detail estimate main'!Print_Area</vt:lpstr>
      <vt:lpstr>'Guard - Data '!Print_Area</vt:lpstr>
      <vt:lpstr>'otthi obs ab'!Print_Area</vt:lpstr>
      <vt:lpstr>'otthi obs det'!Print_Area</vt:lpstr>
      <vt:lpstr>'Renovation admin Abs'!Print_Area</vt:lpstr>
      <vt:lpstr>'Renovation admin Det'!Print_Area</vt:lpstr>
      <vt:lpstr>'Renovation Barracks Abs'!Print_Area</vt:lpstr>
      <vt:lpstr>'Renovation Barracks Det'!Print_Area</vt:lpstr>
      <vt:lpstr>'sullage drain abs'!Print_Area</vt:lpstr>
      <vt:lpstr>'sullage drain det'!Print_Area</vt:lpstr>
      <vt:lpstr>Abs!Print_Titles</vt:lpstr>
      <vt:lpstr>'ABS (2)'!Print_Titles</vt:lpstr>
      <vt:lpstr>Abst!Print_Titles</vt:lpstr>
      <vt:lpstr>'Abst (2)'!Print_Titles</vt:lpstr>
      <vt:lpstr>'Abst (3)'!Print_Titles</vt:lpstr>
      <vt:lpstr>'Abst (4)'!Print_Titles</vt:lpstr>
      <vt:lpstr>'Abst (5)'!Print_Titles</vt:lpstr>
      <vt:lpstr>abstract!Print_Titles</vt:lpstr>
      <vt:lpstr>'Bund Abs'!Print_Titles</vt:lpstr>
      <vt:lpstr>'Bund detail'!Print_Titles</vt:lpstr>
      <vt:lpstr>Detail!Print_Titles</vt:lpstr>
      <vt:lpstr>'DETAIL (4)'!Print_Titles</vt:lpstr>
      <vt:lpstr>'detail estimate main'!Print_Titles</vt:lpstr>
      <vt:lpstr>'Renovation admin Abs'!Print_Titles</vt:lpstr>
      <vt:lpstr>'Renovation admin Det'!Print_Titles</vt:lpstr>
      <vt:lpstr>'Renovation Barracks Abs'!Print_Titles</vt:lpstr>
      <vt:lpstr>'Renovation Barracks Det'!Print_Titles</vt:lpstr>
      <vt:lpstr>'sullage drain abs'!Print_Titles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2023-04-21T11:02:45Z</dcterms:modified>
</cp:coreProperties>
</file>