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45" yWindow="-90" windowWidth="20730" windowHeight="8175" tabRatio="877" firstSheet="3" activeTab="5"/>
  </bookViews>
  <sheets>
    <sheet name="pile data ( M30 grade) (2)" sheetId="50" state="hidden" r:id="rId1"/>
    <sheet name="Sliding and french window" sheetId="25" state="hidden" r:id="rId2"/>
    <sheet name="Sub Data" sheetId="62" state="hidden" r:id="rId3"/>
    <sheet name="station" sheetId="74" r:id="rId4"/>
    <sheet name="main abst" sheetId="75" state="hidden" r:id="rId5"/>
    <sheet name="paver block (2)" sheetId="86" r:id="rId6"/>
    <sheet name="S.T" sheetId="77" state="hidden" r:id="rId7"/>
    <sheet name="Sump" sheetId="78" state="hidden" r:id="rId8"/>
    <sheet name="Plinth " sheetId="79" state="hidden" r:id="rId9"/>
    <sheet name="CMW" sheetId="80" state="hidden" r:id="rId10"/>
    <sheet name="Sullage" sheetId="81" state="hidden" r:id="rId11"/>
    <sheet name="Paver Block" sheetId="82" state="hidden" r:id="rId12"/>
    <sheet name="CUlvert" sheetId="85" state="hidden" r:id="rId13"/>
    <sheet name="UG Cable" sheetId="84" state="hidden" r:id="rId14"/>
    <sheet name="EX Water" sheetId="83" state="hidden" r:id="rId15"/>
  </sheets>
  <externalReferences>
    <externalReference r:id="rId16"/>
    <externalReference r:id="rId17"/>
    <externalReference r:id="rId18"/>
    <externalReference r:id="rId19"/>
  </externalReferences>
  <definedNames>
    <definedName name="aaaaa" localSheetId="12">#REF!</definedName>
    <definedName name="aaaaa" localSheetId="4">#REF!</definedName>
    <definedName name="aaaaa" localSheetId="5">#REF!</definedName>
    <definedName name="aaaaa">#REF!</definedName>
    <definedName name="ahfk" localSheetId="12">#REF!</definedName>
    <definedName name="ahfk" localSheetId="4">#REF!</definedName>
    <definedName name="ahfk" localSheetId="5">#REF!</definedName>
    <definedName name="ahfk" localSheetId="3">#REF!</definedName>
    <definedName name="ahfk">#REF!</definedName>
    <definedName name="anbu\" localSheetId="12">#REF!</definedName>
    <definedName name="anbu\" localSheetId="4">#REF!</definedName>
    <definedName name="anbu\" localSheetId="5">#REF!</definedName>
    <definedName name="anbu\">#REF!</definedName>
    <definedName name="asdxc" localSheetId="12">#REF!</definedName>
    <definedName name="asdxc">#REF!</definedName>
    <definedName name="asdxfcghj" localSheetId="12">#REF!</definedName>
    <definedName name="asdxfcghj">#REF!</definedName>
    <definedName name="assd" localSheetId="12">#REF!</definedName>
    <definedName name="assd" localSheetId="4">#REF!</definedName>
    <definedName name="assd" localSheetId="5">#REF!</definedName>
    <definedName name="assd">#REF!</definedName>
    <definedName name="c.data" localSheetId="12">#REF!</definedName>
    <definedName name="c.data" localSheetId="4">#REF!</definedName>
    <definedName name="c.data" localSheetId="5">#REF!</definedName>
    <definedName name="c.data">#REF!</definedName>
    <definedName name="dsfd" localSheetId="12">#REF!</definedName>
    <definedName name="dsfd" localSheetId="4">#REF!</definedName>
    <definedName name="dsfd" localSheetId="5">#REF!</definedName>
    <definedName name="dsfd">#REF!</definedName>
    <definedName name="electri" localSheetId="12">#REF!</definedName>
    <definedName name="electri" localSheetId="4">#REF!</definedName>
    <definedName name="electri" localSheetId="5">#REF!</definedName>
    <definedName name="electri" localSheetId="3">#REF!</definedName>
    <definedName name="electri">#REF!</definedName>
    <definedName name="fhd" localSheetId="12">#REF!</definedName>
    <definedName name="fhd" localSheetId="4">#REF!</definedName>
    <definedName name="fhd" localSheetId="5">#REF!</definedName>
    <definedName name="fhd" localSheetId="3">#REF!</definedName>
    <definedName name="fhd">#REF!</definedName>
    <definedName name="fjk" localSheetId="12">#REF!</definedName>
    <definedName name="fjk" localSheetId="4">#REF!</definedName>
    <definedName name="fjk" localSheetId="5">#REF!</definedName>
    <definedName name="fjk" localSheetId="3">#REF!</definedName>
    <definedName name="fjk">#REF!</definedName>
    <definedName name="FSEGADRG" localSheetId="12">#REF!</definedName>
    <definedName name="FSEGADRG" localSheetId="4">#REF!</definedName>
    <definedName name="FSEGADRG" localSheetId="5">#REF!</definedName>
    <definedName name="FSEGADRG" localSheetId="3">#REF!</definedName>
    <definedName name="FSEGADRG">#REF!</definedName>
    <definedName name="hia" localSheetId="12">#REF!</definedName>
    <definedName name="hia" localSheetId="4">#REF!</definedName>
    <definedName name="hia" localSheetId="5">#REF!</definedName>
    <definedName name="hia" localSheetId="0">#REF!</definedName>
    <definedName name="hia" localSheetId="3">#REF!</definedName>
    <definedName name="hia">#REF!</definedName>
    <definedName name="ins" localSheetId="12">#REF!</definedName>
    <definedName name="ins" localSheetId="4">#REF!</definedName>
    <definedName name="ins" localSheetId="5">#REF!</definedName>
    <definedName name="ins" localSheetId="3">#REF!</definedName>
    <definedName name="ins">#REF!</definedName>
    <definedName name="k404." localSheetId="12">#REF!</definedName>
    <definedName name="k404." localSheetId="4">#REF!</definedName>
    <definedName name="k404." localSheetId="5">#REF!</definedName>
    <definedName name="k404." localSheetId="3">#REF!</definedName>
    <definedName name="k404.">#REF!</definedName>
    <definedName name="P" localSheetId="12">#REF!</definedName>
    <definedName name="P" localSheetId="4">#REF!</definedName>
    <definedName name="P" localSheetId="5">#REF!</definedName>
    <definedName name="P">#REF!</definedName>
    <definedName name="pc" localSheetId="12">#REF!</definedName>
    <definedName name="pc" localSheetId="4">#REF!</definedName>
    <definedName name="pc" localSheetId="5">#REF!</definedName>
    <definedName name="pc" localSheetId="3">#REF!</definedName>
    <definedName name="pc">#REF!</definedName>
    <definedName name="POOMBUHAR" localSheetId="12">#REF!</definedName>
    <definedName name="POOMBUHAR" localSheetId="4">#REF!</definedName>
    <definedName name="POOMBUHAR" localSheetId="5">#REF!</definedName>
    <definedName name="POOMBUHAR">#REF!</definedName>
    <definedName name="print" localSheetId="12">#REF!</definedName>
    <definedName name="print" localSheetId="4">#REF!</definedName>
    <definedName name="print" localSheetId="5">#REF!</definedName>
    <definedName name="print" localSheetId="0">#REF!</definedName>
    <definedName name="print" localSheetId="3">#REF!</definedName>
    <definedName name="print">#REF!</definedName>
    <definedName name="_xlnm.Print_Area" localSheetId="12">#REF!</definedName>
    <definedName name="_xlnm.Print_Area" localSheetId="4">#REF!</definedName>
    <definedName name="_xlnm.Print_Area" localSheetId="5">#REF!</definedName>
    <definedName name="_xlnm.Print_Area" localSheetId="0">'pile data ( M30 grade) (2)'!$A$1:$H$162</definedName>
    <definedName name="_xlnm.Print_Area" localSheetId="1">'Sliding and french window'!$A$166:$G$241</definedName>
    <definedName name="_xlnm.Print_Area" localSheetId="3">station!$A$1:$J$1520</definedName>
    <definedName name="_xlnm.Print_Area" localSheetId="2">'Sub Data'!$A$1:$F$124</definedName>
    <definedName name="_xlnm.Print_Area">#REF!</definedName>
    <definedName name="PRINT_AREA_MI" localSheetId="12">#REF!</definedName>
    <definedName name="PRINT_AREA_MI" localSheetId="4">#REF!</definedName>
    <definedName name="PRINT_AREA_MI" localSheetId="5">#REF!</definedName>
    <definedName name="PRINT_AREA_MI" localSheetId="0">#REF!</definedName>
    <definedName name="PRINT_AREA_MI" localSheetId="3">#REF!</definedName>
    <definedName name="PRINT_AREA_MI">#REF!</definedName>
    <definedName name="Print_Title" localSheetId="12">#REF!</definedName>
    <definedName name="Print_Title" localSheetId="4">#REF!</definedName>
    <definedName name="Print_Title" localSheetId="5">#REF!</definedName>
    <definedName name="Print_Title">#REF!</definedName>
    <definedName name="_xlnm.Print_Titles" localSheetId="12">#REF!</definedName>
    <definedName name="_xlnm.Print_Titles" localSheetId="4">#REF!</definedName>
    <definedName name="_xlnm.Print_Titles" localSheetId="5">#REF!</definedName>
    <definedName name="_xlnm.Print_Titles" localSheetId="0">#REF!</definedName>
    <definedName name="_xlnm.Print_Titles">#REF!</definedName>
    <definedName name="PRINT_TITLES_MI" localSheetId="12">#REF!</definedName>
    <definedName name="PRINT_TITLES_MI" localSheetId="4">#REF!</definedName>
    <definedName name="PRINT_TITLES_MI" localSheetId="5">#REF!</definedName>
    <definedName name="PRINT_TITLES_MI" localSheetId="0">#REF!</definedName>
    <definedName name="PRINT_TITLES_MI" localSheetId="3">#REF!</definedName>
    <definedName name="PRINT_TITLES_MI">#REF!</definedName>
    <definedName name="QQE" localSheetId="12">#REF!</definedName>
    <definedName name="QQE" localSheetId="4">#REF!</definedName>
    <definedName name="QQE" localSheetId="5">#REF!</definedName>
    <definedName name="QQE" localSheetId="3">#REF!</definedName>
    <definedName name="QQE">#REF!</definedName>
    <definedName name="QWE" localSheetId="12">#REF!</definedName>
    <definedName name="QWE" localSheetId="4">#REF!</definedName>
    <definedName name="QWE" localSheetId="5">#REF!</definedName>
    <definedName name="QWE" localSheetId="3">#REF!</definedName>
    <definedName name="QWE">#REF!</definedName>
    <definedName name="s" localSheetId="12">#REF!</definedName>
    <definedName name="s" localSheetId="4">#REF!</definedName>
    <definedName name="s" localSheetId="5">#REF!</definedName>
    <definedName name="s">#REF!</definedName>
    <definedName name="sdfghj" localSheetId="12">#REF!</definedName>
    <definedName name="sdfghj" localSheetId="4">#REF!</definedName>
    <definedName name="sdfghj" localSheetId="5">#REF!</definedName>
    <definedName name="sdfghj" localSheetId="3">#REF!</definedName>
    <definedName name="sdfghj">#REF!</definedName>
    <definedName name="tyu" localSheetId="12">#REF!</definedName>
    <definedName name="tyu" localSheetId="4">#REF!</definedName>
    <definedName name="tyu" localSheetId="5">#REF!</definedName>
    <definedName name="tyu">#REF!</definedName>
    <definedName name="we" localSheetId="12">#REF!</definedName>
    <definedName name="we" localSheetId="4">#REF!</definedName>
    <definedName name="we" localSheetId="5">#REF!</definedName>
    <definedName name="we">#REF!</definedName>
    <definedName name="Zx" localSheetId="12">#REF!</definedName>
    <definedName name="Zx" localSheetId="4">#REF!</definedName>
    <definedName name="Zx" localSheetId="5">#REF!</definedName>
    <definedName name="Zx">#REF!</definedName>
    <definedName name="zxv" localSheetId="12">#REF!</definedName>
    <definedName name="zxv" localSheetId="4">#REF!</definedName>
    <definedName name="zxv" localSheetId="5">#REF!</definedName>
    <definedName name="zxv">#REF!</definedName>
  </definedNames>
  <calcPr calcId="124519" fullPrecision="0"/>
</workbook>
</file>

<file path=xl/calcChain.xml><?xml version="1.0" encoding="utf-8"?>
<calcChain xmlns="http://schemas.openxmlformats.org/spreadsheetml/2006/main">
  <c r="K1220" i="74"/>
  <c r="K1219"/>
  <c r="I790"/>
  <c r="I617"/>
  <c r="H39" i="86"/>
  <c r="H38"/>
  <c r="H40" s="1"/>
  <c r="H41" s="1"/>
  <c r="H33"/>
  <c r="H32"/>
  <c r="H34" s="1"/>
  <c r="H35" s="1"/>
  <c r="H28"/>
  <c r="H27"/>
  <c r="H29" s="1"/>
  <c r="H30" s="1"/>
  <c r="H22"/>
  <c r="H21"/>
  <c r="H23" s="1"/>
  <c r="H24" s="1"/>
  <c r="H16"/>
  <c r="H15"/>
  <c r="H17" s="1"/>
  <c r="H18" s="1"/>
  <c r="H11"/>
  <c r="H10"/>
  <c r="H12" s="1"/>
  <c r="H13" s="1"/>
  <c r="A1"/>
  <c r="I1520" i="74" l="1"/>
  <c r="I1382"/>
  <c r="I1383" s="1"/>
  <c r="I1384" s="1"/>
  <c r="G47" i="85"/>
  <c r="H36"/>
  <c r="G37" s="1"/>
  <c r="H46"/>
  <c r="E46"/>
  <c r="G44"/>
  <c r="H40"/>
  <c r="H39"/>
  <c r="H35"/>
  <c r="H34"/>
  <c r="H33"/>
  <c r="H32"/>
  <c r="H25"/>
  <c r="H26" s="1"/>
  <c r="G27" s="1"/>
  <c r="H21"/>
  <c r="H12"/>
  <c r="H17"/>
  <c r="H16"/>
  <c r="H15"/>
  <c r="H9"/>
  <c r="G10" s="1"/>
  <c r="H6"/>
  <c r="G7" s="1"/>
  <c r="G50"/>
  <c r="G22"/>
  <c r="G13"/>
  <c r="H49"/>
  <c r="H29"/>
  <c r="G30" s="1"/>
  <c r="A1"/>
  <c r="I159" i="74"/>
  <c r="I161"/>
  <c r="I160"/>
  <c r="I89"/>
  <c r="I88"/>
  <c r="I87"/>
  <c r="I86"/>
  <c r="I85"/>
  <c r="I83"/>
  <c r="I82"/>
  <c r="I81"/>
  <c r="I484"/>
  <c r="I483"/>
  <c r="I482"/>
  <c r="I481"/>
  <c r="I480"/>
  <c r="I479"/>
  <c r="I478"/>
  <c r="I477"/>
  <c r="I476"/>
  <c r="I474"/>
  <c r="I473"/>
  <c r="I472"/>
  <c r="M471"/>
  <c r="I471"/>
  <c r="L471" s="1"/>
  <c r="I21"/>
  <c r="F120" i="62"/>
  <c r="F119"/>
  <c r="F118"/>
  <c r="F117"/>
  <c r="F115"/>
  <c r="D107"/>
  <c r="F107" s="1"/>
  <c r="F111" s="1"/>
  <c r="H22" i="84"/>
  <c r="H23" s="1"/>
  <c r="H62"/>
  <c r="H61"/>
  <c r="H60"/>
  <c r="H54"/>
  <c r="H51"/>
  <c r="H48"/>
  <c r="H45"/>
  <c r="H42"/>
  <c r="H40"/>
  <c r="H36"/>
  <c r="H35"/>
  <c r="H34"/>
  <c r="H37" s="1"/>
  <c r="H31"/>
  <c r="H32" s="1"/>
  <c r="H30"/>
  <c r="H28"/>
  <c r="H27"/>
  <c r="H26"/>
  <c r="H20"/>
  <c r="H19"/>
  <c r="H17"/>
  <c r="H16"/>
  <c r="H12"/>
  <c r="H11"/>
  <c r="H14" s="1"/>
  <c r="H7"/>
  <c r="A2"/>
  <c r="H102" i="83"/>
  <c r="H86"/>
  <c r="H79"/>
  <c r="H73"/>
  <c r="H72"/>
  <c r="H71"/>
  <c r="H70"/>
  <c r="H69"/>
  <c r="H68"/>
  <c r="H67"/>
  <c r="H66"/>
  <c r="H65"/>
  <c r="H64"/>
  <c r="H63"/>
  <c r="H62"/>
  <c r="H59"/>
  <c r="H60" s="1"/>
  <c r="H56"/>
  <c r="G57" s="1"/>
  <c r="H55"/>
  <c r="H50"/>
  <c r="H49"/>
  <c r="H48"/>
  <c r="H47"/>
  <c r="H45"/>
  <c r="H42"/>
  <c r="H43" s="1"/>
  <c r="H37"/>
  <c r="H38" s="1"/>
  <c r="H34"/>
  <c r="H33"/>
  <c r="H30"/>
  <c r="H28"/>
  <c r="H26"/>
  <c r="H24"/>
  <c r="H21"/>
  <c r="H18"/>
  <c r="H17"/>
  <c r="H10"/>
  <c r="H11" s="1"/>
  <c r="H7"/>
  <c r="H8" s="1"/>
  <c r="A2"/>
  <c r="H39" i="82"/>
  <c r="H38"/>
  <c r="H40" s="1"/>
  <c r="H41" s="1"/>
  <c r="H33"/>
  <c r="H32"/>
  <c r="H34" s="1"/>
  <c r="H35" s="1"/>
  <c r="H28"/>
  <c r="H27"/>
  <c r="H29" s="1"/>
  <c r="H30" s="1"/>
  <c r="H22"/>
  <c r="H21"/>
  <c r="H23" s="1"/>
  <c r="H24" s="1"/>
  <c r="H16"/>
  <c r="H15"/>
  <c r="H17" s="1"/>
  <c r="H18" s="1"/>
  <c r="H11"/>
  <c r="H10"/>
  <c r="H12" s="1"/>
  <c r="H13" s="1"/>
  <c r="A1"/>
  <c r="H42" i="81"/>
  <c r="H43" s="1"/>
  <c r="H41"/>
  <c r="H40"/>
  <c r="H39"/>
  <c r="H35"/>
  <c r="H34"/>
  <c r="H33"/>
  <c r="H36" s="1"/>
  <c r="H37" s="1"/>
  <c r="H28"/>
  <c r="H27"/>
  <c r="H26"/>
  <c r="H29" s="1"/>
  <c r="H30" s="1"/>
  <c r="H21"/>
  <c r="H20"/>
  <c r="H19"/>
  <c r="H22" s="1"/>
  <c r="H23" s="1"/>
  <c r="H16"/>
  <c r="H17" s="1"/>
  <c r="H15"/>
  <c r="H14"/>
  <c r="H13"/>
  <c r="H9"/>
  <c r="H8"/>
  <c r="H7"/>
  <c r="H10" s="1"/>
  <c r="H11" s="1"/>
  <c r="G116" i="80"/>
  <c r="I115"/>
  <c r="I114"/>
  <c r="G113"/>
  <c r="G112"/>
  <c r="G117" s="1"/>
  <c r="G119" s="1"/>
  <c r="I111"/>
  <c r="I110"/>
  <c r="I117" s="1"/>
  <c r="I119" s="1"/>
  <c r="H109"/>
  <c r="H117" s="1"/>
  <c r="H119" s="1"/>
  <c r="I104"/>
  <c r="I103"/>
  <c r="I102"/>
  <c r="I101"/>
  <c r="I97"/>
  <c r="I96"/>
  <c r="I95"/>
  <c r="I91"/>
  <c r="I92" s="1"/>
  <c r="I87"/>
  <c r="I88" s="1"/>
  <c r="I89" s="1"/>
  <c r="F78"/>
  <c r="I78" s="1"/>
  <c r="I73"/>
  <c r="I72"/>
  <c r="I71"/>
  <c r="I70"/>
  <c r="I69"/>
  <c r="I68"/>
  <c r="I67"/>
  <c r="I66"/>
  <c r="I65"/>
  <c r="I64"/>
  <c r="I74" s="1"/>
  <c r="I75" s="1"/>
  <c r="I83" s="1"/>
  <c r="I60"/>
  <c r="I58"/>
  <c r="I57"/>
  <c r="I56"/>
  <c r="I55"/>
  <c r="I54"/>
  <c r="D49"/>
  <c r="I49" s="1"/>
  <c r="I48"/>
  <c r="I46"/>
  <c r="I45"/>
  <c r="I40"/>
  <c r="I39"/>
  <c r="I41" s="1"/>
  <c r="I42" s="1"/>
  <c r="I34"/>
  <c r="I35" s="1"/>
  <c r="I36" s="1"/>
  <c r="I30"/>
  <c r="I29"/>
  <c r="I28"/>
  <c r="I27"/>
  <c r="I26"/>
  <c r="I21"/>
  <c r="D21"/>
  <c r="I20"/>
  <c r="I19"/>
  <c r="I18"/>
  <c r="I17"/>
  <c r="I16"/>
  <c r="I15"/>
  <c r="I22" s="1"/>
  <c r="I23" s="1"/>
  <c r="I11"/>
  <c r="I10"/>
  <c r="I9"/>
  <c r="I8"/>
  <c r="I7"/>
  <c r="I6"/>
  <c r="I12" s="1"/>
  <c r="I13" s="1"/>
  <c r="I46" i="79"/>
  <c r="I45"/>
  <c r="I47" s="1"/>
  <c r="I48" s="1"/>
  <c r="I39"/>
  <c r="I40" s="1"/>
  <c r="I41" s="1"/>
  <c r="I38"/>
  <c r="I34"/>
  <c r="I35" s="1"/>
  <c r="I33"/>
  <c r="I32"/>
  <c r="I27"/>
  <c r="I28" s="1"/>
  <c r="I21"/>
  <c r="F20"/>
  <c r="I20" s="1"/>
  <c r="I22" s="1"/>
  <c r="I23" s="1"/>
  <c r="I14"/>
  <c r="I13"/>
  <c r="I15" s="1"/>
  <c r="I16" s="1"/>
  <c r="B12"/>
  <c r="B19" s="1"/>
  <c r="B26" s="1"/>
  <c r="B31" s="1"/>
  <c r="B37" s="1"/>
  <c r="B44" s="1"/>
  <c r="I7"/>
  <c r="I6"/>
  <c r="I8" s="1"/>
  <c r="I9" s="1"/>
  <c r="A1"/>
  <c r="G83" i="78"/>
  <c r="G82"/>
  <c r="G81"/>
  <c r="G80"/>
  <c r="G79"/>
  <c r="G78"/>
  <c r="G77"/>
  <c r="G76"/>
  <c r="G75"/>
  <c r="G74"/>
  <c r="G73"/>
  <c r="G72"/>
  <c r="G71"/>
  <c r="G69"/>
  <c r="G68"/>
  <c r="H67"/>
  <c r="H66"/>
  <c r="H84" s="1"/>
  <c r="H86" s="1"/>
  <c r="G65"/>
  <c r="G64"/>
  <c r="G63"/>
  <c r="G62"/>
  <c r="G61"/>
  <c r="G60"/>
  <c r="G59"/>
  <c r="G58"/>
  <c r="G57"/>
  <c r="G56"/>
  <c r="G55"/>
  <c r="G54"/>
  <c r="G84" s="1"/>
  <c r="G86" s="1"/>
  <c r="G87" s="1"/>
  <c r="H45"/>
  <c r="H41"/>
  <c r="H42" s="1"/>
  <c r="H34"/>
  <c r="H35" s="1"/>
  <c r="H33"/>
  <c r="H32"/>
  <c r="H29"/>
  <c r="H30" s="1"/>
  <c r="H25"/>
  <c r="H24"/>
  <c r="H23"/>
  <c r="H26" s="1"/>
  <c r="H27" s="1"/>
  <c r="H19"/>
  <c r="H20" s="1"/>
  <c r="H21" s="1"/>
  <c r="E88" s="1"/>
  <c r="H88" s="1"/>
  <c r="G89" s="1"/>
  <c r="H13"/>
  <c r="H10"/>
  <c r="H7"/>
  <c r="H125" i="77"/>
  <c r="H124"/>
  <c r="H126" s="1"/>
  <c r="G127" s="1"/>
  <c r="H119"/>
  <c r="H118"/>
  <c r="H117"/>
  <c r="H116"/>
  <c r="H115"/>
  <c r="C109"/>
  <c r="C108"/>
  <c r="H105"/>
  <c r="G106" s="1"/>
  <c r="H100"/>
  <c r="H99"/>
  <c r="H101" s="1"/>
  <c r="H102" s="1"/>
  <c r="H91"/>
  <c r="H92" s="1"/>
  <c r="H80"/>
  <c r="F79"/>
  <c r="E79"/>
  <c r="H79" s="1"/>
  <c r="H81" s="1"/>
  <c r="H82" s="1"/>
  <c r="H78"/>
  <c r="H74"/>
  <c r="H75" s="1"/>
  <c r="H76" s="1"/>
  <c r="E109" s="1"/>
  <c r="G109" s="1"/>
  <c r="H71"/>
  <c r="G72" s="1"/>
  <c r="G67"/>
  <c r="H67" s="1"/>
  <c r="E66"/>
  <c r="H66" s="1"/>
  <c r="H65"/>
  <c r="H64"/>
  <c r="H63"/>
  <c r="H68" s="1"/>
  <c r="H69" s="1"/>
  <c r="H57"/>
  <c r="H56"/>
  <c r="H59" s="1"/>
  <c r="H60" s="1"/>
  <c r="E108" s="1"/>
  <c r="G108" s="1"/>
  <c r="G110" s="1"/>
  <c r="C111" s="1"/>
  <c r="H111" s="1"/>
  <c r="G112" s="1"/>
  <c r="H51"/>
  <c r="H50"/>
  <c r="H49"/>
  <c r="H48"/>
  <c r="H47"/>
  <c r="H52" s="1"/>
  <c r="H53" s="1"/>
  <c r="H41"/>
  <c r="H42" s="1"/>
  <c r="H37"/>
  <c r="H38" s="1"/>
  <c r="H33"/>
  <c r="G34" s="1"/>
  <c r="H32"/>
  <c r="H28"/>
  <c r="H29" s="1"/>
  <c r="G30" s="1"/>
  <c r="H24"/>
  <c r="H25" s="1"/>
  <c r="H18"/>
  <c r="H19" s="1"/>
  <c r="H20" s="1"/>
  <c r="H21" s="1"/>
  <c r="H13"/>
  <c r="H12"/>
  <c r="H11"/>
  <c r="H14" s="1"/>
  <c r="H15" s="1"/>
  <c r="A5"/>
  <c r="H41" i="85" l="1"/>
  <c r="G42" s="1"/>
  <c r="H18"/>
  <c r="G19" s="1"/>
  <c r="I90" i="74"/>
  <c r="L476"/>
  <c r="I105" i="80"/>
  <c r="I106" s="1"/>
  <c r="I98"/>
  <c r="I99" s="1"/>
  <c r="I31"/>
  <c r="I32" s="1"/>
  <c r="I61"/>
  <c r="I62" s="1"/>
  <c r="H35" i="83"/>
  <c r="H19"/>
  <c r="H51"/>
  <c r="H120" i="77"/>
  <c r="G121" s="1"/>
  <c r="I120" i="80"/>
  <c r="I121" s="1"/>
  <c r="I50"/>
  <c r="I51" s="1"/>
  <c r="F80"/>
  <c r="I80" s="1"/>
  <c r="C175" i="75" l="1"/>
  <c r="F106"/>
  <c r="F110"/>
  <c r="F136"/>
  <c r="F144"/>
  <c r="F155"/>
  <c r="F156"/>
  <c r="F160"/>
  <c r="F163"/>
  <c r="F166"/>
  <c r="E154"/>
  <c r="I1455" i="74"/>
  <c r="I1454"/>
  <c r="I1452"/>
  <c r="C99" i="75"/>
  <c r="E91"/>
  <c r="E88"/>
  <c r="E82"/>
  <c r="F8"/>
  <c r="F16"/>
  <c r="F20"/>
  <c r="F24"/>
  <c r="F29"/>
  <c r="F32"/>
  <c r="F36"/>
  <c r="F39"/>
  <c r="F52"/>
  <c r="F53"/>
  <c r="F71"/>
  <c r="E60"/>
  <c r="B51"/>
  <c r="B176"/>
  <c r="E172"/>
  <c r="D172"/>
  <c r="C172"/>
  <c r="B172"/>
  <c r="E171"/>
  <c r="D171"/>
  <c r="C171"/>
  <c r="B171"/>
  <c r="E170"/>
  <c r="D170"/>
  <c r="C170"/>
  <c r="B170"/>
  <c r="E169"/>
  <c r="D169"/>
  <c r="C169"/>
  <c r="B169"/>
  <c r="E168"/>
  <c r="D168"/>
  <c r="C168"/>
  <c r="B168"/>
  <c r="E167"/>
  <c r="D167"/>
  <c r="C167"/>
  <c r="B167"/>
  <c r="B166"/>
  <c r="E165"/>
  <c r="D165"/>
  <c r="C165"/>
  <c r="B165"/>
  <c r="E164"/>
  <c r="D164"/>
  <c r="C164"/>
  <c r="B164"/>
  <c r="B163"/>
  <c r="D162"/>
  <c r="C162"/>
  <c r="B162"/>
  <c r="D161"/>
  <c r="C161"/>
  <c r="B161"/>
  <c r="B160"/>
  <c r="C159"/>
  <c r="C158"/>
  <c r="C157"/>
  <c r="D154"/>
  <c r="C154"/>
  <c r="B154"/>
  <c r="D153"/>
  <c r="C153"/>
  <c r="B153"/>
  <c r="D152"/>
  <c r="C152"/>
  <c r="B152"/>
  <c r="A152"/>
  <c r="D151"/>
  <c r="C151"/>
  <c r="F151" s="1"/>
  <c r="B151"/>
  <c r="B1455" i="74" s="1"/>
  <c r="E150" i="75"/>
  <c r="D150"/>
  <c r="C150"/>
  <c r="B150"/>
  <c r="B1454" i="74" s="1"/>
  <c r="D149" i="75"/>
  <c r="C149"/>
  <c r="B149"/>
  <c r="A149"/>
  <c r="D148"/>
  <c r="C148"/>
  <c r="B148"/>
  <c r="A148"/>
  <c r="E147"/>
  <c r="D147"/>
  <c r="C147"/>
  <c r="B147"/>
  <c r="B1448" i="74" s="1"/>
  <c r="I1448" s="1"/>
  <c r="D146" i="75"/>
  <c r="C146"/>
  <c r="B146"/>
  <c r="D145"/>
  <c r="C145"/>
  <c r="B145"/>
  <c r="A144"/>
  <c r="D143"/>
  <c r="C143"/>
  <c r="B143"/>
  <c r="A143"/>
  <c r="D142"/>
  <c r="C142"/>
  <c r="B142"/>
  <c r="A142"/>
  <c r="C141"/>
  <c r="E140"/>
  <c r="D140"/>
  <c r="C140"/>
  <c r="B140"/>
  <c r="A140"/>
  <c r="D139"/>
  <c r="C139"/>
  <c r="B139"/>
  <c r="A139"/>
  <c r="D138"/>
  <c r="C138"/>
  <c r="B138"/>
  <c r="D137"/>
  <c r="C137"/>
  <c r="B137"/>
  <c r="B136"/>
  <c r="A136"/>
  <c r="D135"/>
  <c r="C135"/>
  <c r="B135"/>
  <c r="A135"/>
  <c r="D134"/>
  <c r="C134"/>
  <c r="F134" s="1"/>
  <c r="B134"/>
  <c r="A134"/>
  <c r="D133"/>
  <c r="C133"/>
  <c r="F133" s="1"/>
  <c r="B133"/>
  <c r="A133"/>
  <c r="E132"/>
  <c r="D132"/>
  <c r="C132"/>
  <c r="F132" s="1"/>
  <c r="B132"/>
  <c r="A132"/>
  <c r="D131"/>
  <c r="C131"/>
  <c r="B131"/>
  <c r="A131"/>
  <c r="D130"/>
  <c r="C130"/>
  <c r="B130"/>
  <c r="A130"/>
  <c r="C129"/>
  <c r="D128"/>
  <c r="C128"/>
  <c r="B128"/>
  <c r="A128"/>
  <c r="E127"/>
  <c r="D127"/>
  <c r="C127"/>
  <c r="B127"/>
  <c r="A127"/>
  <c r="D126"/>
  <c r="C126"/>
  <c r="B126"/>
  <c r="A126"/>
  <c r="D125"/>
  <c r="C125"/>
  <c r="B125"/>
  <c r="A125"/>
  <c r="C124"/>
  <c r="C121"/>
  <c r="D120"/>
  <c r="C120"/>
  <c r="B120"/>
  <c r="A120"/>
  <c r="D119"/>
  <c r="C119"/>
  <c r="B119"/>
  <c r="D118"/>
  <c r="C118"/>
  <c r="B118"/>
  <c r="D117"/>
  <c r="C117"/>
  <c r="B117"/>
  <c r="D116"/>
  <c r="C116"/>
  <c r="B116"/>
  <c r="D115"/>
  <c r="C115"/>
  <c r="F115" s="1"/>
  <c r="B115"/>
  <c r="D114"/>
  <c r="C114"/>
  <c r="B114"/>
  <c r="D113"/>
  <c r="C113"/>
  <c r="B113"/>
  <c r="D112"/>
  <c r="C112"/>
  <c r="B112"/>
  <c r="D111"/>
  <c r="C111"/>
  <c r="B111"/>
  <c r="B110"/>
  <c r="A110"/>
  <c r="C109"/>
  <c r="D108"/>
  <c r="C108"/>
  <c r="D107"/>
  <c r="C107"/>
  <c r="D105"/>
  <c r="C105"/>
  <c r="B105"/>
  <c r="D104"/>
  <c r="C104"/>
  <c r="B104"/>
  <c r="B102"/>
  <c r="D101"/>
  <c r="B101"/>
  <c r="A101"/>
  <c r="D99"/>
  <c r="B99"/>
  <c r="A99"/>
  <c r="D98"/>
  <c r="B98"/>
  <c r="A98"/>
  <c r="D97"/>
  <c r="B97"/>
  <c r="A97"/>
  <c r="D96"/>
  <c r="B96"/>
  <c r="A96"/>
  <c r="D95"/>
  <c r="B95"/>
  <c r="A95"/>
  <c r="D94"/>
  <c r="B94"/>
  <c r="A94"/>
  <c r="D93"/>
  <c r="B93"/>
  <c r="A93"/>
  <c r="D89"/>
  <c r="A89"/>
  <c r="D88"/>
  <c r="B88"/>
  <c r="A88"/>
  <c r="D87"/>
  <c r="B87"/>
  <c r="A87"/>
  <c r="D86"/>
  <c r="B86"/>
  <c r="A86"/>
  <c r="D85"/>
  <c r="B85"/>
  <c r="A85"/>
  <c r="D84"/>
  <c r="B84"/>
  <c r="A84"/>
  <c r="D83"/>
  <c r="B83"/>
  <c r="A83"/>
  <c r="D82"/>
  <c r="C82"/>
  <c r="B82"/>
  <c r="D81"/>
  <c r="B81"/>
  <c r="D80"/>
  <c r="B80"/>
  <c r="A80"/>
  <c r="F79"/>
  <c r="B79"/>
  <c r="D78"/>
  <c r="C78"/>
  <c r="B78"/>
  <c r="A78"/>
  <c r="D77"/>
  <c r="C77"/>
  <c r="F77" s="1"/>
  <c r="B77"/>
  <c r="A77"/>
  <c r="E76"/>
  <c r="D76"/>
  <c r="C76"/>
  <c r="B76"/>
  <c r="A76"/>
  <c r="D75"/>
  <c r="C75"/>
  <c r="B75"/>
  <c r="A75"/>
  <c r="D73"/>
  <c r="C73"/>
  <c r="B73"/>
  <c r="D72"/>
  <c r="C72"/>
  <c r="B72"/>
  <c r="B71"/>
  <c r="A71"/>
  <c r="D70"/>
  <c r="C70"/>
  <c r="F70" s="1"/>
  <c r="B70"/>
  <c r="A70"/>
  <c r="D69"/>
  <c r="C69"/>
  <c r="B69"/>
  <c r="A69"/>
  <c r="D68"/>
  <c r="C68"/>
  <c r="B68"/>
  <c r="A68"/>
  <c r="D67"/>
  <c r="C67"/>
  <c r="B67"/>
  <c r="A67"/>
  <c r="D66"/>
  <c r="C66"/>
  <c r="F66" s="1"/>
  <c r="B66"/>
  <c r="A66"/>
  <c r="D65"/>
  <c r="C65"/>
  <c r="B65"/>
  <c r="A65"/>
  <c r="D64"/>
  <c r="C64"/>
  <c r="B64"/>
  <c r="A64"/>
  <c r="D63"/>
  <c r="C63"/>
  <c r="B63"/>
  <c r="A63"/>
  <c r="D62"/>
  <c r="B62"/>
  <c r="A62"/>
  <c r="D61"/>
  <c r="B61"/>
  <c r="A61"/>
  <c r="D60"/>
  <c r="B60"/>
  <c r="A60"/>
  <c r="D58"/>
  <c r="B58"/>
  <c r="A58"/>
  <c r="D57"/>
  <c r="B57"/>
  <c r="A57"/>
  <c r="D56"/>
  <c r="B56"/>
  <c r="D55"/>
  <c r="B55"/>
  <c r="D54"/>
  <c r="B54"/>
  <c r="A54"/>
  <c r="B53"/>
  <c r="A53"/>
  <c r="D50"/>
  <c r="B50"/>
  <c r="A50"/>
  <c r="D49"/>
  <c r="B49"/>
  <c r="A49"/>
  <c r="D48"/>
  <c r="B48"/>
  <c r="A48"/>
  <c r="D47"/>
  <c r="B47"/>
  <c r="A47"/>
  <c r="D46"/>
  <c r="B46"/>
  <c r="A46"/>
  <c r="D45"/>
  <c r="B45"/>
  <c r="A45"/>
  <c r="D44"/>
  <c r="B44"/>
  <c r="A44"/>
  <c r="D43"/>
  <c r="B43"/>
  <c r="A43"/>
  <c r="D42"/>
  <c r="B42"/>
  <c r="A42"/>
  <c r="D41"/>
  <c r="B41"/>
  <c r="D40"/>
  <c r="B40"/>
  <c r="B39"/>
  <c r="A39"/>
  <c r="D35"/>
  <c r="B35"/>
  <c r="A35"/>
  <c r="D34"/>
  <c r="B34"/>
  <c r="D33"/>
  <c r="B33"/>
  <c r="B32"/>
  <c r="D31"/>
  <c r="B31"/>
  <c r="D30"/>
  <c r="B30"/>
  <c r="B29"/>
  <c r="D27"/>
  <c r="B27"/>
  <c r="D26"/>
  <c r="B26"/>
  <c r="D25"/>
  <c r="B25"/>
  <c r="B24"/>
  <c r="A24"/>
  <c r="D23"/>
  <c r="B23"/>
  <c r="D22"/>
  <c r="B22"/>
  <c r="D21"/>
  <c r="B21"/>
  <c r="B20"/>
  <c r="A20"/>
  <c r="C19"/>
  <c r="C18"/>
  <c r="C17"/>
  <c r="D15"/>
  <c r="B15"/>
  <c r="A15"/>
  <c r="C14"/>
  <c r="D13"/>
  <c r="B13"/>
  <c r="A13"/>
  <c r="C12"/>
  <c r="D11"/>
  <c r="B11"/>
  <c r="A11"/>
  <c r="D10"/>
  <c r="B10"/>
  <c r="D9"/>
  <c r="B9"/>
  <c r="D8"/>
  <c r="B8"/>
  <c r="A8"/>
  <c r="D7"/>
  <c r="B7"/>
  <c r="D6"/>
  <c r="B6"/>
  <c r="B5"/>
  <c r="A5"/>
  <c r="A1"/>
  <c r="E28"/>
  <c r="I420" i="74"/>
  <c r="E114" i="75"/>
  <c r="F114" s="1"/>
  <c r="I1222" i="74"/>
  <c r="I1220"/>
  <c r="F1221"/>
  <c r="I1221" s="1"/>
  <c r="I304"/>
  <c r="F164" i="75" l="1"/>
  <c r="F165"/>
  <c r="E175"/>
  <c r="F175" s="1"/>
  <c r="E149"/>
  <c r="F149" s="1"/>
  <c r="F167"/>
  <c r="F168"/>
  <c r="F169"/>
  <c r="F170"/>
  <c r="F171"/>
  <c r="F172"/>
  <c r="F140"/>
  <c r="F147"/>
  <c r="F150"/>
  <c r="F127"/>
  <c r="F154"/>
  <c r="F82"/>
  <c r="F76"/>
  <c r="I1219" i="74"/>
  <c r="E51" i="75" l="1"/>
  <c r="I1426" i="74"/>
  <c r="I1374"/>
  <c r="I1373"/>
  <c r="I1371"/>
  <c r="I1370"/>
  <c r="I1360"/>
  <c r="I1361"/>
  <c r="I1359"/>
  <c r="I1358"/>
  <c r="I1357"/>
  <c r="I1356"/>
  <c r="I1355"/>
  <c r="I1354"/>
  <c r="I1338"/>
  <c r="I1330"/>
  <c r="I1334"/>
  <c r="I1336"/>
  <c r="I1335"/>
  <c r="I1333"/>
  <c r="I1332"/>
  <c r="I1331"/>
  <c r="I1329"/>
  <c r="I1209"/>
  <c r="I1208"/>
  <c r="I1217"/>
  <c r="F1205"/>
  <c r="I1137"/>
  <c r="I1136"/>
  <c r="I1135"/>
  <c r="I1134"/>
  <c r="I1133"/>
  <c r="I1132"/>
  <c r="I1131"/>
  <c r="I1130"/>
  <c r="I1129"/>
  <c r="I1111"/>
  <c r="I770"/>
  <c r="I769"/>
  <c r="I747"/>
  <c r="I651"/>
  <c r="I643"/>
  <c r="I641"/>
  <c r="I640"/>
  <c r="I628"/>
  <c r="I317"/>
  <c r="I562"/>
  <c r="I563"/>
  <c r="G561"/>
  <c r="I557"/>
  <c r="I556"/>
  <c r="G555"/>
  <c r="I315"/>
  <c r="I316"/>
  <c r="I255"/>
  <c r="F261"/>
  <c r="G254"/>
  <c r="I247"/>
  <c r="I176"/>
  <c r="I191"/>
  <c r="I158"/>
  <c r="I162"/>
  <c r="I144"/>
  <c r="I116"/>
  <c r="G60"/>
  <c r="G44"/>
  <c r="I33"/>
  <c r="I22"/>
  <c r="I23"/>
  <c r="I1493"/>
  <c r="I1425"/>
  <c r="I1424"/>
  <c r="I1423"/>
  <c r="I1422"/>
  <c r="I1421"/>
  <c r="I1420"/>
  <c r="I576"/>
  <c r="I578" s="1"/>
  <c r="I1519"/>
  <c r="I1458"/>
  <c r="I1048"/>
  <c r="I1488"/>
  <c r="I1487"/>
  <c r="I1512"/>
  <c r="I1511"/>
  <c r="I1510"/>
  <c r="I1509"/>
  <c r="I1508"/>
  <c r="I1507"/>
  <c r="I1506"/>
  <c r="I1505"/>
  <c r="I1504"/>
  <c r="I1503"/>
  <c r="K1495"/>
  <c r="I1502"/>
  <c r="I1471"/>
  <c r="I1469"/>
  <c r="I1467"/>
  <c r="I1461"/>
  <c r="I1460"/>
  <c r="I1450"/>
  <c r="I1446"/>
  <c r="I1445"/>
  <c r="I1442"/>
  <c r="I1441"/>
  <c r="I998"/>
  <c r="I997"/>
  <c r="I996"/>
  <c r="I995"/>
  <c r="I994"/>
  <c r="I993"/>
  <c r="I992"/>
  <c r="I991"/>
  <c r="I990"/>
  <c r="I989"/>
  <c r="I988"/>
  <c r="I987"/>
  <c r="I986"/>
  <c r="I985"/>
  <c r="I984"/>
  <c r="I970"/>
  <c r="I961"/>
  <c r="I950"/>
  <c r="I947"/>
  <c r="I946"/>
  <c r="I945"/>
  <c r="I944"/>
  <c r="I943"/>
  <c r="I942"/>
  <c r="I941"/>
  <c r="I940"/>
  <c r="I939"/>
  <c r="I933"/>
  <c r="I932"/>
  <c r="I931"/>
  <c r="I930"/>
  <c r="I929"/>
  <c r="I928"/>
  <c r="I927"/>
  <c r="I926"/>
  <c r="I925"/>
  <c r="I924"/>
  <c r="I923"/>
  <c r="I922"/>
  <c r="I919"/>
  <c r="I918"/>
  <c r="I917"/>
  <c r="I916"/>
  <c r="I915"/>
  <c r="I914"/>
  <c r="I913"/>
  <c r="I912"/>
  <c r="I911"/>
  <c r="I910"/>
  <c r="I909"/>
  <c r="I908"/>
  <c r="I907"/>
  <c r="I906"/>
  <c r="I905"/>
  <c r="I904"/>
  <c r="I1417"/>
  <c r="I1413"/>
  <c r="I1412"/>
  <c r="I1410"/>
  <c r="I1406"/>
  <c r="I1405"/>
  <c r="I1400"/>
  <c r="I1399"/>
  <c r="I1393"/>
  <c r="I1365"/>
  <c r="I1364"/>
  <c r="I1363"/>
  <c r="I1362"/>
  <c r="I572"/>
  <c r="I573" s="1"/>
  <c r="I574" s="1"/>
  <c r="I1348"/>
  <c r="I1347"/>
  <c r="I1346"/>
  <c r="I1345"/>
  <c r="I1344"/>
  <c r="I1343"/>
  <c r="I1342"/>
  <c r="I1341"/>
  <c r="I1340"/>
  <c r="I1337"/>
  <c r="J1326"/>
  <c r="H1326"/>
  <c r="I1324"/>
  <c r="IG1305"/>
  <c r="IF1305"/>
  <c r="IE1305"/>
  <c r="ID1305"/>
  <c r="IC1305"/>
  <c r="IB1305"/>
  <c r="IA1305"/>
  <c r="HZ1305"/>
  <c r="HY1305"/>
  <c r="HX1305"/>
  <c r="HW1305"/>
  <c r="HV1305"/>
  <c r="HU1305"/>
  <c r="HT1305"/>
  <c r="HS1305"/>
  <c r="HR1305"/>
  <c r="HQ1305"/>
  <c r="HP1305"/>
  <c r="HO1305"/>
  <c r="HN1305"/>
  <c r="HM1305"/>
  <c r="HL1305"/>
  <c r="HK1305"/>
  <c r="HJ1305"/>
  <c r="HI1305"/>
  <c r="HH1305"/>
  <c r="HG1305"/>
  <c r="HF1305"/>
  <c r="HE1305"/>
  <c r="HD1305"/>
  <c r="HC1305"/>
  <c r="HB1305"/>
  <c r="HA1305"/>
  <c r="GZ1305"/>
  <c r="GY1305"/>
  <c r="GX1305"/>
  <c r="GW1305"/>
  <c r="GV1305"/>
  <c r="GU1305"/>
  <c r="GT1305"/>
  <c r="GS1305"/>
  <c r="GR1305"/>
  <c r="GQ1305"/>
  <c r="GP1305"/>
  <c r="GO1305"/>
  <c r="GN1305"/>
  <c r="GM1305"/>
  <c r="GL1305"/>
  <c r="GK1305"/>
  <c r="GJ1305"/>
  <c r="GI1305"/>
  <c r="GH1305"/>
  <c r="GG1305"/>
  <c r="GF1305"/>
  <c r="GE1305"/>
  <c r="GD1305"/>
  <c r="GC1305"/>
  <c r="GB1305"/>
  <c r="GA1305"/>
  <c r="FZ1305"/>
  <c r="FY1305"/>
  <c r="FX1305"/>
  <c r="FW1305"/>
  <c r="FV1305"/>
  <c r="FU1305"/>
  <c r="FT1305"/>
  <c r="FS1305"/>
  <c r="FR1305"/>
  <c r="FQ1305"/>
  <c r="FP1305"/>
  <c r="FO1305"/>
  <c r="FN1305"/>
  <c r="FM1305"/>
  <c r="FL1305"/>
  <c r="FK1305"/>
  <c r="FJ1305"/>
  <c r="FI1305"/>
  <c r="FH1305"/>
  <c r="FG1305"/>
  <c r="FF1305"/>
  <c r="FE1305"/>
  <c r="FD1305"/>
  <c r="FC1305"/>
  <c r="FB1305"/>
  <c r="FA1305"/>
  <c r="EZ1305"/>
  <c r="EY1305"/>
  <c r="EX1305"/>
  <c r="EW1305"/>
  <c r="EV1305"/>
  <c r="EU1305"/>
  <c r="ET1305"/>
  <c r="ES1305"/>
  <c r="ER1305"/>
  <c r="EQ1305"/>
  <c r="EP1305"/>
  <c r="EO1305"/>
  <c r="EN1305"/>
  <c r="EM1305"/>
  <c r="EL1305"/>
  <c r="EK1305"/>
  <c r="EJ1305"/>
  <c r="EI1305"/>
  <c r="EH1305"/>
  <c r="EG1305"/>
  <c r="EF1305"/>
  <c r="EE1305"/>
  <c r="ED1305"/>
  <c r="EC1305"/>
  <c r="EB1305"/>
  <c r="EA1305"/>
  <c r="DZ1305"/>
  <c r="DY1305"/>
  <c r="DX1305"/>
  <c r="DW1305"/>
  <c r="DV1305"/>
  <c r="DU1305"/>
  <c r="DT1305"/>
  <c r="DS1305"/>
  <c r="DR1305"/>
  <c r="DQ1305"/>
  <c r="DP1305"/>
  <c r="DO1305"/>
  <c r="DN1305"/>
  <c r="DM1305"/>
  <c r="DL1305"/>
  <c r="DK1305"/>
  <c r="DJ1305"/>
  <c r="DI1305"/>
  <c r="DH1305"/>
  <c r="DG1305"/>
  <c r="DF1305"/>
  <c r="DE1305"/>
  <c r="DD1305"/>
  <c r="DC1305"/>
  <c r="DB1305"/>
  <c r="DA1305"/>
  <c r="CZ1305"/>
  <c r="CY1305"/>
  <c r="CX1305"/>
  <c r="CW1305"/>
  <c r="CV1305"/>
  <c r="CU1305"/>
  <c r="CT1305"/>
  <c r="CS1305"/>
  <c r="CR1305"/>
  <c r="CQ1305"/>
  <c r="CP1305"/>
  <c r="CO1305"/>
  <c r="CN1305"/>
  <c r="CM1305"/>
  <c r="CL1305"/>
  <c r="CK1305"/>
  <c r="CJ1305"/>
  <c r="CI1305"/>
  <c r="CH1305"/>
  <c r="CG1305"/>
  <c r="CF1305"/>
  <c r="CE1305"/>
  <c r="CD1305"/>
  <c r="CC1305"/>
  <c r="CB1305"/>
  <c r="CA1305"/>
  <c r="BZ1305"/>
  <c r="BY1305"/>
  <c r="BX1305"/>
  <c r="BW1305"/>
  <c r="BV1305"/>
  <c r="BU1305"/>
  <c r="BT1305"/>
  <c r="BS1305"/>
  <c r="BR1305"/>
  <c r="BQ1305"/>
  <c r="BP1305"/>
  <c r="BO1305"/>
  <c r="BN1305"/>
  <c r="BM1305"/>
  <c r="BL1305"/>
  <c r="BK1305"/>
  <c r="BJ1305"/>
  <c r="BI1305"/>
  <c r="BH1305"/>
  <c r="BG1305"/>
  <c r="BF1305"/>
  <c r="BE1305"/>
  <c r="BD1305"/>
  <c r="BC1305"/>
  <c r="BB1305"/>
  <c r="BA1305"/>
  <c r="AZ1305"/>
  <c r="AY1305"/>
  <c r="AX1305"/>
  <c r="AW1305"/>
  <c r="AV1305"/>
  <c r="AU1305"/>
  <c r="AT1305"/>
  <c r="AS1305"/>
  <c r="AR1305"/>
  <c r="AQ1305"/>
  <c r="AP1305"/>
  <c r="AO1305"/>
  <c r="AN1305"/>
  <c r="AM1305"/>
  <c r="AL1305"/>
  <c r="AK1305"/>
  <c r="AJ1305"/>
  <c r="AI1305"/>
  <c r="AH1305"/>
  <c r="AG1305"/>
  <c r="AF1305"/>
  <c r="AE1305"/>
  <c r="AD1305"/>
  <c r="AC1305"/>
  <c r="AB1305"/>
  <c r="I1323"/>
  <c r="I1322"/>
  <c r="I1321"/>
  <c r="I1320"/>
  <c r="I1319"/>
  <c r="I1318"/>
  <c r="I1317"/>
  <c r="I1316"/>
  <c r="I1315"/>
  <c r="I1314"/>
  <c r="I1299"/>
  <c r="I1300" s="1"/>
  <c r="I1297"/>
  <c r="I1298" s="1"/>
  <c r="I1294"/>
  <c r="I1295" s="1"/>
  <c r="I1308"/>
  <c r="I1310" s="1"/>
  <c r="I1311" s="1"/>
  <c r="I1304"/>
  <c r="I1306" s="1"/>
  <c r="I1307" s="1"/>
  <c r="I1290"/>
  <c r="I1289"/>
  <c r="I1288"/>
  <c r="I1287"/>
  <c r="I1283"/>
  <c r="I1282"/>
  <c r="I1277"/>
  <c r="I1276"/>
  <c r="I1275"/>
  <c r="I1274"/>
  <c r="I1273"/>
  <c r="I1272"/>
  <c r="I1271"/>
  <c r="I1270"/>
  <c r="I1269"/>
  <c r="I1267"/>
  <c r="I1266"/>
  <c r="I1265"/>
  <c r="I1263"/>
  <c r="I1262"/>
  <c r="I1261"/>
  <c r="I1260"/>
  <c r="I1259"/>
  <c r="I1258"/>
  <c r="I1257"/>
  <c r="I1256"/>
  <c r="I1255"/>
  <c r="I1254"/>
  <c r="I1253"/>
  <c r="I1252"/>
  <c r="I1251"/>
  <c r="I1250"/>
  <c r="I1248"/>
  <c r="I1247"/>
  <c r="I1246"/>
  <c r="I1245"/>
  <c r="I1244"/>
  <c r="I1243"/>
  <c r="I1242"/>
  <c r="I1240"/>
  <c r="I1239"/>
  <c r="I1238"/>
  <c r="I1237"/>
  <c r="I1236"/>
  <c r="I1235"/>
  <c r="I1232"/>
  <c r="H1231"/>
  <c r="I1231" s="1"/>
  <c r="I1230"/>
  <c r="H1229"/>
  <c r="I1229" s="1"/>
  <c r="H1228"/>
  <c r="I1228" s="1"/>
  <c r="I1216"/>
  <c r="I1215"/>
  <c r="I1214"/>
  <c r="I1213"/>
  <c r="I1212"/>
  <c r="I1211"/>
  <c r="I1207"/>
  <c r="I1206"/>
  <c r="I1205"/>
  <c r="I1204"/>
  <c r="I1203"/>
  <c r="I1202"/>
  <c r="I1201"/>
  <c r="I1200"/>
  <c r="I1199"/>
  <c r="I1198"/>
  <c r="I1196"/>
  <c r="I1195"/>
  <c r="I1194"/>
  <c r="I1193"/>
  <c r="I1192"/>
  <c r="I1191"/>
  <c r="I1190"/>
  <c r="I1189"/>
  <c r="I1187"/>
  <c r="I1186"/>
  <c r="I1185"/>
  <c r="I1184"/>
  <c r="I1183"/>
  <c r="I1182"/>
  <c r="I1181"/>
  <c r="I1180"/>
  <c r="I1179"/>
  <c r="I1178"/>
  <c r="I1177"/>
  <c r="I1176"/>
  <c r="I1175"/>
  <c r="I1174"/>
  <c r="I1173"/>
  <c r="I1172"/>
  <c r="I1171"/>
  <c r="I1170"/>
  <c r="I1169"/>
  <c r="I1168"/>
  <c r="I1167"/>
  <c r="I1166"/>
  <c r="I1165"/>
  <c r="I1164"/>
  <c r="I1163"/>
  <c r="I1162"/>
  <c r="I1161"/>
  <c r="I1160"/>
  <c r="I1159"/>
  <c r="I1158"/>
  <c r="I1156"/>
  <c r="I1155"/>
  <c r="I1154"/>
  <c r="I1153"/>
  <c r="I1152"/>
  <c r="I1151"/>
  <c r="I1150"/>
  <c r="I1149"/>
  <c r="I1148"/>
  <c r="I1147"/>
  <c r="I1146"/>
  <c r="I1145"/>
  <c r="I1144"/>
  <c r="I1143"/>
  <c r="I1142"/>
  <c r="I1141"/>
  <c r="I1140"/>
  <c r="I1139"/>
  <c r="B1127"/>
  <c r="I1123"/>
  <c r="I1122"/>
  <c r="I1121"/>
  <c r="I1120"/>
  <c r="I1119"/>
  <c r="I1118"/>
  <c r="I1117"/>
  <c r="I1116"/>
  <c r="I1115"/>
  <c r="I1114"/>
  <c r="I1113"/>
  <c r="I1110"/>
  <c r="I1109"/>
  <c r="I1108"/>
  <c r="I1107"/>
  <c r="I1106"/>
  <c r="I1105"/>
  <c r="I1104"/>
  <c r="I1103"/>
  <c r="I1102"/>
  <c r="I1101"/>
  <c r="I1100"/>
  <c r="I1099"/>
  <c r="I1098"/>
  <c r="I1097"/>
  <c r="I1096"/>
  <c r="I1095"/>
  <c r="I1094"/>
  <c r="M1068"/>
  <c r="N1068" s="1"/>
  <c r="I1091"/>
  <c r="M1067"/>
  <c r="N1067" s="1"/>
  <c r="I1090"/>
  <c r="M1066"/>
  <c r="N1066" s="1"/>
  <c r="I1089"/>
  <c r="M1065"/>
  <c r="N1065" s="1"/>
  <c r="I1088"/>
  <c r="I1042"/>
  <c r="I1040"/>
  <c r="I1041" s="1"/>
  <c r="I1038"/>
  <c r="I1037"/>
  <c r="I1034"/>
  <c r="I1033"/>
  <c r="I1030"/>
  <c r="I1029"/>
  <c r="I1027"/>
  <c r="I1025"/>
  <c r="I1014"/>
  <c r="I1002"/>
  <c r="I976"/>
  <c r="I975"/>
  <c r="I1484"/>
  <c r="I1483"/>
  <c r="I1481"/>
  <c r="I1480"/>
  <c r="I1477"/>
  <c r="I1475"/>
  <c r="I900"/>
  <c r="I1490"/>
  <c r="I897"/>
  <c r="I894"/>
  <c r="I895" s="1"/>
  <c r="I891"/>
  <c r="I892" s="1"/>
  <c r="I888"/>
  <c r="I889" s="1"/>
  <c r="I885"/>
  <c r="E884"/>
  <c r="I884" s="1"/>
  <c r="I883"/>
  <c r="I882"/>
  <c r="I880"/>
  <c r="I879"/>
  <c r="I878"/>
  <c r="I849"/>
  <c r="I848"/>
  <c r="I843"/>
  <c r="I844" s="1"/>
  <c r="G845" s="1"/>
  <c r="I845" s="1"/>
  <c r="I819"/>
  <c r="I818"/>
  <c r="I817"/>
  <c r="I816"/>
  <c r="I815"/>
  <c r="F802"/>
  <c r="F807" s="1"/>
  <c r="F801"/>
  <c r="I801" s="1"/>
  <c r="I797"/>
  <c r="I802" s="1"/>
  <c r="I807" s="1"/>
  <c r="I796"/>
  <c r="I789"/>
  <c r="I788"/>
  <c r="I787"/>
  <c r="I786"/>
  <c r="I785"/>
  <c r="I784"/>
  <c r="I783"/>
  <c r="I782"/>
  <c r="I781"/>
  <c r="I780"/>
  <c r="I779"/>
  <c r="I778"/>
  <c r="I777"/>
  <c r="I776"/>
  <c r="I775"/>
  <c r="F774"/>
  <c r="I774" s="1"/>
  <c r="I773"/>
  <c r="I772"/>
  <c r="I771"/>
  <c r="I768"/>
  <c r="I767"/>
  <c r="I766"/>
  <c r="I765"/>
  <c r="I764"/>
  <c r="I763"/>
  <c r="I762"/>
  <c r="I761"/>
  <c r="I759"/>
  <c r="I758"/>
  <c r="I757"/>
  <c r="I756"/>
  <c r="I755"/>
  <c r="I754"/>
  <c r="I753"/>
  <c r="I752"/>
  <c r="I751"/>
  <c r="I750"/>
  <c r="I749"/>
  <c r="I748"/>
  <c r="I746"/>
  <c r="I745"/>
  <c r="I744"/>
  <c r="I743"/>
  <c r="I742"/>
  <c r="I741"/>
  <c r="I740"/>
  <c r="I734"/>
  <c r="I733"/>
  <c r="I732"/>
  <c r="I723"/>
  <c r="I722"/>
  <c r="I721"/>
  <c r="I720"/>
  <c r="I719"/>
  <c r="I718"/>
  <c r="I717"/>
  <c r="I716"/>
  <c r="I715"/>
  <c r="I714"/>
  <c r="I713"/>
  <c r="I712"/>
  <c r="I711"/>
  <c r="I710"/>
  <c r="I709"/>
  <c r="I708"/>
  <c r="I707"/>
  <c r="I706"/>
  <c r="I705"/>
  <c r="I704"/>
  <c r="I703"/>
  <c r="I702"/>
  <c r="I701"/>
  <c r="I700"/>
  <c r="I699"/>
  <c r="I698"/>
  <c r="I697"/>
  <c r="I696"/>
  <c r="I694"/>
  <c r="I693"/>
  <c r="I692"/>
  <c r="I691"/>
  <c r="I690"/>
  <c r="I689"/>
  <c r="I688"/>
  <c r="I687"/>
  <c r="I686"/>
  <c r="I685"/>
  <c r="I684"/>
  <c r="I683"/>
  <c r="I682"/>
  <c r="I681"/>
  <c r="I680"/>
  <c r="I679"/>
  <c r="I678"/>
  <c r="I677"/>
  <c r="I676"/>
  <c r="I675"/>
  <c r="I674"/>
  <c r="I673"/>
  <c r="I672"/>
  <c r="I671"/>
  <c r="I670"/>
  <c r="I669"/>
  <c r="I668"/>
  <c r="I667"/>
  <c r="I665"/>
  <c r="I664"/>
  <c r="I663"/>
  <c r="I662"/>
  <c r="I661"/>
  <c r="I660"/>
  <c r="I658"/>
  <c r="I657"/>
  <c r="I656"/>
  <c r="I655"/>
  <c r="I654"/>
  <c r="I653"/>
  <c r="I652"/>
  <c r="I647"/>
  <c r="I650"/>
  <c r="I649"/>
  <c r="I648"/>
  <c r="I646"/>
  <c r="I644"/>
  <c r="I645"/>
  <c r="I639"/>
  <c r="I638"/>
  <c r="I637"/>
  <c r="I636"/>
  <c r="I635"/>
  <c r="I634"/>
  <c r="I633"/>
  <c r="I632"/>
  <c r="I631"/>
  <c r="I630"/>
  <c r="I629"/>
  <c r="I627"/>
  <c r="I626"/>
  <c r="I625"/>
  <c r="I624"/>
  <c r="I623"/>
  <c r="I622"/>
  <c r="I615"/>
  <c r="I614"/>
  <c r="I613"/>
  <c r="I612"/>
  <c r="I611"/>
  <c r="I610"/>
  <c r="I609"/>
  <c r="I608"/>
  <c r="I607"/>
  <c r="I606"/>
  <c r="I605"/>
  <c r="I603"/>
  <c r="I602"/>
  <c r="I601"/>
  <c r="I600"/>
  <c r="I599"/>
  <c r="I598"/>
  <c r="I597"/>
  <c r="I596"/>
  <c r="I595"/>
  <c r="I594"/>
  <c r="I593"/>
  <c r="I591"/>
  <c r="I590"/>
  <c r="I589"/>
  <c r="I588"/>
  <c r="I587"/>
  <c r="I586"/>
  <c r="I585"/>
  <c r="I584"/>
  <c r="I583"/>
  <c r="I582"/>
  <c r="I568"/>
  <c r="I567"/>
  <c r="I566"/>
  <c r="I565"/>
  <c r="C564"/>
  <c r="I564" s="1"/>
  <c r="I555"/>
  <c r="I554"/>
  <c r="I553"/>
  <c r="I552"/>
  <c r="I551"/>
  <c r="I550"/>
  <c r="I549"/>
  <c r="I548"/>
  <c r="I547"/>
  <c r="I546"/>
  <c r="I545"/>
  <c r="I544"/>
  <c r="I543"/>
  <c r="I540"/>
  <c r="I541" s="1"/>
  <c r="B540"/>
  <c r="I537"/>
  <c r="I538" s="1"/>
  <c r="I533"/>
  <c r="I532"/>
  <c r="I528"/>
  <c r="I527"/>
  <c r="I521"/>
  <c r="I520"/>
  <c r="C519"/>
  <c r="I519" s="1"/>
  <c r="I515"/>
  <c r="I514"/>
  <c r="I513"/>
  <c r="I512"/>
  <c r="I1082"/>
  <c r="I1081"/>
  <c r="I1080"/>
  <c r="I1076"/>
  <c r="I1075"/>
  <c r="I1074"/>
  <c r="I1073"/>
  <c r="I1072"/>
  <c r="I1071"/>
  <c r="I1068"/>
  <c r="I1069" s="1"/>
  <c r="I1063"/>
  <c r="I1062"/>
  <c r="I1061"/>
  <c r="I1057"/>
  <c r="I1056"/>
  <c r="I1055"/>
  <c r="I1054"/>
  <c r="I1053"/>
  <c r="I1052"/>
  <c r="I506"/>
  <c r="I505"/>
  <c r="I504"/>
  <c r="I503"/>
  <c r="I502"/>
  <c r="I501"/>
  <c r="I500"/>
  <c r="I499"/>
  <c r="I498"/>
  <c r="I495"/>
  <c r="H494"/>
  <c r="I494" s="1"/>
  <c r="I493"/>
  <c r="H492"/>
  <c r="I492" s="1"/>
  <c r="H491"/>
  <c r="I491" s="1"/>
  <c r="I489"/>
  <c r="I488"/>
  <c r="I487"/>
  <c r="I486"/>
  <c r="I468"/>
  <c r="I469" s="1"/>
  <c r="I465"/>
  <c r="I466" s="1"/>
  <c r="I459"/>
  <c r="I458"/>
  <c r="I454"/>
  <c r="I453"/>
  <c r="I452"/>
  <c r="I451"/>
  <c r="I445"/>
  <c r="I444"/>
  <c r="I443"/>
  <c r="I442"/>
  <c r="I441"/>
  <c r="I440"/>
  <c r="I439"/>
  <c r="I435"/>
  <c r="I434"/>
  <c r="I433"/>
  <c r="I432"/>
  <c r="I431"/>
  <c r="I430"/>
  <c r="I429"/>
  <c r="I428"/>
  <c r="I427"/>
  <c r="I426"/>
  <c r="I425"/>
  <c r="I418"/>
  <c r="I417"/>
  <c r="I416"/>
  <c r="I415"/>
  <c r="I414"/>
  <c r="I413"/>
  <c r="I409"/>
  <c r="I408"/>
  <c r="I407"/>
  <c r="I406"/>
  <c r="I405"/>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4"/>
  <c r="I363"/>
  <c r="I362"/>
  <c r="I361"/>
  <c r="I360"/>
  <c r="I359"/>
  <c r="I358"/>
  <c r="I357"/>
  <c r="I356"/>
  <c r="I355"/>
  <c r="I354"/>
  <c r="I353"/>
  <c r="I352"/>
  <c r="I351"/>
  <c r="I350"/>
  <c r="I349"/>
  <c r="I348"/>
  <c r="I347"/>
  <c r="I346"/>
  <c r="I345"/>
  <c r="I344"/>
  <c r="I343"/>
  <c r="I342"/>
  <c r="I341"/>
  <c r="I339"/>
  <c r="I338"/>
  <c r="I337"/>
  <c r="I336"/>
  <c r="I335"/>
  <c r="I334"/>
  <c r="I333"/>
  <c r="I332"/>
  <c r="I331"/>
  <c r="I330"/>
  <c r="I329"/>
  <c r="I328"/>
  <c r="I327"/>
  <c r="I326"/>
  <c r="I325"/>
  <c r="I324"/>
  <c r="I323"/>
  <c r="I322"/>
  <c r="I321"/>
  <c r="I320"/>
  <c r="I319"/>
  <c r="I318"/>
  <c r="I314"/>
  <c r="Q313"/>
  <c r="I313"/>
  <c r="I312"/>
  <c r="I311"/>
  <c r="I310"/>
  <c r="I309"/>
  <c r="I303"/>
  <c r="I302"/>
  <c r="I301"/>
  <c r="I300"/>
  <c r="I299"/>
  <c r="I298"/>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4"/>
  <c r="I252"/>
  <c r="I251"/>
  <c r="F250"/>
  <c r="I250" s="1"/>
  <c r="I249"/>
  <c r="I246"/>
  <c r="I245"/>
  <c r="I244"/>
  <c r="I243"/>
  <c r="I242"/>
  <c r="I241"/>
  <c r="I239"/>
  <c r="I238"/>
  <c r="I237"/>
  <c r="I236"/>
  <c r="I235"/>
  <c r="I234"/>
  <c r="I233"/>
  <c r="I232"/>
  <c r="I227"/>
  <c r="I226"/>
  <c r="I225"/>
  <c r="I224"/>
  <c r="I223"/>
  <c r="I222"/>
  <c r="I221"/>
  <c r="I220"/>
  <c r="I219"/>
  <c r="I218"/>
  <c r="I216"/>
  <c r="I215"/>
  <c r="I214"/>
  <c r="I213"/>
  <c r="I212"/>
  <c r="I211"/>
  <c r="I210"/>
  <c r="I209"/>
  <c r="I208"/>
  <c r="I207"/>
  <c r="I206"/>
  <c r="I205"/>
  <c r="I203"/>
  <c r="I202"/>
  <c r="I201"/>
  <c r="I200"/>
  <c r="I199"/>
  <c r="I198"/>
  <c r="I197"/>
  <c r="G196"/>
  <c r="F194"/>
  <c r="I194" s="1"/>
  <c r="I193"/>
  <c r="I190"/>
  <c r="I189"/>
  <c r="I188"/>
  <c r="I187"/>
  <c r="I186"/>
  <c r="I185"/>
  <c r="I184"/>
  <c r="I183"/>
  <c r="I181"/>
  <c r="I180"/>
  <c r="E179"/>
  <c r="I179" s="1"/>
  <c r="E178"/>
  <c r="I178" s="1"/>
  <c r="I177"/>
  <c r="E175"/>
  <c r="I175" s="1"/>
  <c r="I169"/>
  <c r="I168"/>
  <c r="I167"/>
  <c r="I166"/>
  <c r="I165"/>
  <c r="I164"/>
  <c r="I163"/>
  <c r="I157"/>
  <c r="P156"/>
  <c r="I156"/>
  <c r="I155"/>
  <c r="I154"/>
  <c r="I153"/>
  <c r="I152"/>
  <c r="M151"/>
  <c r="I147"/>
  <c r="I146"/>
  <c r="I145"/>
  <c r="I143"/>
  <c r="I142"/>
  <c r="I141"/>
  <c r="I140"/>
  <c r="I139"/>
  <c r="I138"/>
  <c r="I137"/>
  <c r="I136"/>
  <c r="I135"/>
  <c r="I134"/>
  <c r="I132"/>
  <c r="I131"/>
  <c r="I130"/>
  <c r="I129"/>
  <c r="I128"/>
  <c r="I127"/>
  <c r="I125"/>
  <c r="I124"/>
  <c r="I123"/>
  <c r="I122"/>
  <c r="I121"/>
  <c r="I120"/>
  <c r="I118"/>
  <c r="I117"/>
  <c r="I115"/>
  <c r="I114"/>
  <c r="I113"/>
  <c r="I112"/>
  <c r="I111"/>
  <c r="I110"/>
  <c r="I109"/>
  <c r="I106"/>
  <c r="H105"/>
  <c r="I105" s="1"/>
  <c r="I104"/>
  <c r="H103"/>
  <c r="I103" s="1"/>
  <c r="H102"/>
  <c r="H107" s="1"/>
  <c r="I107" s="1"/>
  <c r="I100"/>
  <c r="I99"/>
  <c r="I98"/>
  <c r="I97"/>
  <c r="I80"/>
  <c r="I79"/>
  <c r="I78"/>
  <c r="I77"/>
  <c r="I76"/>
  <c r="I75"/>
  <c r="I74"/>
  <c r="I73"/>
  <c r="I72"/>
  <c r="I70"/>
  <c r="I69"/>
  <c r="M68"/>
  <c r="I68"/>
  <c r="I61"/>
  <c r="I60"/>
  <c r="I59"/>
  <c r="I58"/>
  <c r="I57"/>
  <c r="I56"/>
  <c r="I55"/>
  <c r="I54"/>
  <c r="I53"/>
  <c r="I52"/>
  <c r="L51"/>
  <c r="I51"/>
  <c r="I50"/>
  <c r="I49"/>
  <c r="I48"/>
  <c r="I44"/>
  <c r="I43"/>
  <c r="I42"/>
  <c r="I41"/>
  <c r="I40"/>
  <c r="I39"/>
  <c r="I38"/>
  <c r="I37"/>
  <c r="I36"/>
  <c r="I35"/>
  <c r="I34"/>
  <c r="I32"/>
  <c r="I27"/>
  <c r="I26"/>
  <c r="I25"/>
  <c r="I20"/>
  <c r="P19"/>
  <c r="I19"/>
  <c r="I18"/>
  <c r="I17"/>
  <c r="I16"/>
  <c r="I15"/>
  <c r="I14"/>
  <c r="I13"/>
  <c r="I12"/>
  <c r="I10"/>
  <c r="M9"/>
  <c r="I9"/>
  <c r="M8"/>
  <c r="I8"/>
  <c r="I791" l="1"/>
  <c r="E42" i="75"/>
  <c r="E59"/>
  <c r="F59" s="1"/>
  <c r="E63"/>
  <c r="F63" s="1"/>
  <c r="E68"/>
  <c r="F68" s="1"/>
  <c r="E74"/>
  <c r="E161"/>
  <c r="F161" s="1"/>
  <c r="E90"/>
  <c r="E97"/>
  <c r="E122"/>
  <c r="E84"/>
  <c r="E145"/>
  <c r="F145" s="1"/>
  <c r="E34"/>
  <c r="E107"/>
  <c r="F107" s="1"/>
  <c r="E62"/>
  <c r="E67"/>
  <c r="F67" s="1"/>
  <c r="E78"/>
  <c r="F78" s="1"/>
  <c r="E94"/>
  <c r="E100"/>
  <c r="F100" s="1"/>
  <c r="E121"/>
  <c r="F121" s="1"/>
  <c r="E120"/>
  <c r="F120" s="1"/>
  <c r="E137"/>
  <c r="F137" s="1"/>
  <c r="E143"/>
  <c r="F143" s="1"/>
  <c r="E159"/>
  <c r="F159" s="1"/>
  <c r="E152"/>
  <c r="F152" s="1"/>
  <c r="E33"/>
  <c r="E43"/>
  <c r="E65"/>
  <c r="F65" s="1"/>
  <c r="E93"/>
  <c r="E99"/>
  <c r="F99" s="1"/>
  <c r="E119"/>
  <c r="F119" s="1"/>
  <c r="E139"/>
  <c r="F139" s="1"/>
  <c r="E142"/>
  <c r="F142" s="1"/>
  <c r="E148"/>
  <c r="F148" s="1"/>
  <c r="E158"/>
  <c r="F158" s="1"/>
  <c r="E101"/>
  <c r="E64"/>
  <c r="F64" s="1"/>
  <c r="E69"/>
  <c r="F69" s="1"/>
  <c r="E75"/>
  <c r="F75" s="1"/>
  <c r="E162"/>
  <c r="F162" s="1"/>
  <c r="E92"/>
  <c r="E98"/>
  <c r="E118"/>
  <c r="F118" s="1"/>
  <c r="E46"/>
  <c r="E146"/>
  <c r="F146" s="1"/>
  <c r="E157"/>
  <c r="F157" s="1"/>
  <c r="E47"/>
  <c r="E85"/>
  <c r="E86"/>
  <c r="H873" i="74"/>
  <c r="I873" s="1"/>
  <c r="E73" i="75"/>
  <c r="F73" s="1"/>
  <c r="H872" i="74"/>
  <c r="I872" s="1"/>
  <c r="E72" i="75"/>
  <c r="F72" s="1"/>
  <c r="I421" i="74"/>
  <c r="I618"/>
  <c r="I619" s="1"/>
  <c r="I728" s="1"/>
  <c r="I1387" s="1"/>
  <c r="I305"/>
  <c r="I306" s="1"/>
  <c r="I1392" s="1"/>
  <c r="I365"/>
  <c r="I1223"/>
  <c r="I1224" s="1"/>
  <c r="I1427"/>
  <c r="I1428" s="1"/>
  <c r="I1366"/>
  <c r="I1367" s="1"/>
  <c r="I558"/>
  <c r="I874"/>
  <c r="I875" s="1"/>
  <c r="I91"/>
  <c r="I62" s="1"/>
  <c r="I64" s="1"/>
  <c r="I65" s="1"/>
  <c r="I28"/>
  <c r="I29" s="1"/>
  <c r="I979"/>
  <c r="I1401"/>
  <c r="I1402" s="1"/>
  <c r="I1407"/>
  <c r="I920"/>
  <c r="I934"/>
  <c r="I196"/>
  <c r="I410"/>
  <c r="I411" s="1"/>
  <c r="I422"/>
  <c r="I1077"/>
  <c r="I1078" s="1"/>
  <c r="I529"/>
  <c r="I530" s="1"/>
  <c r="I534"/>
  <c r="I535" s="1"/>
  <c r="I724"/>
  <c r="I725" s="1"/>
  <c r="F1378" s="1"/>
  <c r="I1378" s="1"/>
  <c r="I1379" s="1"/>
  <c r="I1380" s="1"/>
  <c r="I948"/>
  <c r="I999"/>
  <c r="I1513"/>
  <c r="I1514" s="1"/>
  <c r="I1031"/>
  <c r="I1035"/>
  <c r="I1124"/>
  <c r="I1125" s="1"/>
  <c r="I1284"/>
  <c r="I1285" s="1"/>
  <c r="I1291"/>
  <c r="I1292" s="1"/>
  <c r="I1325"/>
  <c r="I1326" s="1"/>
  <c r="I1349"/>
  <c r="I1350" s="1"/>
  <c r="I1375"/>
  <c r="I1376" s="1"/>
  <c r="I1414"/>
  <c r="I1415" s="1"/>
  <c r="I1463"/>
  <c r="I45"/>
  <c r="I46" s="1"/>
  <c r="L72"/>
  <c r="I102"/>
  <c r="I148" s="1"/>
  <c r="I149" s="1"/>
  <c r="I170"/>
  <c r="I171" s="1"/>
  <c r="I295"/>
  <c r="I296" s="1"/>
  <c r="I366"/>
  <c r="I436"/>
  <c r="I437" s="1"/>
  <c r="I446"/>
  <c r="I447" s="1"/>
  <c r="I455"/>
  <c r="I456" s="1"/>
  <c r="I460"/>
  <c r="I461" s="1"/>
  <c r="I1058"/>
  <c r="I1059" s="1"/>
  <c r="I1064"/>
  <c r="I1065" s="1"/>
  <c r="I1083"/>
  <c r="I1084" s="1"/>
  <c r="I516"/>
  <c r="I517" s="1"/>
  <c r="I522"/>
  <c r="I523" s="1"/>
  <c r="I559"/>
  <c r="I561"/>
  <c r="I569" s="1"/>
  <c r="I570" s="1"/>
  <c r="I735"/>
  <c r="I736" s="1"/>
  <c r="I792"/>
  <c r="I798"/>
  <c r="I799" s="1"/>
  <c r="I820"/>
  <c r="I821" s="1"/>
  <c r="G822" s="1"/>
  <c r="I822" s="1"/>
  <c r="I823" s="1"/>
  <c r="I850"/>
  <c r="I803"/>
  <c r="I804" s="1"/>
  <c r="H496"/>
  <c r="I496" s="1"/>
  <c r="I507" s="1"/>
  <c r="F806"/>
  <c r="I806" s="1"/>
  <c r="I808" s="1"/>
  <c r="I809" s="1"/>
  <c r="H1233"/>
  <c r="I1233" s="1"/>
  <c r="I1279" s="1"/>
  <c r="I1280" s="1"/>
  <c r="L68"/>
  <c r="I92" l="1"/>
  <c r="E13" i="75" s="1"/>
  <c r="I508" i="74"/>
  <c r="E56" i="75"/>
  <c r="E112"/>
  <c r="F112" s="1"/>
  <c r="E38"/>
  <c r="E104"/>
  <c r="F104" s="1"/>
  <c r="E26"/>
  <c r="E15"/>
  <c r="E12"/>
  <c r="F12" s="1"/>
  <c r="E126"/>
  <c r="F126" s="1"/>
  <c r="E116"/>
  <c r="F116" s="1"/>
  <c r="E174"/>
  <c r="E41"/>
  <c r="E22"/>
  <c r="E135"/>
  <c r="F135" s="1"/>
  <c r="E141"/>
  <c r="F141" s="1"/>
  <c r="E129"/>
  <c r="F129" s="1"/>
  <c r="E49"/>
  <c r="E54"/>
  <c r="E105"/>
  <c r="F105" s="1"/>
  <c r="E27"/>
  <c r="E138"/>
  <c r="F138" s="1"/>
  <c r="E117"/>
  <c r="F117" s="1"/>
  <c r="E95"/>
  <c r="E128"/>
  <c r="F128" s="1"/>
  <c r="E23"/>
  <c r="E80"/>
  <c r="E125"/>
  <c r="F125" s="1"/>
  <c r="E19"/>
  <c r="F19" s="1"/>
  <c r="E113"/>
  <c r="F113" s="1"/>
  <c r="E6"/>
  <c r="E44"/>
  <c r="E55"/>
  <c r="E58"/>
  <c r="E45"/>
  <c r="E109"/>
  <c r="F109" s="1"/>
  <c r="E30"/>
  <c r="E153"/>
  <c r="F153" s="1"/>
  <c r="E123"/>
  <c r="F123" s="1"/>
  <c r="E96"/>
  <c r="E83"/>
  <c r="E108"/>
  <c r="F108" s="1"/>
  <c r="E81"/>
  <c r="F81" s="1"/>
  <c r="E35"/>
  <c r="E37"/>
  <c r="E31"/>
  <c r="E21"/>
  <c r="E11"/>
  <c r="E124"/>
  <c r="F124" s="1"/>
  <c r="E111"/>
  <c r="F111" s="1"/>
  <c r="E40"/>
  <c r="E131"/>
  <c r="F131" s="1"/>
  <c r="E61"/>
  <c r="E89"/>
  <c r="F89" s="1"/>
  <c r="E87"/>
  <c r="F812" i="74"/>
  <c r="I812" s="1"/>
  <c r="E50" i="75"/>
  <c r="I1391" i="74"/>
  <c r="E18" i="75"/>
  <c r="F18" s="1"/>
  <c r="I1389" i="74"/>
  <c r="E14" i="75"/>
  <c r="F14" s="1"/>
  <c r="I727" i="74"/>
  <c r="I729" s="1"/>
  <c r="I228"/>
  <c r="I229" s="1"/>
  <c r="E48" i="75" l="1"/>
  <c r="E57"/>
  <c r="I1390" i="74"/>
  <c r="I1394" s="1"/>
  <c r="F1395" s="1"/>
  <c r="I1395" s="1"/>
  <c r="I1396" s="1"/>
  <c r="E17" i="75"/>
  <c r="F1497" i="74"/>
  <c r="I1497" s="1"/>
  <c r="I1498" s="1"/>
  <c r="I1499" s="1"/>
  <c r="E173" i="75" l="1"/>
  <c r="E130"/>
  <c r="F130" s="1"/>
  <c r="F17"/>
  <c r="D5" i="25"/>
  <c r="F5" s="1"/>
  <c r="D6"/>
  <c r="F6" s="1"/>
  <c r="D7"/>
  <c r="F7" s="1"/>
  <c r="F8"/>
  <c r="F9"/>
  <c r="F10"/>
  <c r="F11"/>
  <c r="F12"/>
  <c r="F13"/>
  <c r="F14"/>
  <c r="F15"/>
  <c r="F25"/>
  <c r="F26"/>
  <c r="F27"/>
  <c r="F28"/>
  <c r="J36"/>
  <c r="F37"/>
  <c r="J37"/>
  <c r="D38"/>
  <c r="F38" s="1"/>
  <c r="J38"/>
  <c r="D39"/>
  <c r="F39" s="1"/>
  <c r="J39"/>
  <c r="D40"/>
  <c r="F40"/>
  <c r="J40"/>
  <c r="D41"/>
  <c r="F41" s="1"/>
  <c r="I41"/>
  <c r="J41"/>
  <c r="J42"/>
  <c r="D60"/>
  <c r="F60" s="1"/>
  <c r="F61"/>
  <c r="F62"/>
  <c r="F63"/>
  <c r="F64"/>
  <c r="F88"/>
  <c r="D89"/>
  <c r="D111" s="1"/>
  <c r="F90"/>
  <c r="F91"/>
  <c r="F92"/>
  <c r="F110"/>
  <c r="C112"/>
  <c r="F112"/>
  <c r="F113"/>
  <c r="F114"/>
  <c r="D136"/>
  <c r="D159" s="1"/>
  <c r="F159" s="1"/>
  <c r="F136"/>
  <c r="C138"/>
  <c r="C161" s="1"/>
  <c r="D138"/>
  <c r="F138"/>
  <c r="D139"/>
  <c r="D305" s="1"/>
  <c r="F305" s="1"/>
  <c r="F140"/>
  <c r="D161"/>
  <c r="F161"/>
  <c r="F163"/>
  <c r="E187"/>
  <c r="E188"/>
  <c r="D194"/>
  <c r="D197" s="1"/>
  <c r="A194" s="1"/>
  <c r="G194" s="1"/>
  <c r="D195"/>
  <c r="D196"/>
  <c r="D198"/>
  <c r="G198"/>
  <c r="D199"/>
  <c r="A199" s="1"/>
  <c r="D200"/>
  <c r="A200"/>
  <c r="G200" s="1"/>
  <c r="G201"/>
  <c r="D203"/>
  <c r="D204"/>
  <c r="D205" s="1"/>
  <c r="A203" s="1"/>
  <c r="G203" s="1"/>
  <c r="G206"/>
  <c r="D207"/>
  <c r="A207"/>
  <c r="G208"/>
  <c r="G211"/>
  <c r="G212"/>
  <c r="G213"/>
  <c r="G214"/>
  <c r="F250"/>
  <c r="F252"/>
  <c r="F253"/>
  <c r="F254"/>
  <c r="F255"/>
  <c r="F257"/>
  <c r="F258"/>
  <c r="F259"/>
  <c r="F260"/>
  <c r="F261"/>
  <c r="D267"/>
  <c r="F267" s="1"/>
  <c r="D268"/>
  <c r="F268" s="1"/>
  <c r="D269"/>
  <c r="F269" s="1"/>
  <c r="F280"/>
  <c r="F281"/>
  <c r="F282"/>
  <c r="F283"/>
  <c r="F284"/>
  <c r="F285"/>
  <c r="D286"/>
  <c r="F286" s="1"/>
  <c r="F287"/>
  <c r="F288"/>
  <c r="D289"/>
  <c r="F289" s="1"/>
  <c r="F290"/>
  <c r="F291"/>
  <c r="D302"/>
  <c r="F302" s="1"/>
  <c r="D306"/>
  <c r="F306" s="1"/>
  <c r="G318"/>
  <c r="G320"/>
  <c r="G322"/>
  <c r="G324"/>
  <c r="G326"/>
  <c r="G328"/>
  <c r="G334"/>
  <c r="G336"/>
  <c r="G338"/>
  <c r="G342"/>
  <c r="A343"/>
  <c r="G343"/>
  <c r="G344"/>
  <c r="G345"/>
  <c r="G346"/>
  <c r="G353"/>
  <c r="G354"/>
  <c r="G355"/>
  <c r="G363"/>
  <c r="G365"/>
  <c r="G367"/>
  <c r="G369"/>
  <c r="G371"/>
  <c r="G373"/>
  <c r="G379"/>
  <c r="G381"/>
  <c r="G383"/>
  <c r="G387"/>
  <c r="G388"/>
  <c r="G389"/>
  <c r="G390"/>
  <c r="G391"/>
  <c r="G398"/>
  <c r="G399"/>
  <c r="G400"/>
  <c r="G408"/>
  <c r="G410"/>
  <c r="G412"/>
  <c r="G414"/>
  <c r="G416"/>
  <c r="G418"/>
  <c r="G424"/>
  <c r="A433" s="1"/>
  <c r="G433" s="1"/>
  <c r="G426"/>
  <c r="G428"/>
  <c r="G434"/>
  <c r="G435"/>
  <c r="G436"/>
  <c r="G443"/>
  <c r="G444"/>
  <c r="G445"/>
  <c r="G453"/>
  <c r="G455"/>
  <c r="G457"/>
  <c r="G459"/>
  <c r="G461"/>
  <c r="G463"/>
  <c r="G465"/>
  <c r="G471"/>
  <c r="G473" s="1"/>
  <c r="A484" s="1"/>
  <c r="G484" s="1"/>
  <c r="G472"/>
  <c r="G475"/>
  <c r="G476"/>
  <c r="G479"/>
  <c r="G485"/>
  <c r="G486"/>
  <c r="G487"/>
  <c r="G494"/>
  <c r="G495"/>
  <c r="G496"/>
  <c r="G503"/>
  <c r="G505" s="1"/>
  <c r="G504"/>
  <c r="G506"/>
  <c r="A515" s="1"/>
  <c r="G515" s="1"/>
  <c r="G508"/>
  <c r="A516" s="1"/>
  <c r="G516" s="1"/>
  <c r="G510"/>
  <c r="A517" s="1"/>
  <c r="E531"/>
  <c r="E532"/>
  <c r="E537"/>
  <c r="A547" s="1"/>
  <c r="E540"/>
  <c r="A548" s="1"/>
  <c r="F540"/>
  <c r="E542"/>
  <c r="E543" s="1"/>
  <c r="A549" s="1"/>
  <c r="D548"/>
  <c r="D585" s="1"/>
  <c r="D620" s="1"/>
  <c r="D656" s="1"/>
  <c r="F656" s="1"/>
  <c r="G558"/>
  <c r="E567"/>
  <c r="E568"/>
  <c r="E573"/>
  <c r="A584" s="1"/>
  <c r="E576"/>
  <c r="F576"/>
  <c r="E578"/>
  <c r="E579" s="1"/>
  <c r="A586" s="1"/>
  <c r="A585"/>
  <c r="E602"/>
  <c r="E603"/>
  <c r="E608"/>
  <c r="A619" s="1"/>
  <c r="E611"/>
  <c r="F611"/>
  <c r="E613"/>
  <c r="E614" s="1"/>
  <c r="A621" s="1"/>
  <c r="A620"/>
  <c r="E638"/>
  <c r="E639"/>
  <c r="E644"/>
  <c r="A655" s="1"/>
  <c r="E647"/>
  <c r="F647"/>
  <c r="E649"/>
  <c r="E650" s="1"/>
  <c r="A657" s="1"/>
  <c r="A656"/>
  <c r="E674"/>
  <c r="E675"/>
  <c r="E680"/>
  <c r="A691" s="1"/>
  <c r="E683"/>
  <c r="F683"/>
  <c r="E685"/>
  <c r="E686" s="1"/>
  <c r="A693" s="1"/>
  <c r="A692"/>
  <c r="D24"/>
  <c r="F24" s="1"/>
  <c r="E210"/>
  <c r="G210" s="1"/>
  <c r="A9" i="50"/>
  <c r="A10" s="1"/>
  <c r="F10" s="1"/>
  <c r="F11"/>
  <c r="F15"/>
  <c r="A24"/>
  <c r="A25" s="1"/>
  <c r="A26" s="1"/>
  <c r="F26" s="1"/>
  <c r="F24"/>
  <c r="E25"/>
  <c r="I25"/>
  <c r="I26"/>
  <c r="I27"/>
  <c r="M31"/>
  <c r="G32"/>
  <c r="G35" s="1"/>
  <c r="G33"/>
  <c r="D49"/>
  <c r="D112" s="1"/>
  <c r="D50"/>
  <c r="D113" s="1"/>
  <c r="G71"/>
  <c r="A73"/>
  <c r="A74" s="1"/>
  <c r="F74" s="1"/>
  <c r="F75"/>
  <c r="F79"/>
  <c r="G86"/>
  <c r="A88" s="1"/>
  <c r="A89" s="1"/>
  <c r="A90" s="1"/>
  <c r="F90" s="1"/>
  <c r="E88"/>
  <c r="E148" s="1"/>
  <c r="E89"/>
  <c r="E149" s="1"/>
  <c r="G96"/>
  <c r="E97"/>
  <c r="G97" s="1"/>
  <c r="D115"/>
  <c r="D116"/>
  <c r="G131"/>
  <c r="A133" s="1"/>
  <c r="A134" s="1"/>
  <c r="F134"/>
  <c r="F135"/>
  <c r="F139"/>
  <c r="G146"/>
  <c r="A148"/>
  <c r="E150"/>
  <c r="E156"/>
  <c r="G156" s="1"/>
  <c r="D137" i="25"/>
  <c r="F137" s="1"/>
  <c r="F111"/>
  <c r="F272"/>
  <c r="D256" s="1"/>
  <c r="F256" s="1"/>
  <c r="F264" s="1"/>
  <c r="F265" s="1"/>
  <c r="I39"/>
  <c r="E209"/>
  <c r="G209" s="1"/>
  <c r="D304"/>
  <c r="F304" s="1"/>
  <c r="F139"/>
  <c r="D162"/>
  <c r="F162" s="1"/>
  <c r="D160"/>
  <c r="F160" s="1"/>
  <c r="D550"/>
  <c r="F550" s="1"/>
  <c r="D549"/>
  <c r="F549" s="1"/>
  <c r="D23"/>
  <c r="D36" s="1"/>
  <c r="K36"/>
  <c r="D587"/>
  <c r="F587" s="1"/>
  <c r="F585" l="1"/>
  <c r="F548"/>
  <c r="C58" i="75"/>
  <c r="F58" s="1"/>
  <c r="C42"/>
  <c r="F42" s="1"/>
  <c r="C43"/>
  <c r="F43" s="1"/>
  <c r="D622" i="25"/>
  <c r="F622" s="1"/>
  <c r="D303"/>
  <c r="F303" s="1"/>
  <c r="F25" i="50"/>
  <c r="F89"/>
  <c r="F88"/>
  <c r="G498" i="25"/>
  <c r="E488" s="1"/>
  <c r="E534"/>
  <c r="A546" s="1"/>
  <c r="G466"/>
  <c r="G467" s="1"/>
  <c r="G468" s="1"/>
  <c r="A483" s="1"/>
  <c r="G483" s="1"/>
  <c r="G402"/>
  <c r="E392" s="1"/>
  <c r="G392" s="1"/>
  <c r="F292"/>
  <c r="F293" s="1"/>
  <c r="E190"/>
  <c r="E677"/>
  <c r="A690" s="1"/>
  <c r="E641"/>
  <c r="A654" s="1"/>
  <c r="E605"/>
  <c r="A618" s="1"/>
  <c r="E570"/>
  <c r="A583" s="1"/>
  <c r="G477"/>
  <c r="G447"/>
  <c r="E437" s="1"/>
  <c r="G437" s="1"/>
  <c r="G374"/>
  <c r="G357"/>
  <c r="E347" s="1"/>
  <c r="G347" s="1"/>
  <c r="G349" s="1"/>
  <c r="G350" s="1"/>
  <c r="G419"/>
  <c r="G329"/>
  <c r="C91" i="75"/>
  <c r="F91" s="1"/>
  <c r="D45" i="50"/>
  <c r="F23" i="25"/>
  <c r="I38"/>
  <c r="E207"/>
  <c r="G207" s="1"/>
  <c r="D50"/>
  <c r="D48"/>
  <c r="F36"/>
  <c r="D59"/>
  <c r="D84" s="1"/>
  <c r="F620"/>
  <c r="I37"/>
  <c r="D554"/>
  <c r="I36"/>
  <c r="D586"/>
  <c r="A149" i="50"/>
  <c r="A150" s="1"/>
  <c r="F150" s="1"/>
  <c r="F148"/>
  <c r="D546" i="25"/>
  <c r="D692"/>
  <c r="F692" s="1"/>
  <c r="E157" i="50"/>
  <c r="G157" s="1"/>
  <c r="G159" s="1"/>
  <c r="F28"/>
  <c r="G99"/>
  <c r="G394" i="25"/>
  <c r="G395" s="1"/>
  <c r="F16"/>
  <c r="F18" s="1"/>
  <c r="F89"/>
  <c r="D547"/>
  <c r="E199"/>
  <c r="G199" s="1"/>
  <c r="D49"/>
  <c r="F59" l="1"/>
  <c r="G218"/>
  <c r="D658"/>
  <c r="D694" s="1"/>
  <c r="F694" s="1"/>
  <c r="C62" i="75"/>
  <c r="F62" s="1"/>
  <c r="C95"/>
  <c r="F95" s="1"/>
  <c r="C87"/>
  <c r="F87" s="1"/>
  <c r="G330" i="25"/>
  <c r="G331"/>
  <c r="G488"/>
  <c r="G490" s="1"/>
  <c r="G491" s="1"/>
  <c r="E517"/>
  <c r="G517" s="1"/>
  <c r="G519" s="1"/>
  <c r="G520" s="1"/>
  <c r="F92" i="50"/>
  <c r="G420" i="25"/>
  <c r="G421" s="1"/>
  <c r="A432" s="1"/>
  <c r="G432" s="1"/>
  <c r="G439" s="1"/>
  <c r="G440" s="1"/>
  <c r="G375"/>
  <c r="G376" s="1"/>
  <c r="D108" i="50"/>
  <c r="F108" s="1"/>
  <c r="F45"/>
  <c r="F48" i="25"/>
  <c r="D71"/>
  <c r="D73"/>
  <c r="F50"/>
  <c r="D551"/>
  <c r="D583"/>
  <c r="F546"/>
  <c r="F586"/>
  <c r="D621"/>
  <c r="F152" i="50"/>
  <c r="F149"/>
  <c r="F554" i="25"/>
  <c r="D591"/>
  <c r="D584"/>
  <c r="F547"/>
  <c r="D72"/>
  <c r="F49"/>
  <c r="F52" s="1"/>
  <c r="D42" s="1"/>
  <c r="F84"/>
  <c r="D85"/>
  <c r="F658"/>
  <c r="C61" i="75" l="1"/>
  <c r="F61" s="1"/>
  <c r="C97"/>
  <c r="F97" s="1"/>
  <c r="C173"/>
  <c r="F173" s="1"/>
  <c r="C40"/>
  <c r="F40" s="1"/>
  <c r="C74"/>
  <c r="F74" s="1"/>
  <c r="C41"/>
  <c r="F41" s="1"/>
  <c r="C57"/>
  <c r="F57" s="1"/>
  <c r="C94"/>
  <c r="F94" s="1"/>
  <c r="C96"/>
  <c r="F96" s="1"/>
  <c r="C35"/>
  <c r="F35" s="1"/>
  <c r="C93"/>
  <c r="F93" s="1"/>
  <c r="C88"/>
  <c r="F88" s="1"/>
  <c r="C98"/>
  <c r="F98" s="1"/>
  <c r="C47"/>
  <c r="F47" s="1"/>
  <c r="D99" i="25"/>
  <c r="F71"/>
  <c r="D101"/>
  <c r="F73"/>
  <c r="I40"/>
  <c r="D618"/>
  <c r="F583"/>
  <c r="F591"/>
  <c r="D626"/>
  <c r="F621"/>
  <c r="D657"/>
  <c r="D588"/>
  <c r="F551"/>
  <c r="D47" i="50"/>
  <c r="D51"/>
  <c r="D48"/>
  <c r="F72" i="25"/>
  <c r="D100"/>
  <c r="F42"/>
  <c r="F45" s="1"/>
  <c r="F46" s="1"/>
  <c r="D29"/>
  <c r="F29" s="1"/>
  <c r="F31" s="1"/>
  <c r="F32" s="1"/>
  <c r="F584"/>
  <c r="D619"/>
  <c r="F85"/>
  <c r="D86"/>
  <c r="F76" l="1"/>
  <c r="D65" s="1"/>
  <c r="D93" s="1"/>
  <c r="F93" s="1"/>
  <c r="C92" i="75"/>
  <c r="F92" s="1"/>
  <c r="C85"/>
  <c r="F85" s="1"/>
  <c r="C60"/>
  <c r="F60" s="1"/>
  <c r="D122" i="25"/>
  <c r="F101"/>
  <c r="D553"/>
  <c r="F99"/>
  <c r="D120"/>
  <c r="D552"/>
  <c r="F618"/>
  <c r="D654"/>
  <c r="F588"/>
  <c r="D623"/>
  <c r="F657"/>
  <c r="D693"/>
  <c r="F693" s="1"/>
  <c r="D662"/>
  <c r="F626"/>
  <c r="D46" i="50"/>
  <c r="D110"/>
  <c r="F110" s="1"/>
  <c r="F47"/>
  <c r="F100" i="25"/>
  <c r="D121"/>
  <c r="F65"/>
  <c r="F68" s="1"/>
  <c r="F69" s="1"/>
  <c r="F619"/>
  <c r="D655"/>
  <c r="D111" i="50"/>
  <c r="F111" s="1"/>
  <c r="F48"/>
  <c r="F51"/>
  <c r="D114"/>
  <c r="F114" s="1"/>
  <c r="D87" i="25"/>
  <c r="F86"/>
  <c r="F103" l="1"/>
  <c r="D44" i="50"/>
  <c r="C90" i="75"/>
  <c r="F90" s="1"/>
  <c r="C80"/>
  <c r="F80" s="1"/>
  <c r="F552" i="25"/>
  <c r="D589"/>
  <c r="F120"/>
  <c r="D147"/>
  <c r="F122"/>
  <c r="D149"/>
  <c r="F553"/>
  <c r="D590"/>
  <c r="F662"/>
  <c r="D698"/>
  <c r="F698" s="1"/>
  <c r="D659"/>
  <c r="F623"/>
  <c r="F654"/>
  <c r="D690"/>
  <c r="F690" s="1"/>
  <c r="F46" i="50"/>
  <c r="D109"/>
  <c r="F109" s="1"/>
  <c r="D148" i="25"/>
  <c r="F121"/>
  <c r="F655"/>
  <c r="D691"/>
  <c r="F691" s="1"/>
  <c r="D109"/>
  <c r="F87"/>
  <c r="F96" s="1"/>
  <c r="F97" s="1"/>
  <c r="F125" l="1"/>
  <c r="D115" s="1"/>
  <c r="F115" s="1"/>
  <c r="C9" i="75"/>
  <c r="F9" s="1"/>
  <c r="C83"/>
  <c r="F83" s="1"/>
  <c r="C84"/>
  <c r="F84" s="1"/>
  <c r="C7"/>
  <c r="F7" s="1"/>
  <c r="C6"/>
  <c r="F6" s="1"/>
  <c r="F44" i="50"/>
  <c r="D107"/>
  <c r="F107" s="1"/>
  <c r="C46" i="75"/>
  <c r="F46" s="1"/>
  <c r="C101"/>
  <c r="F101" s="1"/>
  <c r="F590" i="25"/>
  <c r="D625"/>
  <c r="F556"/>
  <c r="F558" s="1"/>
  <c r="F149"/>
  <c r="D171"/>
  <c r="F171" s="1"/>
  <c r="D169"/>
  <c r="F169" s="1"/>
  <c r="F147"/>
  <c r="D624"/>
  <c r="F589"/>
  <c r="F593" s="1"/>
  <c r="F595" s="1"/>
  <c r="F659"/>
  <c r="D695"/>
  <c r="F695" s="1"/>
  <c r="D170"/>
  <c r="F170" s="1"/>
  <c r="F174" s="1"/>
  <c r="F176" s="1"/>
  <c r="F148"/>
  <c r="I42"/>
  <c r="F109"/>
  <c r="F118" s="1"/>
  <c r="H118" s="1"/>
  <c r="D132"/>
  <c r="F152" l="1"/>
  <c r="D141" s="1"/>
  <c r="D307" s="1"/>
  <c r="F307" s="1"/>
  <c r="C10" i="75"/>
  <c r="F10" s="1"/>
  <c r="F624" i="25"/>
  <c r="D660"/>
  <c r="F625"/>
  <c r="D661"/>
  <c r="D133"/>
  <c r="D298"/>
  <c r="F298" s="1"/>
  <c r="F132"/>
  <c r="F141" l="1"/>
  <c r="D164"/>
  <c r="F164" s="1"/>
  <c r="C49" i="75"/>
  <c r="F49" s="1"/>
  <c r="C86"/>
  <c r="F86" s="1"/>
  <c r="D42" i="50"/>
  <c r="F628" i="25"/>
  <c r="F630" s="1"/>
  <c r="F661"/>
  <c r="D697"/>
  <c r="F697" s="1"/>
  <c r="F660"/>
  <c r="D696"/>
  <c r="F696" s="1"/>
  <c r="D299"/>
  <c r="F299" s="1"/>
  <c r="D134"/>
  <c r="F133"/>
  <c r="F664" l="1"/>
  <c r="F666" s="1"/>
  <c r="D121" i="62"/>
  <c r="F121" s="1"/>
  <c r="F122" s="1"/>
  <c r="F123" s="1"/>
  <c r="F700" i="25"/>
  <c r="F702" s="1"/>
  <c r="C11" i="75"/>
  <c r="F11" s="1"/>
  <c r="C33"/>
  <c r="F33" s="1"/>
  <c r="C45"/>
  <c r="F45" s="1"/>
  <c r="D41" i="50"/>
  <c r="D105"/>
  <c r="F105" s="1"/>
  <c r="F42"/>
  <c r="D300" i="25"/>
  <c r="F300" s="1"/>
  <c r="D135"/>
  <c r="F134"/>
  <c r="C25" i="75" l="1"/>
  <c r="F25" s="1"/>
  <c r="C50"/>
  <c r="F50" s="1"/>
  <c r="C55"/>
  <c r="F55" s="1"/>
  <c r="C56"/>
  <c r="F56" s="1"/>
  <c r="C34"/>
  <c r="F34" s="1"/>
  <c r="C54"/>
  <c r="F54" s="1"/>
  <c r="C122"/>
  <c r="F122" s="1"/>
  <c r="F41" i="50"/>
  <c r="D104"/>
  <c r="F104" s="1"/>
  <c r="C51" i="75"/>
  <c r="F51" s="1"/>
  <c r="D43" i="50"/>
  <c r="D158" i="25"/>
  <c r="F158" s="1"/>
  <c r="F166" s="1"/>
  <c r="F167" s="1"/>
  <c r="D301"/>
  <c r="F301" s="1"/>
  <c r="F309" s="1"/>
  <c r="F310" s="1"/>
  <c r="F135"/>
  <c r="F144" s="1"/>
  <c r="F145" s="1"/>
  <c r="C30" i="75" l="1"/>
  <c r="F30" s="1"/>
  <c r="C15"/>
  <c r="F15" s="1"/>
  <c r="C26"/>
  <c r="F26" s="1"/>
  <c r="C48"/>
  <c r="F48" s="1"/>
  <c r="D106" i="50"/>
  <c r="F106" s="1"/>
  <c r="F112" s="1"/>
  <c r="F113" s="1"/>
  <c r="F43"/>
  <c r="F49" s="1"/>
  <c r="F50" s="1"/>
  <c r="C31" i="75" l="1"/>
  <c r="F31" s="1"/>
  <c r="C27"/>
  <c r="F27" s="1"/>
  <c r="C21"/>
  <c r="F21" s="1"/>
  <c r="F52" i="50"/>
  <c r="F53" s="1"/>
  <c r="F54" s="1"/>
  <c r="F56" s="1"/>
  <c r="F58" s="1"/>
  <c r="F60" s="1"/>
  <c r="G50"/>
  <c r="G52" s="1"/>
  <c r="G53" s="1"/>
  <c r="G54" s="1"/>
  <c r="F115"/>
  <c r="F116" s="1"/>
  <c r="F117" s="1"/>
  <c r="G113"/>
  <c r="G115" s="1"/>
  <c r="G116" s="1"/>
  <c r="G117" s="1"/>
  <c r="E133" s="1"/>
  <c r="F133" s="1"/>
  <c r="F137" s="1"/>
  <c r="F138" s="1"/>
  <c r="F141" s="1"/>
  <c r="C22" i="75" l="1"/>
  <c r="F22" s="1"/>
  <c r="C28"/>
  <c r="F28" s="1"/>
  <c r="C174"/>
  <c r="F174" s="1"/>
  <c r="E73" i="50"/>
  <c r="F73" s="1"/>
  <c r="F77" s="1"/>
  <c r="F78" s="1"/>
  <c r="F81" s="1"/>
  <c r="E9"/>
  <c r="F9" s="1"/>
  <c r="F13" s="1"/>
  <c r="F14" s="1"/>
  <c r="F17" s="1"/>
  <c r="C37" i="75"/>
  <c r="F37" s="1"/>
  <c r="C23" l="1"/>
  <c r="F23" s="1"/>
  <c r="C44"/>
  <c r="F44" s="1"/>
  <c r="C13"/>
  <c r="F13" s="1"/>
  <c r="C38"/>
  <c r="F38" s="1"/>
  <c r="F176" l="1"/>
</calcChain>
</file>

<file path=xl/sharedStrings.xml><?xml version="1.0" encoding="utf-8"?>
<sst xmlns="http://schemas.openxmlformats.org/spreadsheetml/2006/main" count="4949" uniqueCount="1420">
  <si>
    <t>Add sundries</t>
  </si>
  <si>
    <t>Wash basin</t>
  </si>
  <si>
    <t xml:space="preserve">S&amp;F of C.I Manhole cover 60 x 60 cm (50kg weight ) </t>
  </si>
  <si>
    <t>Rate</t>
  </si>
  <si>
    <t>CEMENT MORTAR(1:2)</t>
  </si>
  <si>
    <t>============</t>
  </si>
  <si>
    <t>TOTAL FOR 1.0 CUM</t>
  </si>
  <si>
    <t>Formwork using M.S.Sheet</t>
  </si>
  <si>
    <t>Unit</t>
  </si>
  <si>
    <t>Sl. No.</t>
  </si>
  <si>
    <t>sqm</t>
  </si>
  <si>
    <t>TAMIL NADU POLICE HOUSING CORPORATION</t>
  </si>
  <si>
    <t>Kg.</t>
  </si>
  <si>
    <t>Staircase light point</t>
  </si>
  <si>
    <t>Supply and filling of 20 mm Brick jelly</t>
  </si>
  <si>
    <t>T.F</t>
  </si>
  <si>
    <t>2.1</t>
  </si>
  <si>
    <t>FILLING IN FOUNDATION AND</t>
  </si>
  <si>
    <t>G.F</t>
  </si>
  <si>
    <t>F.F</t>
  </si>
  <si>
    <t>Cement</t>
  </si>
  <si>
    <t>Supplying. Fabricating and erection of M.S Scheme Name board</t>
  </si>
  <si>
    <t>TOTAL FOR 10 SQM</t>
  </si>
  <si>
    <t>LABOUR FOR WROUGHT&amp;PUTUP</t>
  </si>
  <si>
    <t>L.S</t>
  </si>
  <si>
    <t>SUNDRIES</t>
  </si>
  <si>
    <t>Mason II</t>
  </si>
  <si>
    <t>MT</t>
  </si>
  <si>
    <t>RATE PER SQM</t>
  </si>
  <si>
    <t>1500 liters capacity of HDPE Water Tank</t>
  </si>
  <si>
    <t>SQM</t>
  </si>
  <si>
    <t>======================================</t>
  </si>
  <si>
    <t>LS</t>
  </si>
  <si>
    <t>SL.NO</t>
  </si>
  <si>
    <t>23.2.1</t>
  </si>
  <si>
    <t>Rs.</t>
  </si>
  <si>
    <t>S&amp;F of Bevelled edge mirror 500 x 400 x 5.5mm</t>
  </si>
  <si>
    <t>NO</t>
  </si>
  <si>
    <t xml:space="preserve">S &amp; F of Indian Water closet white glazed (Oriya type) of size 580 x 440mm  - in G.F.  </t>
  </si>
  <si>
    <t>Rmt</t>
  </si>
  <si>
    <t>COST OF 20mm HBSJ</t>
  </si>
  <si>
    <t>M.T</t>
  </si>
  <si>
    <t>CEMENT</t>
  </si>
  <si>
    <t>NO.</t>
  </si>
  <si>
    <t>CUM</t>
  </si>
  <si>
    <t>MIXING OF MORTAR</t>
  </si>
  <si>
    <t>Annexure</t>
  </si>
  <si>
    <t>LABOUR CHARGES FOR WROUGHT AND PUT UP</t>
  </si>
  <si>
    <t>a. 48" (1200 mm)</t>
  </si>
  <si>
    <t>kg</t>
  </si>
  <si>
    <t>Labour charges</t>
  </si>
  <si>
    <t>Amount</t>
  </si>
  <si>
    <t xml:space="preserve"> </t>
  </si>
  <si>
    <t>14.I</t>
  </si>
  <si>
    <t>Nos.</t>
  </si>
  <si>
    <t>Qty</t>
  </si>
  <si>
    <t>Filling with Excavated Earth</t>
  </si>
  <si>
    <t>b.Plain surfaces such as Roof slab,floorslab,Beams,lintels,lofts,sill slab,staircase,portico slab and other similar works</t>
  </si>
  <si>
    <t>Precast slab 50 mm tk.in C.C. 1:3:6 with fibre</t>
  </si>
  <si>
    <t>Street lights</t>
  </si>
  <si>
    <t>14.II</t>
  </si>
  <si>
    <t>Brass screw</t>
  </si>
  <si>
    <t>Providing Rain Water Harvesting Perculation pit
a) Providing pit</t>
  </si>
  <si>
    <t>Cum.</t>
  </si>
  <si>
    <t>CEMENT MORTAR(1:4)</t>
  </si>
  <si>
    <t>cum</t>
  </si>
  <si>
    <t>CEMENT MORTAR(1:3)</t>
  </si>
  <si>
    <t>LABOUR CHARGES FOR FILLING</t>
  </si>
  <si>
    <t>No</t>
  </si>
  <si>
    <t>Each</t>
  </si>
  <si>
    <t>0 TO 2M</t>
  </si>
  <si>
    <t>TOTAL FOR 2.52 SQM</t>
  </si>
  <si>
    <t>Nos</t>
  </si>
  <si>
    <t>TOTAL FOR 1 CUM</t>
  </si>
  <si>
    <t xml:space="preserve"> 5" ALU BUTT HINGES</t>
  </si>
  <si>
    <t>Fourth Floor</t>
  </si>
  <si>
    <t>B</t>
  </si>
  <si>
    <t>PLACE:-</t>
  </si>
  <si>
    <t>-</t>
  </si>
  <si>
    <t>QTY</t>
  </si>
  <si>
    <t>COST OF MATERIALS</t>
  </si>
  <si>
    <t>RATE</t>
  </si>
  <si>
    <t>PER</t>
  </si>
  <si>
    <t>AMOUNT</t>
  </si>
  <si>
    <t>CEMENT MORTAR(1:5)</t>
  </si>
  <si>
    <t>CEMENT MORTAR(1:6)</t>
  </si>
  <si>
    <t>CEMENT MORTAR(1:8)</t>
  </si>
  <si>
    <t>Total for 1 Rmt</t>
  </si>
  <si>
    <t>Kg</t>
  </si>
  <si>
    <t>One coat white cement for new walls and other similar works.</t>
  </si>
  <si>
    <t>Ellispattern</t>
  </si>
  <si>
    <t>MASON II</t>
  </si>
  <si>
    <t>each</t>
  </si>
  <si>
    <t>TW Panelled Door 1500 X 2100MM (Double leaves)</t>
  </si>
  <si>
    <t>RMT</t>
  </si>
  <si>
    <t>Description</t>
  </si>
  <si>
    <t>Bulk head fitting</t>
  </si>
  <si>
    <t>SUNDRIES FOR BRUSH ETC</t>
  </si>
  <si>
    <t>Sqm.</t>
  </si>
  <si>
    <t>Aluminium section</t>
  </si>
  <si>
    <t>glass 4mm pin headed</t>
  </si>
  <si>
    <t>rubber beeding</t>
  </si>
  <si>
    <t>holdfast</t>
  </si>
  <si>
    <t>labbour charges</t>
  </si>
  <si>
    <t>sundries</t>
  </si>
  <si>
    <t>NOS</t>
  </si>
  <si>
    <t>MAZDOOR I</t>
  </si>
  <si>
    <t>a. 0 to 2 mt.</t>
  </si>
  <si>
    <t>NYLON BUSH</t>
  </si>
  <si>
    <t>DOOR STOPPER</t>
  </si>
  <si>
    <t>Supply and filling of 40 mm Brick jelly</t>
  </si>
  <si>
    <t>MASON I</t>
  </si>
  <si>
    <t>RATE PER CUM EXCLUDING REFILLING</t>
  </si>
  <si>
    <t>=</t>
  </si>
  <si>
    <t>CEMENT MORTAR(1:7)</t>
  </si>
  <si>
    <t>RATE FOR 2.835 SQM</t>
  </si>
  <si>
    <t>Qty.</t>
  </si>
  <si>
    <t>Cum</t>
  </si>
  <si>
    <t>S.F</t>
  </si>
  <si>
    <t>Total</t>
  </si>
  <si>
    <t>*</t>
  </si>
  <si>
    <t>CEMENT MORTAR(1:1.5)</t>
  </si>
  <si>
    <t>Sundries</t>
  </si>
  <si>
    <t>Sqm</t>
  </si>
  <si>
    <t>Rate for 1 Rmt</t>
  </si>
  <si>
    <t>T.W SCANTLING below 2m</t>
  </si>
  <si>
    <t xml:space="preserve"> Rmt</t>
  </si>
  <si>
    <t xml:space="preserve">Labour charges </t>
  </si>
  <si>
    <t>Fittings</t>
  </si>
  <si>
    <t>Deduct 1.5 Sqmm copper PVC insulated unsheathed S.C. cable</t>
  </si>
  <si>
    <t>Total for 90 metres</t>
  </si>
  <si>
    <t>d</t>
  </si>
  <si>
    <t xml:space="preserve">Total as per Data No. </t>
  </si>
  <si>
    <t>T.W SCANTLING above 2m</t>
  </si>
  <si>
    <t>b</t>
  </si>
  <si>
    <t>Maz I</t>
  </si>
  <si>
    <t>Maz II</t>
  </si>
  <si>
    <t>Vibrating charges</t>
  </si>
  <si>
    <t>Supplying and fixing of 32 AMPS Triple pole main switch</t>
  </si>
  <si>
    <t>TOTAL RS.</t>
  </si>
  <si>
    <t>21.5.2</t>
  </si>
  <si>
    <t>Rate per each</t>
  </si>
  <si>
    <t>200 mm x 12 mm Alu. Towerbolt</t>
  </si>
  <si>
    <t xml:space="preserve">6" Handle </t>
  </si>
  <si>
    <t>Run of 2 Wires of 2.5 sqmm PVC insulated single core multi strand fire retardant flexible copper cable with ISI mark confirming IS: 694:1990.</t>
  </si>
  <si>
    <t>Foundation &amp; Basement</t>
  </si>
  <si>
    <t xml:space="preserve">Each </t>
  </si>
  <si>
    <t>RUBBER BUSH</t>
  </si>
  <si>
    <t>DOOR HANDLE Mejastic</t>
  </si>
  <si>
    <t>6" Brass HINGES</t>
  </si>
  <si>
    <t>8" BRASS TOWER BOLTS</t>
  </si>
  <si>
    <t>Mortice lock with handle</t>
  </si>
  <si>
    <t xml:space="preserve">TOTAL </t>
  </si>
  <si>
    <t>With Brass fittings</t>
  </si>
  <si>
    <t>Aluminium window openable 1.20x1.35m =1.62m2</t>
  </si>
  <si>
    <t>Rubber beeding</t>
  </si>
  <si>
    <t>Glass 4mm pin headed</t>
  </si>
  <si>
    <t>Handle</t>
  </si>
  <si>
    <t>10" I Max hinges (304 grade) qtn</t>
  </si>
  <si>
    <t>Holdfast</t>
  </si>
  <si>
    <t>Labbour charges</t>
  </si>
  <si>
    <t>RATE FOR 1.620 SQM</t>
  </si>
  <si>
    <t xml:space="preserve">Aluminium window openable 1.35x1.35m </t>
  </si>
  <si>
    <t xml:space="preserve">Two leaves </t>
  </si>
  <si>
    <t>sets</t>
  </si>
  <si>
    <t>RATE FOR 1.823 SQM</t>
  </si>
  <si>
    <r>
      <t xml:space="preserve">FITTER  </t>
    </r>
    <r>
      <rPr>
        <b/>
        <sz val="13"/>
        <rFont val="Arial"/>
        <family val="2"/>
      </rPr>
      <t>Ist CLASS</t>
    </r>
  </si>
  <si>
    <r>
      <t xml:space="preserve">MAZDOOR  </t>
    </r>
    <r>
      <rPr>
        <b/>
        <sz val="13"/>
        <rFont val="Arial"/>
        <family val="2"/>
      </rPr>
      <t>Ist CLASS</t>
    </r>
  </si>
  <si>
    <r>
      <t>CARPENTER</t>
    </r>
    <r>
      <rPr>
        <b/>
        <sz val="13"/>
        <rFont val="Arial"/>
        <family val="2"/>
      </rPr>
      <t xml:space="preserve"> II CLASS</t>
    </r>
  </si>
  <si>
    <t xml:space="preserve"> LABOUR RATE </t>
  </si>
  <si>
    <t>Aluminium window openable 1.50 x 1.65 m =2.48m2</t>
  </si>
  <si>
    <t>FRENCH WINDOW</t>
  </si>
  <si>
    <t>Clip Beading</t>
  </si>
  <si>
    <t>Aluminium window openable 1.80x1.35m =2.43m2</t>
  </si>
  <si>
    <t xml:space="preserve">Three  leaves </t>
  </si>
  <si>
    <t>Aluminium section 'H' Section</t>
  </si>
  <si>
    <t>Aluminium section 'Z' Section</t>
  </si>
  <si>
    <t xml:space="preserve">Intermediate section </t>
  </si>
  <si>
    <t>Max hinges (10")</t>
  </si>
  <si>
    <t>Aluminium window openable 1.35x1.05m 2</t>
  </si>
  <si>
    <t>Aluminium window openable 1.50x1.35m =2.03m2</t>
  </si>
  <si>
    <t>Aluminium handle with screws</t>
  </si>
  <si>
    <t xml:space="preserve">Aluminium holdfast 6"/4mm thick </t>
  </si>
  <si>
    <t>RATE FOR 2.025 SQM</t>
  </si>
  <si>
    <t xml:space="preserve"> Aluminium window openable 0.75x1.35m 2=1.013 m2</t>
  </si>
  <si>
    <t>RATE FOR 1.013 SQM</t>
  </si>
  <si>
    <t>T.W PLANKS (30.45 CM) (12 TO 25CM THICK)</t>
  </si>
  <si>
    <t>Bottom</t>
  </si>
  <si>
    <t>For 1cum</t>
  </si>
  <si>
    <t>Loading or unloading charges</t>
  </si>
  <si>
    <t>Km</t>
  </si>
  <si>
    <t>Rough stone, Bond stone, cut stone, HBG, Sand, gravel, surkhi, earth, crushed stone etc.Initial Lead (0-10 km)</t>
  </si>
  <si>
    <t>Removing of clay and conveyance charges,loading and unloading charges with an average lead of 3km entirely with city limits</t>
  </si>
  <si>
    <t>Conveyance of dismantled materials</t>
  </si>
  <si>
    <t>Dismantling of RCC works</t>
  </si>
  <si>
    <t>500mm Dia pipe DATA for 1 Rmt</t>
  </si>
  <si>
    <t>Volume of Concrete = 3.14/4 x 0.5  x 0.5  x 1 km =0.196 m3</t>
  </si>
  <si>
    <t>Chipping of pile to the required cut off level and cleaning away the debris with an average lead of 5 km entirely with city limits</t>
  </si>
  <si>
    <t>Rate for 1 Cum</t>
  </si>
  <si>
    <t>Moving and placing of piling equipment (1000/8)</t>
  </si>
  <si>
    <t>Total for 8 Rmt</t>
  </si>
  <si>
    <t>Bentonite (10% concrete volume)</t>
  </si>
  <si>
    <t>RCC 1:1.5:3 (F&amp;B)</t>
  </si>
  <si>
    <t xml:space="preserve"> 500mm Dia pipe</t>
  </si>
  <si>
    <t>Volume of Concrete = 3.14 /x *0.5 x 0.5  x 8  = 4.02 /4=  1.57 m3</t>
  </si>
  <si>
    <t>Setting of Bored cast-in-situ pile equipments with all accessories and tools at each of locations based on the 500 mm dia pile</t>
  </si>
  <si>
    <t>DATA</t>
  </si>
  <si>
    <t>TRICHY DIVISION</t>
  </si>
  <si>
    <t>TAMILNADU POLICE HOUSING CORPORATION LIMITED</t>
  </si>
  <si>
    <t>Standardised concrete Mix M30 Grade Concrete</t>
  </si>
  <si>
    <t>Standardised concrete Mix M20 Grade Concrete</t>
  </si>
  <si>
    <r>
      <t xml:space="preserve">20mm HBG Machine crushed stone jelly   </t>
    </r>
    <r>
      <rPr>
        <b/>
        <sz val="12"/>
        <rFont val="Helv"/>
      </rPr>
      <t xml:space="preserve"> (7730 Kg)</t>
    </r>
  </si>
  <si>
    <r>
      <t xml:space="preserve">10-12mm HBG Machine crushed stone jelly   </t>
    </r>
    <r>
      <rPr>
        <b/>
        <sz val="12"/>
        <rFont val="Helv"/>
      </rPr>
      <t xml:space="preserve"> (5156 Kg)</t>
    </r>
  </si>
  <si>
    <r>
      <t xml:space="preserve">Sand   </t>
    </r>
    <r>
      <rPr>
        <b/>
        <sz val="12"/>
        <rFont val="Helv"/>
      </rPr>
      <t xml:space="preserve"> (7670 Kg)</t>
    </r>
  </si>
  <si>
    <t>Total for 10 cum</t>
  </si>
  <si>
    <t>for 1 cum</t>
  </si>
  <si>
    <t>Sub Total</t>
  </si>
  <si>
    <t>Add for water charges &amp; other sundries (0.5 % of sub total</t>
  </si>
  <si>
    <t>Plasticiser /Super plasticiser @ 1% of cement</t>
  </si>
  <si>
    <t>4.1.1</t>
  </si>
  <si>
    <r>
      <t xml:space="preserve">Standardised concrete  mix using </t>
    </r>
    <r>
      <rPr>
        <b/>
        <sz val="13"/>
        <rFont val="Arial Narrow"/>
        <family val="2"/>
      </rPr>
      <t>M 30 Grade concrete in (F&amp;B)</t>
    </r>
  </si>
  <si>
    <t xml:space="preserve">For RCC Door Frame </t>
  </si>
  <si>
    <t>Vibrating charges p-28 /103</t>
  </si>
  <si>
    <t>2 X 4 Sq mm in fully concealed PVC conduit (open wiring)</t>
  </si>
  <si>
    <t>Glass 5.5mm plain  it-107</t>
  </si>
  <si>
    <t>Novapan Sheet 12mm Thick</t>
  </si>
  <si>
    <t>Rubber beeding (An-VI -it-63</t>
  </si>
  <si>
    <t>Power Grapping</t>
  </si>
  <si>
    <t xml:space="preserve">Rate For 1 Sqm </t>
  </si>
  <si>
    <t xml:space="preserve">Say </t>
  </si>
  <si>
    <t>Rubber beeding it-64 p-39</t>
  </si>
  <si>
    <t>Aluminium Door  ( 1.5 x2.1m thick)</t>
  </si>
  <si>
    <t>Aluminium section ''it-61 a( SR-13-14)</t>
  </si>
  <si>
    <t>PVC Felt ( It-65)</t>
  </si>
  <si>
    <t>DOOR STOPPER   It-82</t>
  </si>
  <si>
    <t>DOOR Closer It-67</t>
  </si>
  <si>
    <t xml:space="preserve">  SCREWS (75x 10mm)it-108 ii</t>
  </si>
  <si>
    <t>Bolts &amp; Nuts ( 3/4"x 1/4") It-78-b</t>
  </si>
  <si>
    <t>Bolts &amp; Nuts ( 6"x 1/2") it-78-e</t>
  </si>
  <si>
    <t>TOTAL FOR 3.15 SQM</t>
  </si>
  <si>
    <t>SR16-17</t>
  </si>
  <si>
    <t>Aluminium section ''it-61 a( SR-16-17)</t>
  </si>
  <si>
    <t xml:space="preserve">  SCREWS (75x 10mm)(An-VI -it-163</t>
  </si>
  <si>
    <t>Aluminium Door  ( 1.0 x2.1m thick)</t>
  </si>
  <si>
    <t xml:space="preserve">Name of Work : Providing Bored cast-in-situ pile Pile Foundation </t>
  </si>
  <si>
    <t>Setting of Bored cast-in-situ pile equipments with all accessories and tools at each of locations based on the 450 mm dia pile</t>
  </si>
  <si>
    <t>Volume of Concrete = 3.14 /x *0.45 x 0.45  x 8  = 4.02 /4=  1.272 m3</t>
  </si>
  <si>
    <t>Volume of Concrete = 3.14/4 x 0.45  x 0.45  x 1 km =0.159 m3</t>
  </si>
  <si>
    <t>Setting of Bored cast-in-situ pile equipments with all accessories and tools at each of locations based on the 400 mm dia pile</t>
  </si>
  <si>
    <t>Volume of Concrete = 3.14 /x *0.40 x 0.40  x 8  = 4.02 /4=  1.272 m3</t>
  </si>
  <si>
    <t>Volume of Concrete = 3.14/4 x 0.40  x 0.40  x 1 km =0.129 m3</t>
  </si>
  <si>
    <t xml:space="preserve"> 450mm Dia pipe</t>
  </si>
  <si>
    <t xml:space="preserve"> 400mm Dia pipe</t>
  </si>
  <si>
    <t>400mm Dia pipe DATA for 1 Rmt</t>
  </si>
  <si>
    <t>Aluminium window openable 1.20x1.05m (Two leaves)</t>
  </si>
  <si>
    <t>Aluminium section H</t>
  </si>
  <si>
    <t>Aluminium section  Z</t>
  </si>
  <si>
    <t>Aluminium section intermediate</t>
  </si>
  <si>
    <t>Clip Beeding</t>
  </si>
  <si>
    <t>Max hinges 10"/ 1</t>
  </si>
  <si>
    <t>Sets</t>
  </si>
  <si>
    <t>Say</t>
  </si>
  <si>
    <t xml:space="preserve">Providing PVC Tee with end cap </t>
  </si>
  <si>
    <t>Add 180 mt 4 Sqmm copper PVC insulated unsheathed S.C. cable p-86 2c</t>
  </si>
  <si>
    <t>Dismantling of RCC works it-35/38 p-24</t>
  </si>
  <si>
    <t>Conveyance of dismantled materials p-35</t>
  </si>
  <si>
    <t xml:space="preserve">Loading or unloading charges p-35 </t>
  </si>
  <si>
    <t>9.16*10</t>
  </si>
  <si>
    <t>38.4.1</t>
  </si>
  <si>
    <r>
      <rPr>
        <b/>
        <sz val="12"/>
        <rFont val="Arial"/>
        <family val="2"/>
      </rPr>
      <t>FRENCH WINDOW</t>
    </r>
    <r>
      <rPr>
        <sz val="12"/>
        <rFont val="Arial"/>
        <family val="2"/>
      </rPr>
      <t xml:space="preserve"> FOR DOOR OF SIZE</t>
    </r>
  </si>
  <si>
    <t>1.80 X 2.0M (3 bay openable )</t>
  </si>
  <si>
    <t>SHUTTER</t>
  </si>
  <si>
    <t>TW scantling styles (upto 2M) -3X2X1.90X0.075 x 0.0375</t>
  </si>
  <si>
    <t>TW scantling rails (above 2 M) -3X2X0.50X0.075 x 0.0375</t>
  </si>
  <si>
    <t>3X1.90X0.50</t>
  </si>
  <si>
    <t>4 MM THICK PIN HEADED GLASS</t>
  </si>
  <si>
    <t>3X1.775X0.375</t>
  </si>
  <si>
    <t>TW Decorative Beeding ( 15 x 12mm )</t>
  </si>
  <si>
    <t>3 [ 2 (1.775 + 0.375)]</t>
  </si>
  <si>
    <t xml:space="preserve">Main Data </t>
  </si>
  <si>
    <t>FOR Shutter</t>
  </si>
  <si>
    <t>T.W SCANTLING  upto 2M LONG</t>
  </si>
  <si>
    <t>TW  Beeding ( 15 x 12mm )</t>
  </si>
  <si>
    <t>Brass scrwew</t>
  </si>
  <si>
    <t xml:space="preserve">Total For 2.850 Sqm </t>
  </si>
  <si>
    <t>PWD SR For the year 2018-19</t>
  </si>
  <si>
    <t>Aluminium sliding window Two track size 1.20x1.35m</t>
  </si>
  <si>
    <t>Die No.1</t>
  </si>
  <si>
    <t>4605 @ 1.558 Kg/m</t>
  </si>
  <si>
    <t>Frame Horizondal (Top)</t>
  </si>
  <si>
    <t>1x1x1.20x1.558</t>
  </si>
  <si>
    <t>Die No.2</t>
  </si>
  <si>
    <t>8774 @ 0.695 Kg/m</t>
  </si>
  <si>
    <t>Frame Vertical (Two side)</t>
  </si>
  <si>
    <t>1x2x1.35x0.695</t>
  </si>
  <si>
    <t>Die No.3</t>
  </si>
  <si>
    <t>8775 @ 1.088 Kg/m</t>
  </si>
  <si>
    <t>Frame Horizondal (bottom)</t>
  </si>
  <si>
    <t>1x1x1.2x1.088</t>
  </si>
  <si>
    <t>Die No.4</t>
  </si>
  <si>
    <t>8790 @ 0.605 Kg/m</t>
  </si>
  <si>
    <t>Middle shutter vertical frame</t>
  </si>
  <si>
    <t>1x2x1.25x0.605</t>
  </si>
  <si>
    <t>Die No.5</t>
  </si>
  <si>
    <t>8791 @ 0.488 Kg/m</t>
  </si>
  <si>
    <t>End shutter vertical frame</t>
  </si>
  <si>
    <t>1x2x1.25x0.488</t>
  </si>
  <si>
    <t>8792 @ 0.355 Kg/m</t>
  </si>
  <si>
    <t>Shutter top &amp; Bottom</t>
  </si>
  <si>
    <t>2x2x0.55x0.355</t>
  </si>
  <si>
    <t>Wastage 10%</t>
  </si>
  <si>
    <t>I</t>
  </si>
  <si>
    <t>5.5mm thick plain glass</t>
  </si>
  <si>
    <t>For shutter</t>
  </si>
  <si>
    <t>1x2x0.55x1.25</t>
  </si>
  <si>
    <r>
      <t>m</t>
    </r>
    <r>
      <rPr>
        <vertAlign val="superscript"/>
        <sz val="11"/>
        <color indexed="8"/>
        <rFont val="Calibri"/>
        <family val="2"/>
      </rPr>
      <t>2</t>
    </r>
  </si>
  <si>
    <t>II</t>
  </si>
  <si>
    <t>1x2x2x3.6</t>
  </si>
  <si>
    <t>III</t>
  </si>
  <si>
    <t>Total area</t>
  </si>
  <si>
    <t>1.20x1.35</t>
  </si>
  <si>
    <t>Aluminium 15 microns anodised</t>
  </si>
  <si>
    <t>Plain 5.5mm thick glass</t>
  </si>
  <si>
    <t>push botton handle</t>
  </si>
  <si>
    <t>PVC Roller for sliding window</t>
  </si>
  <si>
    <t>TOTAL FOR 1.62 SQM</t>
  </si>
  <si>
    <t>Say Rs. Rate Per m2</t>
  </si>
  <si>
    <t>SUB DATA</t>
  </si>
  <si>
    <r>
      <t xml:space="preserve">FITTER  </t>
    </r>
    <r>
      <rPr>
        <b/>
        <sz val="12"/>
        <rFont val="Helv"/>
      </rPr>
      <t>Ist CLASS</t>
    </r>
  </si>
  <si>
    <r>
      <t xml:space="preserve">MAZDOOR  </t>
    </r>
    <r>
      <rPr>
        <b/>
        <sz val="12"/>
        <rFont val="Helv"/>
      </rPr>
      <t>Ist CLASS</t>
    </r>
  </si>
  <si>
    <r>
      <t>CARPENTER</t>
    </r>
    <r>
      <rPr>
        <b/>
        <sz val="12"/>
        <rFont val="Helv"/>
      </rPr>
      <t xml:space="preserve"> II CLASS</t>
    </r>
  </si>
  <si>
    <t>Aluminium sliding window Two track size 2.40x1.05m</t>
  </si>
  <si>
    <t>1x2x2.4x1.558</t>
  </si>
  <si>
    <t>1x4x1.05x0.695</t>
  </si>
  <si>
    <t>1x1x2.4x1.088</t>
  </si>
  <si>
    <t>1x4x0.95x0.605</t>
  </si>
  <si>
    <t>1x4x0.95x0.488</t>
  </si>
  <si>
    <t>2x4x0.55x0.355</t>
  </si>
  <si>
    <t>1x4x0.55x0.95</t>
  </si>
  <si>
    <t>1x2x4x3.3</t>
  </si>
  <si>
    <t>2.40x1.05</t>
  </si>
  <si>
    <t>Aluminium sliding window Two track size 0.90x1.35m</t>
  </si>
  <si>
    <t>1x1x0.90x1.558</t>
  </si>
  <si>
    <t>1x1x0.9x1.088</t>
  </si>
  <si>
    <t>2x2x0.45x0.355</t>
  </si>
  <si>
    <t>1x2x0.45x1.25</t>
  </si>
  <si>
    <t>1x2x2x3.4</t>
  </si>
  <si>
    <t>0.90x1.35</t>
  </si>
  <si>
    <t>TOTAL FOR 1.22 SQM</t>
  </si>
  <si>
    <t>Aluminium sliding window Two track size 2.4x1.80m</t>
  </si>
  <si>
    <t>1x2x1.80x0.695</t>
  </si>
  <si>
    <t>Frame Vertical (middle)</t>
  </si>
  <si>
    <t>1x2x1.2x0.695</t>
  </si>
  <si>
    <t>1x4x1.10x0.605</t>
  </si>
  <si>
    <t>1x4x1.10x0.488</t>
  </si>
  <si>
    <t>Die No.6</t>
  </si>
  <si>
    <t>1x4x0.55x1.10</t>
  </si>
  <si>
    <t>For portion</t>
  </si>
  <si>
    <t>1x1x2.3x0.6</t>
  </si>
  <si>
    <r>
      <t>m</t>
    </r>
    <r>
      <rPr>
        <b/>
        <vertAlign val="superscript"/>
        <sz val="11"/>
        <color indexed="8"/>
        <rFont val="Calibri"/>
        <family val="2"/>
      </rPr>
      <t>2</t>
    </r>
  </si>
  <si>
    <t>1x2x4x3.30</t>
  </si>
  <si>
    <t>1x2x1x5.8</t>
  </si>
  <si>
    <t>2.4x1.8</t>
  </si>
  <si>
    <t>TOTAL FOR 4.32 SQM</t>
  </si>
  <si>
    <t xml:space="preserve">Frame Vertical  </t>
  </si>
  <si>
    <t>1x2x0.6</t>
  </si>
  <si>
    <t xml:space="preserve">Frame Horizondal </t>
  </si>
  <si>
    <t>1x2x0.90</t>
  </si>
  <si>
    <t>3x1.558Kgs</t>
  </si>
  <si>
    <t>Glass area</t>
  </si>
  <si>
    <t>0.90x0.6</t>
  </si>
  <si>
    <t>m2</t>
  </si>
  <si>
    <t>0.9x0.6</t>
  </si>
  <si>
    <t>Aluminium Louvered Ventilator 0.90x0.60m</t>
  </si>
  <si>
    <t>TOTAL FOR 0.54 SQM</t>
  </si>
  <si>
    <t xml:space="preserve">  DATA 2018-2019</t>
  </si>
  <si>
    <t xml:space="preserve"> SP PERAMBALUR</t>
  </si>
  <si>
    <t>2.10 X 2.0M (3 bay openable )</t>
  </si>
  <si>
    <t>TW scantling styles (upto 2M) -3X2X1.90 X 0.075 x 0.0375</t>
  </si>
  <si>
    <t>TW scantling rails(above 2 M) -3X2X0.60X0.075 x 0.0375</t>
  </si>
  <si>
    <t>3X1.90X0.60</t>
  </si>
  <si>
    <t>3X1.775X0.475</t>
  </si>
  <si>
    <t>3 [ 2 (1.775 + 0.475)]</t>
  </si>
  <si>
    <t xml:space="preserve">Total For 3.420 Sqm </t>
  </si>
  <si>
    <t>1.20 X 2.0M (2 bay openable )</t>
  </si>
  <si>
    <t>TW scantling styles (upto 2M) -2X2X1.90 X 0.075 x 0.0375</t>
  </si>
  <si>
    <t>TW scantling rails(above 2 M) -2X2x 0.50X0.075 x 0.0375</t>
  </si>
  <si>
    <t>2X1.90X0.50</t>
  </si>
  <si>
    <t>2X1.775X0.375</t>
  </si>
  <si>
    <t>TW Beeding ( 15 x 12mm )</t>
  </si>
  <si>
    <t>2 [ 2 (1.775 + 0.375)]</t>
  </si>
  <si>
    <t xml:space="preserve">Total For 1.90 Sqm </t>
  </si>
  <si>
    <t>0.75 X 2.0M (Single bay openable )</t>
  </si>
  <si>
    <t>TW scantling styles (upto 2M) -1X2X1.90 X 0.075 x 0.0375</t>
  </si>
  <si>
    <t>TW scantling rails(above 2 M) -1X2 x 0.65X0.075 x 0.0375</t>
  </si>
  <si>
    <t>1X1.90X0.65</t>
  </si>
  <si>
    <t>1X1.775X0.525</t>
  </si>
  <si>
    <t>1 [ 2 (1.775 + 0.525)]</t>
  </si>
  <si>
    <t xml:space="preserve">Total For 1.235 Sqm </t>
  </si>
  <si>
    <t>0.57 X 2.0M (Single bay openable )</t>
  </si>
  <si>
    <t>TW scantling rails(above 2 M) -1X2 x 0.47X0.075 x 0.0375</t>
  </si>
  <si>
    <t>1X1.90X0.47</t>
  </si>
  <si>
    <t>1X1.775X0.345</t>
  </si>
  <si>
    <t>1 [ 2 (1.775 + 0.345)]</t>
  </si>
  <si>
    <t xml:space="preserve">Total For 0.893 Sqm </t>
  </si>
  <si>
    <t>T.W SCANTLING  below 2M LONG</t>
  </si>
  <si>
    <t>LABOUR FOR WROUGHT&amp;PUTUP ( p-31 it -146</t>
  </si>
  <si>
    <t>T.W.DOUBLE LEAF  PANELLED</t>
  </si>
  <si>
    <r>
      <t xml:space="preserve">DOOR SHUTTER WITH </t>
    </r>
    <r>
      <rPr>
        <b/>
        <sz val="12"/>
        <rFont val="Arial"/>
        <family val="2"/>
      </rPr>
      <t>FRENCH WINDOW</t>
    </r>
    <r>
      <rPr>
        <sz val="12"/>
        <rFont val="Arial"/>
        <family val="2"/>
      </rPr>
      <t xml:space="preserve"> FOR DOOR OF SIZE</t>
    </r>
  </si>
  <si>
    <t>2400 X 2400MM</t>
  </si>
  <si>
    <t xml:space="preserve">FRAMES                                                                                 </t>
  </si>
  <si>
    <t>TW WROUGHT&amp;PUTUP  UP TO 2 to 3mt</t>
  </si>
  <si>
    <t xml:space="preserve">FOR DOOR OF SIZE 3.0 X2.0m </t>
  </si>
  <si>
    <t xml:space="preserve">VERTICALS (4 X 2 ) 0.15 X 0.15 X2.4     </t>
  </si>
  <si>
    <t xml:space="preserve">For shutters middle </t>
  </si>
  <si>
    <t>HORIZONTAL RAILS = (3x 1) 1.8 x0.15x 0.05 = 0.0405</t>
  </si>
  <si>
    <t>Styles - verticals = ( 6x 1) 0.1x 0.05x 2.15=0.0645</t>
  </si>
  <si>
    <t>For side rails french window =(2x 3) 0.35x 0.15x 0.05=0.0158</t>
  </si>
  <si>
    <t>LABOUR FOR GLASS PANEL WORKSFOR FRENCH WINDOW GLASS AREA=(2X1)0.35X2.15=1.5</t>
  </si>
  <si>
    <t xml:space="preserve">  6 "BRASS HINGS</t>
  </si>
  <si>
    <t>8"BRASS  TOWER BOLT</t>
  </si>
  <si>
    <t>12"  BRASS ALDROP</t>
  </si>
  <si>
    <t xml:space="preserve">12"  BRASS DOOR HANDLE </t>
  </si>
  <si>
    <t xml:space="preserve"> 6" BRASS DOOR STOPPER</t>
  </si>
  <si>
    <t xml:space="preserve">  DOOR CATCHER</t>
  </si>
  <si>
    <t>ADD LS for Special item for forming etc:</t>
  </si>
  <si>
    <t>TOP &amp; BOTTOM (2 X2 )   3.X 0.15X 0.15</t>
  </si>
  <si>
    <t xml:space="preserve">Styles 2 to 3 mt long </t>
  </si>
  <si>
    <t>LABOUR CHARGES FOR DOOR SHUUTERS=1.85 x2.15=3.98  m2</t>
  </si>
  <si>
    <r>
      <t xml:space="preserve"> </t>
    </r>
    <r>
      <rPr>
        <b/>
        <u/>
        <sz val="12"/>
        <rFont val="Arial"/>
        <family val="2"/>
      </rPr>
      <t xml:space="preserve">TW PLANKS 30 TO 45 cm WIDE 12 TO 25MM Thk </t>
    </r>
    <r>
      <rPr>
        <sz val="12"/>
        <rFont val="Arial"/>
        <family val="2"/>
      </rPr>
      <t xml:space="preserve">   MIDDLE SHUTTERS = ( 8 x10 0.815 x 0.35x 0.01875 m3</t>
    </r>
  </si>
  <si>
    <t>ORNAMENTAL GROOVES v =(6X2+3X1.8)=17.4 m</t>
  </si>
  <si>
    <t xml:space="preserve"> Supply of 5.5 MM THICK PLAIN GLASS</t>
  </si>
  <si>
    <t>5.5 MM THICK PLAIN GLASS for French window  Bottom = ( 2 x1 ) 0.35 x0.4 =0.28 m2</t>
  </si>
  <si>
    <t xml:space="preserve"> Add LS  for special item for forming etc</t>
  </si>
  <si>
    <t>5.5 MM THICK PLAIN GLASS for French window top = ( 2 x1 ) 0.35 x1.4 =0.98 m2 ( SR 18-19 it- 107 p-45)</t>
  </si>
  <si>
    <t>T.W. REEPER FOR GLASS WINDOW 50mm x 12 mm(2X2X2+2X4X0.35)=9.8( SR 18-19 it- 126 p-20)</t>
  </si>
  <si>
    <t>2021-2022</t>
  </si>
  <si>
    <r>
      <t xml:space="preserve"> P.C.C,R.C.C SLAB OF40mm THICK </t>
    </r>
    <r>
      <rPr>
        <b/>
        <sz val="12"/>
        <rFont val="Cambria"/>
        <family val="1"/>
        <scheme val="major"/>
      </rPr>
      <t>using standardised concrete mix of M20 grade</t>
    </r>
  </si>
  <si>
    <t>M Sand</t>
  </si>
  <si>
    <t>BASEMENT  WITH  FILLING M Sand</t>
  </si>
  <si>
    <t>COST OF FILLINGM Sand</t>
  </si>
  <si>
    <t>M Sand    (7670 Kg)</t>
  </si>
  <si>
    <t>20mm HBG Machine crushed stone jelly    (7730 Kg)</t>
  </si>
  <si>
    <t>10-12mm HBG Machine crushed stone jelly    (5156 Kg)</t>
  </si>
  <si>
    <t>D</t>
  </si>
  <si>
    <t>4 Metre Length Single Bracket Pole with Base Plate</t>
  </si>
  <si>
    <t>(250 x 250 x 6mm)</t>
  </si>
  <si>
    <t>76.10mm OD x 3.65mm Thick x 4000mm Length</t>
  </si>
  <si>
    <t>SOR 2021-22 Pg.148</t>
  </si>
  <si>
    <t>S &amp; F of 25 watts LED street light fittings</t>
  </si>
  <si>
    <t>Kadamalaikundu</t>
  </si>
  <si>
    <t xml:space="preserve">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t>
  </si>
  <si>
    <t>Name of work : Construction of Fire and Rescue service station building with development works at Kadamalaikundu in Theni District.</t>
  </si>
  <si>
    <t>Fire Service  Station Detailed Estimate</t>
  </si>
  <si>
    <t>Description of works</t>
  </si>
  <si>
    <t>Measurements</t>
  </si>
  <si>
    <t>L</t>
  </si>
  <si>
    <t xml:space="preserve">Earth work excavation for foundation in all soils and sub soils including refilling </t>
  </si>
  <si>
    <t>a) 0m to 2m depth</t>
  </si>
  <si>
    <t>Footing</t>
  </si>
  <si>
    <t>C1F1 C6F6</t>
  </si>
  <si>
    <t>x</t>
  </si>
  <si>
    <t>C2F2</t>
  </si>
  <si>
    <t>C3F3,C4F4,C5F5</t>
  </si>
  <si>
    <t>Grade beam</t>
  </si>
  <si>
    <t>Inspection chamber</t>
  </si>
  <si>
    <t>ded:</t>
  </si>
  <si>
    <t xml:space="preserve">C1F1 </t>
  </si>
  <si>
    <t>C3F3</t>
  </si>
  <si>
    <t>C5F5</t>
  </si>
  <si>
    <t xml:space="preserve">Supplying and filling in foundation and basement with filling sand </t>
  </si>
  <si>
    <t>lobby and staircase</t>
  </si>
  <si>
    <t>store/office</t>
  </si>
  <si>
    <t>waiting room</t>
  </si>
  <si>
    <t>corridor-1</t>
  </si>
  <si>
    <t>watcher room</t>
  </si>
  <si>
    <t>sfo room</t>
  </si>
  <si>
    <t>2.1.1</t>
  </si>
  <si>
    <t>Supplying and filling in foundation and basement with Gravel</t>
  </si>
  <si>
    <t>Deduction for Service pit</t>
  </si>
  <si>
    <t>say</t>
  </si>
  <si>
    <t>P C C 1:5:10 for foundation</t>
  </si>
  <si>
    <t xml:space="preserve">Grade beam </t>
  </si>
  <si>
    <t xml:space="preserve">d/F coloumn </t>
  </si>
  <si>
    <t>Standard Design Mix  M20 grade Concrete for RCC Works</t>
  </si>
  <si>
    <t>a) In foundation and basement</t>
  </si>
  <si>
    <t>C1 ,C6</t>
  </si>
  <si>
    <t>C2</t>
  </si>
  <si>
    <t>C3,C5</t>
  </si>
  <si>
    <t>C4</t>
  </si>
  <si>
    <t>Footing   to Grade beam  bottom</t>
  </si>
  <si>
    <t>C1 ,</t>
  </si>
  <si>
    <t>C3,</t>
  </si>
  <si>
    <t>C5</t>
  </si>
  <si>
    <t>C6</t>
  </si>
  <si>
    <t>ded: columns</t>
  </si>
  <si>
    <t>Column to upto G.B to plinth beam bottom</t>
  </si>
  <si>
    <t xml:space="preserve">Plinth beam </t>
  </si>
  <si>
    <t>carage floor matt</t>
  </si>
  <si>
    <t>Service pit bott matt</t>
  </si>
  <si>
    <t>Service pit alround</t>
  </si>
  <si>
    <t>Brick work in cm 1:5 using burnt country bricks and size 22x11x7 CM</t>
  </si>
  <si>
    <t>(1.33+0.12 = 1.45                                         Brick on edge)</t>
  </si>
  <si>
    <t>Wall allround</t>
  </si>
  <si>
    <t>C1</t>
  </si>
  <si>
    <t>C3</t>
  </si>
  <si>
    <t>a) In Ground Floor</t>
  </si>
  <si>
    <t>Column upto Roof Beam Bottom</t>
  </si>
  <si>
    <t>LintelBeam</t>
  </si>
  <si>
    <t>ladies toilet</t>
  </si>
  <si>
    <t>Roof Slab</t>
  </si>
  <si>
    <t>office area</t>
  </si>
  <si>
    <t>add projection front</t>
  </si>
  <si>
    <t>Roof Beam</t>
  </si>
  <si>
    <t>Loft</t>
  </si>
  <si>
    <t>watch room</t>
  </si>
  <si>
    <t>store long</t>
  </si>
  <si>
    <t>Sill slab window w1</t>
  </si>
  <si>
    <t>w2</t>
  </si>
  <si>
    <t>w3</t>
  </si>
  <si>
    <t>fw1</t>
  </si>
  <si>
    <t>ws</t>
  </si>
  <si>
    <t>sw</t>
  </si>
  <si>
    <t>sw1</t>
  </si>
  <si>
    <t>fw/rw</t>
  </si>
  <si>
    <t>SunShade Slab</t>
  </si>
  <si>
    <t>w1</t>
  </si>
  <si>
    <t>Window2</t>
  </si>
  <si>
    <t xml:space="preserve">s/c first flight </t>
  </si>
  <si>
    <t>mid landing</t>
  </si>
  <si>
    <t>2nd flight</t>
  </si>
  <si>
    <t>steps</t>
  </si>
  <si>
    <t>toe beam and mid beam</t>
  </si>
  <si>
    <t>b) In First Floor</t>
  </si>
  <si>
    <t>garage</t>
  </si>
  <si>
    <t>LOFT  sot room</t>
  </si>
  <si>
    <t>restroom</t>
  </si>
  <si>
    <t>restroom2</t>
  </si>
  <si>
    <r>
      <rPr>
        <b/>
        <sz val="13"/>
        <rFont val="Times New Roman"/>
        <family val="1"/>
      </rPr>
      <t>Sill slab window</t>
    </r>
    <r>
      <rPr>
        <sz val="13"/>
        <rFont val="Times New Roman"/>
        <family val="1"/>
      </rPr>
      <t xml:space="preserve"> w</t>
    </r>
  </si>
  <si>
    <t>w4</t>
  </si>
  <si>
    <t>fw/rb</t>
  </si>
  <si>
    <t>sunshade  w</t>
  </si>
  <si>
    <t>parapet column c1</t>
  </si>
  <si>
    <t>c2</t>
  </si>
  <si>
    <t>c3</t>
  </si>
  <si>
    <t>c4</t>
  </si>
  <si>
    <t>c5</t>
  </si>
  <si>
    <t>c6</t>
  </si>
  <si>
    <t xml:space="preserve">s/c 3rd  flight </t>
  </si>
  <si>
    <t>4th flight</t>
  </si>
  <si>
    <t>mid beam</t>
  </si>
  <si>
    <t>c)second floor s/c  col c2</t>
  </si>
  <si>
    <t>beam alround</t>
  </si>
  <si>
    <t>slab</t>
  </si>
  <si>
    <t>sunshade</t>
  </si>
  <si>
    <t>Brick work in cm 1:6 using burnt country bricks and size 22x11x7 CM</t>
  </si>
  <si>
    <t>a)Ground floor</t>
  </si>
  <si>
    <t>d/f m.door</t>
  </si>
  <si>
    <t>fw</t>
  </si>
  <si>
    <t>rv</t>
  </si>
  <si>
    <t>d1</t>
  </si>
  <si>
    <t>d1a</t>
  </si>
  <si>
    <t>d2</t>
  </si>
  <si>
    <t>do</t>
  </si>
  <si>
    <t>td1</t>
  </si>
  <si>
    <t>d/f lintel</t>
  </si>
  <si>
    <t xml:space="preserve">b)first floor </t>
  </si>
  <si>
    <t>staircase &amp; SOT vertical wall near corridor</t>
  </si>
  <si>
    <t>rest room vertical wall</t>
  </si>
  <si>
    <t>rest room horiz wall</t>
  </si>
  <si>
    <t>toilet, stair &amp; SOT horiz wall</t>
  </si>
  <si>
    <t>office area parapet</t>
  </si>
  <si>
    <t>ded: head room wall</t>
  </si>
  <si>
    <t>garage parapet 3 side</t>
  </si>
  <si>
    <t>d/f d1</t>
  </si>
  <si>
    <t>w</t>
  </si>
  <si>
    <t>d/f coloumn c1</t>
  </si>
  <si>
    <t>Garage side wall</t>
  </si>
  <si>
    <t>c)second floor  headroom alround</t>
  </si>
  <si>
    <t>parapet</t>
  </si>
  <si>
    <t>d/f s/c  col c2</t>
  </si>
  <si>
    <t>door open</t>
  </si>
  <si>
    <t>Brick work in cm 1:4 using burnt country bricks and size 22x11x7 CM 110 mm thick</t>
  </si>
  <si>
    <t>b)ground floor</t>
  </si>
  <si>
    <t>ladies toilet hori</t>
  </si>
  <si>
    <t>in b/w bath &amp; wc</t>
  </si>
  <si>
    <t>vert.cross wall</t>
  </si>
  <si>
    <t>gents toilet hori wall for bath</t>
  </si>
  <si>
    <t>hori cross wall for wc</t>
  </si>
  <si>
    <t>in b/w ladies and gents toil wash basin</t>
  </si>
  <si>
    <t>vert.cross wall b/w gents toilt bath</t>
  </si>
  <si>
    <t>vert.cross wall b/w behind wash basin</t>
  </si>
  <si>
    <t>d/f td</t>
  </si>
  <si>
    <t>c)first floor</t>
  </si>
  <si>
    <t>B.W Partition wall 70mm tk</t>
  </si>
  <si>
    <t>a) Ground floor</t>
  </si>
  <si>
    <t>sfo</t>
  </si>
  <si>
    <t>Store</t>
  </si>
  <si>
    <t>b)first floor</t>
  </si>
  <si>
    <t>sot</t>
  </si>
  <si>
    <t>rest room 1,2,3</t>
  </si>
  <si>
    <t>B.W Partition wall 50mm tk</t>
  </si>
  <si>
    <t xml:space="preserve">a) Ground floor  </t>
  </si>
  <si>
    <t xml:space="preserve">  s/c hand rails</t>
  </si>
  <si>
    <t>Column footing</t>
  </si>
  <si>
    <t>Column up to grade beam</t>
  </si>
  <si>
    <t xml:space="preserve">Precast Slab 20mm Tk </t>
  </si>
  <si>
    <t>Rest Room ( 2.00 x 3.00 x 4.00)</t>
  </si>
  <si>
    <t>Office</t>
  </si>
  <si>
    <t>rest room 1</t>
  </si>
  <si>
    <t>sot room</t>
  </si>
  <si>
    <t>rest room 2</t>
  </si>
  <si>
    <t xml:space="preserve">Precast Slab 40mm Tk </t>
  </si>
  <si>
    <t>a)</t>
  </si>
  <si>
    <t>In foundation &amp; basement</t>
  </si>
  <si>
    <t>IC</t>
  </si>
  <si>
    <t>b)</t>
  </si>
  <si>
    <t>In ground floor shelf top slab</t>
  </si>
  <si>
    <t>Precast jally ventilator 50mm thick</t>
  </si>
  <si>
    <t>Ground floor</t>
  </si>
  <si>
    <t>ventilator rv</t>
  </si>
  <si>
    <t>vo</t>
  </si>
  <si>
    <t>ventilator v</t>
  </si>
  <si>
    <t>First floor</t>
  </si>
  <si>
    <t>Teak Wood Wrought &amp; Put Up</t>
  </si>
  <si>
    <t>A) Tea Wood Over 2M &amp; Below 3M</t>
  </si>
  <si>
    <t>For Entrance Door Frame</t>
  </si>
  <si>
    <t>sfo,sot</t>
  </si>
  <si>
    <t xml:space="preserve">B) Teak Wood Below 2M Length </t>
  </si>
  <si>
    <t xml:space="preserve">sot,sfo </t>
  </si>
  <si>
    <t>S &amp; F Magnetic Door Catches</t>
  </si>
  <si>
    <t>Entrance Door &amp; Store,sot,sfo,watcroom</t>
  </si>
  <si>
    <t xml:space="preserve">MS Hold Fast GF </t>
  </si>
  <si>
    <t>P.C.C 1:5:10 Ground floor</t>
  </si>
  <si>
    <t>store</t>
  </si>
  <si>
    <t>bath area</t>
  </si>
  <si>
    <t>Floor Plastering In Cm 1:4, 20Mm Thick</t>
  </si>
  <si>
    <t>Carage</t>
  </si>
  <si>
    <t>Ramp</t>
  </si>
  <si>
    <t>For chamber</t>
  </si>
  <si>
    <t>midlanding</t>
  </si>
  <si>
    <t>LOBBY</t>
  </si>
  <si>
    <t xml:space="preserve">Plastering 1 : 5 12 Mm Tk </t>
  </si>
  <si>
    <t>Outer plastering</t>
  </si>
  <si>
    <t>basement outer wall inner plastering</t>
  </si>
  <si>
    <t>office area parapet allround</t>
  </si>
  <si>
    <t>parapet top</t>
  </si>
  <si>
    <t>parapet inner</t>
  </si>
  <si>
    <t>garage parapet outer wall</t>
  </si>
  <si>
    <t xml:space="preserve">head room outer </t>
  </si>
  <si>
    <t>Deductions</t>
  </si>
  <si>
    <t>D1A</t>
  </si>
  <si>
    <t>FW</t>
  </si>
  <si>
    <t>RV</t>
  </si>
  <si>
    <t>W</t>
  </si>
  <si>
    <t>W1</t>
  </si>
  <si>
    <t>W3</t>
  </si>
  <si>
    <t>W4</t>
  </si>
  <si>
    <t>V</t>
  </si>
  <si>
    <t>VO</t>
  </si>
  <si>
    <t>Head room door</t>
  </si>
  <si>
    <t>A/F jams</t>
  </si>
  <si>
    <t>Garage  outer wall</t>
  </si>
  <si>
    <t>Inner plastering</t>
  </si>
  <si>
    <t>ded: open</t>
  </si>
  <si>
    <t>portico</t>
  </si>
  <si>
    <t>entrance</t>
  </si>
  <si>
    <t>corrider 1</t>
  </si>
  <si>
    <t>corrider 2</t>
  </si>
  <si>
    <t>store 1</t>
  </si>
  <si>
    <t>gents toilet center area</t>
  </si>
  <si>
    <t xml:space="preserve">ladies toilet </t>
  </si>
  <si>
    <t>wash bashin side wall</t>
  </si>
  <si>
    <t>driver mechanic</t>
  </si>
  <si>
    <t>garage side wall</t>
  </si>
  <si>
    <t>Cupboard walls</t>
  </si>
  <si>
    <t>M.D</t>
  </si>
  <si>
    <t>FW1</t>
  </si>
  <si>
    <t>D1</t>
  </si>
  <si>
    <t>D2</t>
  </si>
  <si>
    <t>DO</t>
  </si>
  <si>
    <t>TD1</t>
  </si>
  <si>
    <t>TD</t>
  </si>
  <si>
    <t>W2</t>
  </si>
  <si>
    <t>WS</t>
  </si>
  <si>
    <t>SW</t>
  </si>
  <si>
    <t>SW1</t>
  </si>
  <si>
    <t>V.VO,RV</t>
  </si>
  <si>
    <t>Add Jams</t>
  </si>
  <si>
    <t>outer plastering</t>
  </si>
  <si>
    <t>Plastering  in CM 1 : 4 12 mm</t>
  </si>
  <si>
    <t>For Service station</t>
  </si>
  <si>
    <t>Special Ceiling Plastering in cm 1:3,10mm tk.</t>
  </si>
  <si>
    <t xml:space="preserve">Watch Room </t>
  </si>
  <si>
    <t>Waiting room</t>
  </si>
  <si>
    <t>Entrance / verandha</t>
  </si>
  <si>
    <t>Sfo room</t>
  </si>
  <si>
    <t>rear verandha</t>
  </si>
  <si>
    <t>Store 1</t>
  </si>
  <si>
    <t>Gents /Ladies Toilet</t>
  </si>
  <si>
    <t xml:space="preserve">S/C 1st flight </t>
  </si>
  <si>
    <t xml:space="preserve">S/C 2nd flight </t>
  </si>
  <si>
    <t>s/c lobby</t>
  </si>
  <si>
    <t>Watch Room loft</t>
  </si>
  <si>
    <t>Sfo room loft</t>
  </si>
  <si>
    <t>store loft</t>
  </si>
  <si>
    <t>G.f.garage side shelf</t>
  </si>
  <si>
    <t>SOT balcony</t>
  </si>
  <si>
    <t>sitout</t>
  </si>
  <si>
    <t>sot laft</t>
  </si>
  <si>
    <t>rest room laft 1</t>
  </si>
  <si>
    <t>rest room laft 2</t>
  </si>
  <si>
    <t>s/c 3rd flight</t>
  </si>
  <si>
    <t>s/c 4th flight</t>
  </si>
  <si>
    <t>rear sitout</t>
  </si>
  <si>
    <t xml:space="preserve">garage ceiling </t>
  </si>
  <si>
    <t xml:space="preserve">head room ceiling </t>
  </si>
  <si>
    <t>sunshade w</t>
  </si>
  <si>
    <t xml:space="preserve">Plastering in CM 1 : 5 12mm Borders </t>
  </si>
  <si>
    <t xml:space="preserve">a) 150mm Wide </t>
  </si>
  <si>
    <t>For fire station +office area</t>
  </si>
  <si>
    <t>For L/S building area only</t>
  </si>
  <si>
    <t>b) 75 mm Wide</t>
  </si>
  <si>
    <t>For L/S</t>
  </si>
  <si>
    <t xml:space="preserve">c) 50mm Wide </t>
  </si>
  <si>
    <t>For fire station</t>
  </si>
  <si>
    <t xml:space="preserve">White Washing 3 Coats </t>
  </si>
  <si>
    <t xml:space="preserve">Qty as per Ceiling Plastering </t>
  </si>
  <si>
    <t>Item No: 35</t>
  </si>
  <si>
    <t>Supplying and fixing  of Ms Grills for varandah encloser</t>
  </si>
  <si>
    <t>Ladder 1</t>
  </si>
  <si>
    <t>Ladder 2</t>
  </si>
  <si>
    <t>head room door</t>
  </si>
  <si>
    <t>pump room door</t>
  </si>
  <si>
    <t>flag post</t>
  </si>
  <si>
    <t>35Kg/ sq.m</t>
  </si>
  <si>
    <t>S &amp; F of steel windows</t>
  </si>
  <si>
    <t xml:space="preserve">window </t>
  </si>
  <si>
    <t>Painting New Wood work</t>
  </si>
  <si>
    <t>flush door</t>
  </si>
  <si>
    <t>Co-Efficient=2.6</t>
  </si>
  <si>
    <t xml:space="preserve">Painting New Iron Work </t>
  </si>
  <si>
    <t>Astm Pipe 32Mm Dia</t>
  </si>
  <si>
    <t>Astm Pipe 25Mm Dia</t>
  </si>
  <si>
    <t xml:space="preserve">S &amp; F 20mm Aluminium Hanger rod </t>
  </si>
  <si>
    <t>Aluminium Towel Rail</t>
  </si>
  <si>
    <t>5 pin Coat Stand</t>
  </si>
  <si>
    <t xml:space="preserve">S &amp; F of Chromium Plated 8 Guage Picture Hooks </t>
  </si>
  <si>
    <t xml:space="preserve">In Ground Floor &amp; first floor </t>
  </si>
  <si>
    <t>Supply and Planting avenue Trees</t>
  </si>
  <si>
    <t>Providing Tree Guard</t>
  </si>
  <si>
    <t>50.5.1</t>
  </si>
  <si>
    <t>PVC water supply ASTM Pipe</t>
  </si>
  <si>
    <t>a)32mm Dia</t>
  </si>
  <si>
    <t>Sump to Over Head Tank</t>
  </si>
  <si>
    <t>b)25mm Dia</t>
  </si>
  <si>
    <t>Over Head Tank To Buildings</t>
  </si>
  <si>
    <t>c) 20 mm dia</t>
  </si>
  <si>
    <t xml:space="preserve">Ground Floor Toilet+ First floor </t>
  </si>
  <si>
    <t>20mm dia Hot water GI pipe</t>
  </si>
  <si>
    <t>S &amp; F EWC White  ground floor  sfo room</t>
  </si>
  <si>
    <t>PVC Nahani Trap(4way/2way)</t>
  </si>
  <si>
    <t>Ground Floor</t>
  </si>
  <si>
    <t>61.1.1</t>
  </si>
  <si>
    <t>SN 8 pipe</t>
  </si>
  <si>
    <t xml:space="preserve">a) 110 mm Dia </t>
  </si>
  <si>
    <t xml:space="preserve">For chamber line </t>
  </si>
  <si>
    <t xml:space="preserve">b) 160 mm </t>
  </si>
  <si>
    <t>For chamber line and building to septic tank</t>
  </si>
  <si>
    <t>62.1.1</t>
  </si>
  <si>
    <t>PVC Bend</t>
  </si>
  <si>
    <t>a) 110 mm dia</t>
  </si>
  <si>
    <t>b) 160 mm dia</t>
  </si>
  <si>
    <t>62.2.1</t>
  </si>
  <si>
    <t>PVC  Tee</t>
  </si>
  <si>
    <t>a. 110 mm dia</t>
  </si>
  <si>
    <t>a. 160 mm dia</t>
  </si>
  <si>
    <t>Electrical Arrangements</t>
  </si>
  <si>
    <t xml:space="preserve">15 Amps 3 pin Plug </t>
  </si>
  <si>
    <t>ladies and gents toilets</t>
  </si>
  <si>
    <t>Rest room</t>
  </si>
  <si>
    <t xml:space="preserve">carage </t>
  </si>
  <si>
    <t xml:space="preserve">sot </t>
  </si>
  <si>
    <t xml:space="preserve">S &amp; F Fibre Box with Fan Hook </t>
  </si>
  <si>
    <t>watch room G.F.</t>
  </si>
  <si>
    <t>lobby</t>
  </si>
  <si>
    <t>sot room F.F</t>
  </si>
  <si>
    <t>rest room</t>
  </si>
  <si>
    <t xml:space="preserve">Charges for Fixing Fan </t>
  </si>
  <si>
    <t>S &amp; Laying 8 SWG GI wire</t>
  </si>
  <si>
    <t>S&amp;F of TV/Telephone line socket</t>
  </si>
  <si>
    <t>sfo &amp; sot</t>
  </si>
  <si>
    <t>S &amp; Laying 20mmDia PVC pipe for TV/ Telephone line</t>
  </si>
  <si>
    <t>In Ground Floor</t>
  </si>
  <si>
    <t>first floor</t>
  </si>
  <si>
    <t xml:space="preserve">Earthing Station </t>
  </si>
  <si>
    <t>S &amp; F Country Wood Metre C/B</t>
  </si>
  <si>
    <t>Antitermite Treatment</t>
  </si>
  <si>
    <t>Plinth Area</t>
  </si>
  <si>
    <t xml:space="preserve">S &amp; F Three Phase  ELCB </t>
  </si>
  <si>
    <t>a) For Column footings,plinth beam,Grade beam,Raftbeam,Raft slab etc.,</t>
  </si>
  <si>
    <t>C1F1,C6f6</t>
  </si>
  <si>
    <t>C3F3,C5F5</t>
  </si>
  <si>
    <t>C4F4</t>
  </si>
  <si>
    <t>carage</t>
  </si>
  <si>
    <t>Watcher room</t>
  </si>
  <si>
    <t>SFO</t>
  </si>
  <si>
    <t>Plinth beam</t>
  </si>
  <si>
    <t>b) Plain surfaces such as Roof slab,floorslab,Beams,lintels,lofts,sill slab,staircase,portico slab and other similar works</t>
  </si>
  <si>
    <t>shelf for boots and dresses</t>
  </si>
  <si>
    <t>G.F. Roof Beam</t>
  </si>
  <si>
    <t>d/f duct</t>
  </si>
  <si>
    <t>add projection rear side</t>
  </si>
  <si>
    <t>c) For Square and rectangular columns and small quantities</t>
  </si>
  <si>
    <t>Column to upto  grade  bott</t>
  </si>
  <si>
    <t>C1F1</t>
  </si>
  <si>
    <t>Column to upto  Plinth bott</t>
  </si>
  <si>
    <t>Column upto G.F.Roof Beam Bottom</t>
  </si>
  <si>
    <t>Column upto F.F.Roof Beam Bottom</t>
  </si>
  <si>
    <t>S/C HEAD ROOM COL</t>
  </si>
  <si>
    <t xml:space="preserve"> c2</t>
  </si>
  <si>
    <t>Sunshades</t>
  </si>
  <si>
    <t>Window W bottom</t>
  </si>
  <si>
    <t>SIDES FOR WINDOWS</t>
  </si>
  <si>
    <t>g) DOUBLE Stage centering</t>
  </si>
  <si>
    <t>Garage bottom upto 3.6 m height</t>
  </si>
  <si>
    <t>Garage bottom upto 6.75 m height</t>
  </si>
  <si>
    <t>22.3.3</t>
  </si>
  <si>
    <t xml:space="preserve">T.W Double Leaf Door shutters for c/b  GF </t>
  </si>
  <si>
    <t xml:space="preserve">sfo </t>
  </si>
  <si>
    <t>For store</t>
  </si>
  <si>
    <t xml:space="preserve">Supplying  and  Fixing  of  Solid  Core  Flush  Door </t>
  </si>
  <si>
    <t xml:space="preserve">a) T.W Flush door </t>
  </si>
  <si>
    <t>Door</t>
  </si>
  <si>
    <t xml:space="preserve">b) Door 2 </t>
  </si>
  <si>
    <t>TW panelled door shutter with brass fittings.</t>
  </si>
  <si>
    <t>a. 1200X2400mm.(Single leaf) D</t>
  </si>
  <si>
    <t>b)1800X2400MM</t>
  </si>
  <si>
    <t>S &amp; F solid uPVC door shutter with frame</t>
  </si>
  <si>
    <t>4mm thick pin headed glass panels with Alu.beedings</t>
  </si>
  <si>
    <t xml:space="preserve">Supplying and Fixing of vitrified tiles </t>
  </si>
  <si>
    <t>skirting</t>
  </si>
  <si>
    <t>waiting</t>
  </si>
  <si>
    <t>corridor</t>
  </si>
  <si>
    <t>driver mech.room</t>
  </si>
  <si>
    <t>Store room</t>
  </si>
  <si>
    <t>29.8.1</t>
  </si>
  <si>
    <t xml:space="preserve">Supplying and fixing of glazed tiles </t>
  </si>
  <si>
    <t>bath</t>
  </si>
  <si>
    <t>29.9.1</t>
  </si>
  <si>
    <t>Floor Ceramics Anti skid</t>
  </si>
  <si>
    <t>Qty as per item No: 33 (Inner only)</t>
  </si>
  <si>
    <t>Emulsion paint</t>
  </si>
  <si>
    <t>As per outer plastering area</t>
  </si>
  <si>
    <t>43.1.1</t>
  </si>
  <si>
    <t>Fabrication of Mild steel / RTS grills
(with cement slurry wash) for all sizes of rods.</t>
  </si>
  <si>
    <t>As per  Item 4.2.1</t>
  </si>
  <si>
    <t>As per  Item 8.2.1 (a)</t>
  </si>
  <si>
    <t>As per  Item 8.2.1 (b)</t>
  </si>
  <si>
    <t>Precast slab</t>
  </si>
  <si>
    <t>44.6.1</t>
  </si>
  <si>
    <t>PVC Rain water Pipe type A</t>
  </si>
  <si>
    <t>Garage top to Ground Floor Top</t>
  </si>
  <si>
    <t>G.F to G.L</t>
  </si>
  <si>
    <t>Wash hand basin of size 550mmx 400mm</t>
  </si>
  <si>
    <t>GF</t>
  </si>
  <si>
    <t>FF</t>
  </si>
  <si>
    <t>PVC SWR Pipe type 'B'</t>
  </si>
  <si>
    <t xml:space="preserve">a) 110 mm pipe </t>
  </si>
  <si>
    <t>b) 75mm pipe</t>
  </si>
  <si>
    <t>Bath outlet</t>
  </si>
  <si>
    <t>passage wash basin</t>
  </si>
  <si>
    <t>Supplying , Laying &amp; Concealing the 50 mm dia PVC (SWR) pipe with ISI maek type - 'B' with relevant.</t>
  </si>
  <si>
    <t>For waste water line</t>
  </si>
  <si>
    <t>64.1.1</t>
  </si>
  <si>
    <t>Wiring with 1.5 sqmm PVC insulated single core multi strand fire retardant flexible copper cable with ISI mark confirming IS: 694:1990.</t>
  </si>
  <si>
    <t>a) Light point with ceiling rose</t>
  </si>
  <si>
    <t>Spot light</t>
  </si>
  <si>
    <t>staircase</t>
  </si>
  <si>
    <t>Name board focus light</t>
  </si>
  <si>
    <t>gents and ladies toilet gf +ff</t>
  </si>
  <si>
    <t xml:space="preserve">head room </t>
  </si>
  <si>
    <t>b) Light point without ceiling rose</t>
  </si>
  <si>
    <t>c) Calling bell Point</t>
  </si>
  <si>
    <t>65.1.1</t>
  </si>
  <si>
    <t>Wiring with 1.5 sqmm PVC insulated single core multi strand fire retardant flexible copper cable with ISI mark confirming IS: 694:1990 for Fan point.</t>
  </si>
  <si>
    <t>67.1.2</t>
  </si>
  <si>
    <t>Wiring with 1.5 sqmm PVC insulated single core multi strand fire retardant flexible copper cable with ISI mark confirming IS: 694:1990 for 5 amps 5 pin plug socket point @ Switch Board Itself.</t>
  </si>
  <si>
    <t>68.2.1</t>
  </si>
  <si>
    <t>Wiring with 1.5 sqmm PVC insulated single core multi strand fire retardant flexible copper cable with ISI mark confirming IS: 694:1990 for 5 amps 5 pin plug socket point @ Convenient Places.</t>
  </si>
  <si>
    <t>S &amp; F tube light fitting</t>
  </si>
  <si>
    <t>Garage</t>
  </si>
  <si>
    <t>watcher</t>
  </si>
  <si>
    <t>entrance &amp; stair area</t>
  </si>
  <si>
    <t>SFO room</t>
  </si>
  <si>
    <t>FF-driver</t>
  </si>
  <si>
    <t>cooridor</t>
  </si>
  <si>
    <t>in toilet blocks</t>
  </si>
  <si>
    <t>75.1.2</t>
  </si>
  <si>
    <t>Supply and delivery of Fan with ISI mark with Eletronic Dimmer</t>
  </si>
  <si>
    <t>44.2.1</t>
  </si>
  <si>
    <t>Rain water harvestying using defunt bore well and providing slab</t>
  </si>
  <si>
    <t>a. providind pit</t>
  </si>
  <si>
    <t>b. Augaring 30 cm Dia</t>
  </si>
  <si>
    <t>Painting two coats over new plasterd surface with OBD</t>
  </si>
  <si>
    <t>follw as agt item no 33(Building inner plastering)</t>
  </si>
  <si>
    <t>Melamen polish for main door</t>
  </si>
  <si>
    <t xml:space="preserve">Entrance door, SFO,SOT </t>
  </si>
  <si>
    <t>54.1.2</t>
  </si>
  <si>
    <t>Supplying  and  Fixing  of  CP long body tap</t>
  </si>
  <si>
    <t>Attach &amp; Common toilet</t>
  </si>
  <si>
    <t>54.2.2</t>
  </si>
  <si>
    <t>Supplying  and  Fixing  of CP Short body tap</t>
  </si>
  <si>
    <t>Flat back urinal</t>
  </si>
  <si>
    <t>32.1.3</t>
  </si>
  <si>
    <t>Supplying and laying of Cooling tiles</t>
  </si>
  <si>
    <t>staircase head room slab</t>
  </si>
  <si>
    <t>56.3.2</t>
  </si>
  <si>
    <t>Toilet</t>
  </si>
  <si>
    <t>b)other than G.F</t>
  </si>
  <si>
    <t>S &amp; F of Exhaust Fan 225mm dia</t>
  </si>
  <si>
    <t>G.F. LADIES AND GENTS TOILET</t>
  </si>
  <si>
    <t>F.F. LADIES AND GENTS TOILET</t>
  </si>
  <si>
    <t>NO'S</t>
  </si>
  <si>
    <t>s&amp;F of rcc precast exhaust fan collor</t>
  </si>
  <si>
    <t>Weathering Course</t>
  </si>
  <si>
    <t>bath depression - IWC</t>
  </si>
  <si>
    <t>Endura/Eurocon tiles for staircase</t>
  </si>
  <si>
    <t>front area</t>
  </si>
  <si>
    <t>GF-FF sstair</t>
  </si>
  <si>
    <t>FF-SF stair</t>
  </si>
  <si>
    <t>headroom landing</t>
  </si>
  <si>
    <t>12watts LED bulb</t>
  </si>
  <si>
    <t>for toilets</t>
  </si>
  <si>
    <t>station wall allround</t>
  </si>
  <si>
    <t>vertical beams on corridor</t>
  </si>
  <si>
    <t>beam btwn waiting &amp; watcher</t>
  </si>
  <si>
    <t>stair area horizontal beams</t>
  </si>
  <si>
    <t>store, SFO horizontal walls</t>
  </si>
  <si>
    <t>horiz wall waiting, watcher</t>
  </si>
  <si>
    <t>Garage vertical</t>
  </si>
  <si>
    <t>Garage horiz beam</t>
  </si>
  <si>
    <t>entrance verandah</t>
  </si>
  <si>
    <t>toilet block</t>
  </si>
  <si>
    <t>corridor 2</t>
  </si>
  <si>
    <t>rear verandah</t>
  </si>
  <si>
    <t>rear side corridor vertical</t>
  </si>
  <si>
    <t>for partition walls</t>
  </si>
  <si>
    <t>portico beam front</t>
  </si>
  <si>
    <t xml:space="preserve">Store </t>
  </si>
  <si>
    <t>self for boots and dresses</t>
  </si>
  <si>
    <t>rest room horiz walls</t>
  </si>
  <si>
    <t>horiz wall driver/mechanic</t>
  </si>
  <si>
    <t>Roof beam</t>
  </si>
  <si>
    <t>sot balcony beam</t>
  </si>
  <si>
    <t>ded: garage beam</t>
  </si>
  <si>
    <t>garage vertical beams</t>
  </si>
  <si>
    <t>garage horiz beams</t>
  </si>
  <si>
    <t>driver</t>
  </si>
  <si>
    <t>wash basin wall</t>
  </si>
  <si>
    <t>gents toilet hori wall for wc</t>
  </si>
  <si>
    <t>vertical wall gents toi</t>
  </si>
  <si>
    <t>urinal wall</t>
  </si>
  <si>
    <t>office area all round + basement outer</t>
  </si>
  <si>
    <t>entrance 3 side wall</t>
  </si>
  <si>
    <t>SFO toilet inner</t>
  </si>
  <si>
    <t>corrider 1 side wall</t>
  </si>
  <si>
    <t>rear side corridor 3 side wall</t>
  </si>
  <si>
    <t>stair room inner area</t>
  </si>
  <si>
    <t>ladies toilet inner area</t>
  </si>
  <si>
    <t>wc</t>
  </si>
  <si>
    <t>gents toilet inner area</t>
  </si>
  <si>
    <t>WC</t>
  </si>
  <si>
    <t>SOT balcony wall</t>
  </si>
  <si>
    <t xml:space="preserve">rest room </t>
  </si>
  <si>
    <t>gents toilet bath</t>
  </si>
  <si>
    <t>gents WC</t>
  </si>
  <si>
    <t>ground floor</t>
  </si>
  <si>
    <t xml:space="preserve">stair slab </t>
  </si>
  <si>
    <t>corrider</t>
  </si>
  <si>
    <t>SFO Room Attached Toilet</t>
  </si>
  <si>
    <t>station outer alround</t>
  </si>
  <si>
    <t>toilet inner</t>
  </si>
  <si>
    <t>stair area</t>
  </si>
  <si>
    <t>stair front area</t>
  </si>
  <si>
    <t>entrace and portico</t>
  </si>
  <si>
    <t>cooridor 1</t>
  </si>
  <si>
    <t>garage outer beam outer</t>
  </si>
  <si>
    <t>garage inner area</t>
  </si>
  <si>
    <t xml:space="preserve">First floor roof beam </t>
  </si>
  <si>
    <t>Roof Slab and beam bottom GF + FF</t>
  </si>
  <si>
    <t>GF office area</t>
  </si>
  <si>
    <t>FF area</t>
  </si>
  <si>
    <t>portico projection</t>
  </si>
  <si>
    <t>balcony projection</t>
  </si>
  <si>
    <t>Head room roof</t>
  </si>
  <si>
    <t>SF roof beam outer</t>
  </si>
  <si>
    <t>beam inner</t>
  </si>
  <si>
    <r>
      <rPr>
        <b/>
        <sz val="13"/>
        <rFont val="Times New Roman"/>
        <family val="1"/>
      </rPr>
      <t xml:space="preserve"> Ground floor</t>
    </r>
    <r>
      <rPr>
        <sz val="13"/>
        <rFont val="Times New Roman"/>
        <family val="1"/>
      </rPr>
      <t xml:space="preserve"> </t>
    </r>
  </si>
  <si>
    <t>door openings</t>
  </si>
  <si>
    <t>First Floor</t>
  </si>
  <si>
    <t>cross beam bottom</t>
  </si>
  <si>
    <t>cross beam side outer</t>
  </si>
  <si>
    <t>Base  slab alround sides</t>
  </si>
  <si>
    <t>OHT</t>
  </si>
  <si>
    <t>support wall</t>
  </si>
  <si>
    <t>Supplying and Fixing of C.I manhole Cover slab etc all complete</t>
  </si>
  <si>
    <t>ABSTRACT ESTIMATE (FIRE STATION)</t>
  </si>
  <si>
    <t>Filling gravel</t>
  </si>
  <si>
    <t>Standardised concrete mix M20 grade in F &amp; B</t>
  </si>
  <si>
    <t>Standardised concrete mix M20 grade</t>
  </si>
  <si>
    <t>a) In GF</t>
  </si>
  <si>
    <t>b) In FF</t>
  </si>
  <si>
    <t>c) In SF</t>
  </si>
  <si>
    <t xml:space="preserve"> P.C.C,R.C.C SLAB OF20mm THICK using standardised concrete mix M20</t>
  </si>
  <si>
    <t>a. In F &amp; B</t>
  </si>
  <si>
    <t>b. In GF</t>
  </si>
  <si>
    <t>c.In ff</t>
  </si>
  <si>
    <t>a. Flush door shutter size 1200x2400 (Double leaf)</t>
  </si>
  <si>
    <t>b.Flush door shutter size 1800x2400 (Double leaf)</t>
  </si>
  <si>
    <t>Glass panels with Alu.beedings</t>
  </si>
  <si>
    <t>Vitrified tiles flooring</t>
  </si>
  <si>
    <t>Exterior emulsion</t>
  </si>
  <si>
    <t>Eurocon tiles</t>
  </si>
  <si>
    <t>CP long body</t>
  </si>
  <si>
    <t>CP short body</t>
  </si>
  <si>
    <t>d.in second floor</t>
  </si>
  <si>
    <t>Precast Jally ventilator 50mm tk.using standardised concrete mix M20 (annexure) without vibrating charges</t>
  </si>
  <si>
    <t>In GF</t>
  </si>
  <si>
    <t>In FF</t>
  </si>
  <si>
    <t>c.20mm dia</t>
  </si>
  <si>
    <t>Fibre box MS fan hook</t>
  </si>
  <si>
    <t>Supplying and fixing of 32 AMPS double pole main switch</t>
  </si>
  <si>
    <t>S &amp; F OF 4 way DB</t>
  </si>
  <si>
    <t>S &amp; F of tripe pole main switch</t>
  </si>
  <si>
    <t>Septic tank</t>
  </si>
  <si>
    <t>Fire station</t>
  </si>
  <si>
    <t>LED tube light 18watts</t>
  </si>
  <si>
    <t>MADURAI DIVISION</t>
  </si>
  <si>
    <t xml:space="preserve"> Septic tank (detail for 1 No)</t>
  </si>
  <si>
    <t>SI.
No</t>
  </si>
  <si>
    <t>Description of work</t>
  </si>
  <si>
    <t>Length</t>
  </si>
  <si>
    <t>Breath</t>
  </si>
  <si>
    <t>Depth</t>
  </si>
  <si>
    <t>Earth work excavation for open foundation (excluding refilling)</t>
  </si>
  <si>
    <t>a)0 to 2m depth</t>
  </si>
  <si>
    <t xml:space="preserve">For Fire station </t>
  </si>
  <si>
    <t xml:space="preserve">For Septic tank </t>
  </si>
  <si>
    <t>Inlet and Outlet</t>
  </si>
  <si>
    <t>For Dispersion Trench</t>
  </si>
  <si>
    <t>b)2 to 3m depth</t>
  </si>
  <si>
    <t>For Fire station</t>
  </si>
  <si>
    <t>Supplying and filling sand</t>
  </si>
  <si>
    <t>For Trench</t>
  </si>
  <si>
    <t>For Fire station and sfo qtres</t>
  </si>
  <si>
    <t>P.C.C.1:5:10 for Foundation &amp; Basement</t>
  </si>
  <si>
    <t>P.C.C 1:2:4 using 20mm jelly</t>
  </si>
  <si>
    <t xml:space="preserve">Brick Work in CM 1:5, using kiln burnt country bricks of size 22x11x7cm in Foundation and Basement </t>
  </si>
  <si>
    <t>For Septic tank</t>
  </si>
  <si>
    <t xml:space="preserve">I st Footing </t>
  </si>
  <si>
    <t xml:space="preserve">II nd Footing </t>
  </si>
  <si>
    <t xml:space="preserve">III rd Footing </t>
  </si>
  <si>
    <t>Baffle wall -2 Nos</t>
  </si>
  <si>
    <t>For Spetic tank cover slab</t>
  </si>
  <si>
    <t>D/F Manhole Cover</t>
  </si>
  <si>
    <t>Burfied wall Beam</t>
  </si>
  <si>
    <t>Form work and centering for RCC Works</t>
  </si>
  <si>
    <t>For Spetic tank cover slab bottom</t>
  </si>
  <si>
    <t>Septic tank sides</t>
  </si>
  <si>
    <t>Manhole sides</t>
  </si>
  <si>
    <t>Baffle wall beam 3 sides</t>
  </si>
  <si>
    <t>Precast Concrete cover slab  40mm tk
a) In foundation and basement</t>
  </si>
  <si>
    <t>For Inlet and Outlet</t>
  </si>
  <si>
    <t xml:space="preserve">Plastering in CM1:4, 20 mm tk </t>
  </si>
  <si>
    <t>Inlet and Outlet &amp; IC</t>
  </si>
  <si>
    <t>Septic tank top</t>
  </si>
  <si>
    <t>D/F Manhole Cover slab</t>
  </si>
  <si>
    <t xml:space="preserve">Plastering in CM1:5, 12mm tk </t>
  </si>
  <si>
    <t>For Septic tank Outlet</t>
  </si>
  <si>
    <t>I st Footing offset</t>
  </si>
  <si>
    <t>II nd Footing offset</t>
  </si>
  <si>
    <t xml:space="preserve">Plastering in CM1:4, 12mm tk </t>
  </si>
  <si>
    <t>For SepticTank Inner</t>
  </si>
  <si>
    <t xml:space="preserve">Baffle wall </t>
  </si>
  <si>
    <t>Top</t>
  </si>
  <si>
    <t>Septic tank bottom</t>
  </si>
  <si>
    <t>Inlet and outlet bottom</t>
  </si>
  <si>
    <t>Supplying and fixing of PVC 110 mm dia ventilator shaft with cowl</t>
  </si>
  <si>
    <t>Fabrication of Mild steel / RTS grills
(with cement slurry wash)</t>
  </si>
  <si>
    <t>RCC Qty</t>
  </si>
  <si>
    <t>Precast Slab 40mm tk Qty</t>
  </si>
  <si>
    <r>
      <t>Kg/m</t>
    </r>
    <r>
      <rPr>
        <vertAlign val="superscript"/>
        <sz val="12"/>
        <rFont val="Times New Roman"/>
        <family val="1"/>
      </rPr>
      <t>3</t>
    </r>
  </si>
  <si>
    <t>Supplying and fixing of SN8 Pipe</t>
  </si>
  <si>
    <t>a)100mm dia</t>
  </si>
  <si>
    <t>Inspection Chamber</t>
  </si>
  <si>
    <t xml:space="preserve">b) 160 mm dia </t>
  </si>
  <si>
    <t>From collection chamber to Inlet chamber</t>
  </si>
  <si>
    <t>For dispersion trench</t>
  </si>
  <si>
    <t>Name of work: Providing Sump for Fire and rescue service station building at Kadamalaikundu in Theni district.</t>
  </si>
  <si>
    <t>Sump Detailed Estimate</t>
  </si>
  <si>
    <t>Sl. No</t>
  </si>
  <si>
    <t>Earth excavation for foundation in all soil excluding refilling</t>
  </si>
  <si>
    <t>a) 0 to 2 m depth</t>
  </si>
  <si>
    <t>Sump excavation</t>
  </si>
  <si>
    <t>π/4</t>
  </si>
  <si>
    <t>5.86*5.86</t>
  </si>
  <si>
    <r>
      <t>m</t>
    </r>
    <r>
      <rPr>
        <b/>
        <vertAlign val="superscript"/>
        <sz val="12"/>
        <color theme="1"/>
        <rFont val="Tahoma"/>
        <family val="2"/>
      </rPr>
      <t>3</t>
    </r>
  </si>
  <si>
    <t>b) 2 to 3m depth</t>
  </si>
  <si>
    <t>P.C.C 1:5:10 for foundation using 40mm in foundation basement</t>
  </si>
  <si>
    <t>For Sump</t>
  </si>
  <si>
    <t>Standardised concrete Mix M20 Grade Concrete IN foundation basement</t>
  </si>
  <si>
    <t>For base slab</t>
  </si>
  <si>
    <t>Vertical wall</t>
  </si>
  <si>
    <t>π</t>
  </si>
  <si>
    <t>(0.25x0.9)</t>
  </si>
  <si>
    <t>(0.15x1.8)</t>
  </si>
  <si>
    <t xml:space="preserve">Sump cover slab </t>
  </si>
  <si>
    <t>4.96*4.96</t>
  </si>
  <si>
    <t>D/d Manhole cover</t>
  </si>
  <si>
    <t>Brickwork for partition wall 110mm thick for foundation basement</t>
  </si>
  <si>
    <t>Sump inside I step</t>
  </si>
  <si>
    <t>Sump inside II step</t>
  </si>
  <si>
    <t>Sump outer wall all.rnd</t>
  </si>
  <si>
    <r>
      <t>m</t>
    </r>
    <r>
      <rPr>
        <b/>
        <vertAlign val="superscript"/>
        <sz val="12"/>
        <color theme="1"/>
        <rFont val="Tahoma"/>
        <family val="2"/>
      </rPr>
      <t>2</t>
    </r>
  </si>
  <si>
    <t>Plastering in cm 1:5 12mm thick curing etc complete</t>
  </si>
  <si>
    <t>Plastering with cm 1:3, 12mm mixed with WPC</t>
  </si>
  <si>
    <t>Providing form work for small qty</t>
  </si>
  <si>
    <t>b.plain surfaces</t>
  </si>
  <si>
    <t>Sump cover slab</t>
  </si>
  <si>
    <t>π/4 x 4.96*4.96</t>
  </si>
  <si>
    <t>D/d m.h open</t>
  </si>
  <si>
    <t>Add.M.H open inside</t>
  </si>
  <si>
    <t>c. small quantities</t>
  </si>
  <si>
    <t>Circular surface cover slab</t>
  </si>
  <si>
    <t>π/ x 4.96</t>
  </si>
  <si>
    <t>S &amp; F of Man hole cover</t>
  </si>
  <si>
    <t>S &amp; F of C.I steps of stand size</t>
  </si>
  <si>
    <t>Sump inside</t>
  </si>
  <si>
    <t xml:space="preserve">Suppling fabrication and placing in position of ms RTS grills </t>
  </si>
  <si>
    <t>base slab mat</t>
  </si>
  <si>
    <t>horiz &amp; vertical rod 8mm</t>
  </si>
  <si>
    <t>chair rod 8mm</t>
  </si>
  <si>
    <t>Haunch rod 10mm dia vert</t>
  </si>
  <si>
    <t>Main rod vertical 10mm</t>
  </si>
  <si>
    <t>circular stirrups 8mm inner</t>
  </si>
  <si>
    <t>outer circular stirrups 8mm</t>
  </si>
  <si>
    <t>cover slab</t>
  </si>
  <si>
    <t>slab rod on both sides 8mm</t>
  </si>
  <si>
    <t>multiply by</t>
  </si>
  <si>
    <t>in Kg</t>
  </si>
  <si>
    <t>RCC 4.2</t>
  </si>
  <si>
    <t xml:space="preserve"> MT</t>
  </si>
  <si>
    <t>Earth work excavation in all soils for foundation (Including refilling)</t>
  </si>
  <si>
    <t>For Fire service Station</t>
  </si>
  <si>
    <t>Allround Plinth protection wall</t>
  </si>
  <si>
    <t>Deduct corrioder</t>
  </si>
  <si>
    <t>Supplying and filling of sand</t>
  </si>
  <si>
    <t>C.C.1:5:10 for Foundation &amp; Basement using 40 mm HBG metal</t>
  </si>
  <si>
    <t>Brick work in C.M. 1:5 (F&amp; B) using Kiln Burnt Country bricks of size 22 x 11 x 7 cm (8 3/4" x 4 1/4" x 2 3/4")</t>
  </si>
  <si>
    <t>Brick partition work in C.M. 1:4 Kiln Burnt Country bricks of size 22 x 11 x 7 cm (8 3/4" x 4 1/4" x 2 3/4") 110 mm tk (B.P.)</t>
  </si>
  <si>
    <t>Name of work : CONSTRUCTION OF SECURITY PERIMETER WALL FOR FIRE STATION BUILDING AT KADAMALAIKUNDU IN THENI DISTRICT</t>
  </si>
  <si>
    <t>COMPOUND WALL - DETAILED ESTIMATE</t>
  </si>
  <si>
    <t>DESCRIPTION OF WORK</t>
  </si>
  <si>
    <t>CONTENT</t>
  </si>
  <si>
    <t>Earth work excavation in all classes of soil for foundation.</t>
  </si>
  <si>
    <t>a) 0 to 2m depth</t>
  </si>
  <si>
    <t>front wall</t>
  </si>
  <si>
    <t>adjacent wall (north)</t>
  </si>
  <si>
    <t>rear wall (east)</t>
  </si>
  <si>
    <t>adjacent wall (south)</t>
  </si>
  <si>
    <t>expansion joint column</t>
  </si>
  <si>
    <t>for grade beam allround</t>
  </si>
  <si>
    <r>
      <t>M</t>
    </r>
    <r>
      <rPr>
        <b/>
        <vertAlign val="superscript"/>
        <sz val="11"/>
        <color theme="1"/>
        <rFont val="Times New Roman"/>
        <family val="1"/>
      </rPr>
      <t>3</t>
    </r>
  </si>
  <si>
    <t>PCC 1:5:10 using 40mm HBSj for F &amp; B</t>
  </si>
  <si>
    <t>In foundation &amp; basement:</t>
  </si>
  <si>
    <t>for footings</t>
  </si>
  <si>
    <t>column upto ground level</t>
  </si>
  <si>
    <t>Gate column upto GL</t>
  </si>
  <si>
    <t>Grade beam all round</t>
  </si>
  <si>
    <t>Brick work in CM 1:5 using F &amp; B etc.,</t>
  </si>
  <si>
    <t>Standadized M20 grade concrete</t>
  </si>
  <si>
    <t>a) In G.Floor</t>
  </si>
  <si>
    <t>Gate column</t>
  </si>
  <si>
    <t>compound wall top side tie up members rear wall</t>
  </si>
  <si>
    <t xml:space="preserve">brick work in cm 1:6 using  </t>
  </si>
  <si>
    <t>Front elevation pillar</t>
  </si>
  <si>
    <t>D/f offset portion</t>
  </si>
  <si>
    <t>.785x0.34x0.34/ 4x2</t>
  </si>
  <si>
    <t>Do</t>
  </si>
  <si>
    <t>other 3 side wall brick pillars</t>
  </si>
  <si>
    <t>Brick partion wall in cm 1:6 110mm thick</t>
  </si>
  <si>
    <t>b) In Ground floor</t>
  </si>
  <si>
    <t>deduct pillar</t>
  </si>
  <si>
    <t>deduct front pillar</t>
  </si>
  <si>
    <t>deduct gate</t>
  </si>
  <si>
    <r>
      <t>M</t>
    </r>
    <r>
      <rPr>
        <b/>
        <vertAlign val="superscript"/>
        <sz val="11"/>
        <color theme="1"/>
        <rFont val="Times New Roman"/>
        <family val="1"/>
      </rPr>
      <t>2</t>
    </r>
  </si>
  <si>
    <t>Plastering in cm 1:5 12mm thick</t>
  </si>
  <si>
    <t xml:space="preserve">Allround wall </t>
  </si>
  <si>
    <t>top elevation wall</t>
  </si>
  <si>
    <t>Add for elevation pillar offset</t>
  </si>
  <si>
    <t>Add for elevation pillar top all.rnd</t>
  </si>
  <si>
    <t>Add for elevation pillar center offset</t>
  </si>
  <si>
    <t>d/d for gate open  &amp; pillar</t>
  </si>
  <si>
    <t>add for gate pillar alround</t>
  </si>
  <si>
    <t>add for gate pillar top</t>
  </si>
  <si>
    <t>pillar offset</t>
  </si>
  <si>
    <t>Pillar offset top</t>
  </si>
  <si>
    <t>Border finish</t>
  </si>
  <si>
    <t>a) 150 mm border</t>
  </si>
  <si>
    <t>Wall allround (199.8-6.0m gate)</t>
  </si>
  <si>
    <t>b) 75mm border</t>
  </si>
  <si>
    <t>Painting the new walls with two coats of ready mix plastic emulsion paint including primer coat</t>
  </si>
  <si>
    <t>As per item no.33</t>
  </si>
  <si>
    <t>Grill work</t>
  </si>
  <si>
    <t>gate</t>
  </si>
  <si>
    <t>45kg/m2x9.0</t>
  </si>
  <si>
    <t>Grill painting</t>
  </si>
  <si>
    <t>form work</t>
  </si>
  <si>
    <t>footings</t>
  </si>
  <si>
    <t>grade beam allround wall</t>
  </si>
  <si>
    <t>c) Small quantity</t>
  </si>
  <si>
    <t>gate column</t>
  </si>
  <si>
    <t>steel fabrication</t>
  </si>
  <si>
    <t>8mm</t>
  </si>
  <si>
    <t>10mm</t>
  </si>
  <si>
    <t>12mm</t>
  </si>
  <si>
    <t>column mat 10 mm dia</t>
  </si>
  <si>
    <t>column main rod 12 dia</t>
  </si>
  <si>
    <t>gate column main rod 12 dia</t>
  </si>
  <si>
    <t>stirrups 8 dia upto ground level</t>
  </si>
  <si>
    <t>stirrups for gate columns 8 dia</t>
  </si>
  <si>
    <t>grade beam bottom 12 dia</t>
  </si>
  <si>
    <t>grade beam top 12 dia</t>
  </si>
  <si>
    <t>grade beam stirrups 8 dia</t>
  </si>
  <si>
    <t>Detailed estimate for sullage drain</t>
  </si>
  <si>
    <t>Sl .no</t>
  </si>
  <si>
    <t xml:space="preserve">l </t>
  </si>
  <si>
    <t xml:space="preserve"> d</t>
  </si>
  <si>
    <t xml:space="preserve">Qty </t>
  </si>
  <si>
    <t>Earthwork excavation for foundation</t>
  </si>
  <si>
    <t xml:space="preserve">sullage drain from building rear , adj side of the building </t>
  </si>
  <si>
    <t>from building to site boundary</t>
  </si>
  <si>
    <t>drain from site boundary to road</t>
  </si>
  <si>
    <t>PCC 1:5:10 for foundation using 40mm jully</t>
  </si>
  <si>
    <t>Brick partion wall Cm 1:4 110mm Tk</t>
  </si>
  <si>
    <t>Plastering with CM 1:5 12mm Tk</t>
  </si>
  <si>
    <t>Outside &amp; top</t>
  </si>
  <si>
    <t>Plastering inside with Cm 1:4 120mm Tk</t>
  </si>
  <si>
    <t>Drain inner wall</t>
  </si>
  <si>
    <t>Floor plastering with Cm 1:4 20mm Tk</t>
  </si>
  <si>
    <t>DETAILED ESTIMATE</t>
  </si>
  <si>
    <t>FORMATION OF PAVER BLOCK ROAD</t>
  </si>
  <si>
    <t>Detailed estimate for Paver block road</t>
  </si>
  <si>
    <t>from main road to fire station site 63.60Mx 7.0M</t>
  </si>
  <si>
    <t>fire station front 16.5x10.0M</t>
  </si>
  <si>
    <t>from main road to fire station</t>
  </si>
  <si>
    <t>fire station front</t>
  </si>
  <si>
    <t>Supplying and filling with 3 to 10mm HBG Metal</t>
  </si>
  <si>
    <t>Supplying and filling with stone dust</t>
  </si>
  <si>
    <t xml:space="preserve">Supplying and Laying of inter locking paver block stone 83 mm  tk over base layer sand filling including cost of materials laying and hammering charges etc. </t>
  </si>
  <si>
    <t xml:space="preserve">Providing kerb stone </t>
  </si>
  <si>
    <t>Painting the new wall with 2 coat of synthetic paint etc…</t>
  </si>
  <si>
    <t>For kerb stone</t>
  </si>
  <si>
    <t xml:space="preserve">TAMILNADU POLICE HOUSING CORPORATION LIMITED, MADURAI DIVISION </t>
  </si>
  <si>
    <t>DETAILED ESTIMATE - BORE WELL &amp; EXTERNAL WATER SUPPLY</t>
  </si>
  <si>
    <t>Sl.no</t>
  </si>
  <si>
    <t>Drilling of bore well to a size of 150 mm dia to the required depth as directed including cost Rig,fuel etc.complete.</t>
  </si>
  <si>
    <t>bore well point -1</t>
  </si>
  <si>
    <t>Supplyng and  laying   of 150 mm dia casing  pvc pipe of 6kg/cm2 as approved including labour charges for errection etc.,</t>
  </si>
  <si>
    <t xml:space="preserve">bore well point </t>
  </si>
  <si>
    <t>Supplying and fixing of 150 mm dia G.I cover are completed.</t>
  </si>
  <si>
    <t xml:space="preserve">bore point </t>
  </si>
  <si>
    <t>Supply and delivery of 2HP monoblock pumpset single phase circuit unit of approved brand including accessoring.</t>
  </si>
  <si>
    <t>At pumproom</t>
  </si>
  <si>
    <t xml:space="preserve">Building </t>
  </si>
  <si>
    <t>Stand by</t>
  </si>
  <si>
    <t>Supplying and fixing of Dol starter confirming to I.S specification.</t>
  </si>
  <si>
    <t>For 2HP monoblock pumpsets</t>
  </si>
  <si>
    <t xml:space="preserve">Lobour charges for errection of 2HP monoblock pumpsets including bed block fixing in position etc,.complete.  </t>
  </si>
  <si>
    <t>as per above item (2)</t>
  </si>
  <si>
    <t>Supply and delivery of 5HP submersible  pumpset 50 stages at bore well  (three phase).</t>
  </si>
  <si>
    <t xml:space="preserve">Lobour charges for errection of 5HP submersible pumpsets at bore well etc,.complete.  </t>
  </si>
  <si>
    <t>Supplying and fixing of 5HP panel board for submersible pumpsets.</t>
  </si>
  <si>
    <t>Supply and delivery of 4 sqmm. 3core flat cable for submersible pumpset.</t>
  </si>
  <si>
    <t>Bore well (1) pumpset</t>
  </si>
  <si>
    <t>Bore well to Pumproom</t>
  </si>
  <si>
    <t>Supplying and delivery of UPVC pipe 32 mm dia of approved brand.</t>
  </si>
  <si>
    <t>Bore well 1</t>
  </si>
  <si>
    <t>Supply and delivery of the following dia G.I pipe.' B' class of approved brand.</t>
  </si>
  <si>
    <t>a) 25 mm dia G.I pipe.</t>
  </si>
  <si>
    <t>Bore well (1) cable line casing</t>
  </si>
  <si>
    <t>b) 40 mm dia G.I pipe.</t>
  </si>
  <si>
    <t>Bore well to sump delivery encasing.</t>
  </si>
  <si>
    <t>c) 50 mm dia G.I pipe.</t>
  </si>
  <si>
    <t xml:space="preserve">Pumpset suction pipe </t>
  </si>
  <si>
    <t>Mono block inter connection</t>
  </si>
  <si>
    <t>Delivery pipe</t>
  </si>
  <si>
    <t>Delivery line chamber</t>
  </si>
  <si>
    <t>Supplying and delivery of PVC pipe 10 kg /cm2</t>
  </si>
  <si>
    <t>a) 50 mm dia (inner) PVC pipe.</t>
  </si>
  <si>
    <t>Rear side building</t>
  </si>
  <si>
    <t xml:space="preserve">     m</t>
  </si>
  <si>
    <t>b) 32 mm dia ASTM .D. Pipe</t>
  </si>
  <si>
    <t>Bore well 1 to sump.</t>
  </si>
  <si>
    <t>Supply and delivery of following dia G.I specials.</t>
  </si>
  <si>
    <t>50mmX32mm G.I, Tee</t>
  </si>
  <si>
    <t>50 mm dia coupling.</t>
  </si>
  <si>
    <t>c)</t>
  </si>
  <si>
    <t>50 mm dia G.I gate valve.</t>
  </si>
  <si>
    <t>d)</t>
  </si>
  <si>
    <t>50 mm dia non return valve.</t>
  </si>
  <si>
    <t>e)</t>
  </si>
  <si>
    <t>50 mm dia G.I union.</t>
  </si>
  <si>
    <t>f)</t>
  </si>
  <si>
    <t>50 mm dia G.I nipple.</t>
  </si>
  <si>
    <t>g)</t>
  </si>
  <si>
    <t>50 mm dia foot valve.</t>
  </si>
  <si>
    <t>h)</t>
  </si>
  <si>
    <t xml:space="preserve">50 mm dia G.I Tee </t>
  </si>
  <si>
    <t>i)</t>
  </si>
  <si>
    <t xml:space="preserve">32 mm G.I Union </t>
  </si>
  <si>
    <t>j)</t>
  </si>
  <si>
    <t>32 mm dia G.I elbow</t>
  </si>
  <si>
    <t>k)</t>
  </si>
  <si>
    <t>32 mm dia G.I nipple.</t>
  </si>
  <si>
    <t>l)</t>
  </si>
  <si>
    <t>25 mm dia G.I coupling</t>
  </si>
  <si>
    <t>Labour charge for laying of G.I pipe and PVC pipe below ground level</t>
  </si>
  <si>
    <t>For Pumpset ( 50mm &amp; 40mm PVC Pipe )</t>
  </si>
  <si>
    <t>Numbering And lettering</t>
  </si>
  <si>
    <t>Supplying and fixing of aluminium Diecast TNPHC Logo Emblem as directed etc.,</t>
  </si>
  <si>
    <t>Supplying and fixing of aluminium diecast letters fixing in position  etc.,</t>
  </si>
  <si>
    <t>a)9''' height letters.</t>
  </si>
  <si>
    <t>jkpo;ehL jPPPaizg;G kw;Wk; kPl;Gg;gzpfs; epiyak;</t>
  </si>
  <si>
    <t>flkiyf;Fz;L</t>
  </si>
  <si>
    <t>Njdp khtl;lk;</t>
  </si>
  <si>
    <t>b) 6" letters.</t>
  </si>
  <si>
    <t>fhj;jpUg;Nghh; miw</t>
  </si>
  <si>
    <t>fz;fhzpg;G miw</t>
  </si>
  <si>
    <t xml:space="preserve">epiya mYtyh; </t>
  </si>
  <si>
    <t>mYtyfk; itg;giw</t>
  </si>
  <si>
    <t xml:space="preserve">fopg;giw Mz; </t>
  </si>
  <si>
    <t xml:space="preserve">fopg;giw ngz; </t>
  </si>
  <si>
    <t>epiya mYtyh; Nghf;Ftuj;J</t>
  </si>
  <si>
    <t>Xl;Leh; miw</t>
  </si>
  <si>
    <t>Xa;tiw 1</t>
  </si>
  <si>
    <t>Xa;tiw 2</t>
  </si>
  <si>
    <t>DETAILED ESTIMATE- UG CABLE</t>
  </si>
  <si>
    <t>Sl no</t>
  </si>
  <si>
    <t xml:space="preserve">Description </t>
  </si>
  <si>
    <t>Main building</t>
  </si>
  <si>
    <t>Supplying and Laying of specified aluminium LT UG Cable on Below Ground Level and above level to be at a depth of 0.75 m put in 0.15 m layer of sand and covering the cable completely with bricks and sand refilling the earth to good including cost of all materials and labour charges etc.,</t>
  </si>
  <si>
    <t xml:space="preserve">B) 3.5 core 35mm sqmm from EB pole to meeter pannel </t>
  </si>
  <si>
    <t>EB Pole vertical &amp; Pump</t>
  </si>
  <si>
    <t>EB pole to fire station</t>
  </si>
  <si>
    <t>EB pole to pump room</t>
  </si>
  <si>
    <t>Supply and fixing of brass cable gland suitable for 3.5 core 35 Sq.mm with earth strips around the cable termination with crimping of terminals with lugs etc (for Incoming Cable)</t>
  </si>
  <si>
    <t>pump room &amp; Pump room</t>
  </si>
  <si>
    <t xml:space="preserve">Supplying and fixing of 1 no os 450 X 350 X 20mm thick TW plank well with 3 nos of 100 AMP 500 volts Bus bar type ariel fuse on the top of EB pole with suitable size bolts and All complete and as directed by the dept officers (the quality and brand of electrical fittings should be GOT approved from the executive engineer before use)nuts for EB service connection including cost of all things etc. </t>
  </si>
  <si>
    <t xml:space="preserve"> pump room</t>
  </si>
  <si>
    <t>Supply and laying of 4 Run 6 Sq.mm and  1 Run 1.5 Sq.mm for Earth Copper in Sutiable PVC  conduit suitable Pipes etc (from Meter Panel to house DB)</t>
  </si>
  <si>
    <t xml:space="preserve">Labour charges for laying of 3.5 core 50 sq.mm / 3.5 core 35 sq.mm UG cable below Ground level. </t>
  </si>
  <si>
    <t>EB pole to Main block</t>
  </si>
  <si>
    <t>Labour charges for laying of UG cable above Ground level.</t>
  </si>
  <si>
    <t>EB pole to vertical Main block, Pump room</t>
  </si>
  <si>
    <t>Supplying &amp; Fixing of 50 mm dia GI pipe of approved brand.</t>
  </si>
  <si>
    <t>Main block</t>
  </si>
  <si>
    <t>Pump room  vertical</t>
  </si>
  <si>
    <t>Pump room horizontal</t>
  </si>
  <si>
    <t>Supplying and delivery of the following specials.</t>
  </si>
  <si>
    <t>a) 50 mm dia G.I Bend</t>
  </si>
  <si>
    <t xml:space="preserve">b) 50 mm dia G.I coupling </t>
  </si>
  <si>
    <t>Supplying and fixing of three phase DB box hylin sheet steel encloser with detabased gland plates for flush/surface mounting with bus bar neutral lines and earth bus bar ( without Mcb's ) etc.,</t>
  </si>
  <si>
    <t>Supplying and Fixing of Power shell double door TPN sheet enclosers</t>
  </si>
  <si>
    <t>Supplying and fixing of  4 pole 40 amps 30ml ELCB etc.,</t>
  </si>
  <si>
    <t>Supplying and fixing of single pole to 32 A 10 KA MCB's etc.,</t>
  </si>
  <si>
    <t>Pump room</t>
  </si>
  <si>
    <t>Supplying and fixing of MS clampset in etc..,</t>
  </si>
  <si>
    <t>For  main block</t>
  </si>
  <si>
    <t>Pumproom</t>
  </si>
  <si>
    <t xml:space="preserve">METERING PANEL FOR 3 SERVICES (2 FLATS + 1 COMMON &amp; SPARE) Suitable for 2 in 1 (1 Block of 2 in 1, G+1)           Supply and erection of 125 Amps capacity floor mounting metering panel board (Cubical type) of size 5.5'X6.5'X1' with bus bar chamber made up of 16 SWG MS sheet for 3 phase 4 wire system with 25mm x 3mm tin coated copper flats for phases and neutral; individual metering chamber and with 2 Nos. 25 x 3mm GI flat for the earth bus on the rear side of the panel board;   </t>
  </si>
  <si>
    <t>Supply and filling of 3 to 10 mm HBSJ</t>
  </si>
  <si>
    <t>Stone cutter I class</t>
  </si>
  <si>
    <t>Sand filling for pointing</t>
  </si>
  <si>
    <t>Rate for 1 SQM</t>
  </si>
  <si>
    <t>Inter locking paver block stone 83mm thick (pwd -p 41/19</t>
  </si>
  <si>
    <t>Inspection chamber building side</t>
  </si>
  <si>
    <t>Inspection chamber to septic tank line</t>
  </si>
  <si>
    <t xml:space="preserve">3.1 PCC </t>
  </si>
  <si>
    <t xml:space="preserve">4.1.1RCC </t>
  </si>
  <si>
    <t>CULVERT FORNT</t>
  </si>
  <si>
    <t>Earth Work Excavation for open foundation( Excluding Refilling)</t>
  </si>
  <si>
    <t>Culvert Wall</t>
  </si>
  <si>
    <t>P.C.C  1:5:10 for foundation</t>
  </si>
  <si>
    <t>R.C.C 1:2:4 for foundation and basement</t>
  </si>
  <si>
    <t>Slab</t>
  </si>
  <si>
    <t>I st Footing</t>
  </si>
  <si>
    <t>II nd Footing</t>
  </si>
  <si>
    <t>III rd Footing</t>
  </si>
  <si>
    <t>Brick Work in C.M 1:5 in foundation and basement</t>
  </si>
  <si>
    <t>Parapet</t>
  </si>
  <si>
    <t>Providing FormWork for all RCC works,</t>
  </si>
  <si>
    <t>(a) Column Footing,plinth beam,grade beam,raft beam,raft slab etc.,</t>
  </si>
  <si>
    <t>Deck Slab Side</t>
  </si>
  <si>
    <t>(b) Plain Surface such as roof slab ,floor slab,beam lintels,loft,sill slab,staircase waist,portico slaband other similar works.,</t>
  </si>
  <si>
    <t>Plastering in CM 1:5, 12mm tk</t>
  </si>
  <si>
    <t>Supplying , Fabrication and placing in position of Mild Steel Grills/Ribbed tor Steels</t>
  </si>
  <si>
    <t>R.C.C Qty</t>
  </si>
  <si>
    <t>Ellis pattern flooring</t>
  </si>
  <si>
    <t>Deck cover slab</t>
  </si>
  <si>
    <t>PCC 1:3:6</t>
  </si>
  <si>
    <t>Vertical sides</t>
  </si>
  <si>
    <t>Top side &amp; edges</t>
  </si>
  <si>
    <t>m3</t>
  </si>
  <si>
    <t>For Base slab Bottom</t>
  </si>
  <si>
    <t>Wall putty for inner walls</t>
  </si>
  <si>
    <t>water tank base slab</t>
  </si>
  <si>
    <t>water tank base slab top</t>
  </si>
  <si>
    <t>SF : water tank base slab ceiling</t>
  </si>
</sst>
</file>

<file path=xl/styles.xml><?xml version="1.0" encoding="utf-8"?>
<styleSheet xmlns="http://schemas.openxmlformats.org/spreadsheetml/2006/main">
  <numFmts count="12">
    <numFmt numFmtId="164" formatCode="_(&quot;$&quot;* #,##0_);_(&quot;$&quot;* \(#,##0\);_(&quot;$&quot;* &quot;-&quot;_);_(@_)"/>
    <numFmt numFmtId="165" formatCode="_(* #,##0.00_);_(* \(#,##0.00\);_(* &quot;-&quot;??_);_(@_)"/>
    <numFmt numFmtId="166" formatCode="&quot;Rs.&quot;\ #,##0;&quot;Rs.&quot;\ \-#,##0"/>
    <numFmt numFmtId="167" formatCode="0.00_)"/>
    <numFmt numFmtId="168" formatCode="0_)"/>
    <numFmt numFmtId="169" formatCode="0.000_)"/>
    <numFmt numFmtId="170" formatCode="0.0_)"/>
    <numFmt numFmtId="171" formatCode="0.00000_)"/>
    <numFmt numFmtId="172" formatCode="0.0000_)"/>
    <numFmt numFmtId="174" formatCode="0.0"/>
    <numFmt numFmtId="175" formatCode="0.000"/>
    <numFmt numFmtId="176" formatCode="0.0000"/>
  </numFmts>
  <fonts count="81">
    <font>
      <sz val="12"/>
      <name val="Helv"/>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2"/>
      <name val="Helv"/>
    </font>
    <font>
      <sz val="12"/>
      <name val="Helv"/>
    </font>
    <font>
      <sz val="12"/>
      <color indexed="10"/>
      <name val="Helv"/>
    </font>
    <font>
      <sz val="13"/>
      <name val="Arial"/>
      <family val="2"/>
    </font>
    <font>
      <b/>
      <sz val="13"/>
      <name val="Arial"/>
      <family val="2"/>
    </font>
    <font>
      <sz val="12"/>
      <name val="Arial"/>
      <family val="2"/>
    </font>
    <font>
      <sz val="14"/>
      <name val="Arial"/>
      <family val="2"/>
    </font>
    <font>
      <b/>
      <sz val="14"/>
      <name val="Helv"/>
    </font>
    <font>
      <b/>
      <sz val="15"/>
      <name val="Arial"/>
      <family val="2"/>
    </font>
    <font>
      <sz val="15"/>
      <name val="Arial"/>
      <family val="2"/>
    </font>
    <font>
      <sz val="10"/>
      <name val="Arial"/>
      <family val="2"/>
    </font>
    <font>
      <b/>
      <u/>
      <sz val="12"/>
      <name val="Arial"/>
      <family val="2"/>
    </font>
    <font>
      <sz val="13"/>
      <name val="Arial Narrow"/>
      <family val="2"/>
    </font>
    <font>
      <b/>
      <sz val="13"/>
      <name val="Arial Narrow"/>
      <family val="2"/>
    </font>
    <font>
      <sz val="16"/>
      <name val="Arial Narrow"/>
      <family val="2"/>
    </font>
    <font>
      <sz val="15"/>
      <name val="Arial Narrow"/>
      <family val="2"/>
    </font>
    <font>
      <b/>
      <sz val="15"/>
      <name val="Arial Narrow"/>
      <family val="2"/>
    </font>
    <font>
      <vertAlign val="superscript"/>
      <sz val="11"/>
      <color indexed="8"/>
      <name val="Calibri"/>
      <family val="2"/>
    </font>
    <font>
      <b/>
      <vertAlign val="superscript"/>
      <sz val="11"/>
      <color indexed="8"/>
      <name val="Calibri"/>
      <family val="2"/>
    </font>
    <font>
      <sz val="14"/>
      <name val="Times New Roman"/>
      <family val="1"/>
    </font>
    <font>
      <b/>
      <sz val="14"/>
      <name val="Times New Roman"/>
      <family val="1"/>
    </font>
    <font>
      <sz val="11"/>
      <color theme="1"/>
      <name val="Calibri"/>
      <family val="2"/>
      <scheme val="minor"/>
    </font>
    <font>
      <b/>
      <sz val="11"/>
      <color theme="1"/>
      <name val="Calibri"/>
      <family val="2"/>
      <scheme val="minor"/>
    </font>
    <font>
      <sz val="12"/>
      <color rgb="FFFF0000"/>
      <name val="Helv"/>
    </font>
    <font>
      <sz val="12"/>
      <color theme="1" tint="4.9989318521683403E-2"/>
      <name val="Helv"/>
    </font>
    <font>
      <b/>
      <sz val="12"/>
      <color theme="0"/>
      <name val="Arial"/>
      <family val="2"/>
    </font>
    <font>
      <sz val="12"/>
      <color theme="8" tint="-0.249977111117893"/>
      <name val="Helv"/>
    </font>
    <font>
      <b/>
      <sz val="12"/>
      <color theme="1" tint="4.9989318521683403E-2"/>
      <name val="Helv"/>
    </font>
    <font>
      <b/>
      <sz val="13"/>
      <color theme="1"/>
      <name val="Arial Narrow"/>
      <family val="2"/>
    </font>
    <font>
      <b/>
      <u/>
      <sz val="16"/>
      <color theme="1"/>
      <name val="Arial Narrow"/>
      <family val="2"/>
    </font>
    <font>
      <sz val="12"/>
      <name val="Cambria"/>
      <family val="1"/>
      <scheme val="major"/>
    </font>
    <font>
      <b/>
      <sz val="12"/>
      <name val="Cambria"/>
      <family val="1"/>
      <scheme val="major"/>
    </font>
    <font>
      <sz val="11"/>
      <name val="Cambria"/>
      <family val="1"/>
      <scheme val="major"/>
    </font>
    <font>
      <sz val="12"/>
      <color theme="1"/>
      <name val="Cambria"/>
      <family val="1"/>
      <scheme val="major"/>
    </font>
    <font>
      <b/>
      <sz val="12"/>
      <color theme="1"/>
      <name val="Cambria"/>
      <family val="1"/>
      <scheme val="major"/>
    </font>
    <font>
      <b/>
      <u/>
      <sz val="12"/>
      <name val="Cambria"/>
      <family val="1"/>
      <scheme val="major"/>
    </font>
    <font>
      <b/>
      <sz val="11"/>
      <color indexed="8"/>
      <name val="Cambria"/>
      <family val="1"/>
      <scheme val="major"/>
    </font>
    <font>
      <b/>
      <sz val="11"/>
      <color theme="1"/>
      <name val="Cambria"/>
      <family val="1"/>
      <scheme val="major"/>
    </font>
    <font>
      <sz val="11"/>
      <color theme="1"/>
      <name val="Cambria"/>
      <family val="1"/>
      <scheme val="major"/>
    </font>
    <font>
      <b/>
      <sz val="14"/>
      <color theme="1"/>
      <name val="Cambria"/>
      <family val="1"/>
      <scheme val="major"/>
    </font>
    <font>
      <sz val="18"/>
      <name val="Cambria"/>
      <family val="1"/>
      <scheme val="major"/>
    </font>
    <font>
      <u/>
      <sz val="12"/>
      <name val="Cambria"/>
      <family val="1"/>
      <scheme val="major"/>
    </font>
    <font>
      <sz val="12"/>
      <name val="Times New Roman"/>
      <family val="1"/>
    </font>
    <font>
      <b/>
      <sz val="13"/>
      <name val="Times New Roman"/>
      <family val="1"/>
    </font>
    <font>
      <sz val="13"/>
      <name val="Times New Roman"/>
      <family val="1"/>
    </font>
    <font>
      <b/>
      <sz val="12"/>
      <name val="Times New Roman"/>
      <family val="1"/>
    </font>
    <font>
      <b/>
      <u val="double"/>
      <sz val="16"/>
      <name val="Times New Roman"/>
      <family val="1"/>
    </font>
    <font>
      <b/>
      <sz val="16"/>
      <name val="Times New Roman"/>
      <family val="1"/>
    </font>
    <font>
      <sz val="10"/>
      <name val="Arial"/>
    </font>
    <font>
      <sz val="14"/>
      <color theme="1"/>
      <name val="Times New Roman"/>
      <family val="1"/>
    </font>
    <font>
      <b/>
      <sz val="14"/>
      <color theme="1"/>
      <name val="Times New Roman"/>
      <family val="1"/>
    </font>
    <font>
      <sz val="16"/>
      <name val="Times New Roman"/>
      <family val="1"/>
    </font>
    <font>
      <sz val="10"/>
      <name val="Times New Roman"/>
      <family val="1"/>
    </font>
    <font>
      <b/>
      <sz val="10"/>
      <name val="Times New Roman"/>
      <family val="1"/>
    </font>
    <font>
      <u/>
      <sz val="10"/>
      <color indexed="12"/>
      <name val="Arial"/>
      <family val="2"/>
    </font>
    <font>
      <sz val="11"/>
      <name val="Times New Roman"/>
      <family val="1"/>
    </font>
    <font>
      <sz val="11"/>
      <color rgb="FF000000"/>
      <name val="Calibri"/>
      <family val="2"/>
    </font>
    <font>
      <b/>
      <sz val="18"/>
      <name val="Times New Roman"/>
      <family val="1"/>
    </font>
    <font>
      <sz val="14"/>
      <color theme="1"/>
      <name val="Cambria"/>
      <family val="1"/>
      <scheme val="major"/>
    </font>
    <font>
      <b/>
      <u/>
      <sz val="12"/>
      <name val="Times New Roman"/>
      <family val="1"/>
    </font>
    <font>
      <vertAlign val="superscript"/>
      <sz val="12"/>
      <name val="Times New Roman"/>
      <family val="1"/>
    </font>
    <font>
      <b/>
      <sz val="12"/>
      <color theme="1"/>
      <name val="Tahoma"/>
      <family val="2"/>
    </font>
    <font>
      <sz val="12"/>
      <color theme="1"/>
      <name val="Tahoma"/>
      <family val="2"/>
    </font>
    <font>
      <b/>
      <vertAlign val="superscript"/>
      <sz val="12"/>
      <color theme="1"/>
      <name val="Tahoma"/>
      <family val="2"/>
    </font>
    <font>
      <sz val="12"/>
      <color indexed="10"/>
      <name val="Times New Roman"/>
      <family val="1"/>
    </font>
    <font>
      <b/>
      <sz val="11"/>
      <color theme="1"/>
      <name val="Times New Roman"/>
      <family val="1"/>
    </font>
    <font>
      <b/>
      <vertAlign val="superscript"/>
      <sz val="11"/>
      <color theme="1"/>
      <name val="Times New Roman"/>
      <family val="1"/>
    </font>
    <font>
      <b/>
      <sz val="12"/>
      <color theme="1"/>
      <name val="Times New Roman"/>
      <family val="1"/>
    </font>
    <font>
      <b/>
      <sz val="14"/>
      <color theme="1"/>
      <name val="Calibri"/>
      <family val="2"/>
      <scheme val="minor"/>
    </font>
    <font>
      <sz val="11"/>
      <color theme="1"/>
      <name val="Times New Roman"/>
      <family val="1"/>
    </font>
    <font>
      <u/>
      <sz val="11"/>
      <color theme="1"/>
      <name val="Cambria"/>
      <family val="1"/>
      <scheme val="major"/>
    </font>
    <font>
      <sz val="12"/>
      <color theme="1"/>
      <name val="Bamini"/>
      <family val="2"/>
    </font>
    <font>
      <sz val="12"/>
      <name val="Bamini"/>
      <family val="2"/>
    </font>
    <font>
      <sz val="13"/>
      <color rgb="FFFF0000"/>
      <name val="Times New Roman"/>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4">
    <xf numFmtId="167" fontId="0" fillId="0" borderId="0"/>
    <xf numFmtId="164" fontId="8" fillId="0" borderId="0"/>
    <xf numFmtId="166" fontId="8" fillId="0" borderId="0"/>
    <xf numFmtId="0" fontId="28" fillId="0" borderId="0"/>
    <xf numFmtId="0" fontId="17" fillId="0" borderId="0"/>
    <xf numFmtId="0" fontId="17" fillId="0" borderId="0"/>
    <xf numFmtId="0" fontId="17" fillId="0" borderId="0"/>
    <xf numFmtId="0" fontId="28" fillId="0" borderId="0"/>
    <xf numFmtId="0" fontId="17" fillId="0" borderId="0"/>
    <xf numFmtId="0" fontId="17" fillId="0" borderId="0"/>
    <xf numFmtId="167" fontId="8" fillId="0" borderId="0"/>
    <xf numFmtId="0" fontId="28" fillId="0" borderId="0"/>
    <xf numFmtId="0" fontId="17" fillId="0" borderId="0"/>
    <xf numFmtId="0" fontId="17" fillId="0" borderId="0"/>
    <xf numFmtId="0" fontId="17" fillId="0" borderId="0"/>
    <xf numFmtId="0" fontId="4" fillId="0" borderId="0"/>
    <xf numFmtId="0" fontId="4" fillId="0" borderId="0"/>
    <xf numFmtId="0" fontId="4" fillId="0" borderId="0"/>
    <xf numFmtId="0" fontId="55" fillId="0" borderId="0"/>
    <xf numFmtId="165" fontId="4" fillId="0" borderId="0" applyFont="0" applyFill="0" applyBorder="0" applyAlignment="0" applyProtection="0"/>
    <xf numFmtId="0" fontId="61" fillId="0" borderId="0" applyNumberFormat="0" applyFill="0" applyBorder="0" applyAlignment="0" applyProtection="0">
      <alignment vertical="top"/>
      <protection locked="0"/>
    </xf>
    <xf numFmtId="167" fontId="8" fillId="0" borderId="0"/>
    <xf numFmtId="0" fontId="8" fillId="0" borderId="0"/>
    <xf numFmtId="0" fontId="8" fillId="0" borderId="0"/>
    <xf numFmtId="170" fontId="8"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171" fontId="8" fillId="0" borderId="0"/>
    <xf numFmtId="171" fontId="8" fillId="0" borderId="0"/>
    <xf numFmtId="0" fontId="55" fillId="0" borderId="0"/>
    <xf numFmtId="175" fontId="8" fillId="0" borderId="0"/>
    <xf numFmtId="0" fontId="62" fillId="0" borderId="0"/>
    <xf numFmtId="0" fontId="3" fillId="0" borderId="0"/>
    <xf numFmtId="0" fontId="63" fillId="0" borderId="0"/>
    <xf numFmtId="9" fontId="55" fillId="0" borderId="0" applyFont="0" applyFill="0" applyBorder="0" applyAlignment="0" applyProtection="0"/>
    <xf numFmtId="0" fontId="4" fillId="0" borderId="0"/>
    <xf numFmtId="166" fontId="8" fillId="0" borderId="0"/>
    <xf numFmtId="0" fontId="1" fillId="0" borderId="0"/>
  </cellStyleXfs>
  <cellXfs count="637">
    <xf numFmtId="167" fontId="0" fillId="0" borderId="0" xfId="0"/>
    <xf numFmtId="167" fontId="0" fillId="0" borderId="0" xfId="0" applyNumberFormat="1" applyAlignment="1" applyProtection="1">
      <alignment horizontal="left"/>
    </xf>
    <xf numFmtId="167" fontId="0" fillId="0" borderId="0" xfId="0" applyNumberFormat="1" applyAlignment="1" applyProtection="1">
      <alignment horizontal="center"/>
    </xf>
    <xf numFmtId="167" fontId="0" fillId="0" borderId="0" xfId="0" applyAlignment="1"/>
    <xf numFmtId="167" fontId="0" fillId="0" borderId="0" xfId="0" applyAlignment="1">
      <alignment horizontal="center"/>
    </xf>
    <xf numFmtId="167" fontId="0" fillId="0" borderId="0" xfId="0" applyNumberFormat="1" applyAlignment="1" applyProtection="1">
      <alignment horizontal="fill"/>
    </xf>
    <xf numFmtId="167" fontId="0" fillId="0" borderId="0" xfId="0" applyNumberFormat="1" applyAlignment="1" applyProtection="1">
      <alignment horizontal="right"/>
    </xf>
    <xf numFmtId="167" fontId="0" fillId="0" borderId="0" xfId="0" applyNumberFormat="1" applyAlignment="1" applyProtection="1"/>
    <xf numFmtId="167" fontId="0" fillId="0" borderId="0" xfId="0" applyNumberFormat="1" applyProtection="1"/>
    <xf numFmtId="167" fontId="0" fillId="0" borderId="0" xfId="0" applyAlignment="1">
      <alignment horizontal="left"/>
    </xf>
    <xf numFmtId="169" fontId="0" fillId="0" borderId="0" xfId="0" applyNumberFormat="1" applyProtection="1"/>
    <xf numFmtId="172" fontId="0" fillId="0" borderId="0" xfId="0" applyNumberFormat="1" applyProtection="1"/>
    <xf numFmtId="169" fontId="0" fillId="0" borderId="0" xfId="0" applyNumberFormat="1" applyAlignment="1" applyProtection="1">
      <alignment horizontal="center"/>
    </xf>
    <xf numFmtId="167" fontId="0" fillId="0" borderId="0" xfId="0" applyNumberFormat="1" applyAlignment="1" applyProtection="1">
      <alignment horizontal="left" wrapText="1"/>
    </xf>
    <xf numFmtId="170" fontId="0" fillId="0" borderId="0" xfId="0" applyNumberFormat="1" applyAlignment="1" applyProtection="1">
      <alignment horizontal="center"/>
    </xf>
    <xf numFmtId="167" fontId="7" fillId="0" borderId="0" xfId="0" applyNumberFormat="1" applyFont="1" applyAlignment="1" applyProtection="1">
      <alignment horizontal="left"/>
    </xf>
    <xf numFmtId="167" fontId="7" fillId="0" borderId="0" xfId="0" applyFont="1"/>
    <xf numFmtId="167" fontId="7" fillId="0" borderId="0" xfId="0" applyNumberFormat="1" applyFont="1" applyProtection="1"/>
    <xf numFmtId="167" fontId="7" fillId="0" borderId="0" xfId="0" applyFont="1" applyAlignment="1">
      <alignment horizontal="center"/>
    </xf>
    <xf numFmtId="169" fontId="0" fillId="0" borderId="0" xfId="0" applyNumberFormat="1"/>
    <xf numFmtId="167" fontId="8" fillId="0" borderId="0" xfId="0" applyFont="1" applyAlignment="1"/>
    <xf numFmtId="167" fontId="8" fillId="0" borderId="0" xfId="0" applyFont="1"/>
    <xf numFmtId="167" fontId="0" fillId="0" borderId="0" xfId="0" quotePrefix="1"/>
    <xf numFmtId="167" fontId="8" fillId="0" borderId="0" xfId="0" quotePrefix="1" applyFont="1"/>
    <xf numFmtId="167" fontId="7" fillId="0" borderId="0" xfId="0" applyNumberFormat="1" applyFont="1" applyAlignment="1" applyProtection="1">
      <alignment horizontal="center"/>
    </xf>
    <xf numFmtId="167" fontId="8" fillId="0" borderId="0" xfId="0" applyNumberFormat="1" applyFont="1" applyProtection="1"/>
    <xf numFmtId="167" fontId="8" fillId="0" borderId="0" xfId="0" applyFont="1" applyAlignment="1">
      <alignment horizontal="left"/>
    </xf>
    <xf numFmtId="167" fontId="7" fillId="0" borderId="0" xfId="0" applyFont="1" applyAlignment="1"/>
    <xf numFmtId="169" fontId="8" fillId="0" borderId="0" xfId="0" applyNumberFormat="1" applyFont="1"/>
    <xf numFmtId="172" fontId="8" fillId="0" borderId="0" xfId="0" applyNumberFormat="1" applyFont="1"/>
    <xf numFmtId="171" fontId="8" fillId="0" borderId="0" xfId="0" applyNumberFormat="1" applyFont="1"/>
    <xf numFmtId="2" fontId="0" fillId="0" borderId="0" xfId="0" applyNumberFormat="1"/>
    <xf numFmtId="2" fontId="7" fillId="0" borderId="0" xfId="0" applyNumberFormat="1" applyFont="1"/>
    <xf numFmtId="167" fontId="7" fillId="0" borderId="0" xfId="0" applyFont="1" applyAlignment="1">
      <alignment horizontal="left"/>
    </xf>
    <xf numFmtId="167" fontId="6" fillId="0" borderId="0" xfId="0" applyNumberFormat="1" applyFont="1" applyAlignment="1" applyProtection="1">
      <alignment horizontal="left"/>
    </xf>
    <xf numFmtId="167" fontId="6" fillId="0" borderId="0" xfId="0" applyNumberFormat="1" applyFont="1" applyProtection="1"/>
    <xf numFmtId="167" fontId="12" fillId="0" borderId="0" xfId="0" applyFont="1"/>
    <xf numFmtId="167" fontId="12" fillId="0" borderId="0" xfId="0" applyFont="1" applyAlignment="1"/>
    <xf numFmtId="167" fontId="12" fillId="0" borderId="0" xfId="0" applyFont="1" applyAlignment="1">
      <alignment horizontal="center"/>
    </xf>
    <xf numFmtId="167" fontId="12" fillId="0" borderId="0" xfId="0" applyFont="1" applyAlignment="1">
      <alignment horizontal="right"/>
    </xf>
    <xf numFmtId="167" fontId="6" fillId="0" borderId="0" xfId="0" applyFont="1" applyAlignment="1">
      <alignment horizontal="right"/>
    </xf>
    <xf numFmtId="167" fontId="12" fillId="0" borderId="0" xfId="0" applyNumberFormat="1" applyFont="1" applyAlignment="1" applyProtection="1">
      <alignment horizontal="center"/>
    </xf>
    <xf numFmtId="167" fontId="12" fillId="0" borderId="0" xfId="0" applyNumberFormat="1" applyFont="1" applyAlignment="1" applyProtection="1"/>
    <xf numFmtId="167" fontId="12" fillId="0" borderId="0" xfId="0" applyNumberFormat="1" applyFont="1" applyAlignment="1" applyProtection="1">
      <alignment horizontal="left"/>
    </xf>
    <xf numFmtId="167" fontId="12" fillId="0" borderId="0" xfId="0" applyNumberFormat="1" applyFont="1" applyAlignment="1" applyProtection="1">
      <alignment horizontal="fill"/>
    </xf>
    <xf numFmtId="167" fontId="12" fillId="0" borderId="0" xfId="0" applyNumberFormat="1" applyFont="1" applyProtection="1"/>
    <xf numFmtId="167" fontId="12" fillId="0" borderId="0" xfId="0" applyNumberFormat="1" applyFont="1" applyAlignment="1" applyProtection="1">
      <alignment horizontal="right"/>
    </xf>
    <xf numFmtId="167" fontId="12" fillId="0" borderId="0" xfId="0" applyNumberFormat="1" applyFont="1" applyAlignment="1" applyProtection="1">
      <alignment horizontal="left" wrapText="1"/>
    </xf>
    <xf numFmtId="171" fontId="12" fillId="0" borderId="0" xfId="0" applyNumberFormat="1" applyFont="1" applyProtection="1"/>
    <xf numFmtId="172" fontId="12" fillId="0" borderId="0" xfId="0" applyNumberFormat="1" applyFont="1" applyProtection="1"/>
    <xf numFmtId="171" fontId="12" fillId="0" borderId="0" xfId="0" applyNumberFormat="1" applyFont="1" applyAlignment="1" applyProtection="1">
      <alignment horizontal="left"/>
    </xf>
    <xf numFmtId="172" fontId="12" fillId="0" borderId="0" xfId="0" applyNumberFormat="1" applyFont="1"/>
    <xf numFmtId="167" fontId="6" fillId="0" borderId="0" xfId="0" applyNumberFormat="1" applyFont="1" applyAlignment="1" applyProtection="1">
      <alignment horizontal="center"/>
    </xf>
    <xf numFmtId="172" fontId="7" fillId="0" borderId="0" xfId="0" applyNumberFormat="1" applyFont="1" applyAlignment="1">
      <alignment horizontal="right"/>
    </xf>
    <xf numFmtId="171" fontId="0" fillId="0" borderId="0" xfId="0" applyNumberFormat="1"/>
    <xf numFmtId="167" fontId="0" fillId="0" borderId="0" xfId="0" applyBorder="1"/>
    <xf numFmtId="167" fontId="7" fillId="0" borderId="0" xfId="0" applyFont="1" applyBorder="1"/>
    <xf numFmtId="167" fontId="0" fillId="0" borderId="2" xfId="0" applyBorder="1"/>
    <xf numFmtId="167" fontId="14" fillId="0" borderId="0" xfId="0" applyFont="1"/>
    <xf numFmtId="172" fontId="0" fillId="0" borderId="0" xfId="0" applyNumberFormat="1"/>
    <xf numFmtId="167" fontId="5" fillId="0" borderId="0" xfId="0" applyNumberFormat="1" applyFont="1" applyAlignment="1" applyProtection="1">
      <alignment horizontal="left"/>
    </xf>
    <xf numFmtId="169" fontId="6" fillId="0" borderId="0" xfId="0" applyNumberFormat="1" applyFont="1" applyAlignment="1">
      <alignment horizontal="right"/>
    </xf>
    <xf numFmtId="172" fontId="6" fillId="0" borderId="0" xfId="0" applyNumberFormat="1" applyFont="1" applyAlignment="1">
      <alignment horizontal="right"/>
    </xf>
    <xf numFmtId="171" fontId="12" fillId="0" borderId="0" xfId="0" applyNumberFormat="1" applyFont="1" applyAlignment="1">
      <alignment horizontal="right"/>
    </xf>
    <xf numFmtId="172" fontId="6" fillId="0" borderId="0" xfId="0" applyNumberFormat="1" applyFont="1" applyAlignment="1" applyProtection="1">
      <alignment horizontal="right"/>
    </xf>
    <xf numFmtId="169" fontId="12" fillId="0" borderId="0" xfId="0" applyNumberFormat="1" applyFont="1" applyAlignment="1" applyProtection="1">
      <alignment horizontal="right"/>
    </xf>
    <xf numFmtId="167" fontId="7" fillId="0" borderId="0" xfId="0" applyNumberFormat="1" applyFont="1" applyAlignment="1" applyProtection="1"/>
    <xf numFmtId="167" fontId="7" fillId="0" borderId="0" xfId="0" applyFont="1" applyAlignment="1">
      <alignment wrapText="1"/>
    </xf>
    <xf numFmtId="169" fontId="7" fillId="0" borderId="0" xfId="0" applyNumberFormat="1" applyFont="1"/>
    <xf numFmtId="169" fontId="0" fillId="0" borderId="0" xfId="0" applyNumberFormat="1" applyAlignment="1">
      <alignment horizontal="right"/>
    </xf>
    <xf numFmtId="167" fontId="30" fillId="0" borderId="0" xfId="0" applyNumberFormat="1" applyFont="1" applyProtection="1"/>
    <xf numFmtId="167" fontId="30" fillId="0" borderId="0" xfId="0" applyFont="1"/>
    <xf numFmtId="167" fontId="0" fillId="0" borderId="0" xfId="0" applyFont="1"/>
    <xf numFmtId="167" fontId="0" fillId="0" borderId="0" xfId="0" applyNumberFormat="1" applyFont="1" applyProtection="1"/>
    <xf numFmtId="167" fontId="31" fillId="0" borderId="0" xfId="0" applyFont="1"/>
    <xf numFmtId="167" fontId="33" fillId="0" borderId="0" xfId="0" applyFont="1"/>
    <xf numFmtId="167" fontId="34" fillId="0" borderId="0" xfId="0" applyFont="1"/>
    <xf numFmtId="167" fontId="34" fillId="0" borderId="0" xfId="0" applyFont="1" applyAlignment="1">
      <alignment horizontal="center"/>
    </xf>
    <xf numFmtId="167" fontId="11" fillId="0" borderId="0" xfId="0" applyNumberFormat="1" applyFont="1" applyAlignment="1">
      <alignment horizontal="center"/>
    </xf>
    <xf numFmtId="167" fontId="10" fillId="0" borderId="0" xfId="0" applyNumberFormat="1" applyFont="1"/>
    <xf numFmtId="167" fontId="10" fillId="0" borderId="0" xfId="0" applyNumberFormat="1" applyFont="1" applyAlignment="1">
      <alignment horizontal="center"/>
    </xf>
    <xf numFmtId="167" fontId="10" fillId="0" borderId="0" xfId="0" applyNumberFormat="1" applyFont="1" applyProtection="1"/>
    <xf numFmtId="169" fontId="10" fillId="0" borderId="0" xfId="0" applyNumberFormat="1" applyFont="1"/>
    <xf numFmtId="172" fontId="10" fillId="0" borderId="0" xfId="0" applyNumberFormat="1" applyFont="1" applyProtection="1"/>
    <xf numFmtId="167" fontId="10" fillId="0" borderId="0" xfId="0" applyNumberFormat="1" applyFont="1" applyAlignment="1" applyProtection="1"/>
    <xf numFmtId="167" fontId="10" fillId="0" borderId="0" xfId="0" applyNumberFormat="1" applyFont="1" applyAlignment="1" applyProtection="1">
      <alignment horizontal="left"/>
    </xf>
    <xf numFmtId="167" fontId="10" fillId="0" borderId="0" xfId="0" applyNumberFormat="1" applyFont="1" applyAlignment="1"/>
    <xf numFmtId="167" fontId="11" fillId="0" borderId="0" xfId="0" applyNumberFormat="1" applyFont="1" applyAlignment="1" applyProtection="1">
      <alignment horizontal="right"/>
    </xf>
    <xf numFmtId="167" fontId="11" fillId="0" borderId="0" xfId="0" applyNumberFormat="1" applyFont="1" applyProtection="1"/>
    <xf numFmtId="167" fontId="11" fillId="0" borderId="0" xfId="0" applyNumberFormat="1" applyFont="1"/>
    <xf numFmtId="167" fontId="11" fillId="0" borderId="0" xfId="0" applyNumberFormat="1" applyFont="1" applyAlignment="1" applyProtection="1">
      <alignment horizontal="left"/>
    </xf>
    <xf numFmtId="167" fontId="11" fillId="0" borderId="0" xfId="0" applyNumberFormat="1" applyFont="1" applyAlignment="1" applyProtection="1">
      <alignment horizontal="center"/>
    </xf>
    <xf numFmtId="167" fontId="10" fillId="0" borderId="0" xfId="0" applyNumberFormat="1" applyFont="1" applyAlignment="1" applyProtection="1">
      <alignment horizontal="right"/>
    </xf>
    <xf numFmtId="167" fontId="10" fillId="0" borderId="0" xfId="0" applyNumberFormat="1" applyFont="1" applyAlignment="1">
      <alignment horizontal="left"/>
    </xf>
    <xf numFmtId="167" fontId="10" fillId="0" borderId="0" xfId="0" applyNumberFormat="1" applyFont="1" applyAlignment="1" applyProtection="1">
      <alignment horizontal="fill"/>
    </xf>
    <xf numFmtId="167" fontId="14" fillId="0" borderId="0" xfId="0" applyNumberFormat="1" applyFont="1" applyAlignment="1">
      <alignment horizontal="center"/>
    </xf>
    <xf numFmtId="167" fontId="0" fillId="0" borderId="0" xfId="0" applyNumberFormat="1"/>
    <xf numFmtId="167" fontId="0" fillId="0" borderId="0" xfId="0" applyNumberFormat="1" applyAlignment="1">
      <alignment horizontal="center"/>
    </xf>
    <xf numFmtId="167" fontId="19" fillId="0" borderId="0" xfId="0" applyNumberFormat="1" applyFont="1" applyFill="1" applyAlignment="1">
      <alignment vertical="center"/>
    </xf>
    <xf numFmtId="167" fontId="20" fillId="0" borderId="0" xfId="0" applyNumberFormat="1" applyFont="1" applyFill="1" applyAlignment="1">
      <alignment vertical="center"/>
    </xf>
    <xf numFmtId="167" fontId="20" fillId="0" borderId="0" xfId="0" applyNumberFormat="1" applyFont="1" applyAlignment="1">
      <alignment horizontal="center" vertical="center"/>
    </xf>
    <xf numFmtId="167" fontId="19" fillId="0" borderId="0" xfId="0" applyNumberFormat="1" applyFont="1" applyAlignment="1">
      <alignment horizontal="center" vertical="center"/>
    </xf>
    <xf numFmtId="167" fontId="19" fillId="0" borderId="0" xfId="0" applyNumberFormat="1" applyFont="1" applyAlignment="1">
      <alignment horizontal="left" vertical="center"/>
    </xf>
    <xf numFmtId="0" fontId="19" fillId="0" borderId="0" xfId="0" applyNumberFormat="1" applyFont="1" applyFill="1" applyAlignment="1">
      <alignment vertical="center" wrapText="1"/>
    </xf>
    <xf numFmtId="167" fontId="19" fillId="0" borderId="0" xfId="0" applyNumberFormat="1" applyFont="1" applyAlignment="1">
      <alignment horizontal="left" vertical="center" wrapText="1"/>
    </xf>
    <xf numFmtId="167" fontId="20" fillId="0" borderId="0" xfId="0" applyNumberFormat="1" applyFont="1" applyFill="1" applyAlignment="1">
      <alignment vertical="center" wrapText="1"/>
    </xf>
    <xf numFmtId="2" fontId="35" fillId="0" borderId="0" xfId="0" applyNumberFormat="1" applyFont="1" applyFill="1"/>
    <xf numFmtId="0" fontId="19" fillId="0" borderId="0" xfId="0" applyNumberFormat="1" applyFont="1" applyFill="1"/>
    <xf numFmtId="2" fontId="19" fillId="0" borderId="0" xfId="0" applyNumberFormat="1" applyFont="1" applyFill="1"/>
    <xf numFmtId="175" fontId="19" fillId="0" borderId="0" xfId="0" applyNumberFormat="1" applyFont="1" applyFill="1"/>
    <xf numFmtId="0" fontId="20" fillId="0" borderId="0" xfId="0" applyNumberFormat="1" applyFont="1" applyFill="1"/>
    <xf numFmtId="0" fontId="19" fillId="0" borderId="0" xfId="0" applyNumberFormat="1" applyFont="1" applyFill="1" applyAlignment="1">
      <alignment horizontal="center" vertical="top" wrapText="1"/>
    </xf>
    <xf numFmtId="0" fontId="20" fillId="0" borderId="0" xfId="0" applyNumberFormat="1" applyFont="1" applyFill="1" applyAlignment="1">
      <alignment vertical="top" wrapText="1"/>
    </xf>
    <xf numFmtId="176" fontId="19" fillId="0" borderId="0" xfId="0" applyNumberFormat="1" applyFont="1" applyFill="1"/>
    <xf numFmtId="0" fontId="19" fillId="0" borderId="0" xfId="0" applyNumberFormat="1" applyFont="1" applyFill="1" applyAlignment="1">
      <alignment horizontal="left" vertical="top" wrapText="1"/>
    </xf>
    <xf numFmtId="0" fontId="22" fillId="0" borderId="0" xfId="0" applyNumberFormat="1" applyFont="1" applyFill="1" applyAlignment="1">
      <alignment vertical="top" wrapText="1"/>
    </xf>
    <xf numFmtId="0" fontId="0" fillId="0" borderId="0" xfId="0" applyNumberFormat="1"/>
    <xf numFmtId="172" fontId="10" fillId="0" borderId="0" xfId="0" applyNumberFormat="1" applyFont="1" applyAlignment="1" applyProtection="1">
      <alignment horizontal="right"/>
    </xf>
    <xf numFmtId="167" fontId="13" fillId="0" borderId="0" xfId="0" applyNumberFormat="1" applyFont="1"/>
    <xf numFmtId="167" fontId="13" fillId="0" borderId="0" xfId="0" applyNumberFormat="1" applyFont="1" applyAlignment="1"/>
    <xf numFmtId="167" fontId="13" fillId="0" borderId="0" xfId="0" applyNumberFormat="1" applyFont="1" applyProtection="1"/>
    <xf numFmtId="167" fontId="13" fillId="0" borderId="0" xfId="0" applyNumberFormat="1" applyFont="1" applyAlignment="1">
      <alignment horizontal="left"/>
    </xf>
    <xf numFmtId="0" fontId="29" fillId="0" borderId="0" xfId="0" applyNumberFormat="1" applyFont="1"/>
    <xf numFmtId="2" fontId="29" fillId="0" borderId="0" xfId="0" applyNumberFormat="1" applyFont="1"/>
    <xf numFmtId="167" fontId="29" fillId="0" borderId="0" xfId="0" applyNumberFormat="1" applyFont="1"/>
    <xf numFmtId="167" fontId="0" fillId="0" borderId="0" xfId="0" applyNumberFormat="1" applyAlignment="1"/>
    <xf numFmtId="167" fontId="0" fillId="0" borderId="0" xfId="0" applyNumberFormat="1" applyAlignment="1">
      <alignment horizontal="left"/>
    </xf>
    <xf numFmtId="167" fontId="7" fillId="0" borderId="0" xfId="0" applyNumberFormat="1" applyFont="1"/>
    <xf numFmtId="167" fontId="10" fillId="0" borderId="0" xfId="0" applyNumberFormat="1" applyFont="1" applyAlignment="1" applyProtection="1">
      <alignment horizontal="left" wrapText="1"/>
    </xf>
    <xf numFmtId="167" fontId="7" fillId="0" borderId="0" xfId="0" applyNumberFormat="1" applyFont="1" applyAlignment="1"/>
    <xf numFmtId="167" fontId="7" fillId="0" borderId="0" xfId="0" applyNumberFormat="1" applyFont="1" applyAlignment="1">
      <alignment horizontal="left"/>
    </xf>
    <xf numFmtId="0" fontId="7" fillId="0" borderId="0" xfId="0" applyNumberFormat="1" applyFont="1" applyProtection="1"/>
    <xf numFmtId="169" fontId="16" fillId="0" borderId="0" xfId="0" applyNumberFormat="1" applyFont="1"/>
    <xf numFmtId="167" fontId="16" fillId="0" borderId="0" xfId="0" applyFont="1" applyAlignment="1"/>
    <xf numFmtId="167" fontId="15" fillId="0" borderId="0" xfId="0" applyFont="1"/>
    <xf numFmtId="167" fontId="16" fillId="0" borderId="0" xfId="0" applyFont="1"/>
    <xf numFmtId="167" fontId="16" fillId="0" borderId="0" xfId="0" applyFont="1" applyAlignment="1">
      <alignment horizontal="left"/>
    </xf>
    <xf numFmtId="0" fontId="16" fillId="0" borderId="0" xfId="0" applyNumberFormat="1" applyFont="1"/>
    <xf numFmtId="169" fontId="16" fillId="0" borderId="0" xfId="0" applyNumberFormat="1" applyFont="1" applyProtection="1"/>
    <xf numFmtId="167" fontId="16" fillId="0" borderId="0" xfId="0" applyNumberFormat="1" applyFont="1" applyAlignment="1" applyProtection="1"/>
    <xf numFmtId="167" fontId="16" fillId="0" borderId="0" xfId="0" applyNumberFormat="1" applyFont="1" applyAlignment="1" applyProtection="1">
      <alignment horizontal="left"/>
    </xf>
    <xf numFmtId="167" fontId="16" fillId="0" borderId="0" xfId="0" applyNumberFormat="1" applyFont="1" applyProtection="1"/>
    <xf numFmtId="167" fontId="16" fillId="0" borderId="0" xfId="0" applyFont="1" applyAlignment="1">
      <alignment horizontal="center"/>
    </xf>
    <xf numFmtId="167" fontId="15" fillId="0" borderId="0" xfId="0" applyNumberFormat="1" applyFont="1" applyAlignment="1" applyProtection="1">
      <alignment horizontal="right"/>
    </xf>
    <xf numFmtId="167" fontId="15" fillId="0" borderId="0" xfId="0" applyNumberFormat="1" applyFont="1" applyProtection="1"/>
    <xf numFmtId="167" fontId="0" fillId="3" borderId="0" xfId="0" applyNumberFormat="1" applyFill="1" applyAlignment="1" applyProtection="1">
      <alignment horizontal="left"/>
    </xf>
    <xf numFmtId="167" fontId="12" fillId="0" borderId="0" xfId="0" applyNumberFormat="1" applyFont="1"/>
    <xf numFmtId="167" fontId="12" fillId="0" borderId="0" xfId="0" applyNumberFormat="1" applyFont="1" applyAlignment="1"/>
    <xf numFmtId="167" fontId="12" fillId="0" borderId="0" xfId="0" applyNumberFormat="1" applyFont="1" applyAlignment="1">
      <alignment horizontal="center"/>
    </xf>
    <xf numFmtId="167" fontId="12" fillId="0" borderId="0" xfId="0" applyNumberFormat="1" applyFont="1" applyAlignment="1">
      <alignment horizontal="right"/>
    </xf>
    <xf numFmtId="172" fontId="29" fillId="0" borderId="0" xfId="0" applyNumberFormat="1" applyFont="1" applyAlignment="1">
      <alignment vertical="top"/>
    </xf>
    <xf numFmtId="172" fontId="32" fillId="0" borderId="0" xfId="0" applyNumberFormat="1" applyFont="1" applyAlignment="1">
      <alignment horizontal="right"/>
    </xf>
    <xf numFmtId="172" fontId="12" fillId="0" borderId="0" xfId="0" applyNumberFormat="1" applyFont="1" applyAlignment="1">
      <alignment horizontal="center"/>
    </xf>
    <xf numFmtId="167" fontId="6" fillId="0" borderId="0" xfId="0" applyNumberFormat="1" applyFont="1" applyAlignment="1">
      <alignment vertical="top"/>
    </xf>
    <xf numFmtId="0" fontId="0" fillId="0" borderId="0" xfId="0" applyNumberFormat="1" applyAlignment="1">
      <alignment horizontal="center" vertical="center"/>
    </xf>
    <xf numFmtId="167" fontId="29" fillId="0" borderId="0" xfId="0" applyNumberFormat="1" applyFont="1" applyAlignment="1" applyProtection="1">
      <alignment horizontal="right"/>
    </xf>
    <xf numFmtId="167" fontId="0" fillId="3" borderId="0" xfId="0" applyNumberFormat="1" applyFill="1"/>
    <xf numFmtId="167" fontId="0" fillId="3" borderId="0" xfId="0" applyNumberFormat="1" applyFill="1" applyAlignment="1"/>
    <xf numFmtId="167" fontId="0" fillId="3" borderId="0" xfId="0" applyNumberFormat="1" applyFill="1" applyAlignment="1">
      <alignment horizontal="left"/>
    </xf>
    <xf numFmtId="167" fontId="0" fillId="3" borderId="0" xfId="0" applyNumberFormat="1" applyFill="1" applyProtection="1"/>
    <xf numFmtId="0" fontId="0" fillId="3" borderId="0" xfId="0" applyNumberFormat="1" applyFill="1"/>
    <xf numFmtId="175" fontId="0" fillId="0" borderId="0" xfId="0" applyNumberFormat="1"/>
    <xf numFmtId="175" fontId="29" fillId="0" borderId="0" xfId="0" applyNumberFormat="1" applyFont="1"/>
    <xf numFmtId="0" fontId="36" fillId="3" borderId="0" xfId="0" applyNumberFormat="1" applyFont="1" applyFill="1"/>
    <xf numFmtId="167" fontId="12" fillId="0" borderId="0" xfId="0" applyNumberFormat="1" applyFont="1" applyAlignment="1">
      <alignment vertical="top"/>
    </xf>
    <xf numFmtId="167" fontId="12" fillId="3" borderId="0" xfId="0" applyNumberFormat="1" applyFont="1" applyFill="1"/>
    <xf numFmtId="167" fontId="12" fillId="3" borderId="0" xfId="0" applyNumberFormat="1" applyFont="1" applyFill="1" applyAlignment="1" applyProtection="1">
      <alignment horizontal="center"/>
    </xf>
    <xf numFmtId="167" fontId="18" fillId="0" borderId="0" xfId="0" applyNumberFormat="1" applyFont="1" applyAlignment="1" applyProtection="1">
      <alignment horizontal="left"/>
    </xf>
    <xf numFmtId="167" fontId="12" fillId="0" borderId="0" xfId="0" applyFont="1" applyAlignment="1">
      <alignment wrapText="1"/>
    </xf>
    <xf numFmtId="167" fontId="18" fillId="0" borderId="0" xfId="0" applyNumberFormat="1" applyFont="1" applyAlignment="1" applyProtection="1">
      <alignment horizontal="left" wrapText="1"/>
    </xf>
    <xf numFmtId="167" fontId="12" fillId="3" borderId="0" xfId="0" applyNumberFormat="1" applyFont="1" applyFill="1" applyProtection="1"/>
    <xf numFmtId="172" fontId="6" fillId="0" borderId="0" xfId="0" applyNumberFormat="1" applyFont="1"/>
    <xf numFmtId="167" fontId="37" fillId="0" borderId="0" xfId="0" applyFont="1"/>
    <xf numFmtId="167" fontId="37" fillId="3" borderId="0" xfId="0" applyFont="1" applyFill="1"/>
    <xf numFmtId="167" fontId="38" fillId="0" borderId="0" xfId="0" applyFont="1"/>
    <xf numFmtId="167" fontId="37" fillId="0" borderId="0" xfId="0" applyNumberFormat="1" applyFont="1" applyAlignment="1" applyProtection="1">
      <alignment horizontal="left" wrapText="1"/>
    </xf>
    <xf numFmtId="167" fontId="37" fillId="0" borderId="0" xfId="0" applyFont="1" applyAlignment="1">
      <alignment wrapText="1"/>
    </xf>
    <xf numFmtId="167" fontId="37" fillId="0" borderId="0" xfId="0" applyFont="1" applyFill="1"/>
    <xf numFmtId="2" fontId="44" fillId="0" borderId="0" xfId="0" applyNumberFormat="1" applyFont="1"/>
    <xf numFmtId="2" fontId="47" fillId="2" borderId="1" xfId="15" applyNumberFormat="1" applyFont="1" applyFill="1" applyBorder="1" applyAlignment="1">
      <alignment horizontal="left" vertical="center" wrapText="1"/>
    </xf>
    <xf numFmtId="167" fontId="48" fillId="0" borderId="0" xfId="0" applyFont="1" applyFill="1"/>
    <xf numFmtId="2" fontId="52" fillId="0" borderId="10" xfId="16" applyNumberFormat="1" applyFont="1" applyBorder="1" applyAlignment="1">
      <alignment vertical="center"/>
    </xf>
    <xf numFmtId="167" fontId="37" fillId="0" borderId="0" xfId="0" applyFont="1" applyFill="1" applyAlignment="1">
      <alignment wrapText="1"/>
    </xf>
    <xf numFmtId="167" fontId="38" fillId="0" borderId="0" xfId="0" applyFont="1" applyFill="1"/>
    <xf numFmtId="167" fontId="51" fillId="2" borderId="0" xfId="0" applyFont="1" applyFill="1" applyBorder="1" applyAlignment="1">
      <alignment vertical="center"/>
    </xf>
    <xf numFmtId="167" fontId="51" fillId="2" borderId="0" xfId="0" applyFont="1" applyFill="1" applyAlignment="1">
      <alignment vertical="center"/>
    </xf>
    <xf numFmtId="167" fontId="50" fillId="2" borderId="10" xfId="0" applyFont="1" applyFill="1" applyBorder="1" applyAlignment="1">
      <alignment horizontal="center" vertical="center"/>
    </xf>
    <xf numFmtId="170" fontId="50" fillId="0" borderId="10" xfId="0" applyNumberFormat="1" applyFont="1" applyFill="1" applyBorder="1" applyAlignment="1">
      <alignment horizontal="right" vertical="center"/>
    </xf>
    <xf numFmtId="167" fontId="50" fillId="2" borderId="10" xfId="0" applyFont="1" applyFill="1" applyBorder="1" applyAlignment="1">
      <alignment horizontal="left" vertical="center" wrapText="1"/>
    </xf>
    <xf numFmtId="168" fontId="51" fillId="2" borderId="10" xfId="0" applyNumberFormat="1" applyFont="1" applyFill="1" applyBorder="1" applyAlignment="1">
      <alignment horizontal="center" vertical="center"/>
    </xf>
    <xf numFmtId="167" fontId="51" fillId="2" borderId="10" xfId="0" applyFont="1" applyFill="1" applyBorder="1" applyAlignment="1">
      <alignment horizontal="center" vertical="center"/>
    </xf>
    <xf numFmtId="167" fontId="51" fillId="2" borderId="10" xfId="0" applyFont="1" applyFill="1" applyBorder="1" applyAlignment="1">
      <alignment horizontal="left" vertical="center"/>
    </xf>
    <xf numFmtId="170" fontId="50" fillId="2" borderId="10" xfId="0" applyNumberFormat="1" applyFont="1" applyFill="1" applyBorder="1" applyAlignment="1">
      <alignment horizontal="right" vertical="center"/>
    </xf>
    <xf numFmtId="167" fontId="51" fillId="0" borderId="10" xfId="0" applyFont="1" applyBorder="1" applyAlignment="1">
      <alignment horizontal="left" vertical="center" wrapText="1"/>
    </xf>
    <xf numFmtId="168" fontId="51" fillId="0" borderId="10" xfId="0" applyNumberFormat="1" applyFont="1" applyBorder="1" applyAlignment="1">
      <alignment horizontal="center" vertical="center"/>
    </xf>
    <xf numFmtId="167" fontId="51" fillId="0" borderId="10" xfId="0" applyFont="1" applyBorder="1" applyAlignment="1">
      <alignment horizontal="right" vertical="center"/>
    </xf>
    <xf numFmtId="167" fontId="50" fillId="0" borderId="10" xfId="0" applyFont="1" applyBorder="1" applyAlignment="1">
      <alignment horizontal="left" vertical="center" wrapText="1"/>
    </xf>
    <xf numFmtId="167" fontId="51" fillId="0" borderId="10" xfId="0" applyFont="1" applyFill="1" applyBorder="1" applyAlignment="1">
      <alignment horizontal="right" vertical="center"/>
    </xf>
    <xf numFmtId="167" fontId="51" fillId="0" borderId="10" xfId="0" applyFont="1" applyBorder="1" applyAlignment="1">
      <alignment horizontal="left" vertical="center"/>
    </xf>
    <xf numFmtId="168" fontId="51" fillId="0" borderId="10" xfId="0" applyNumberFormat="1" applyFont="1" applyFill="1" applyBorder="1" applyAlignment="1">
      <alignment horizontal="center" vertical="center"/>
    </xf>
    <xf numFmtId="167" fontId="50" fillId="0" borderId="10" xfId="0" applyFont="1" applyBorder="1" applyAlignment="1">
      <alignment horizontal="right" vertical="center"/>
    </xf>
    <xf numFmtId="167" fontId="50" fillId="2" borderId="10" xfId="0" applyFont="1" applyFill="1" applyBorder="1" applyAlignment="1">
      <alignment horizontal="left" vertical="center"/>
    </xf>
    <xf numFmtId="167" fontId="51" fillId="2" borderId="10" xfId="0" applyFont="1" applyFill="1" applyBorder="1" applyAlignment="1">
      <alignment horizontal="left" vertical="center" wrapText="1"/>
    </xf>
    <xf numFmtId="167" fontId="51" fillId="2" borderId="10" xfId="0" applyFont="1" applyFill="1" applyBorder="1" applyAlignment="1">
      <alignment horizontal="right" vertical="center"/>
    </xf>
    <xf numFmtId="167" fontId="50" fillId="2" borderId="10" xfId="0" applyFont="1" applyFill="1" applyBorder="1" applyAlignment="1">
      <alignment horizontal="right" vertical="center"/>
    </xf>
    <xf numFmtId="170" fontId="50" fillId="4" borderId="10" xfId="0" applyNumberFormat="1" applyFont="1" applyFill="1" applyBorder="1" applyAlignment="1">
      <alignment horizontal="right" vertical="center"/>
    </xf>
    <xf numFmtId="169" fontId="51" fillId="2" borderId="10" xfId="0" applyNumberFormat="1" applyFont="1" applyFill="1" applyBorder="1" applyAlignment="1">
      <alignment horizontal="right" vertical="center"/>
    </xf>
    <xf numFmtId="169" fontId="50" fillId="2" borderId="10" xfId="0" applyNumberFormat="1" applyFont="1" applyFill="1" applyBorder="1" applyAlignment="1">
      <alignment horizontal="right" vertical="center"/>
    </xf>
    <xf numFmtId="167" fontId="50" fillId="0" borderId="10" xfId="0" applyFont="1" applyBorder="1" applyAlignment="1">
      <alignment horizontal="left" vertical="center"/>
    </xf>
    <xf numFmtId="167" fontId="51" fillId="0" borderId="10" xfId="0" applyFont="1" applyFill="1" applyBorder="1" applyAlignment="1">
      <alignment horizontal="left" vertical="center" wrapText="1"/>
    </xf>
    <xf numFmtId="167" fontId="50" fillId="0" borderId="10" xfId="0" applyFont="1" applyFill="1" applyBorder="1" applyAlignment="1">
      <alignment horizontal="right" vertical="center"/>
    </xf>
    <xf numFmtId="167" fontId="50" fillId="0" borderId="10" xfId="0" applyFont="1" applyFill="1" applyBorder="1" applyAlignment="1">
      <alignment horizontal="left" vertical="center"/>
    </xf>
    <xf numFmtId="167" fontId="51" fillId="0" borderId="0" xfId="0" applyFont="1" applyFill="1" applyAlignment="1">
      <alignment vertical="center"/>
    </xf>
    <xf numFmtId="170" fontId="50" fillId="5" borderId="10" xfId="0" applyNumberFormat="1" applyFont="1" applyFill="1" applyBorder="1" applyAlignment="1">
      <alignment horizontal="right" vertical="center"/>
    </xf>
    <xf numFmtId="167" fontId="51" fillId="2" borderId="11" xfId="0" applyFont="1" applyFill="1" applyBorder="1" applyAlignment="1">
      <alignment horizontal="right" vertical="center"/>
    </xf>
    <xf numFmtId="167" fontId="50" fillId="2" borderId="13" xfId="0" applyFont="1" applyFill="1" applyBorder="1" applyAlignment="1">
      <alignment horizontal="right" vertical="center"/>
    </xf>
    <xf numFmtId="167" fontId="50" fillId="2" borderId="12" xfId="0" applyFont="1" applyFill="1" applyBorder="1" applyAlignment="1">
      <alignment horizontal="right" vertical="center"/>
    </xf>
    <xf numFmtId="167" fontId="51" fillId="0" borderId="10" xfId="0" applyFont="1" applyBorder="1" applyAlignment="1">
      <alignment horizontal="center" vertical="center"/>
    </xf>
    <xf numFmtId="167" fontId="51" fillId="2" borderId="10" xfId="0" applyFont="1" applyFill="1" applyBorder="1" applyAlignment="1">
      <alignment vertical="center"/>
    </xf>
    <xf numFmtId="167" fontId="51" fillId="2" borderId="10" xfId="0" applyNumberFormat="1" applyFont="1" applyFill="1" applyBorder="1" applyAlignment="1">
      <alignment horizontal="center" vertical="center"/>
    </xf>
    <xf numFmtId="167" fontId="54" fillId="2" borderId="10" xfId="0" applyFont="1" applyFill="1" applyBorder="1" applyAlignment="1">
      <alignment horizontal="left" vertical="center" wrapText="1"/>
    </xf>
    <xf numFmtId="167" fontId="51" fillId="0" borderId="10" xfId="0" applyFont="1" applyFill="1" applyBorder="1" applyAlignment="1">
      <alignment horizontal="left" vertical="center"/>
    </xf>
    <xf numFmtId="170" fontId="50" fillId="3" borderId="10" xfId="0" applyNumberFormat="1" applyFont="1" applyFill="1" applyBorder="1" applyAlignment="1">
      <alignment horizontal="right" vertical="center"/>
    </xf>
    <xf numFmtId="174" fontId="40" fillId="0" borderId="1" xfId="18" applyNumberFormat="1" applyFont="1" applyFill="1" applyBorder="1" applyAlignment="1">
      <alignment vertical="top" wrapText="1"/>
    </xf>
    <xf numFmtId="2" fontId="40" fillId="0" borderId="1" xfId="18" applyNumberFormat="1" applyFont="1" applyFill="1" applyBorder="1" applyAlignment="1">
      <alignment vertical="top" wrapText="1"/>
    </xf>
    <xf numFmtId="0" fontId="45" fillId="0" borderId="10" xfId="0" applyNumberFormat="1" applyFont="1" applyFill="1" applyBorder="1" applyAlignment="1">
      <alignment horizontal="center" vertical="center"/>
    </xf>
    <xf numFmtId="2" fontId="45" fillId="0" borderId="10" xfId="0" applyNumberFormat="1" applyFont="1" applyFill="1" applyBorder="1" applyAlignment="1">
      <alignment horizontal="center"/>
    </xf>
    <xf numFmtId="2" fontId="45" fillId="0" borderId="10" xfId="0" applyNumberFormat="1" applyFont="1" applyFill="1" applyBorder="1" applyAlignment="1">
      <alignment horizontal="right"/>
    </xf>
    <xf numFmtId="0" fontId="45" fillId="0" borderId="10" xfId="0" applyNumberFormat="1" applyFont="1" applyFill="1" applyBorder="1"/>
    <xf numFmtId="0" fontId="44" fillId="0" borderId="10" xfId="0" applyNumberFormat="1" applyFont="1" applyFill="1" applyBorder="1"/>
    <xf numFmtId="0" fontId="45" fillId="0" borderId="10" xfId="0" applyNumberFormat="1" applyFont="1" applyFill="1" applyBorder="1" applyAlignment="1">
      <alignment horizontal="center"/>
    </xf>
    <xf numFmtId="0" fontId="44" fillId="0" borderId="10" xfId="0" applyNumberFormat="1" applyFont="1" applyFill="1" applyBorder="1" applyAlignment="1">
      <alignment wrapText="1"/>
    </xf>
    <xf numFmtId="175" fontId="45" fillId="0" borderId="10" xfId="0" applyNumberFormat="1" applyFont="1" applyFill="1" applyBorder="1" applyAlignment="1">
      <alignment horizontal="center"/>
    </xf>
    <xf numFmtId="167" fontId="50" fillId="2" borderId="0" xfId="0" applyFont="1" applyFill="1" applyAlignment="1">
      <alignment vertical="center"/>
    </xf>
    <xf numFmtId="0" fontId="44" fillId="0" borderId="10" xfId="0" applyNumberFormat="1" applyFont="1" applyFill="1" applyBorder="1" applyAlignment="1">
      <alignment horizontal="right"/>
    </xf>
    <xf numFmtId="0" fontId="44" fillId="0" borderId="10" xfId="0" applyNumberFormat="1" applyFont="1" applyFill="1" applyBorder="1" applyAlignment="1">
      <alignment horizontal="left" wrapText="1"/>
    </xf>
    <xf numFmtId="0" fontId="56" fillId="0" borderId="10" xfId="0" applyNumberFormat="1" applyFont="1" applyFill="1" applyBorder="1" applyAlignment="1">
      <alignment horizontal="left" wrapText="1"/>
    </xf>
    <xf numFmtId="0" fontId="56" fillId="0" borderId="10" xfId="0" applyNumberFormat="1" applyFont="1" applyFill="1" applyBorder="1" applyAlignment="1">
      <alignment horizontal="center" vertical="center"/>
    </xf>
    <xf numFmtId="168" fontId="26" fillId="2" borderId="10" xfId="0" applyNumberFormat="1" applyFont="1" applyFill="1" applyBorder="1" applyAlignment="1">
      <alignment horizontal="center" vertical="center"/>
    </xf>
    <xf numFmtId="2" fontId="56" fillId="0" borderId="10" xfId="0" applyNumberFormat="1" applyFont="1" applyFill="1" applyBorder="1" applyAlignment="1">
      <alignment horizontal="center"/>
    </xf>
    <xf numFmtId="2" fontId="56" fillId="0" borderId="10" xfId="0" applyNumberFormat="1" applyFont="1" applyFill="1" applyBorder="1" applyAlignment="1">
      <alignment horizontal="right"/>
    </xf>
    <xf numFmtId="0" fontId="57" fillId="0" borderId="10" xfId="0" applyNumberFormat="1" applyFont="1" applyFill="1" applyBorder="1" applyAlignment="1">
      <alignment horizontal="right"/>
    </xf>
    <xf numFmtId="0" fontId="57" fillId="0" borderId="10" xfId="0" applyNumberFormat="1" applyFont="1" applyFill="1" applyBorder="1" applyAlignment="1">
      <alignment horizontal="left" wrapText="1"/>
    </xf>
    <xf numFmtId="167" fontId="50" fillId="0" borderId="10" xfId="0" applyFont="1" applyFill="1" applyBorder="1" applyAlignment="1">
      <alignment horizontal="left" vertical="center" wrapText="1"/>
    </xf>
    <xf numFmtId="167" fontId="51" fillId="0" borderId="10" xfId="0" applyFont="1" applyFill="1" applyBorder="1" applyAlignment="1">
      <alignment horizontal="center" vertical="center"/>
    </xf>
    <xf numFmtId="169" fontId="51" fillId="2" borderId="10" xfId="0" applyNumberFormat="1" applyFont="1" applyFill="1" applyBorder="1" applyAlignment="1">
      <alignment horizontal="center" vertical="center"/>
    </xf>
    <xf numFmtId="167" fontId="49" fillId="0" borderId="10" xfId="0" applyFont="1" applyBorder="1" applyAlignment="1">
      <alignment wrapText="1"/>
    </xf>
    <xf numFmtId="170" fontId="51" fillId="5" borderId="10" xfId="0" applyNumberFormat="1" applyFont="1" applyFill="1" applyBorder="1" applyAlignment="1">
      <alignment horizontal="right" vertical="center"/>
    </xf>
    <xf numFmtId="170" fontId="51" fillId="2" borderId="10" xfId="0" applyNumberFormat="1" applyFont="1" applyFill="1" applyBorder="1" applyAlignment="1">
      <alignment horizontal="right" vertical="center"/>
    </xf>
    <xf numFmtId="167" fontId="50" fillId="2" borderId="10" xfId="0" applyFont="1" applyFill="1" applyBorder="1" applyAlignment="1">
      <alignment vertical="center"/>
    </xf>
    <xf numFmtId="2" fontId="50" fillId="2" borderId="10" xfId="0" applyNumberFormat="1" applyFont="1" applyFill="1" applyBorder="1" applyAlignment="1">
      <alignment vertical="center"/>
    </xf>
    <xf numFmtId="167" fontId="58" fillId="2" borderId="10" xfId="0" applyFont="1" applyFill="1" applyBorder="1" applyAlignment="1">
      <alignment horizontal="left" vertical="center" wrapText="1"/>
    </xf>
    <xf numFmtId="2" fontId="50" fillId="2" borderId="10" xfId="18" applyNumberFormat="1" applyFont="1" applyFill="1" applyBorder="1" applyAlignment="1">
      <alignment vertical="center" wrapText="1"/>
    </xf>
    <xf numFmtId="167" fontId="50" fillId="0" borderId="10" xfId="0" applyFont="1" applyFill="1" applyBorder="1" applyAlignment="1">
      <alignment horizontal="center" vertical="center"/>
    </xf>
    <xf numFmtId="167" fontId="50" fillId="0" borderId="10" xfId="0" applyNumberFormat="1" applyFont="1" applyFill="1" applyBorder="1" applyAlignment="1">
      <alignment horizontal="center" vertical="center"/>
    </xf>
    <xf numFmtId="169" fontId="50" fillId="0" borderId="10" xfId="0" applyNumberFormat="1" applyFont="1" applyFill="1" applyBorder="1" applyAlignment="1">
      <alignment horizontal="center" vertical="center"/>
    </xf>
    <xf numFmtId="2" fontId="44" fillId="0" borderId="10" xfId="0" applyNumberFormat="1" applyFont="1" applyFill="1" applyBorder="1" applyAlignment="1">
      <alignment horizontal="center"/>
    </xf>
    <xf numFmtId="167" fontId="49" fillId="0" borderId="10" xfId="0" applyFont="1" applyBorder="1"/>
    <xf numFmtId="167" fontId="49" fillId="0" borderId="10" xfId="0" applyFont="1" applyBorder="1" applyAlignment="1"/>
    <xf numFmtId="0" fontId="59" fillId="0" borderId="0" xfId="16" applyFont="1" applyAlignment="1">
      <alignment horizontal="center"/>
    </xf>
    <xf numFmtId="0" fontId="59" fillId="0" borderId="0" xfId="16" applyFont="1"/>
    <xf numFmtId="0" fontId="60" fillId="0" borderId="0" xfId="16" applyFont="1" applyAlignment="1">
      <alignment horizontal="center"/>
    </xf>
    <xf numFmtId="168" fontId="51" fillId="2" borderId="0" xfId="0" applyNumberFormat="1" applyFont="1" applyFill="1" applyAlignment="1">
      <alignment horizontal="center" vertical="center"/>
    </xf>
    <xf numFmtId="170" fontId="50" fillId="2" borderId="0" xfId="0" applyNumberFormat="1" applyFont="1" applyFill="1" applyAlignment="1">
      <alignment horizontal="right" vertical="center"/>
    </xf>
    <xf numFmtId="167" fontId="51" fillId="2" borderId="0" xfId="0" applyFont="1" applyFill="1" applyAlignment="1">
      <alignment horizontal="left" vertical="center" wrapText="1"/>
    </xf>
    <xf numFmtId="167" fontId="51" fillId="2" borderId="0" xfId="0" applyFont="1" applyFill="1" applyAlignment="1">
      <alignment horizontal="center" vertical="center"/>
    </xf>
    <xf numFmtId="167" fontId="51" fillId="2" borderId="0" xfId="0" applyFont="1" applyFill="1" applyAlignment="1">
      <alignment horizontal="left" vertical="center"/>
    </xf>
    <xf numFmtId="167" fontId="51" fillId="2" borderId="10" xfId="0" applyFont="1" applyFill="1" applyBorder="1" applyAlignment="1">
      <alignment horizontal="center" vertical="center"/>
    </xf>
    <xf numFmtId="167" fontId="49" fillId="0" borderId="10" xfId="24" applyNumberFormat="1" applyFont="1" applyFill="1" applyBorder="1" applyAlignment="1">
      <alignment vertical="top"/>
    </xf>
    <xf numFmtId="168" fontId="49" fillId="0" borderId="10" xfId="24" applyNumberFormat="1" applyFont="1" applyFill="1" applyBorder="1"/>
    <xf numFmtId="167" fontId="49" fillId="0" borderId="10" xfId="24" applyNumberFormat="1" applyFont="1" applyFill="1" applyBorder="1" applyAlignment="1">
      <alignment horizontal="center" vertical="center"/>
    </xf>
    <xf numFmtId="167" fontId="49" fillId="0" borderId="10" xfId="24" applyNumberFormat="1" applyFont="1" applyFill="1" applyBorder="1"/>
    <xf numFmtId="167" fontId="49" fillId="0" borderId="10" xfId="24" applyNumberFormat="1" applyFont="1" applyFill="1" applyBorder="1" applyAlignment="1">
      <alignment vertical="top" wrapText="1"/>
    </xf>
    <xf numFmtId="167" fontId="52" fillId="0" borderId="10" xfId="24" applyNumberFormat="1" applyFont="1" applyFill="1" applyBorder="1" applyAlignment="1">
      <alignment vertical="top"/>
    </xf>
    <xf numFmtId="167" fontId="49" fillId="0" borderId="10" xfId="24" applyNumberFormat="1" applyFont="1" applyFill="1" applyBorder="1" applyAlignment="1">
      <alignment horizontal="center"/>
    </xf>
    <xf numFmtId="167" fontId="49" fillId="0" borderId="10" xfId="24" applyNumberFormat="1" applyFont="1" applyFill="1" applyBorder="1" applyAlignment="1">
      <alignment horizontal="right"/>
    </xf>
    <xf numFmtId="167" fontId="26" fillId="0" borderId="10" xfId="24" applyNumberFormat="1" applyFont="1" applyFill="1" applyBorder="1" applyAlignment="1">
      <alignment vertical="top"/>
    </xf>
    <xf numFmtId="168" fontId="26" fillId="0" borderId="10" xfId="24" applyNumberFormat="1" applyFont="1" applyFill="1" applyBorder="1"/>
    <xf numFmtId="167" fontId="26" fillId="0" borderId="10" xfId="24" applyNumberFormat="1" applyFont="1" applyFill="1" applyBorder="1" applyAlignment="1">
      <alignment horizontal="center" vertical="center"/>
    </xf>
    <xf numFmtId="167" fontId="26" fillId="0" borderId="10" xfId="24" applyNumberFormat="1" applyFont="1" applyFill="1" applyBorder="1"/>
    <xf numFmtId="167" fontId="27" fillId="2" borderId="10" xfId="0" applyFont="1" applyFill="1" applyBorder="1" applyAlignment="1">
      <alignment horizontal="left" vertical="center"/>
    </xf>
    <xf numFmtId="167" fontId="49" fillId="0" borderId="10" xfId="24" applyNumberFormat="1" applyFont="1" applyFill="1" applyBorder="1" applyAlignment="1">
      <alignment horizontal="center" vertical="top"/>
    </xf>
    <xf numFmtId="167" fontId="0" fillId="0" borderId="6" xfId="0" applyBorder="1"/>
    <xf numFmtId="167" fontId="0" fillId="0" borderId="7" xfId="0" applyBorder="1"/>
    <xf numFmtId="167" fontId="0" fillId="0" borderId="8" xfId="0" applyBorder="1"/>
    <xf numFmtId="167" fontId="0" fillId="0" borderId="9" xfId="0" applyBorder="1"/>
    <xf numFmtId="167" fontId="49" fillId="0" borderId="15" xfId="0" applyFont="1" applyBorder="1"/>
    <xf numFmtId="167" fontId="49" fillId="0" borderId="10" xfId="0" applyFont="1" applyBorder="1" applyAlignment="1">
      <alignment horizontal="right"/>
    </xf>
    <xf numFmtId="167" fontId="49" fillId="0" borderId="10" xfId="0" applyFont="1" applyFill="1" applyBorder="1"/>
    <xf numFmtId="167" fontId="49" fillId="3" borderId="10" xfId="0" applyFont="1" applyFill="1" applyBorder="1"/>
    <xf numFmtId="167" fontId="52" fillId="0" borderId="10" xfId="0" applyFont="1" applyBorder="1" applyAlignment="1">
      <alignment wrapText="1"/>
    </xf>
    <xf numFmtId="167" fontId="37" fillId="0" borderId="10" xfId="0" applyNumberFormat="1" applyFont="1" applyBorder="1" applyAlignment="1" applyProtection="1">
      <alignment horizontal="left" wrapText="1"/>
    </xf>
    <xf numFmtId="167" fontId="26" fillId="0" borderId="10" xfId="0" applyFont="1" applyBorder="1" applyAlignment="1">
      <alignment wrapText="1"/>
    </xf>
    <xf numFmtId="167" fontId="52" fillId="0" borderId="10" xfId="0" applyFont="1" applyBorder="1"/>
    <xf numFmtId="0" fontId="27" fillId="0" borderId="10" xfId="16" applyFont="1" applyBorder="1" applyAlignment="1">
      <alignment horizontal="center"/>
    </xf>
    <xf numFmtId="0" fontId="27" fillId="0" borderId="10" xfId="16" applyFont="1" applyBorder="1"/>
    <xf numFmtId="0" fontId="26" fillId="0" borderId="10" xfId="16" applyFont="1" applyBorder="1" applyAlignment="1">
      <alignment horizontal="center"/>
    </xf>
    <xf numFmtId="175" fontId="26" fillId="0" borderId="10" xfId="16" applyNumberFormat="1" applyFont="1" applyBorder="1" applyAlignment="1">
      <alignment horizontal="center"/>
    </xf>
    <xf numFmtId="2" fontId="26" fillId="0" borderId="10" xfId="16" applyNumberFormat="1" applyFont="1" applyBorder="1" applyAlignment="1">
      <alignment horizontal="center"/>
    </xf>
    <xf numFmtId="0" fontId="26" fillId="0" borderId="10" xfId="16" applyFont="1" applyBorder="1"/>
    <xf numFmtId="2" fontId="27" fillId="0" borderId="10" xfId="16" applyNumberFormat="1" applyFont="1" applyBorder="1" applyAlignment="1">
      <alignment horizontal="center"/>
    </xf>
    <xf numFmtId="167" fontId="64" fillId="2" borderId="10" xfId="0" applyFont="1" applyFill="1" applyBorder="1" applyAlignment="1">
      <alignment horizontal="left" vertical="center" wrapText="1"/>
    </xf>
    <xf numFmtId="167" fontId="26" fillId="0" borderId="10" xfId="0" applyFont="1" applyBorder="1" applyAlignment="1"/>
    <xf numFmtId="170" fontId="51" fillId="0" borderId="10" xfId="0" applyNumberFormat="1" applyFont="1" applyFill="1" applyBorder="1" applyAlignment="1">
      <alignment horizontal="right" vertical="center"/>
    </xf>
    <xf numFmtId="170" fontId="27" fillId="2" borderId="10" xfId="0" applyNumberFormat="1" applyFont="1" applyFill="1" applyBorder="1" applyAlignment="1">
      <alignment horizontal="right" vertical="center"/>
    </xf>
    <xf numFmtId="167" fontId="27" fillId="2" borderId="10" xfId="0" applyFont="1" applyFill="1" applyBorder="1" applyAlignment="1">
      <alignment horizontal="left" vertical="center" wrapText="1"/>
    </xf>
    <xf numFmtId="167" fontId="26" fillId="2" borderId="10" xfId="0" applyFont="1" applyFill="1" applyBorder="1" applyAlignment="1">
      <alignment horizontal="center" vertical="center"/>
    </xf>
    <xf numFmtId="167" fontId="26" fillId="2" borderId="10" xfId="0" applyFont="1" applyFill="1" applyBorder="1" applyAlignment="1">
      <alignment horizontal="left" vertical="center"/>
    </xf>
    <xf numFmtId="0" fontId="46" fillId="0" borderId="10" xfId="0" applyNumberFormat="1" applyFont="1" applyFill="1" applyBorder="1" applyAlignment="1">
      <alignment horizontal="right"/>
    </xf>
    <xf numFmtId="0" fontId="65" fillId="0" borderId="10" xfId="0" applyNumberFormat="1" applyFont="1" applyFill="1" applyBorder="1"/>
    <xf numFmtId="1" fontId="65" fillId="0" borderId="10" xfId="0" applyNumberFormat="1" applyFont="1" applyFill="1" applyBorder="1"/>
    <xf numFmtId="2" fontId="65" fillId="0" borderId="10" xfId="0" applyNumberFormat="1" applyFont="1" applyFill="1" applyBorder="1"/>
    <xf numFmtId="0" fontId="65" fillId="0" borderId="10" xfId="0" applyNumberFormat="1" applyFont="1" applyFill="1" applyBorder="1" applyAlignment="1">
      <alignment horizontal="left" wrapText="1"/>
    </xf>
    <xf numFmtId="0" fontId="65" fillId="0" borderId="10" xfId="0" applyNumberFormat="1" applyFont="1" applyFill="1" applyBorder="1" applyAlignment="1">
      <alignment horizontal="center" vertical="center"/>
    </xf>
    <xf numFmtId="168" fontId="26" fillId="2" borderId="0" xfId="0" applyNumberFormat="1" applyFont="1" applyFill="1" applyAlignment="1">
      <alignment horizontal="center" vertical="center"/>
    </xf>
    <xf numFmtId="2" fontId="65" fillId="0" borderId="10" xfId="0" applyNumberFormat="1" applyFont="1" applyFill="1" applyBorder="1" applyAlignment="1">
      <alignment horizontal="center"/>
    </xf>
    <xf numFmtId="0" fontId="65" fillId="0" borderId="10" xfId="0" applyNumberFormat="1" applyFont="1" applyFill="1" applyBorder="1" applyAlignment="1">
      <alignment horizontal="left"/>
    </xf>
    <xf numFmtId="2" fontId="46" fillId="0" borderId="10" xfId="0" applyNumberFormat="1" applyFont="1" applyFill="1" applyBorder="1" applyAlignment="1">
      <alignment horizontal="right"/>
    </xf>
    <xf numFmtId="167" fontId="26" fillId="2" borderId="10" xfId="0" applyFont="1" applyFill="1" applyBorder="1" applyAlignment="1">
      <alignment horizontal="left" vertical="center" wrapText="1"/>
    </xf>
    <xf numFmtId="167" fontId="26" fillId="2" borderId="10" xfId="0" applyFont="1" applyFill="1" applyBorder="1" applyAlignment="1">
      <alignment horizontal="right" vertical="center"/>
    </xf>
    <xf numFmtId="167" fontId="27" fillId="2" borderId="10" xfId="0" applyFont="1" applyFill="1" applyBorder="1" applyAlignment="1">
      <alignment horizontal="right" vertical="center"/>
    </xf>
    <xf numFmtId="170" fontId="27" fillId="0" borderId="10" xfId="0" applyNumberFormat="1" applyFont="1" applyFill="1" applyBorder="1" applyAlignment="1">
      <alignment horizontal="right" vertical="center"/>
    </xf>
    <xf numFmtId="167" fontId="26" fillId="2" borderId="0" xfId="0" applyFont="1" applyFill="1" applyAlignment="1">
      <alignment vertical="center"/>
    </xf>
    <xf numFmtId="167" fontId="26" fillId="0" borderId="10" xfId="0" applyFont="1" applyBorder="1"/>
    <xf numFmtId="168" fontId="26" fillId="0" borderId="10" xfId="0" applyNumberFormat="1" applyFont="1" applyFill="1" applyBorder="1" applyAlignment="1">
      <alignment horizontal="center" vertical="center"/>
    </xf>
    <xf numFmtId="167" fontId="26" fillId="0" borderId="10" xfId="0" applyFont="1" applyFill="1" applyBorder="1" applyAlignment="1">
      <alignment horizontal="right" vertical="center"/>
    </xf>
    <xf numFmtId="167" fontId="52" fillId="0" borderId="10" xfId="22" applyNumberFormat="1" applyFont="1" applyFill="1" applyBorder="1" applyAlignment="1">
      <alignment horizontal="center" vertical="center"/>
    </xf>
    <xf numFmtId="167" fontId="52" fillId="0" borderId="10" xfId="22" applyNumberFormat="1" applyFont="1" applyFill="1" applyBorder="1" applyAlignment="1">
      <alignment horizontal="left" vertical="center"/>
    </xf>
    <xf numFmtId="167" fontId="49" fillId="0" borderId="10" xfId="22" applyNumberFormat="1" applyFont="1" applyFill="1" applyBorder="1" applyAlignment="1">
      <alignment horizontal="center" vertical="center"/>
    </xf>
    <xf numFmtId="167" fontId="49" fillId="0" borderId="10" xfId="22" applyNumberFormat="1" applyFont="1" applyFill="1" applyBorder="1" applyAlignment="1">
      <alignment horizontal="left" vertical="center"/>
    </xf>
    <xf numFmtId="168" fontId="49" fillId="0" borderId="10" xfId="22" applyNumberFormat="1" applyFont="1" applyFill="1" applyBorder="1" applyAlignment="1">
      <alignment horizontal="center" vertical="center"/>
    </xf>
    <xf numFmtId="167" fontId="52" fillId="0" borderId="10" xfId="22" applyNumberFormat="1" applyFont="1" applyFill="1" applyBorder="1" applyAlignment="1">
      <alignment horizontal="center" vertical="center" wrapText="1"/>
    </xf>
    <xf numFmtId="174" fontId="49" fillId="0" borderId="10" xfId="41" applyNumberFormat="1" applyFont="1" applyFill="1" applyBorder="1" applyAlignment="1">
      <alignment horizontal="center" vertical="center" wrapText="1"/>
    </xf>
    <xf numFmtId="2" fontId="49" fillId="0" borderId="10" xfId="41" applyNumberFormat="1" applyFont="1" applyFill="1" applyBorder="1" applyAlignment="1">
      <alignment horizontal="left" vertical="center" wrapText="1"/>
    </xf>
    <xf numFmtId="1" fontId="49" fillId="0" borderId="10" xfId="41" applyNumberFormat="1" applyFont="1" applyFill="1" applyBorder="1" applyAlignment="1">
      <alignment horizontal="center" vertical="center" wrapText="1"/>
    </xf>
    <xf numFmtId="1" fontId="49" fillId="0" borderId="10" xfId="0" applyNumberFormat="1" applyFont="1" applyFill="1" applyBorder="1" applyAlignment="1">
      <alignment horizontal="center" vertical="center" wrapText="1"/>
    </xf>
    <xf numFmtId="167" fontId="49" fillId="0" borderId="10" xfId="0" applyFont="1" applyFill="1" applyBorder="1" applyAlignment="1">
      <alignment horizontal="center" vertical="center" wrapText="1"/>
    </xf>
    <xf numFmtId="167" fontId="49" fillId="0" borderId="10" xfId="0" applyFont="1" applyBorder="1" applyAlignment="1">
      <alignment horizontal="center" vertical="center"/>
    </xf>
    <xf numFmtId="167" fontId="49" fillId="0" borderId="10" xfId="0" applyFont="1" applyBorder="1" applyAlignment="1">
      <alignment horizontal="left" vertical="center" wrapText="1"/>
    </xf>
    <xf numFmtId="168" fontId="49" fillId="0" borderId="10" xfId="0" applyNumberFormat="1" applyFont="1" applyBorder="1" applyAlignment="1">
      <alignment horizontal="center" vertical="center"/>
    </xf>
    <xf numFmtId="167" fontId="52" fillId="0" borderId="10" xfId="0" applyFont="1" applyBorder="1" applyAlignment="1">
      <alignment horizontal="center" vertical="center"/>
    </xf>
    <xf numFmtId="167" fontId="52" fillId="0" borderId="10" xfId="0" applyFont="1" applyFill="1" applyBorder="1" applyAlignment="1">
      <alignment horizontal="center" vertical="center" wrapText="1"/>
    </xf>
    <xf numFmtId="167" fontId="49" fillId="0" borderId="10" xfId="0" applyFont="1" applyFill="1" applyBorder="1" applyAlignment="1">
      <alignment horizontal="left" vertical="center" wrapText="1"/>
    </xf>
    <xf numFmtId="2" fontId="49" fillId="0" borderId="10" xfId="41" applyNumberFormat="1" applyFont="1" applyFill="1" applyBorder="1" applyAlignment="1">
      <alignment horizontal="center" vertical="center" wrapText="1"/>
    </xf>
    <xf numFmtId="167" fontId="49" fillId="0" borderId="10" xfId="0" applyNumberFormat="1" applyFont="1" applyFill="1" applyBorder="1" applyAlignment="1">
      <alignment horizontal="center" vertical="center" wrapText="1"/>
    </xf>
    <xf numFmtId="169" fontId="49" fillId="0" borderId="10" xfId="0" applyNumberFormat="1" applyFont="1" applyFill="1" applyBorder="1" applyAlignment="1">
      <alignment horizontal="center" vertical="center" wrapText="1"/>
    </xf>
    <xf numFmtId="169" fontId="52" fillId="0" borderId="10" xfId="0" applyNumberFormat="1" applyFont="1" applyFill="1" applyBorder="1" applyAlignment="1">
      <alignment horizontal="center" vertical="center" wrapText="1"/>
    </xf>
    <xf numFmtId="0" fontId="68" fillId="0" borderId="10" xfId="26" applyFont="1" applyBorder="1" applyAlignment="1">
      <alignment horizontal="center" vertical="center" wrapText="1"/>
    </xf>
    <xf numFmtId="0" fontId="68" fillId="0" borderId="10" xfId="26" applyFont="1" applyFill="1" applyBorder="1" applyAlignment="1">
      <alignment horizontal="center" vertical="center" wrapText="1"/>
    </xf>
    <xf numFmtId="0" fontId="69" fillId="0" borderId="10" xfId="26" applyFont="1" applyBorder="1" applyAlignment="1">
      <alignment vertical="top"/>
    </xf>
    <xf numFmtId="0" fontId="69" fillId="0" borderId="10" xfId="26" applyFont="1" applyBorder="1" applyAlignment="1">
      <alignment vertical="top" wrapText="1"/>
    </xf>
    <xf numFmtId="0" fontId="69" fillId="0" borderId="10" xfId="26" applyFont="1" applyBorder="1"/>
    <xf numFmtId="0" fontId="69" fillId="0" borderId="8" xfId="26" applyFont="1" applyBorder="1"/>
    <xf numFmtId="0" fontId="69" fillId="0" borderId="12" xfId="26" applyFont="1" applyBorder="1"/>
    <xf numFmtId="0" fontId="68" fillId="0" borderId="10" xfId="26" applyFont="1" applyBorder="1"/>
    <xf numFmtId="0" fontId="69" fillId="0" borderId="10" xfId="26" applyFont="1" applyBorder="1" applyAlignment="1">
      <alignment horizontal="center"/>
    </xf>
    <xf numFmtId="0" fontId="69" fillId="0" borderId="11" xfId="26" applyFont="1" applyBorder="1" applyAlignment="1">
      <alignment horizontal="center"/>
    </xf>
    <xf numFmtId="2" fontId="69" fillId="0" borderId="10" xfId="26" applyNumberFormat="1" applyFont="1" applyBorder="1" applyAlignment="1">
      <alignment horizontal="center"/>
    </xf>
    <xf numFmtId="2" fontId="69" fillId="0" borderId="11" xfId="26" applyNumberFormat="1" applyFont="1" applyBorder="1" applyAlignment="1">
      <alignment horizontal="center"/>
    </xf>
    <xf numFmtId="0" fontId="68" fillId="0" borderId="10" xfId="26" applyFont="1" applyBorder="1" applyAlignment="1">
      <alignment horizontal="center"/>
    </xf>
    <xf numFmtId="2" fontId="68" fillId="0" borderId="11" xfId="26" applyNumberFormat="1" applyFont="1" applyBorder="1" applyAlignment="1">
      <alignment horizontal="center"/>
    </xf>
    <xf numFmtId="0" fontId="68" fillId="0" borderId="12" xfId="26" applyFont="1" applyBorder="1"/>
    <xf numFmtId="0" fontId="68" fillId="0" borderId="11" xfId="26" applyFont="1" applyBorder="1" applyAlignment="1">
      <alignment horizontal="center"/>
    </xf>
    <xf numFmtId="0" fontId="69" fillId="0" borderId="10" xfId="26" applyFont="1" applyBorder="1" applyAlignment="1">
      <alignment wrapText="1"/>
    </xf>
    <xf numFmtId="174" fontId="69" fillId="0" borderId="10" xfId="26" applyNumberFormat="1" applyFont="1" applyBorder="1" applyAlignment="1">
      <alignment horizontal="center"/>
    </xf>
    <xf numFmtId="0" fontId="69" fillId="0" borderId="0" xfId="26" applyFont="1"/>
    <xf numFmtId="2" fontId="69" fillId="0" borderId="10" xfId="26" applyNumberFormat="1" applyFont="1" applyBorder="1" applyAlignment="1">
      <alignment horizontal="right"/>
    </xf>
    <xf numFmtId="2" fontId="69" fillId="0" borderId="10" xfId="26" applyNumberFormat="1" applyFont="1" applyBorder="1"/>
    <xf numFmtId="2" fontId="68" fillId="0" borderId="10" xfId="26" applyNumberFormat="1" applyFont="1" applyBorder="1"/>
    <xf numFmtId="175" fontId="68" fillId="0" borderId="10" xfId="26" applyNumberFormat="1" applyFont="1" applyBorder="1"/>
    <xf numFmtId="167" fontId="52" fillId="0" borderId="10" xfId="23" applyNumberFormat="1" applyFont="1" applyFill="1" applyBorder="1" applyAlignment="1">
      <alignment horizontal="center" vertical="center" wrapText="1"/>
    </xf>
    <xf numFmtId="167" fontId="52" fillId="0" borderId="10" xfId="23" applyNumberFormat="1" applyFont="1" applyFill="1" applyBorder="1" applyAlignment="1">
      <alignment horizontal="center" vertical="center"/>
    </xf>
    <xf numFmtId="174" fontId="49" fillId="0" borderId="10" xfId="41" applyNumberFormat="1" applyFont="1" applyFill="1" applyBorder="1" applyAlignment="1">
      <alignment vertical="center" wrapText="1"/>
    </xf>
    <xf numFmtId="168" fontId="49" fillId="0" borderId="10" xfId="0" applyNumberFormat="1" applyFont="1" applyFill="1" applyBorder="1" applyAlignment="1">
      <alignment horizontal="center" vertical="center"/>
    </xf>
    <xf numFmtId="167" fontId="49" fillId="0" borderId="10" xfId="0" applyFont="1" applyFill="1" applyBorder="1" applyAlignment="1">
      <alignment vertical="center"/>
    </xf>
    <xf numFmtId="2" fontId="52" fillId="0" borderId="10" xfId="41" applyNumberFormat="1" applyFont="1" applyFill="1" applyBorder="1" applyAlignment="1">
      <alignment horizontal="left" vertical="center" wrapText="1"/>
    </xf>
    <xf numFmtId="1" fontId="49" fillId="0" borderId="10" xfId="0" applyNumberFormat="1" applyFont="1" applyFill="1" applyBorder="1" applyAlignment="1">
      <alignment horizontal="center" vertical="center"/>
    </xf>
    <xf numFmtId="167" fontId="49" fillId="0" borderId="10" xfId="0" applyFont="1" applyFill="1" applyBorder="1" applyAlignment="1">
      <alignment horizontal="center" vertical="center"/>
    </xf>
    <xf numFmtId="167" fontId="49" fillId="0" borderId="10" xfId="42" applyNumberFormat="1" applyFont="1" applyFill="1" applyBorder="1" applyAlignment="1">
      <alignment horizontal="center" vertical="center"/>
    </xf>
    <xf numFmtId="167" fontId="49" fillId="0" borderId="10" xfId="23" applyNumberFormat="1" applyFont="1" applyFill="1" applyBorder="1" applyAlignment="1">
      <alignment horizontal="center" vertical="center"/>
    </xf>
    <xf numFmtId="167" fontId="49" fillId="0" borderId="10" xfId="23" applyNumberFormat="1" applyFont="1" applyFill="1" applyBorder="1" applyAlignment="1">
      <alignment horizontal="left" vertical="center"/>
    </xf>
    <xf numFmtId="168" fontId="49" fillId="0" borderId="10" xfId="23" applyNumberFormat="1" applyFont="1" applyFill="1" applyBorder="1" applyAlignment="1">
      <alignment horizontal="center" vertical="center"/>
    </xf>
    <xf numFmtId="170" fontId="49" fillId="0" borderId="10" xfId="0" applyNumberFormat="1" applyFont="1" applyFill="1" applyBorder="1" applyAlignment="1">
      <alignment horizontal="center" vertical="center"/>
    </xf>
    <xf numFmtId="167" fontId="52" fillId="0" borderId="10" xfId="0" applyFont="1" applyFill="1" applyBorder="1" applyAlignment="1">
      <alignment horizontal="center" vertical="center"/>
    </xf>
    <xf numFmtId="2" fontId="52" fillId="0" borderId="10" xfId="41" applyNumberFormat="1" applyFont="1" applyFill="1" applyBorder="1" applyAlignment="1">
      <alignment horizontal="center" vertical="center" wrapText="1"/>
    </xf>
    <xf numFmtId="167" fontId="49" fillId="0" borderId="10" xfId="0" applyNumberFormat="1" applyFont="1" applyFill="1" applyBorder="1" applyAlignment="1">
      <alignment horizontal="center" vertical="center"/>
    </xf>
    <xf numFmtId="2" fontId="71" fillId="0" borderId="10" xfId="41" applyNumberFormat="1" applyFont="1" applyFill="1" applyBorder="1" applyAlignment="1">
      <alignment vertical="center" wrapText="1"/>
    </xf>
    <xf numFmtId="169" fontId="49" fillId="0" borderId="10" xfId="0" applyNumberFormat="1" applyFont="1" applyFill="1" applyBorder="1" applyAlignment="1">
      <alignment horizontal="center" vertical="center"/>
    </xf>
    <xf numFmtId="168" fontId="49" fillId="0" borderId="10" xfId="0" applyNumberFormat="1" applyFont="1" applyFill="1" applyBorder="1" applyAlignment="1">
      <alignment horizontal="right" vertical="center"/>
    </xf>
    <xf numFmtId="167" fontId="52" fillId="0" borderId="10" xfId="0" applyFont="1" applyFill="1" applyBorder="1" applyAlignment="1">
      <alignment horizontal="left" vertical="center" wrapText="1"/>
    </xf>
    <xf numFmtId="0" fontId="72" fillId="0" borderId="10" xfId="16" applyFont="1" applyBorder="1" applyAlignment="1">
      <alignment horizontal="center" vertical="center"/>
    </xf>
    <xf numFmtId="0" fontId="2" fillId="0" borderId="0" xfId="26" applyFont="1"/>
    <xf numFmtId="0" fontId="27" fillId="0" borderId="10" xfId="16" applyFont="1" applyBorder="1" applyAlignment="1">
      <alignment wrapText="1"/>
    </xf>
    <xf numFmtId="0" fontId="26" fillId="0" borderId="10" xfId="16" applyFont="1" applyBorder="1" applyAlignment="1">
      <alignment horizontal="center" vertical="center"/>
    </xf>
    <xf numFmtId="2" fontId="26" fillId="0" borderId="10" xfId="16" applyNumberFormat="1" applyFont="1" applyBorder="1" applyAlignment="1">
      <alignment horizontal="center" vertical="center"/>
    </xf>
    <xf numFmtId="0" fontId="72" fillId="0" borderId="11" xfId="16" applyFont="1" applyBorder="1" applyAlignment="1">
      <alignment horizontal="center" vertical="center"/>
    </xf>
    <xf numFmtId="0" fontId="72" fillId="0" borderId="12" xfId="16" applyFont="1" applyBorder="1" applyAlignment="1">
      <alignment horizontal="center" vertical="center"/>
    </xf>
    <xf numFmtId="2" fontId="72" fillId="0" borderId="10" xfId="16" applyNumberFormat="1" applyFont="1" applyBorder="1" applyAlignment="1">
      <alignment horizontal="center" vertical="center"/>
    </xf>
    <xf numFmtId="2" fontId="27" fillId="0" borderId="10" xfId="16" applyNumberFormat="1" applyFont="1" applyBorder="1" applyAlignment="1">
      <alignment horizontal="center" vertical="center"/>
    </xf>
    <xf numFmtId="0" fontId="27" fillId="0" borderId="10" xfId="16" applyFont="1" applyBorder="1" applyAlignment="1">
      <alignment horizontal="center" vertical="center"/>
    </xf>
    <xf numFmtId="0" fontId="26" fillId="0" borderId="10" xfId="16" applyFont="1" applyBorder="1" applyAlignment="1">
      <alignment wrapText="1"/>
    </xf>
    <xf numFmtId="2" fontId="26" fillId="0" borderId="10" xfId="16" applyNumberFormat="1" applyFont="1" applyBorder="1" applyAlignment="1">
      <alignment horizontal="center" vertical="center" wrapText="1"/>
    </xf>
    <xf numFmtId="0" fontId="27" fillId="2" borderId="10" xfId="16" applyFont="1" applyFill="1" applyBorder="1"/>
    <xf numFmtId="0" fontId="2" fillId="0" borderId="10" xfId="26" applyFont="1" applyBorder="1"/>
    <xf numFmtId="0" fontId="26" fillId="0" borderId="10" xfId="0" applyNumberFormat="1" applyFont="1" applyBorder="1" applyAlignment="1">
      <alignment wrapText="1"/>
    </xf>
    <xf numFmtId="2" fontId="74" fillId="0" borderId="10" xfId="16" applyNumberFormat="1" applyFont="1" applyBorder="1" applyAlignment="1">
      <alignment horizontal="center" vertical="center"/>
    </xf>
    <xf numFmtId="0" fontId="26" fillId="0" borderId="10" xfId="0" applyNumberFormat="1" applyFont="1" applyBorder="1" applyAlignment="1">
      <alignment horizontal="center" vertical="center"/>
    </xf>
    <xf numFmtId="2" fontId="26" fillId="0" borderId="10" xfId="0" applyNumberFormat="1" applyFont="1" applyBorder="1" applyAlignment="1">
      <alignment horizontal="center" vertical="center"/>
    </xf>
    <xf numFmtId="175" fontId="26" fillId="0" borderId="11" xfId="0" applyNumberFormat="1" applyFont="1" applyBorder="1" applyAlignment="1">
      <alignment horizontal="center" vertical="center"/>
    </xf>
    <xf numFmtId="175" fontId="26" fillId="0" borderId="12" xfId="0" applyNumberFormat="1" applyFont="1" applyBorder="1" applyAlignment="1">
      <alignment horizontal="center" vertical="center"/>
    </xf>
    <xf numFmtId="0" fontId="26" fillId="0" borderId="10" xfId="0" applyNumberFormat="1" applyFont="1" applyBorder="1"/>
    <xf numFmtId="0" fontId="0" fillId="0" borderId="10" xfId="0" applyNumberFormat="1" applyBorder="1"/>
    <xf numFmtId="0" fontId="13" fillId="0" borderId="10" xfId="16" applyFont="1" applyBorder="1"/>
    <xf numFmtId="0" fontId="56" fillId="0" borderId="10" xfId="26" applyFont="1" applyBorder="1" applyAlignment="1">
      <alignment horizontal="center"/>
    </xf>
    <xf numFmtId="0" fontId="4" fillId="0" borderId="10" xfId="16" applyBorder="1"/>
    <xf numFmtId="0" fontId="26" fillId="0" borderId="10" xfId="16" applyFont="1" applyBorder="1" applyAlignment="1">
      <alignment horizontal="right" vertical="center"/>
    </xf>
    <xf numFmtId="175" fontId="26" fillId="0" borderId="10" xfId="16" applyNumberFormat="1" applyFont="1" applyBorder="1" applyAlignment="1">
      <alignment horizontal="center" vertical="center"/>
    </xf>
    <xf numFmtId="175" fontId="27" fillId="0" borderId="10" xfId="16" applyNumberFormat="1" applyFont="1" applyBorder="1" applyAlignment="1">
      <alignment horizontal="center" vertical="center"/>
    </xf>
    <xf numFmtId="0" fontId="29" fillId="0" borderId="10" xfId="26" applyFont="1" applyBorder="1"/>
    <xf numFmtId="0" fontId="29" fillId="0" borderId="10" xfId="26" applyFont="1" applyBorder="1" applyAlignment="1">
      <alignment horizontal="center"/>
    </xf>
    <xf numFmtId="2" fontId="29" fillId="0" borderId="10" xfId="26" applyNumberFormat="1" applyFont="1" applyBorder="1" applyAlignment="1">
      <alignment horizontal="center" vertical="center"/>
    </xf>
    <xf numFmtId="0" fontId="29" fillId="0" borderId="10" xfId="26" applyFont="1" applyBorder="1" applyAlignment="1">
      <alignment wrapText="1"/>
    </xf>
    <xf numFmtId="0" fontId="2" fillId="0" borderId="10" xfId="26" applyFont="1" applyBorder="1" applyAlignment="1">
      <alignment horizontal="center"/>
    </xf>
    <xf numFmtId="2" fontId="2" fillId="0" borderId="10" xfId="26" applyNumberFormat="1" applyFont="1" applyBorder="1" applyAlignment="1">
      <alignment horizontal="center"/>
    </xf>
    <xf numFmtId="0" fontId="2" fillId="0" borderId="10" xfId="26" applyFont="1" applyBorder="1" applyAlignment="1">
      <alignment wrapText="1"/>
    </xf>
    <xf numFmtId="174" fontId="2" fillId="0" borderId="10" xfId="26" applyNumberFormat="1" applyFont="1" applyBorder="1"/>
    <xf numFmtId="2" fontId="2" fillId="0" borderId="10" xfId="26" applyNumberFormat="1" applyFont="1" applyBorder="1"/>
    <xf numFmtId="2" fontId="29" fillId="0" borderId="10" xfId="26" applyNumberFormat="1" applyFont="1" applyBorder="1" applyAlignment="1">
      <alignment horizontal="right" vertical="center"/>
    </xf>
    <xf numFmtId="2" fontId="29" fillId="0" borderId="10" xfId="26" applyNumberFormat="1" applyFont="1" applyBorder="1" applyAlignment="1">
      <alignment horizontal="center"/>
    </xf>
    <xf numFmtId="2" fontId="2" fillId="0" borderId="10" xfId="26" applyNumberFormat="1" applyFont="1" applyBorder="1" applyAlignment="1">
      <alignment horizontal="right"/>
    </xf>
    <xf numFmtId="2" fontId="29" fillId="0" borderId="10" xfId="26" applyNumberFormat="1" applyFont="1" applyBorder="1"/>
    <xf numFmtId="0" fontId="2" fillId="0" borderId="8" xfId="26" applyFont="1" applyBorder="1"/>
    <xf numFmtId="2" fontId="2" fillId="0" borderId="2" xfId="26" applyNumberFormat="1" applyFont="1" applyBorder="1" applyAlignment="1">
      <alignment horizontal="center"/>
    </xf>
    <xf numFmtId="0" fontId="29" fillId="0" borderId="15" xfId="26" applyFont="1" applyBorder="1"/>
    <xf numFmtId="0" fontId="29" fillId="0" borderId="15" xfId="26" applyFont="1" applyBorder="1" applyAlignment="1">
      <alignment horizontal="center"/>
    </xf>
    <xf numFmtId="2" fontId="29" fillId="0" borderId="15" xfId="26" applyNumberFormat="1" applyFont="1" applyBorder="1" applyAlignment="1">
      <alignment horizontal="center" vertical="center"/>
    </xf>
    <xf numFmtId="0" fontId="29" fillId="0" borderId="10" xfId="26" applyFont="1" applyFill="1" applyBorder="1" applyAlignment="1">
      <alignment wrapText="1"/>
    </xf>
    <xf numFmtId="0" fontId="44" fillId="0" borderId="10" xfId="0" applyNumberFormat="1" applyFont="1" applyBorder="1" applyAlignment="1">
      <alignment horizontal="center"/>
    </xf>
    <xf numFmtId="0" fontId="76" fillId="0" borderId="10" xfId="0" applyNumberFormat="1" applyFont="1" applyBorder="1"/>
    <xf numFmtId="0" fontId="76" fillId="0" borderId="10" xfId="0" applyNumberFormat="1" applyFont="1" applyBorder="1" applyAlignment="1">
      <alignment wrapText="1"/>
    </xf>
    <xf numFmtId="2" fontId="76" fillId="0" borderId="10" xfId="0" applyNumberFormat="1" applyFont="1" applyBorder="1"/>
    <xf numFmtId="0" fontId="76" fillId="0" borderId="10" xfId="0" applyNumberFormat="1" applyFont="1" applyBorder="1" applyAlignment="1">
      <alignment horizontal="center"/>
    </xf>
    <xf numFmtId="2" fontId="72" fillId="0" borderId="10" xfId="0" applyNumberFormat="1" applyFont="1" applyBorder="1"/>
    <xf numFmtId="0" fontId="44" fillId="0" borderId="10" xfId="0" applyNumberFormat="1" applyFont="1" applyBorder="1" applyAlignment="1">
      <alignment horizontal="center" vertical="center"/>
    </xf>
    <xf numFmtId="0" fontId="44" fillId="0" borderId="10" xfId="0" applyNumberFormat="1" applyFont="1" applyBorder="1"/>
    <xf numFmtId="0" fontId="45" fillId="0" borderId="10" xfId="0" applyNumberFormat="1" applyFont="1" applyBorder="1" applyAlignment="1">
      <alignment horizontal="center"/>
    </xf>
    <xf numFmtId="0" fontId="45" fillId="0" borderId="10" xfId="0" applyNumberFormat="1" applyFont="1" applyBorder="1" applyAlignment="1">
      <alignment wrapText="1"/>
    </xf>
    <xf numFmtId="0" fontId="45" fillId="0" borderId="10" xfId="0" applyNumberFormat="1" applyFont="1" applyBorder="1"/>
    <xf numFmtId="2" fontId="45" fillId="0" borderId="10" xfId="0" applyNumberFormat="1" applyFont="1" applyBorder="1"/>
    <xf numFmtId="2" fontId="45" fillId="0" borderId="10" xfId="0" applyNumberFormat="1" applyFont="1" applyBorder="1" applyAlignment="1">
      <alignment horizontal="center"/>
    </xf>
    <xf numFmtId="2" fontId="44" fillId="0" borderId="10" xfId="0" applyNumberFormat="1" applyFont="1" applyBorder="1"/>
    <xf numFmtId="0" fontId="45" fillId="0" borderId="10" xfId="0" applyNumberFormat="1" applyFont="1" applyBorder="1" applyAlignment="1">
      <alignment horizontal="left" wrapText="1"/>
    </xf>
    <xf numFmtId="2" fontId="44" fillId="0" borderId="10" xfId="0" applyNumberFormat="1" applyFont="1" applyBorder="1" applyAlignment="1">
      <alignment horizontal="center"/>
    </xf>
    <xf numFmtId="0" fontId="77" fillId="0" borderId="10" xfId="0" applyNumberFormat="1" applyFont="1" applyBorder="1" applyAlignment="1">
      <alignment wrapText="1"/>
    </xf>
    <xf numFmtId="0" fontId="40" fillId="0" borderId="10" xfId="0" applyNumberFormat="1" applyFont="1" applyBorder="1"/>
    <xf numFmtId="0" fontId="40" fillId="0" borderId="10" xfId="0" applyNumberFormat="1" applyFont="1" applyBorder="1" applyAlignment="1">
      <alignment wrapText="1"/>
    </xf>
    <xf numFmtId="0" fontId="40" fillId="0" borderId="10" xfId="0" applyNumberFormat="1" applyFont="1" applyBorder="1" applyAlignment="1">
      <alignment horizontal="center"/>
    </xf>
    <xf numFmtId="2" fontId="41" fillId="0" borderId="10" xfId="0" applyNumberFormat="1" applyFont="1" applyBorder="1"/>
    <xf numFmtId="2" fontId="40" fillId="0" borderId="10" xfId="0" applyNumberFormat="1" applyFont="1" applyBorder="1"/>
    <xf numFmtId="0" fontId="41" fillId="0" borderId="10" xfId="0" applyNumberFormat="1" applyFont="1" applyBorder="1"/>
    <xf numFmtId="0" fontId="78" fillId="0" borderId="10" xfId="0" applyNumberFormat="1" applyFont="1" applyBorder="1" applyAlignment="1">
      <alignment wrapText="1"/>
    </xf>
    <xf numFmtId="174" fontId="40" fillId="0" borderId="10" xfId="0" applyNumberFormat="1" applyFont="1" applyBorder="1"/>
    <xf numFmtId="0" fontId="78" fillId="0" borderId="10" xfId="0" applyNumberFormat="1" applyFont="1" applyBorder="1"/>
    <xf numFmtId="167" fontId="0" fillId="0" borderId="10" xfId="0" applyBorder="1"/>
    <xf numFmtId="168" fontId="37" fillId="0" borderId="10" xfId="0" applyNumberFormat="1" applyFont="1" applyBorder="1"/>
    <xf numFmtId="167" fontId="37" fillId="0" borderId="10" xfId="0" applyFont="1" applyBorder="1"/>
    <xf numFmtId="167" fontId="79" fillId="0" borderId="10" xfId="0" applyFont="1" applyBorder="1" applyAlignment="1">
      <alignment wrapText="1"/>
    </xf>
    <xf numFmtId="167" fontId="0" fillId="0" borderId="10" xfId="0" applyBorder="1" applyAlignment="1">
      <alignment wrapText="1"/>
    </xf>
    <xf numFmtId="167" fontId="38" fillId="0" borderId="10" xfId="0" applyFont="1" applyBorder="1"/>
    <xf numFmtId="0" fontId="46" fillId="0" borderId="10" xfId="0" applyNumberFormat="1" applyFont="1" applyBorder="1" applyAlignment="1">
      <alignment horizontal="center" vertical="center"/>
    </xf>
    <xf numFmtId="1" fontId="39" fillId="0" borderId="10" xfId="0" applyNumberFormat="1" applyFont="1" applyBorder="1" applyAlignment="1">
      <alignment horizontal="center" vertical="center"/>
    </xf>
    <xf numFmtId="0" fontId="44" fillId="2" borderId="10" xfId="0" applyNumberFormat="1" applyFont="1" applyFill="1" applyBorder="1" applyAlignment="1">
      <alignment horizontal="center" vertical="center"/>
    </xf>
    <xf numFmtId="0" fontId="45" fillId="0" borderId="10" xfId="0" applyNumberFormat="1" applyFont="1" applyBorder="1" applyAlignment="1">
      <alignment horizontal="center" vertical="center"/>
    </xf>
    <xf numFmtId="2" fontId="45" fillId="0" borderId="10" xfId="0" applyNumberFormat="1" applyFont="1" applyBorder="1" applyAlignment="1">
      <alignment horizontal="center" vertical="center"/>
    </xf>
    <xf numFmtId="2" fontId="44" fillId="0" borderId="10" xfId="0" applyNumberFormat="1" applyFont="1" applyBorder="1" applyAlignment="1">
      <alignment horizontal="center" vertical="center"/>
    </xf>
    <xf numFmtId="1" fontId="26" fillId="0" borderId="10" xfId="0" applyNumberFormat="1" applyFont="1" applyBorder="1" applyAlignment="1">
      <alignment horizontal="center" vertical="center"/>
    </xf>
    <xf numFmtId="0" fontId="56" fillId="0" borderId="10" xfId="0" applyNumberFormat="1" applyFont="1" applyBorder="1" applyAlignment="1">
      <alignment horizontal="justify" vertical="center" wrapText="1"/>
    </xf>
    <xf numFmtId="0" fontId="56" fillId="0" borderId="10" xfId="0" applyNumberFormat="1" applyFont="1" applyBorder="1" applyAlignment="1">
      <alignment horizontal="center" vertical="center"/>
    </xf>
    <xf numFmtId="2" fontId="56" fillId="0" borderId="10" xfId="0" applyNumberFormat="1" applyFont="1" applyBorder="1" applyAlignment="1">
      <alignment horizontal="center" vertical="center"/>
    </xf>
    <xf numFmtId="2" fontId="57" fillId="0" borderId="10" xfId="0" applyNumberFormat="1" applyFont="1" applyBorder="1" applyAlignment="1">
      <alignment horizontal="center" vertical="center"/>
    </xf>
    <xf numFmtId="0" fontId="57" fillId="0" borderId="10" xfId="0" applyNumberFormat="1" applyFont="1" applyBorder="1" applyAlignment="1">
      <alignment wrapText="1"/>
    </xf>
    <xf numFmtId="0" fontId="56" fillId="0" borderId="10" xfId="0" applyNumberFormat="1" applyFont="1" applyBorder="1" applyAlignment="1">
      <alignment wrapText="1"/>
    </xf>
    <xf numFmtId="0" fontId="57" fillId="0" borderId="10" xfId="0" applyNumberFormat="1" applyFont="1" applyBorder="1" applyAlignment="1">
      <alignment horizontal="left" wrapText="1"/>
    </xf>
    <xf numFmtId="0" fontId="56" fillId="0" borderId="10" xfId="0" applyNumberFormat="1" applyFont="1" applyBorder="1" applyAlignment="1">
      <alignment horizontal="center" vertical="center" wrapText="1"/>
    </xf>
    <xf numFmtId="0" fontId="65" fillId="0" borderId="10" xfId="0" applyNumberFormat="1" applyFont="1" applyBorder="1" applyAlignment="1">
      <alignment wrapText="1"/>
    </xf>
    <xf numFmtId="0" fontId="65" fillId="0" borderId="10" xfId="0" applyNumberFormat="1" applyFont="1" applyBorder="1" applyAlignment="1">
      <alignment horizontal="center" vertical="center"/>
    </xf>
    <xf numFmtId="2" fontId="65" fillId="0" borderId="10" xfId="0" applyNumberFormat="1" applyFont="1" applyBorder="1" applyAlignment="1">
      <alignment horizontal="center" vertical="center"/>
    </xf>
    <xf numFmtId="2" fontId="26" fillId="0" borderId="10" xfId="41" applyNumberFormat="1" applyFont="1" applyBorder="1" applyAlignment="1">
      <alignment vertical="top" wrapText="1"/>
    </xf>
    <xf numFmtId="2" fontId="26" fillId="2" borderId="1" xfId="41" applyNumberFormat="1" applyFont="1" applyFill="1" applyBorder="1" applyAlignment="1">
      <alignment vertical="top" wrapText="1"/>
    </xf>
    <xf numFmtId="1" fontId="26" fillId="2" borderId="10" xfId="16" applyNumberFormat="1" applyFont="1" applyFill="1" applyBorder="1" applyAlignment="1" applyProtection="1">
      <alignment horizontal="center" vertical="center"/>
      <protection locked="0"/>
    </xf>
    <xf numFmtId="0" fontId="27" fillId="2" borderId="10" xfId="16" applyFont="1" applyFill="1" applyBorder="1" applyAlignment="1" applyProtection="1">
      <alignment vertical="center" wrapText="1"/>
      <protection locked="0"/>
    </xf>
    <xf numFmtId="0" fontId="26" fillId="2" borderId="10" xfId="16" applyFont="1" applyFill="1" applyBorder="1" applyAlignment="1" applyProtection="1">
      <alignment horizontal="center" vertical="center"/>
      <protection locked="0"/>
    </xf>
    <xf numFmtId="0" fontId="26" fillId="2" borderId="10" xfId="16" applyFont="1" applyFill="1" applyBorder="1" applyAlignment="1" applyProtection="1">
      <alignment vertical="center" wrapText="1"/>
      <protection locked="0"/>
    </xf>
    <xf numFmtId="2" fontId="26" fillId="2" borderId="10" xfId="16" applyNumberFormat="1" applyFont="1" applyFill="1" applyBorder="1" applyAlignment="1" applyProtection="1">
      <alignment horizontal="center" vertical="center"/>
      <protection locked="0"/>
    </xf>
    <xf numFmtId="2" fontId="27" fillId="2" borderId="10" xfId="16" applyNumberFormat="1" applyFont="1" applyFill="1" applyBorder="1" applyAlignment="1" applyProtection="1">
      <alignment horizontal="center" vertical="center"/>
      <protection locked="0"/>
    </xf>
    <xf numFmtId="0" fontId="45" fillId="0" borderId="0" xfId="0" applyNumberFormat="1" applyFont="1" applyAlignment="1">
      <alignment wrapText="1"/>
    </xf>
    <xf numFmtId="0" fontId="45" fillId="0" borderId="0" xfId="0" applyNumberFormat="1" applyFont="1" applyAlignment="1">
      <alignment horizontal="center" vertical="center"/>
    </xf>
    <xf numFmtId="0" fontId="26" fillId="2" borderId="14" xfId="16" applyFont="1" applyFill="1" applyBorder="1" applyAlignment="1">
      <alignment vertical="top" wrapText="1"/>
    </xf>
    <xf numFmtId="167" fontId="0" fillId="0" borderId="0" xfId="0" applyNumberFormat="1" applyAlignment="1">
      <alignment wrapText="1"/>
    </xf>
    <xf numFmtId="167" fontId="9" fillId="0" borderId="0" xfId="0" applyNumberFormat="1" applyFont="1" applyAlignment="1" applyProtection="1">
      <alignment horizontal="right"/>
    </xf>
    <xf numFmtId="167" fontId="7" fillId="3" borderId="0" xfId="0" applyNumberFormat="1" applyFont="1" applyFill="1" applyAlignment="1" applyProtection="1">
      <alignment horizontal="center"/>
    </xf>
    <xf numFmtId="0" fontId="45" fillId="0" borderId="8" xfId="26" applyFont="1" applyBorder="1"/>
    <xf numFmtId="2" fontId="45" fillId="0" borderId="2" xfId="26" applyNumberFormat="1" applyFont="1" applyBorder="1" applyAlignment="1">
      <alignment horizontal="center"/>
    </xf>
    <xf numFmtId="0" fontId="43" fillId="0" borderId="10" xfId="0" applyNumberFormat="1" applyFont="1" applyBorder="1" applyAlignment="1">
      <alignment horizontal="center"/>
    </xf>
    <xf numFmtId="0" fontId="43" fillId="0" borderId="10" xfId="0" applyNumberFormat="1" applyFont="1" applyBorder="1" applyAlignment="1">
      <alignment wrapText="1"/>
    </xf>
    <xf numFmtId="0" fontId="43" fillId="0" borderId="10" xfId="0" applyNumberFormat="1" applyFont="1" applyBorder="1"/>
    <xf numFmtId="0" fontId="37" fillId="0" borderId="10" xfId="0" applyNumberFormat="1" applyFont="1" applyBorder="1" applyAlignment="1">
      <alignment horizontal="center"/>
    </xf>
    <xf numFmtId="0" fontId="37" fillId="0" borderId="10" xfId="0" applyNumberFormat="1" applyFont="1" applyBorder="1"/>
    <xf numFmtId="2" fontId="37" fillId="0" borderId="10" xfId="0" applyNumberFormat="1" applyFont="1" applyBorder="1" applyAlignment="1">
      <alignment horizontal="center"/>
    </xf>
    <xf numFmtId="2" fontId="37" fillId="0" borderId="10" xfId="0" applyNumberFormat="1" applyFont="1" applyBorder="1"/>
    <xf numFmtId="2" fontId="43" fillId="0" borderId="10" xfId="0" applyNumberFormat="1" applyFont="1" applyBorder="1" applyAlignment="1">
      <alignment horizontal="center"/>
    </xf>
    <xf numFmtId="2" fontId="43" fillId="0" borderId="11" xfId="0" applyNumberFormat="1" applyFont="1" applyBorder="1" applyAlignment="1">
      <alignment horizontal="center"/>
    </xf>
    <xf numFmtId="0" fontId="43" fillId="0" borderId="12" xfId="0" applyNumberFormat="1" applyFont="1" applyBorder="1" applyAlignment="1">
      <alignment horizontal="center"/>
    </xf>
    <xf numFmtId="0" fontId="37" fillId="0" borderId="11" xfId="0" applyNumberFormat="1" applyFont="1" applyBorder="1" applyAlignment="1">
      <alignment horizontal="center"/>
    </xf>
    <xf numFmtId="2" fontId="37" fillId="0" borderId="12" xfId="0" applyNumberFormat="1" applyFont="1" applyBorder="1"/>
    <xf numFmtId="2" fontId="37" fillId="0" borderId="11" xfId="0" applyNumberFormat="1" applyFont="1" applyBorder="1" applyAlignment="1">
      <alignment horizontal="center"/>
    </xf>
    <xf numFmtId="0" fontId="43" fillId="0" borderId="11" xfId="0" applyNumberFormat="1" applyFont="1" applyBorder="1" applyAlignment="1">
      <alignment horizontal="center"/>
    </xf>
    <xf numFmtId="2" fontId="43" fillId="0" borderId="12" xfId="0" applyNumberFormat="1" applyFont="1" applyBorder="1" applyAlignment="1">
      <alignment horizontal="center"/>
    </xf>
    <xf numFmtId="0" fontId="37" fillId="0" borderId="13" xfId="0" applyNumberFormat="1" applyFont="1" applyBorder="1" applyAlignment="1">
      <alignment horizontal="center"/>
    </xf>
    <xf numFmtId="2" fontId="37" fillId="0" borderId="13" xfId="0" applyNumberFormat="1" applyFont="1" applyBorder="1" applyAlignment="1">
      <alignment horizontal="center"/>
    </xf>
    <xf numFmtId="175" fontId="43" fillId="0" borderId="11" xfId="0" applyNumberFormat="1" applyFont="1" applyBorder="1" applyAlignment="1">
      <alignment horizontal="center"/>
    </xf>
    <xf numFmtId="169" fontId="80" fillId="2" borderId="10" xfId="0" applyNumberFormat="1" applyFont="1" applyFill="1" applyBorder="1" applyAlignment="1">
      <alignment horizontal="right" vertical="center"/>
    </xf>
    <xf numFmtId="167" fontId="80" fillId="0" borderId="10" xfId="0" applyFont="1" applyBorder="1" applyAlignment="1">
      <alignment horizontal="right" vertical="center"/>
    </xf>
    <xf numFmtId="167" fontId="51" fillId="2" borderId="10" xfId="0" applyFont="1" applyFill="1" applyBorder="1" applyAlignment="1">
      <alignment horizontal="center" vertical="center"/>
    </xf>
    <xf numFmtId="0" fontId="1" fillId="0" borderId="0" xfId="43"/>
    <xf numFmtId="0" fontId="1" fillId="0" borderId="8" xfId="43" applyBorder="1"/>
    <xf numFmtId="2" fontId="1" fillId="0" borderId="2" xfId="43" applyNumberFormat="1" applyBorder="1" applyAlignment="1">
      <alignment horizontal="center"/>
    </xf>
    <xf numFmtId="0" fontId="1" fillId="0" borderId="2" xfId="43" applyBorder="1"/>
    <xf numFmtId="0" fontId="1" fillId="0" borderId="9" xfId="43" applyBorder="1"/>
    <xf numFmtId="0" fontId="29" fillId="0" borderId="15" xfId="43" applyFont="1" applyBorder="1"/>
    <xf numFmtId="0" fontId="29" fillId="0" borderId="15" xfId="43" applyFont="1" applyBorder="1" applyAlignment="1">
      <alignment horizontal="center"/>
    </xf>
    <xf numFmtId="2" fontId="29" fillId="0" borderId="15" xfId="43" applyNumberFormat="1" applyFont="1" applyBorder="1" applyAlignment="1">
      <alignment horizontal="center" vertical="center"/>
    </xf>
    <xf numFmtId="0" fontId="29" fillId="0" borderId="10" xfId="43" applyFont="1" applyBorder="1"/>
    <xf numFmtId="0" fontId="29" fillId="0" borderId="10" xfId="43" applyFont="1" applyBorder="1" applyAlignment="1">
      <alignment horizontal="center"/>
    </xf>
    <xf numFmtId="2" fontId="29" fillId="0" borderId="10" xfId="43" applyNumberFormat="1" applyFont="1" applyBorder="1" applyAlignment="1">
      <alignment horizontal="center" vertical="center"/>
    </xf>
    <xf numFmtId="0" fontId="1" fillId="0" borderId="10" xfId="43" applyBorder="1"/>
    <xf numFmtId="0" fontId="29" fillId="0" borderId="10" xfId="43" applyFont="1" applyBorder="1" applyAlignment="1">
      <alignment wrapText="1"/>
    </xf>
    <xf numFmtId="0" fontId="1" fillId="0" borderId="10" xfId="43" applyBorder="1" applyAlignment="1">
      <alignment horizontal="center"/>
    </xf>
    <xf numFmtId="2" fontId="1" fillId="0" borderId="10" xfId="43" applyNumberFormat="1" applyBorder="1" applyAlignment="1">
      <alignment horizontal="center"/>
    </xf>
    <xf numFmtId="0" fontId="1" fillId="0" borderId="10" xfId="43" applyBorder="1" applyAlignment="1">
      <alignment wrapText="1"/>
    </xf>
    <xf numFmtId="2" fontId="29" fillId="0" borderId="10" xfId="43" applyNumberFormat="1" applyFont="1" applyBorder="1" applyAlignment="1">
      <alignment horizontal="center"/>
    </xf>
    <xf numFmtId="0" fontId="29" fillId="0" borderId="10" xfId="43" applyFont="1" applyFill="1" applyBorder="1" applyAlignment="1">
      <alignment wrapText="1"/>
    </xf>
    <xf numFmtId="0" fontId="1" fillId="0" borderId="0" xfId="43" applyAlignment="1">
      <alignment horizontal="center"/>
    </xf>
    <xf numFmtId="2" fontId="1" fillId="0" borderId="0" xfId="43" applyNumberFormat="1" applyAlignment="1">
      <alignment horizontal="center"/>
    </xf>
    <xf numFmtId="167" fontId="20" fillId="0" borderId="0" xfId="0" applyNumberFormat="1" applyFont="1" applyFill="1" applyAlignment="1">
      <alignment horizontal="left" vertical="center" wrapText="1"/>
    </xf>
    <xf numFmtId="0" fontId="19" fillId="0" borderId="0" xfId="0" applyNumberFormat="1" applyFont="1" applyFill="1" applyAlignment="1">
      <alignment horizontal="left" wrapText="1"/>
    </xf>
    <xf numFmtId="0" fontId="20" fillId="0" borderId="0" xfId="0" applyNumberFormat="1" applyFont="1" applyFill="1" applyBorder="1" applyAlignment="1">
      <alignment horizontal="center" vertical="center" wrapText="1"/>
    </xf>
    <xf numFmtId="167" fontId="20" fillId="0" borderId="0" xfId="0" applyNumberFormat="1" applyFont="1" applyFill="1" applyAlignment="1">
      <alignment horizontal="center" vertical="center" wrapText="1"/>
    </xf>
    <xf numFmtId="167" fontId="20" fillId="0" borderId="0" xfId="0" applyNumberFormat="1" applyFont="1" applyFill="1" applyAlignment="1">
      <alignment horizontal="center" vertical="center"/>
    </xf>
    <xf numFmtId="0" fontId="23" fillId="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20" fillId="0" borderId="0" xfId="0" applyNumberFormat="1" applyFont="1" applyFill="1" applyAlignment="1">
      <alignment horizontal="center" vertical="top" wrapText="1"/>
    </xf>
    <xf numFmtId="167" fontId="6" fillId="0" borderId="0" xfId="0" applyNumberFormat="1" applyFont="1" applyAlignment="1">
      <alignment horizontal="center"/>
    </xf>
    <xf numFmtId="167" fontId="11" fillId="0" borderId="0" xfId="0" applyNumberFormat="1" applyFont="1" applyAlignment="1">
      <alignment horizontal="center"/>
    </xf>
    <xf numFmtId="167" fontId="7" fillId="0" borderId="0" xfId="0" applyFont="1" applyAlignment="1">
      <alignment horizontal="center"/>
    </xf>
    <xf numFmtId="167" fontId="11" fillId="0" borderId="0" xfId="0" applyNumberFormat="1" applyFont="1" applyAlignment="1">
      <alignment horizontal="left"/>
    </xf>
    <xf numFmtId="0" fontId="29" fillId="0" borderId="0" xfId="0" applyNumberFormat="1" applyFont="1" applyAlignment="1">
      <alignment horizontal="center" vertical="center" wrapText="1"/>
    </xf>
    <xf numFmtId="167" fontId="51" fillId="0" borderId="11" xfId="0" applyFont="1" applyBorder="1" applyAlignment="1">
      <alignment horizontal="center" vertical="center" wrapText="1"/>
    </xf>
    <xf numFmtId="167" fontId="51" fillId="0" borderId="13" xfId="0" applyFont="1" applyBorder="1" applyAlignment="1">
      <alignment horizontal="center" vertical="center" wrapText="1"/>
    </xf>
    <xf numFmtId="167" fontId="51" fillId="0" borderId="12" xfId="0" applyFont="1" applyBorder="1" applyAlignment="1">
      <alignment horizontal="center" vertical="center" wrapText="1"/>
    </xf>
    <xf numFmtId="167" fontId="51" fillId="2" borderId="11" xfId="0" applyFont="1" applyFill="1" applyBorder="1" applyAlignment="1">
      <alignment horizontal="center" vertical="center"/>
    </xf>
    <xf numFmtId="167" fontId="51" fillId="2" borderId="13" xfId="0" applyFont="1" applyFill="1" applyBorder="1" applyAlignment="1">
      <alignment horizontal="center" vertical="center"/>
    </xf>
    <xf numFmtId="167" fontId="51" fillId="2" borderId="12" xfId="0" applyFont="1" applyFill="1" applyBorder="1" applyAlignment="1">
      <alignment horizontal="center" vertical="center"/>
    </xf>
    <xf numFmtId="167" fontId="51" fillId="2" borderId="10" xfId="0" applyFont="1" applyFill="1" applyBorder="1" applyAlignment="1">
      <alignment horizontal="center" vertical="center"/>
    </xf>
    <xf numFmtId="167" fontId="53" fillId="2" borderId="0" xfId="0" applyFont="1" applyFill="1" applyBorder="1" applyAlignment="1">
      <alignment horizontal="center" vertical="center" wrapText="1"/>
    </xf>
    <xf numFmtId="167" fontId="53" fillId="2" borderId="0" xfId="0" applyFont="1" applyFill="1" applyBorder="1" applyAlignment="1">
      <alignment horizontal="center" vertical="center"/>
    </xf>
    <xf numFmtId="170" fontId="50" fillId="2" borderId="14" xfId="0" applyNumberFormat="1" applyFont="1" applyFill="1" applyBorder="1" applyAlignment="1">
      <alignment horizontal="center" vertical="center"/>
    </xf>
    <xf numFmtId="170" fontId="50" fillId="2" borderId="15" xfId="0" applyNumberFormat="1" applyFont="1" applyFill="1" applyBorder="1" applyAlignment="1">
      <alignment horizontal="center" vertical="center"/>
    </xf>
    <xf numFmtId="167" fontId="50" fillId="2" borderId="14" xfId="0" applyFont="1" applyFill="1" applyBorder="1" applyAlignment="1">
      <alignment horizontal="center" vertical="center" wrapText="1"/>
    </xf>
    <xf numFmtId="167" fontId="50" fillId="2" borderId="15" xfId="0" applyFont="1" applyFill="1" applyBorder="1" applyAlignment="1">
      <alignment horizontal="center" vertical="center" wrapText="1"/>
    </xf>
    <xf numFmtId="168" fontId="50" fillId="2" borderId="3" xfId="0" applyNumberFormat="1" applyFont="1" applyFill="1" applyBorder="1" applyAlignment="1">
      <alignment horizontal="center" vertical="center"/>
    </xf>
    <xf numFmtId="168" fontId="50" fillId="2" borderId="4" xfId="0" applyNumberFormat="1" applyFont="1" applyFill="1" applyBorder="1" applyAlignment="1">
      <alignment horizontal="center" vertical="center"/>
    </xf>
    <xf numFmtId="168" fontId="50" fillId="2" borderId="5" xfId="0" applyNumberFormat="1" applyFont="1" applyFill="1" applyBorder="1" applyAlignment="1">
      <alignment horizontal="center" vertical="center"/>
    </xf>
    <xf numFmtId="168" fontId="50" fillId="2" borderId="8" xfId="0" applyNumberFormat="1" applyFont="1" applyFill="1" applyBorder="1" applyAlignment="1">
      <alignment horizontal="center" vertical="center"/>
    </xf>
    <xf numFmtId="168" fontId="50" fillId="2" borderId="2" xfId="0" applyNumberFormat="1" applyFont="1" applyFill="1" applyBorder="1" applyAlignment="1">
      <alignment horizontal="center" vertical="center"/>
    </xf>
    <xf numFmtId="168" fontId="50" fillId="2" borderId="9" xfId="0" applyNumberFormat="1" applyFont="1" applyFill="1" applyBorder="1" applyAlignment="1">
      <alignment horizontal="center" vertical="center"/>
    </xf>
    <xf numFmtId="167" fontId="50" fillId="2" borderId="11" xfId="0" applyFont="1" applyFill="1" applyBorder="1" applyAlignment="1">
      <alignment horizontal="center" vertical="center"/>
    </xf>
    <xf numFmtId="167" fontId="50" fillId="2" borderId="13" xfId="0" applyFont="1" applyFill="1" applyBorder="1" applyAlignment="1">
      <alignment horizontal="center" vertical="center"/>
    </xf>
    <xf numFmtId="167" fontId="50" fillId="2" borderId="12" xfId="0" applyFont="1" applyFill="1" applyBorder="1" applyAlignment="1">
      <alignment horizontal="center" vertical="center"/>
    </xf>
    <xf numFmtId="167" fontId="50" fillId="2" borderId="14" xfId="0" applyFont="1" applyFill="1" applyBorder="1" applyAlignment="1">
      <alignment horizontal="center" vertical="center"/>
    </xf>
    <xf numFmtId="167" fontId="50" fillId="2" borderId="15" xfId="0" applyFont="1" applyFill="1" applyBorder="1" applyAlignment="1">
      <alignment horizontal="center" vertical="center"/>
    </xf>
    <xf numFmtId="167" fontId="52" fillId="0" borderId="3" xfId="0" applyFont="1" applyBorder="1" applyAlignment="1">
      <alignment horizontal="center" wrapText="1"/>
    </xf>
    <xf numFmtId="167" fontId="52" fillId="0" borderId="4" xfId="0" applyFont="1" applyBorder="1" applyAlignment="1">
      <alignment horizontal="center" wrapText="1"/>
    </xf>
    <xf numFmtId="167" fontId="52" fillId="0" borderId="5" xfId="0" applyFont="1" applyBorder="1" applyAlignment="1">
      <alignment horizontal="center" wrapText="1"/>
    </xf>
    <xf numFmtId="167" fontId="37" fillId="0" borderId="11" xfId="0" applyFont="1" applyBorder="1" applyAlignment="1">
      <alignment vertical="top" wrapText="1"/>
    </xf>
    <xf numFmtId="167" fontId="37" fillId="0" borderId="13" xfId="0" applyFont="1" applyBorder="1" applyAlignment="1">
      <alignment vertical="top" wrapText="1"/>
    </xf>
    <xf numFmtId="167" fontId="37" fillId="0" borderId="12" xfId="0" applyFont="1" applyBorder="1" applyAlignment="1">
      <alignment vertical="top" wrapText="1"/>
    </xf>
    <xf numFmtId="0" fontId="66" fillId="0" borderId="11" xfId="16" applyNumberFormat="1" applyFont="1" applyBorder="1" applyAlignment="1">
      <alignment horizontal="center" vertical="center" wrapText="1"/>
    </xf>
    <xf numFmtId="0" fontId="52" fillId="0" borderId="13" xfId="16" applyNumberFormat="1" applyFont="1" applyBorder="1" applyAlignment="1">
      <alignment horizontal="center" vertical="center" wrapText="1"/>
    </xf>
    <xf numFmtId="0" fontId="52" fillId="0" borderId="12" xfId="16" applyNumberFormat="1" applyFont="1" applyBorder="1" applyAlignment="1">
      <alignment horizontal="center" vertical="center" wrapText="1"/>
    </xf>
    <xf numFmtId="0" fontId="52" fillId="0" borderId="10" xfId="16" applyNumberFormat="1" applyFont="1" applyBorder="1" applyAlignment="1">
      <alignment horizontal="center" vertical="center" wrapText="1"/>
    </xf>
    <xf numFmtId="0" fontId="75" fillId="0" borderId="2" xfId="43" applyFont="1" applyBorder="1" applyAlignment="1">
      <alignment horizontal="center"/>
    </xf>
    <xf numFmtId="0" fontId="29" fillId="0" borderId="15" xfId="43" applyFont="1" applyBorder="1" applyAlignment="1">
      <alignment horizontal="center"/>
    </xf>
    <xf numFmtId="2" fontId="49" fillId="0" borderId="10" xfId="0" applyNumberFormat="1" applyFont="1" applyFill="1" applyBorder="1" applyAlignment="1">
      <alignment horizontal="center" vertical="center" wrapText="1"/>
    </xf>
    <xf numFmtId="167" fontId="49" fillId="0" borderId="10" xfId="0" applyFont="1" applyFill="1" applyBorder="1" applyAlignment="1">
      <alignment horizontal="center" vertical="center" wrapText="1"/>
    </xf>
    <xf numFmtId="167" fontId="52" fillId="0" borderId="10" xfId="0" applyFont="1" applyFill="1" applyBorder="1" applyAlignment="1">
      <alignment horizontal="center" vertical="center"/>
    </xf>
    <xf numFmtId="167" fontId="52" fillId="0" borderId="10" xfId="22" applyNumberFormat="1" applyFont="1" applyFill="1" applyBorder="1" applyAlignment="1">
      <alignment horizontal="center" vertical="center"/>
    </xf>
    <xf numFmtId="0" fontId="66" fillId="0" borderId="10" xfId="22" applyNumberFormat="1" applyFont="1" applyFill="1" applyBorder="1" applyAlignment="1">
      <alignment horizontal="center" vertical="center" wrapText="1"/>
    </xf>
    <xf numFmtId="168" fontId="52" fillId="0" borderId="10" xfId="22" applyNumberFormat="1" applyFont="1" applyFill="1" applyBorder="1" applyAlignment="1">
      <alignment horizontal="center" vertical="center"/>
    </xf>
    <xf numFmtId="0" fontId="69" fillId="0" borderId="10" xfId="26" applyFont="1" applyBorder="1" applyAlignment="1">
      <alignment horizontal="center"/>
    </xf>
    <xf numFmtId="0" fontId="68" fillId="0" borderId="6" xfId="26" applyFont="1" applyBorder="1" applyAlignment="1">
      <alignment horizontal="center" vertical="center" wrapText="1"/>
    </xf>
    <xf numFmtId="0" fontId="68" fillId="0" borderId="0" xfId="26" applyFont="1" applyBorder="1" applyAlignment="1">
      <alignment horizontal="center" vertical="center" wrapText="1"/>
    </xf>
    <xf numFmtId="0" fontId="68" fillId="0" borderId="6" xfId="26" applyFont="1" applyBorder="1" applyAlignment="1">
      <alignment horizontal="center"/>
    </xf>
    <xf numFmtId="0" fontId="68" fillId="0" borderId="0" xfId="26" applyFont="1" applyBorder="1" applyAlignment="1">
      <alignment horizontal="center"/>
    </xf>
    <xf numFmtId="0" fontId="68" fillId="0" borderId="11" xfId="26" applyFont="1" applyBorder="1" applyAlignment="1">
      <alignment horizontal="center" vertical="center" wrapText="1"/>
    </xf>
    <xf numFmtId="0" fontId="68" fillId="0" borderId="12" xfId="26" applyFont="1" applyBorder="1" applyAlignment="1">
      <alignment horizontal="center" vertical="center" wrapText="1"/>
    </xf>
    <xf numFmtId="0" fontId="68" fillId="0" borderId="10" xfId="26" applyFont="1" applyFill="1" applyBorder="1" applyAlignment="1">
      <alignment horizontal="center" vertical="center" wrapText="1"/>
    </xf>
    <xf numFmtId="0" fontId="66" fillId="0" borderId="10" xfId="23" applyNumberFormat="1" applyFont="1" applyFill="1" applyBorder="1" applyAlignment="1">
      <alignment horizontal="center" vertical="center" wrapText="1"/>
    </xf>
    <xf numFmtId="168" fontId="52" fillId="0" borderId="10" xfId="23" applyNumberFormat="1" applyFont="1" applyFill="1" applyBorder="1" applyAlignment="1">
      <alignment horizontal="center" vertical="center"/>
    </xf>
    <xf numFmtId="0" fontId="57" fillId="0" borderId="11" xfId="16" applyFont="1" applyBorder="1" applyAlignment="1">
      <alignment horizontal="center" vertical="center" wrapText="1"/>
    </xf>
    <xf numFmtId="0" fontId="57" fillId="0" borderId="13" xfId="16" applyFont="1" applyBorder="1" applyAlignment="1">
      <alignment horizontal="center" vertical="center" wrapText="1"/>
    </xf>
    <xf numFmtId="0" fontId="57" fillId="0" borderId="12" xfId="16" applyFont="1" applyBorder="1" applyAlignment="1">
      <alignment horizontal="center" vertical="center" wrapText="1"/>
    </xf>
    <xf numFmtId="0" fontId="72" fillId="0" borderId="11" xfId="16" applyFont="1" applyBorder="1" applyAlignment="1">
      <alignment horizontal="center" vertical="center"/>
    </xf>
    <xf numFmtId="0" fontId="72" fillId="0" borderId="13" xfId="16" applyFont="1" applyBorder="1" applyAlignment="1">
      <alignment horizontal="center" vertical="center"/>
    </xf>
    <xf numFmtId="0" fontId="72" fillId="0" borderId="12" xfId="16" applyFont="1" applyBorder="1" applyAlignment="1">
      <alignment horizontal="center" vertical="center"/>
    </xf>
    <xf numFmtId="175" fontId="26" fillId="0" borderId="11" xfId="0" applyNumberFormat="1" applyFont="1" applyBorder="1" applyAlignment="1">
      <alignment horizontal="center" vertical="center"/>
    </xf>
    <xf numFmtId="175" fontId="26" fillId="0" borderId="12" xfId="0" applyNumberFormat="1" applyFont="1" applyBorder="1" applyAlignment="1">
      <alignment horizontal="center" vertical="center"/>
    </xf>
    <xf numFmtId="0" fontId="75" fillId="0" borderId="2" xfId="26" applyFont="1" applyBorder="1" applyAlignment="1">
      <alignment horizontal="center"/>
    </xf>
    <xf numFmtId="0" fontId="29" fillId="0" borderId="10" xfId="26" applyFont="1" applyBorder="1" applyAlignment="1">
      <alignment horizontal="center"/>
    </xf>
    <xf numFmtId="0" fontId="29" fillId="0" borderId="15" xfId="26" applyFont="1" applyBorder="1" applyAlignment="1">
      <alignment horizontal="center"/>
    </xf>
    <xf numFmtId="0" fontId="42" fillId="0" borderId="11" xfId="16" applyNumberFormat="1" applyFont="1" applyBorder="1" applyAlignment="1">
      <alignment horizontal="center" vertical="center" wrapText="1"/>
    </xf>
    <xf numFmtId="0" fontId="38" fillId="0" borderId="13" xfId="16" applyNumberFormat="1" applyFont="1" applyBorder="1" applyAlignment="1">
      <alignment horizontal="center" vertical="center" wrapText="1"/>
    </xf>
    <xf numFmtId="0" fontId="38" fillId="0" borderId="10" xfId="16" applyNumberFormat="1" applyFont="1" applyBorder="1" applyAlignment="1">
      <alignment horizontal="center" vertical="center" wrapText="1"/>
    </xf>
    <xf numFmtId="0" fontId="46" fillId="0" borderId="2" xfId="26" applyFont="1" applyBorder="1" applyAlignment="1">
      <alignment horizontal="center"/>
    </xf>
    <xf numFmtId="167" fontId="41" fillId="0" borderId="10" xfId="0" applyFont="1" applyBorder="1" applyAlignment="1">
      <alignment horizontal="center" vertical="center" wrapText="1"/>
    </xf>
    <xf numFmtId="0" fontId="41" fillId="0" borderId="10" xfId="0" applyNumberFormat="1" applyFont="1" applyBorder="1" applyAlignment="1">
      <alignment horizontal="center" vertical="center" wrapText="1"/>
    </xf>
    <xf numFmtId="0" fontId="46" fillId="0" borderId="10" xfId="0" applyNumberFormat="1" applyFont="1" applyBorder="1" applyAlignment="1">
      <alignment horizontal="center"/>
    </xf>
    <xf numFmtId="0" fontId="46" fillId="0" borderId="10" xfId="0" applyNumberFormat="1" applyFont="1" applyBorder="1" applyAlignment="1">
      <alignment horizontal="center" vertical="center"/>
    </xf>
    <xf numFmtId="0" fontId="46" fillId="0" borderId="10" xfId="0" applyNumberFormat="1" applyFont="1" applyBorder="1" applyAlignment="1">
      <alignment horizontal="center" wrapText="1"/>
    </xf>
    <xf numFmtId="0" fontId="44" fillId="0" borderId="11" xfId="0" applyNumberFormat="1" applyFont="1" applyBorder="1" applyAlignment="1">
      <alignment horizontal="left" wrapText="1"/>
    </xf>
    <xf numFmtId="0" fontId="44" fillId="0" borderId="13" xfId="0" applyNumberFormat="1" applyFont="1" applyBorder="1" applyAlignment="1">
      <alignment horizontal="left" wrapText="1"/>
    </xf>
    <xf numFmtId="0" fontId="44" fillId="0" borderId="12" xfId="0" applyNumberFormat="1" applyFont="1" applyBorder="1" applyAlignment="1">
      <alignment horizontal="left" wrapText="1"/>
    </xf>
    <xf numFmtId="0" fontId="44" fillId="0" borderId="11" xfId="0" applyNumberFormat="1" applyFont="1" applyBorder="1" applyAlignment="1">
      <alignment horizontal="center" vertical="center"/>
    </xf>
    <xf numFmtId="0" fontId="44" fillId="0" borderId="13" xfId="0" applyNumberFormat="1" applyFont="1" applyBorder="1" applyAlignment="1">
      <alignment horizontal="center" vertical="center"/>
    </xf>
    <xf numFmtId="0" fontId="44" fillId="0" borderId="12" xfId="0" applyNumberFormat="1" applyFont="1" applyBorder="1" applyAlignment="1">
      <alignment horizontal="center" vertical="center"/>
    </xf>
    <xf numFmtId="0" fontId="44" fillId="0" borderId="10" xfId="0" applyNumberFormat="1" applyFont="1" applyBorder="1" applyAlignment="1">
      <alignment horizontal="center" vertical="center"/>
    </xf>
    <xf numFmtId="0" fontId="44" fillId="0" borderId="10" xfId="0" applyNumberFormat="1" applyFont="1" applyBorder="1" applyAlignment="1">
      <alignment horizontal="center"/>
    </xf>
  </cellXfs>
  <cellStyles count="44">
    <cellStyle name="Comma 2" xfId="19"/>
    <cellStyle name="Hyperlink 2" xfId="20"/>
    <cellStyle name="Normal" xfId="0" builtinId="0"/>
    <cellStyle name="Normal 10" xfId="1"/>
    <cellStyle name="Normal 11 2" xfId="2"/>
    <cellStyle name="Normal 15 5" xfId="3"/>
    <cellStyle name="Normal 2" xfId="4"/>
    <cellStyle name="Normal 2 10" xfId="21"/>
    <cellStyle name="Normal 2 13" xfId="5"/>
    <cellStyle name="Normal 2 2" xfId="6"/>
    <cellStyle name="Normal 2 2 2" xfId="7"/>
    <cellStyle name="Normal 2 3" xfId="8"/>
    <cellStyle name="Normal 2 4" xfId="16"/>
    <cellStyle name="Normal 3" xfId="9"/>
    <cellStyle name="Normal 3 2" xfId="17"/>
    <cellStyle name="Normal 3 2 2" xfId="10"/>
    <cellStyle name="Normal 3 2 2 2" xfId="22"/>
    <cellStyle name="Normal 3 2 2 2 4" xfId="11"/>
    <cellStyle name="Normal 3 2 2 3" xfId="23"/>
    <cellStyle name="Normal 3 2 2 4" xfId="24"/>
    <cellStyle name="Normal 3 2 3" xfId="25"/>
    <cellStyle name="Normal 3 3" xfId="26"/>
    <cellStyle name="Normal 3 3 2" xfId="27"/>
    <cellStyle name="Normal 3 3 3" xfId="43"/>
    <cellStyle name="Normal 3 4" xfId="12"/>
    <cellStyle name="Normal 3 4 2" xfId="28"/>
    <cellStyle name="Normal 4" xfId="13"/>
    <cellStyle name="Normal 4 2" xfId="29"/>
    <cellStyle name="Normal 4 2 2" xfId="30"/>
    <cellStyle name="Normal 4 3" xfId="31"/>
    <cellStyle name="Normal 4 3 2" xfId="32"/>
    <cellStyle name="Normal 4 4" xfId="33"/>
    <cellStyle name="Normal 4 5" xfId="34"/>
    <cellStyle name="Normal 5" xfId="35"/>
    <cellStyle name="Normal 5 2" xfId="36"/>
    <cellStyle name="Normal 6" xfId="37"/>
    <cellStyle name="Normal 7" xfId="38"/>
    <cellStyle name="Normal 7 2" xfId="14"/>
    <cellStyle name="Normal 8" xfId="39"/>
    <cellStyle name="Normal_Phase XI QS" xfId="15"/>
    <cellStyle name="Normal_Phase XI QS 2 3" xfId="41"/>
    <cellStyle name="Normal_Phase XI QS 4" xfId="18"/>
    <cellStyle name="Normal_Sheet1" xfId="42"/>
    <cellStyle name="Percent 2" xfId="4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1628775</xdr:colOff>
      <xdr:row>34</xdr:row>
      <xdr:rowOff>0</xdr:rowOff>
    </xdr:from>
    <xdr:ext cx="184731" cy="264560"/>
    <xdr:sp macro="" textlink="">
      <xdr:nvSpPr>
        <xdr:cNvPr id="2" name="TextBox 1"/>
        <xdr:cNvSpPr txBox="1"/>
      </xdr:nvSpPr>
      <xdr:spPr>
        <a:xfrm>
          <a:off x="2114550" y="10810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IN"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3%20Ice%20House%20PS%20%202016-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ersonal/Downloads/main%20wor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in%20wor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personal/Downloads/main%20work%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2)"/>
      <sheetName val="Data coastal (3)"/>
      <sheetName val="steel formula (4)"/>
      <sheetName val="lead  charge"/>
      <sheetName val="Elec.Data"/>
      <sheetName val="Elec.abs"/>
      <sheetName val="Data"/>
      <sheetName val="Develo"/>
      <sheetName val="Building"/>
      <sheetName val="Abstract"/>
      <sheetName val="G. Abstract"/>
      <sheetName val="coding"/>
      <sheetName val="Ann-A"/>
      <sheetName val="Ann-"/>
      <sheetName val="Sheet1"/>
    </sheetNames>
    <sheetDataSet>
      <sheetData sheetId="0"/>
      <sheetData sheetId="1"/>
      <sheetData sheetId="2"/>
      <sheetData sheetId="3"/>
      <sheetData sheetId="4"/>
      <sheetData sheetId="5"/>
      <sheetData sheetId="6" refreshError="1">
        <row r="2634">
          <cell r="I2634">
            <v>121800</v>
          </cell>
        </row>
        <row r="2635">
          <cell r="I2635">
            <v>108400</v>
          </cell>
        </row>
        <row r="2636">
          <cell r="I2636">
            <v>116700</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ile data ( M30 grade) (2)"/>
      <sheetName val="Abstract "/>
      <sheetName val="G. Abstract"/>
      <sheetName val="pile data "/>
      <sheetName val="  Coastal  Elec.Data "/>
      <sheetName val="lead  charge"/>
      <sheetName val="building"/>
      <sheetName val="Elec.Data"/>
      <sheetName val="Sliding and french window"/>
      <sheetName val="LED data"/>
      <sheetName val="Data"/>
      <sheetName val="G. Abstractfinal"/>
      <sheetName val="main abst"/>
      <sheetName val="main detail"/>
      <sheetName val="sump"/>
      <sheetName val="septic tank"/>
      <sheetName val="Plinth"/>
      <sheetName val="OHT"/>
      <sheetName val="compound"/>
      <sheetName val="Sullage drain"/>
      <sheetName val="paver block"/>
      <sheetName val="Ex. WS"/>
      <sheetName val="UG cable"/>
      <sheetName val="Devp Abst"/>
      <sheetName val="Sheet1"/>
    </sheetNames>
    <sheetDataSet>
      <sheetData sheetId="0"/>
      <sheetData sheetId="1"/>
      <sheetData sheetId="2"/>
      <sheetData sheetId="3"/>
      <sheetData sheetId="4"/>
      <sheetData sheetId="5"/>
      <sheetData sheetId="6">
        <row r="5">
          <cell r="A5">
            <v>1.1000000000000001</v>
          </cell>
          <cell r="B5" t="str">
            <v>Earth work excavation in all soils (including refilling)</v>
          </cell>
        </row>
        <row r="6">
          <cell r="B6" t="str">
            <v>a. 0 to 2 mt.</v>
          </cell>
          <cell r="D6" t="str">
            <v>Cum.</v>
          </cell>
        </row>
        <row r="7">
          <cell r="B7" t="str">
            <v>b. 2 to 3 mt.</v>
          </cell>
          <cell r="D7" t="str">
            <v>Cum.</v>
          </cell>
        </row>
        <row r="17">
          <cell r="A17">
            <v>1.5</v>
          </cell>
          <cell r="B17" t="str">
            <v>Earth work excavation for Open foundation (excluding refilling)</v>
          </cell>
          <cell r="D17" t="str">
            <v xml:space="preserve"> </v>
          </cell>
        </row>
        <row r="18">
          <cell r="B18" t="str">
            <v>a. 0 to 2 mt.</v>
          </cell>
          <cell r="D18" t="str">
            <v>Cum.</v>
          </cell>
        </row>
        <row r="19">
          <cell r="B19" t="str">
            <v>b. 2 to 3 mt.</v>
          </cell>
          <cell r="D19" t="str">
            <v>Cum.</v>
          </cell>
        </row>
        <row r="38">
          <cell r="A38">
            <v>2.1</v>
          </cell>
          <cell r="B38" t="str">
            <v>Filling sand</v>
          </cell>
          <cell r="D38" t="str">
            <v>Cum.</v>
          </cell>
        </row>
        <row r="45">
          <cell r="A45">
            <v>3.1</v>
          </cell>
          <cell r="B45" t="str">
            <v>C.C.1:5:10 for Foundation &amp; Basement</v>
          </cell>
          <cell r="D45" t="str">
            <v>Cum.</v>
          </cell>
        </row>
        <row r="59">
          <cell r="A59">
            <v>6.5</v>
          </cell>
          <cell r="B59" t="str">
            <v>Brick work in C.M. 1:5 (F&amp; B) using Kiln Burnt Country bricks of size 22 x 11 x 7 cm (8 3/4" x 4 1/4" x 2 3/4")</v>
          </cell>
          <cell r="D59" t="str">
            <v>Cum.</v>
          </cell>
        </row>
        <row r="117">
          <cell r="A117">
            <v>9.5</v>
          </cell>
          <cell r="B117" t="str">
            <v>Brick work in C.M. 1:6  using Kiln Burnt Country bricks of size 22 x 11 x 7 cm ( 8 3/4" x 4 1/4" x 2 3/4")</v>
          </cell>
        </row>
        <row r="118">
          <cell r="B118" t="str">
            <v>a. In Ground Floor</v>
          </cell>
          <cell r="D118" t="str">
            <v>Cum.</v>
          </cell>
        </row>
        <row r="119">
          <cell r="B119" t="str">
            <v>b. In First Floor</v>
          </cell>
          <cell r="D119" t="str">
            <v>Cum.</v>
          </cell>
        </row>
        <row r="120">
          <cell r="B120" t="str">
            <v>c. In Second Floor</v>
          </cell>
          <cell r="D120" t="str">
            <v>Cum.</v>
          </cell>
        </row>
        <row r="166">
          <cell r="A166">
            <v>10.5</v>
          </cell>
          <cell r="B166" t="str">
            <v>Brick partition work in C.M. 1:4 Kiln Burnt Country bricks of size 22 x 11 x 7 cm (8 3/4" x 4 1/4" x 2 3/4") 110 mm tk (B.P.)</v>
          </cell>
        </row>
        <row r="167">
          <cell r="B167" t="str">
            <v>a. In Foundation and basement</v>
          </cell>
          <cell r="D167" t="str">
            <v>Sqm.</v>
          </cell>
        </row>
        <row r="168">
          <cell r="B168" t="str">
            <v>b. In Ground Floor</v>
          </cell>
          <cell r="D168" t="str">
            <v>Sqm.</v>
          </cell>
        </row>
        <row r="169">
          <cell r="B169" t="str">
            <v>c. In First Floor</v>
          </cell>
          <cell r="D169" t="str">
            <v>Sqm.</v>
          </cell>
        </row>
        <row r="180">
          <cell r="B180" t="str">
            <v>Brick work in C.M. 1:4 Chamber Burnt brick of size 23 x 11.2 x 7 cm (9" x 4 3/8" x 2 3/4")70 mm tk (B.P.)</v>
          </cell>
        </row>
        <row r="181">
          <cell r="B181" t="str">
            <v>a. In Ground Floor</v>
          </cell>
          <cell r="D181" t="str">
            <v>Sqm.</v>
          </cell>
        </row>
        <row r="182">
          <cell r="B182" t="str">
            <v>b. In First Floor</v>
          </cell>
          <cell r="D182" t="str">
            <v>Sqm.</v>
          </cell>
        </row>
        <row r="216">
          <cell r="B216" t="str">
            <v>Brick partition in C.M. 1:4 using country bricks of size 22 x11x5cm 50 mm thick</v>
          </cell>
        </row>
        <row r="217">
          <cell r="B217" t="str">
            <v>a. In Ground Floor</v>
          </cell>
          <cell r="D217" t="str">
            <v>Sqm.</v>
          </cell>
        </row>
        <row r="218">
          <cell r="B218" t="str">
            <v>b. In First Floor</v>
          </cell>
          <cell r="D218" t="str">
            <v>Sqm.</v>
          </cell>
        </row>
        <row r="229">
          <cell r="A229">
            <v>13.1</v>
          </cell>
          <cell r="B229" t="str">
            <v>Filling with Excavated Earth</v>
          </cell>
          <cell r="D229" t="str">
            <v>Cum.</v>
          </cell>
        </row>
        <row r="289">
          <cell r="A289">
            <v>21.2</v>
          </cell>
          <cell r="B289" t="str">
            <v>Teak wood Wrought &amp; Put up</v>
          </cell>
        </row>
        <row r="290">
          <cell r="B290" t="str">
            <v>a. T.W. over 2 m &amp; below 3 m</v>
          </cell>
          <cell r="D290" t="str">
            <v>Cum.</v>
          </cell>
        </row>
        <row r="291">
          <cell r="B291" t="str">
            <v>b. T.W. below 2 m length.</v>
          </cell>
          <cell r="D291" t="str">
            <v>Cum.</v>
          </cell>
        </row>
        <row r="307">
          <cell r="A307">
            <v>23.3</v>
          </cell>
          <cell r="B307" t="str">
            <v>S&amp;F of Magnetic door catches</v>
          </cell>
          <cell r="D307" t="str">
            <v>Each</v>
          </cell>
        </row>
        <row r="322">
          <cell r="A322">
            <v>25</v>
          </cell>
          <cell r="B322" t="str">
            <v>M.S.Holdfast</v>
          </cell>
          <cell r="D322" t="str">
            <v>Each</v>
          </cell>
        </row>
        <row r="323">
          <cell r="A323">
            <v>26</v>
          </cell>
          <cell r="B323" t="str">
            <v>Flooring in C.C.1:5:10</v>
          </cell>
          <cell r="D323" t="str">
            <v>Cum.</v>
          </cell>
        </row>
        <row r="330">
          <cell r="A330">
            <v>28</v>
          </cell>
          <cell r="B330" t="str">
            <v>Floor plastering in C.M. 1:4, 20 mm tk.</v>
          </cell>
          <cell r="D330" t="str">
            <v>Sqm.</v>
          </cell>
        </row>
        <row r="336">
          <cell r="A336">
            <v>30</v>
          </cell>
          <cell r="B336" t="str">
            <v>Ellispattern</v>
          </cell>
          <cell r="D336" t="str">
            <v>Sqm.</v>
          </cell>
        </row>
        <row r="337">
          <cell r="A337">
            <v>31</v>
          </cell>
          <cell r="B337" t="str">
            <v>Weathering course</v>
          </cell>
          <cell r="D337" t="str">
            <v>Cum.</v>
          </cell>
        </row>
        <row r="341">
          <cell r="A341">
            <v>33</v>
          </cell>
          <cell r="B341" t="str">
            <v>Plastering in C.M. 1:5, 12 mm tk.</v>
          </cell>
          <cell r="D341" t="str">
            <v>Sqm.</v>
          </cell>
        </row>
        <row r="342">
          <cell r="A342">
            <v>34</v>
          </cell>
          <cell r="B342" t="str">
            <v>Plastering in C.M. 1:4, 12 mm tk.</v>
          </cell>
          <cell r="D342" t="str">
            <v>Sqm.</v>
          </cell>
        </row>
        <row r="343">
          <cell r="A343">
            <v>35</v>
          </cell>
          <cell r="B343" t="str">
            <v>Spl. Ceiling plastering in C.M. 1:3,
 10 mm tk.</v>
          </cell>
          <cell r="D343" t="str">
            <v>Sqm.</v>
          </cell>
        </row>
        <row r="344">
          <cell r="A344">
            <v>36</v>
          </cell>
          <cell r="B344" t="str">
            <v>Cement mortar Border in  C.M. 1:5, 12 mm tk.</v>
          </cell>
        </row>
        <row r="345">
          <cell r="A345" t="str">
            <v xml:space="preserve"> </v>
          </cell>
          <cell r="B345" t="str">
            <v>a. 150 mm wide</v>
          </cell>
          <cell r="D345" t="str">
            <v>Rmt</v>
          </cell>
        </row>
        <row r="346">
          <cell r="B346" t="str">
            <v>b. 75 mm wide</v>
          </cell>
          <cell r="D346" t="str">
            <v>Rmt</v>
          </cell>
        </row>
        <row r="347">
          <cell r="B347" t="str">
            <v>c. 50 mm wide</v>
          </cell>
          <cell r="D347" t="str">
            <v>Rmt</v>
          </cell>
        </row>
        <row r="348">
          <cell r="A348">
            <v>37.1</v>
          </cell>
          <cell r="B348" t="str">
            <v>White washing 3 coats  (slaked)</v>
          </cell>
          <cell r="D348" t="str">
            <v>Sqm.</v>
          </cell>
        </row>
        <row r="355">
          <cell r="A355">
            <v>39</v>
          </cell>
          <cell r="B355" t="str">
            <v>M.s Grills</v>
          </cell>
          <cell r="D355" t="str">
            <v>Kg.</v>
          </cell>
        </row>
        <row r="356">
          <cell r="A356">
            <v>40</v>
          </cell>
          <cell r="B356" t="str">
            <v>Painting - New "wood work"</v>
          </cell>
          <cell r="D356" t="str">
            <v>Sqm.</v>
          </cell>
        </row>
        <row r="357">
          <cell r="A357">
            <v>41</v>
          </cell>
          <cell r="B357" t="str">
            <v>Painting - New "iron work"</v>
          </cell>
          <cell r="D357" t="str">
            <v>Sqm.</v>
          </cell>
        </row>
        <row r="367">
          <cell r="A367">
            <v>46</v>
          </cell>
          <cell r="B367" t="str">
            <v>S &amp; F 20 mm dia Alu. Hanger Rod</v>
          </cell>
          <cell r="D367" t="str">
            <v>Rmt</v>
          </cell>
        </row>
        <row r="368">
          <cell r="A368">
            <v>47</v>
          </cell>
          <cell r="B368" t="str">
            <v>S &amp; F Alu  Towel rail 75 cm long</v>
          </cell>
          <cell r="C368">
            <v>95</v>
          </cell>
          <cell r="D368" t="str">
            <v>Each</v>
          </cell>
        </row>
        <row r="369">
          <cell r="A369">
            <v>48</v>
          </cell>
          <cell r="B369" t="str">
            <v>S &amp; F 5 pin Coat stand</v>
          </cell>
          <cell r="C369">
            <v>55</v>
          </cell>
          <cell r="D369" t="str">
            <v>Each</v>
          </cell>
        </row>
        <row r="370">
          <cell r="A370">
            <v>49</v>
          </cell>
          <cell r="B370" t="str">
            <v>S &amp; F chromium plated 8 guage Picture Hook</v>
          </cell>
          <cell r="C370">
            <v>1.5</v>
          </cell>
          <cell r="D370" t="str">
            <v>Each</v>
          </cell>
        </row>
        <row r="372">
          <cell r="A372">
            <v>50.2</v>
          </cell>
          <cell r="B372" t="str">
            <v xml:space="preserve">Providing precast Kerb stone in C.C. 1:3:6,  450 x 300 x 150 mm </v>
          </cell>
          <cell r="C372">
            <v>244.49</v>
          </cell>
          <cell r="D372" t="str">
            <v>Rmt</v>
          </cell>
        </row>
        <row r="373">
          <cell r="A373">
            <v>50.3</v>
          </cell>
          <cell r="B373" t="str">
            <v>Supply and planting avenue trees</v>
          </cell>
          <cell r="C373">
            <v>341.76</v>
          </cell>
          <cell r="D373" t="str">
            <v>Each</v>
          </cell>
        </row>
        <row r="374">
          <cell r="A374">
            <v>50.4</v>
          </cell>
          <cell r="B374" t="str">
            <v>Providing Tree guard</v>
          </cell>
          <cell r="C374">
            <v>807.7</v>
          </cell>
          <cell r="D374" t="str">
            <v>Each</v>
          </cell>
        </row>
        <row r="375">
          <cell r="A375">
            <v>50.5</v>
          </cell>
          <cell r="B375" t="str">
            <v>Supplying. Fabricating and erection of M.S Scheme Name board</v>
          </cell>
          <cell r="C375">
            <v>17220.29</v>
          </cell>
          <cell r="D375" t="str">
            <v>Each</v>
          </cell>
        </row>
        <row r="376">
          <cell r="A376">
            <v>51</v>
          </cell>
          <cell r="B376" t="str">
            <v>HDPE water tank 700 lit capacity with ISI mark</v>
          </cell>
          <cell r="C376">
            <v>6720</v>
          </cell>
          <cell r="D376" t="str">
            <v>Each</v>
          </cell>
        </row>
        <row r="377">
          <cell r="A377">
            <v>52</v>
          </cell>
          <cell r="B377" t="str">
            <v>PVC Water supply (ASTM)</v>
          </cell>
        </row>
        <row r="378">
          <cell r="B378" t="str">
            <v xml:space="preserve">a. 32 mm dia </v>
          </cell>
          <cell r="C378">
            <v>227.81</v>
          </cell>
          <cell r="D378" t="str">
            <v>Rmt</v>
          </cell>
        </row>
        <row r="379">
          <cell r="B379" t="str">
            <v xml:space="preserve">b. 25 mm dia </v>
          </cell>
          <cell r="C379">
            <v>208.73</v>
          </cell>
          <cell r="D379" t="str">
            <v>Rmt</v>
          </cell>
        </row>
        <row r="381">
          <cell r="A381">
            <v>52.1</v>
          </cell>
          <cell r="B381" t="str">
            <v>G.I Pipe 20mm dia for Hot water line (Fully Concealed in walls)</v>
          </cell>
          <cell r="C381">
            <v>286.08</v>
          </cell>
          <cell r="D381" t="str">
            <v>Rmt</v>
          </cell>
        </row>
        <row r="384">
          <cell r="A384">
            <v>53.3</v>
          </cell>
          <cell r="B384" t="str">
            <v>C.I. Steps ( 5 kg)</v>
          </cell>
          <cell r="C384">
            <v>30</v>
          </cell>
          <cell r="D384" t="str">
            <v>Each</v>
          </cell>
        </row>
        <row r="402">
          <cell r="A402">
            <v>59.5</v>
          </cell>
          <cell r="B402" t="str">
            <v>Gully Trap using Kiln burnt country bricks 22 x 11 x 7 cm.</v>
          </cell>
          <cell r="C402">
            <v>1747.74</v>
          </cell>
          <cell r="D402" t="str">
            <v>Each</v>
          </cell>
        </row>
        <row r="404">
          <cell r="A404">
            <v>60</v>
          </cell>
          <cell r="B404" t="str">
            <v>PVC Nahani trap (4way/2way)</v>
          </cell>
          <cell r="C404">
            <v>152.6</v>
          </cell>
          <cell r="D404" t="str">
            <v>Each</v>
          </cell>
        </row>
        <row r="418">
          <cell r="B418" t="str">
            <v>Electrical arrangements</v>
          </cell>
        </row>
        <row r="419">
          <cell r="A419">
            <v>64</v>
          </cell>
          <cell r="B419" t="str">
            <v>a. Light point with ceiling rose</v>
          </cell>
          <cell r="D419" t="str">
            <v>Each</v>
          </cell>
        </row>
        <row r="420">
          <cell r="B420" t="str">
            <v>b. Light point without ceiling rose</v>
          </cell>
          <cell r="D420" t="str">
            <v>Each</v>
          </cell>
        </row>
        <row r="421">
          <cell r="B421" t="str">
            <v>c. Calling bell point with Buzzer/Calling bell</v>
          </cell>
          <cell r="C421">
            <v>1538.57</v>
          </cell>
          <cell r="D421" t="str">
            <v>Each</v>
          </cell>
        </row>
        <row r="422">
          <cell r="A422">
            <v>65</v>
          </cell>
          <cell r="B422" t="str">
            <v xml:space="preserve">Fan point </v>
          </cell>
          <cell r="D422" t="str">
            <v>Each</v>
          </cell>
        </row>
        <row r="423">
          <cell r="A423">
            <v>66</v>
          </cell>
          <cell r="B423" t="str">
            <v>Staircase light point</v>
          </cell>
          <cell r="D423" t="str">
            <v>Each</v>
          </cell>
        </row>
        <row r="424">
          <cell r="A424">
            <v>67</v>
          </cell>
          <cell r="B424" t="str">
            <v>5 amps 5 pin Plug point (Switch board itself)</v>
          </cell>
          <cell r="D424" t="str">
            <v>Each</v>
          </cell>
        </row>
        <row r="425">
          <cell r="A425">
            <v>68</v>
          </cell>
          <cell r="B425" t="str">
            <v>5 amps 5 pin Plug point (Convenient places)</v>
          </cell>
          <cell r="D425" t="str">
            <v>Each</v>
          </cell>
        </row>
        <row r="426">
          <cell r="A426">
            <v>69</v>
          </cell>
          <cell r="B426" t="str">
            <v>15 Amp. Power plug</v>
          </cell>
          <cell r="D426" t="str">
            <v>Each</v>
          </cell>
        </row>
        <row r="427">
          <cell r="A427">
            <v>70.099999999999994</v>
          </cell>
          <cell r="B427" t="str">
            <v>Bulk head fitting</v>
          </cell>
          <cell r="D427" t="str">
            <v>Each</v>
          </cell>
        </row>
        <row r="428">
          <cell r="A428">
            <v>70.2</v>
          </cell>
          <cell r="D428" t="str">
            <v>Each</v>
          </cell>
        </row>
        <row r="435">
          <cell r="A435">
            <v>74</v>
          </cell>
          <cell r="B435" t="str">
            <v>Charges for fixing of "Fan"</v>
          </cell>
          <cell r="D435" t="str">
            <v>Each</v>
          </cell>
        </row>
        <row r="439">
          <cell r="A439">
            <v>76</v>
          </cell>
          <cell r="B439" t="str">
            <v>8 SWG wire</v>
          </cell>
          <cell r="D439" t="str">
            <v>Rmt</v>
          </cell>
        </row>
        <row r="443">
          <cell r="A443">
            <v>77.3</v>
          </cell>
          <cell r="B443" t="str">
            <v>S&amp;F of TV/Telephone line Socket</v>
          </cell>
          <cell r="D443" t="str">
            <v>Each</v>
          </cell>
        </row>
        <row r="444">
          <cell r="A444">
            <v>77.400000000000006</v>
          </cell>
          <cell r="B444" t="str">
            <v>S&amp;F of 20mm dia PVC pipe for TV/Telephone line</v>
          </cell>
          <cell r="D444" t="str">
            <v>Rmt</v>
          </cell>
        </row>
        <row r="445">
          <cell r="A445">
            <v>78</v>
          </cell>
          <cell r="B445" t="str">
            <v>Earthing Station IS3043 (Type I)</v>
          </cell>
          <cell r="D445" t="str">
            <v>Each</v>
          </cell>
        </row>
        <row r="450">
          <cell r="A450">
            <v>81</v>
          </cell>
          <cell r="B450" t="str">
            <v>Meter cupboard</v>
          </cell>
          <cell r="D450" t="str">
            <v>Sqm</v>
          </cell>
        </row>
        <row r="455">
          <cell r="A455">
            <v>86</v>
          </cell>
          <cell r="B455" t="str">
            <v>Anti termite treatment</v>
          </cell>
          <cell r="D455" t="str">
            <v>Sqm.</v>
          </cell>
        </row>
        <row r="457">
          <cell r="A457">
            <v>112</v>
          </cell>
          <cell r="B457" t="str">
            <v>S &amp; F of Exsaust Fan 300 mm dia</v>
          </cell>
          <cell r="D457" t="str">
            <v>Each</v>
          </cell>
        </row>
        <row r="459">
          <cell r="B459" t="str">
            <v>ANNEXURE</v>
          </cell>
        </row>
        <row r="487">
          <cell r="B487" t="str">
            <v xml:space="preserve">a. In Ground floor </v>
          </cell>
          <cell r="D487" t="str">
            <v>Sqm.</v>
          </cell>
        </row>
        <row r="488">
          <cell r="B488" t="str">
            <v>b. In First floor</v>
          </cell>
          <cell r="D488" t="str">
            <v>Sqm.</v>
          </cell>
        </row>
        <row r="490">
          <cell r="D490" t="str">
            <v>Sqm.</v>
          </cell>
        </row>
        <row r="491">
          <cell r="D491" t="str">
            <v>Sqm.</v>
          </cell>
        </row>
        <row r="584">
          <cell r="A584">
            <v>18.100000000000001</v>
          </cell>
          <cell r="B584" t="str">
            <v>Formwork using M.S.Sheet</v>
          </cell>
        </row>
        <row r="585">
          <cell r="B585" t="str">
            <v>a.For Column footings,plinth beam,Grade beam,Raftbeam,Raft slab etc.,</v>
          </cell>
          <cell r="C585">
            <v>739.38</v>
          </cell>
          <cell r="D585" t="str">
            <v>Sqm</v>
          </cell>
        </row>
        <row r="586">
          <cell r="B586" t="str">
            <v>b.Plain surfaces such as Roof slab,floorslab,Beams,lintels,lofts,sill slab,staircase,portico slab and other similar works</v>
          </cell>
          <cell r="C586">
            <v>831.23</v>
          </cell>
          <cell r="D586" t="str">
            <v>Sqm</v>
          </cell>
        </row>
        <row r="587">
          <cell r="B587" t="str">
            <v>c.For Square and rectangular columns and small quantities</v>
          </cell>
          <cell r="C587">
            <v>997.48</v>
          </cell>
          <cell r="D587" t="str">
            <v>Sqm</v>
          </cell>
        </row>
        <row r="588">
          <cell r="B588" t="str">
            <v>d.Vertical wall</v>
          </cell>
          <cell r="C588">
            <v>914.35</v>
          </cell>
          <cell r="D588" t="str">
            <v>Sqm</v>
          </cell>
        </row>
        <row r="590">
          <cell r="B590" t="str">
            <v>f.Curved surface</v>
          </cell>
          <cell r="C590">
            <v>1246.8499999999999</v>
          </cell>
          <cell r="D590" t="str">
            <v>Sqm</v>
          </cell>
        </row>
        <row r="591">
          <cell r="B591" t="str">
            <v>g.Double centering portico area</v>
          </cell>
          <cell r="C591">
            <v>1662.46</v>
          </cell>
          <cell r="D591" t="str">
            <v>Sqm</v>
          </cell>
        </row>
        <row r="604">
          <cell r="B604" t="str">
            <v>Providing T.W double leaf shutter with 18mm thick BWR Plywood for Cupboard / ward robes shutters (Rest room) 4000x2100mm</v>
          </cell>
          <cell r="C604">
            <v>6981.88</v>
          </cell>
          <cell r="D604" t="str">
            <v>Sqm</v>
          </cell>
        </row>
        <row r="614">
          <cell r="B614" t="str">
            <v xml:space="preserve">a. 1200X2100mm.(Single leaf)  </v>
          </cell>
          <cell r="C614">
            <v>5777.7</v>
          </cell>
          <cell r="D614" t="str">
            <v>Sqm</v>
          </cell>
        </row>
        <row r="619">
          <cell r="B619" t="str">
            <v>TW double leaves shutter of size  with brass fittings a.1800 x 2100mm For PS</v>
          </cell>
          <cell r="C619">
            <v>5533.07</v>
          </cell>
          <cell r="D619" t="str">
            <v>Sqm</v>
          </cell>
        </row>
        <row r="630">
          <cell r="A630" t="str">
            <v>21.5.2</v>
          </cell>
          <cell r="B630" t="str">
            <v>Supply and Fixing Soild UPVC door Shutter with frame</v>
          </cell>
          <cell r="C630">
            <v>3167</v>
          </cell>
          <cell r="D630" t="str">
            <v>Sqm</v>
          </cell>
        </row>
        <row r="656">
          <cell r="A656">
            <v>29.8</v>
          </cell>
          <cell r="B656" t="str">
            <v>Glazed tiles using Grout (Tile Joint Filler)</v>
          </cell>
          <cell r="C656">
            <v>1236.28</v>
          </cell>
          <cell r="D656" t="str">
            <v>Sqm</v>
          </cell>
        </row>
        <row r="658">
          <cell r="A658">
            <v>29.9</v>
          </cell>
          <cell r="B658" t="str">
            <v>Floor ceramic tiles (Anti-skid) using Grout (Tile Joint Filler).</v>
          </cell>
          <cell r="C658">
            <v>1092.05</v>
          </cell>
          <cell r="D658" t="str">
            <v>Sqm</v>
          </cell>
        </row>
        <row r="659">
          <cell r="A659">
            <v>38.4</v>
          </cell>
          <cell r="B659" t="str">
            <v>Two coat of cement paint over one coat white cement</v>
          </cell>
          <cell r="C659">
            <v>114.39</v>
          </cell>
          <cell r="D659" t="str">
            <v>Sqm</v>
          </cell>
        </row>
        <row r="661">
          <cell r="A661">
            <v>38.6</v>
          </cell>
          <cell r="B661" t="str">
            <v>One coat white cement for new walls and other similar works.</v>
          </cell>
          <cell r="C661">
            <v>53.72</v>
          </cell>
          <cell r="D661" t="str">
            <v>Sqm</v>
          </cell>
        </row>
        <row r="663">
          <cell r="A663">
            <v>43</v>
          </cell>
          <cell r="B663" t="str">
            <v xml:space="preserve">Fabrication of Mild steel / RTS grills (without cement slurry) for all sizes of rods.
</v>
          </cell>
          <cell r="C663">
            <v>77593</v>
          </cell>
          <cell r="D663" t="str">
            <v>MT</v>
          </cell>
        </row>
        <row r="664">
          <cell r="A664">
            <v>44.6</v>
          </cell>
          <cell r="B664" t="str">
            <v>PVC SWR 110 mm dia with ISI mark type- A for Rain water down fall pipe</v>
          </cell>
          <cell r="C664">
            <v>321.74</v>
          </cell>
          <cell r="D664" t="str">
            <v>Rmt</v>
          </cell>
        </row>
        <row r="665">
          <cell r="A665">
            <v>50.6</v>
          </cell>
          <cell r="B665" t="str">
            <v>Precast slab 50 mm tk.in C.C. 1:3:6 with fibre</v>
          </cell>
          <cell r="C665">
            <v>373.41</v>
          </cell>
          <cell r="D665" t="str">
            <v>Sqm</v>
          </cell>
        </row>
        <row r="666">
          <cell r="A666">
            <v>52.4</v>
          </cell>
          <cell r="B666" t="str">
            <v>20mm dia PVC water supply ASTM pipe (fully consealed in walls)</v>
          </cell>
          <cell r="C666">
            <v>205.94</v>
          </cell>
          <cell r="D666" t="str">
            <v>Rmt</v>
          </cell>
        </row>
        <row r="667">
          <cell r="A667">
            <v>53.4</v>
          </cell>
          <cell r="B667" t="str">
            <v xml:space="preserve">S&amp;F of C.I Manhole cover 60 x 60 cm (50kg weight ) </v>
          </cell>
          <cell r="C667">
            <v>1846</v>
          </cell>
          <cell r="D667" t="str">
            <v>Each</v>
          </cell>
        </row>
        <row r="668">
          <cell r="B668" t="str">
            <v>Wash Hand  Basin of size 550 x 400 mm
(White with Pedestal)</v>
          </cell>
          <cell r="C668">
            <v>3105.82</v>
          </cell>
          <cell r="D668" t="str">
            <v>Each</v>
          </cell>
        </row>
        <row r="672">
          <cell r="A672">
            <v>58.3</v>
          </cell>
          <cell r="B672" t="str">
            <v>PVC SWR pipe (Soil line) with ISI mark - type 'B'.</v>
          </cell>
        </row>
        <row r="673">
          <cell r="B673" t="str">
            <v>a. 110 mm dia.</v>
          </cell>
          <cell r="C673">
            <v>657.29</v>
          </cell>
          <cell r="D673" t="str">
            <v>Rmt</v>
          </cell>
        </row>
        <row r="674">
          <cell r="B674" t="str">
            <v>b. 75 mm dia.</v>
          </cell>
          <cell r="C674">
            <v>541.41999999999996</v>
          </cell>
          <cell r="D674" t="str">
            <v>Rmt</v>
          </cell>
        </row>
        <row r="675">
          <cell r="A675">
            <v>58.4</v>
          </cell>
          <cell r="B675" t="str">
            <v>Supplying, Laying &amp; Concealing the 50mm dia PVC ( SWR) pipe with ISI mark type - 'B' with relevant specials.</v>
          </cell>
          <cell r="C675">
            <v>114.45</v>
          </cell>
          <cell r="D675" t="str">
            <v>Rmt</v>
          </cell>
        </row>
        <row r="676">
          <cell r="A676">
            <v>58.5</v>
          </cell>
          <cell r="B676" t="str">
            <v>PVC(SWR) pipe with ISI mark - type 'A' for Ventilating shaft with cowl</v>
          </cell>
          <cell r="C676">
            <v>450.1</v>
          </cell>
          <cell r="D676" t="str">
            <v>Each</v>
          </cell>
        </row>
        <row r="686">
          <cell r="B686" t="str">
            <v>Supply and delivery of  48" (1200 mm) Fan with ISI mark with Eletronic Dimmer</v>
          </cell>
          <cell r="C686">
            <v>1437.4</v>
          </cell>
          <cell r="D686" t="str">
            <v>Each</v>
          </cell>
        </row>
        <row r="689">
          <cell r="B689" t="str">
            <v>Run of 2 Wires of 2.5 sqmm PVC insulated single core multi strand fire retardant flexible copper cable with ISI mark confirming IS: 694:1990.</v>
          </cell>
          <cell r="C689">
            <v>209.78</v>
          </cell>
          <cell r="D689" t="str">
            <v>Rmt</v>
          </cell>
        </row>
        <row r="698">
          <cell r="A698">
            <v>44.2</v>
          </cell>
        </row>
        <row r="699">
          <cell r="B699" t="str">
            <v>a). Providing pit (M30)</v>
          </cell>
          <cell r="D699" t="str">
            <v>Each</v>
          </cell>
        </row>
        <row r="700">
          <cell r="B700" t="str">
            <v>b) Augering 30cm dia</v>
          </cell>
          <cell r="C700">
            <v>434.61</v>
          </cell>
          <cell r="D700" t="str">
            <v>Rmt</v>
          </cell>
        </row>
        <row r="701">
          <cell r="B701" t="str">
            <v>Providing Rain water Harvesting well ring of Circular shape of 90mm dia, 60cm depth using Standardised Mix design M20</v>
          </cell>
          <cell r="C701">
            <v>1315.68</v>
          </cell>
          <cell r="D701" t="str">
            <v>Each</v>
          </cell>
          <cell r="E701">
            <v>4</v>
          </cell>
        </row>
        <row r="703">
          <cell r="A703">
            <v>344.2</v>
          </cell>
          <cell r="B703" t="str">
            <v>S&amp;F of Bevelled edge mirror 500 x 400 x 5.5mm</v>
          </cell>
          <cell r="C703">
            <v>379.4</v>
          </cell>
          <cell r="D703" t="str">
            <v>Each</v>
          </cell>
        </row>
        <row r="710">
          <cell r="A710">
            <v>71.2</v>
          </cell>
          <cell r="B710" t="str">
            <v>Supplying and fixing of 32 AMPS Triple pole main switch</v>
          </cell>
          <cell r="C710">
            <v>2084</v>
          </cell>
          <cell r="D710" t="str">
            <v>Each</v>
          </cell>
        </row>
        <row r="712">
          <cell r="B712" t="str">
            <v>3 Nos.of 32Amps - Fuse Unit</v>
          </cell>
          <cell r="C712">
            <v>778</v>
          </cell>
          <cell r="D712" t="str">
            <v>Each</v>
          </cell>
          <cell r="E712">
            <v>2</v>
          </cell>
        </row>
        <row r="713">
          <cell r="B713" t="str">
            <v>1 Nos.of 32Amps - Fuse Unit</v>
          </cell>
          <cell r="C713">
            <v>508.26</v>
          </cell>
          <cell r="D713" t="str">
            <v>Each</v>
          </cell>
        </row>
        <row r="721">
          <cell r="A721">
            <v>448.2</v>
          </cell>
          <cell r="B721" t="str">
            <v xml:space="preserve">Providing PVC Tee with end cap </v>
          </cell>
          <cell r="C721">
            <v>122.25</v>
          </cell>
          <cell r="D721" t="str">
            <v>Each</v>
          </cell>
        </row>
        <row r="723">
          <cell r="B723" t="str">
            <v>Providing wooden Melamine polish for new wood work</v>
          </cell>
          <cell r="C723">
            <v>1298.51</v>
          </cell>
          <cell r="D723" t="str">
            <v>Sqm</v>
          </cell>
        </row>
        <row r="841">
          <cell r="B841" t="str">
            <v xml:space="preserve">S &amp; F of CFL road way lighting luminaries suitable for fixing 36w CFL lamp </v>
          </cell>
          <cell r="C841">
            <v>3190.14</v>
          </cell>
          <cell r="D841" t="str">
            <v>Each</v>
          </cell>
        </row>
        <row r="845">
          <cell r="B845" t="str">
            <v>UPVC Non Pressure  pipe of SN8 SDR 34
( S 16.5) as per IS 15328/2003</v>
          </cell>
        </row>
        <row r="846">
          <cell r="B846" t="str">
            <v>a. 110 mm UPVC Non Pressure  pipe</v>
          </cell>
          <cell r="C846">
            <v>366.07</v>
          </cell>
          <cell r="D846" t="str">
            <v>Rmt</v>
          </cell>
        </row>
        <row r="847">
          <cell r="B847" t="str">
            <v>b. 160 mm UPVC Non Pressure  pipe</v>
          </cell>
          <cell r="C847">
            <v>593.33000000000004</v>
          </cell>
          <cell r="D847" t="str">
            <v>Rmt</v>
          </cell>
        </row>
        <row r="848">
          <cell r="B848" t="str">
            <v>PVC Specials  as per IS 10124/1982 Part II</v>
          </cell>
        </row>
        <row r="849">
          <cell r="B849" t="str">
            <v>a. 110 mm dia PVC bend (TWAD SR 19-20  P-19 S.No-4 )</v>
          </cell>
          <cell r="C849">
            <v>156</v>
          </cell>
          <cell r="D849" t="str">
            <v>Each</v>
          </cell>
        </row>
        <row r="850">
          <cell r="B850" t="str">
            <v>b. 160 mm dia PVC bend (TWAD SR 19-20 P-19 it-1.5, S.No-4 )</v>
          </cell>
          <cell r="C850">
            <v>497</v>
          </cell>
          <cell r="D850" t="str">
            <v>Each</v>
          </cell>
        </row>
        <row r="851">
          <cell r="B851" t="str">
            <v xml:space="preserve">PVC Equal Tee  as per  BIS 7834/1975 </v>
          </cell>
        </row>
        <row r="852">
          <cell r="B852" t="str">
            <v>a. 110 mm dia PVC Equal tee(TWAD SR 19-20 P-19 S.No-9 )</v>
          </cell>
          <cell r="C852">
            <v>186</v>
          </cell>
          <cell r="D852" t="str">
            <v>Each</v>
          </cell>
        </row>
        <row r="853">
          <cell r="B853" t="str">
            <v>b. 160 mm dia PVC Equal tee(TWAD SR 19-20 P-19 S.No-9 )</v>
          </cell>
          <cell r="C853">
            <v>328</v>
          </cell>
          <cell r="D853" t="str">
            <v>Each</v>
          </cell>
        </row>
        <row r="854">
          <cell r="B854" t="str">
            <v xml:space="preserve">S &amp; F of Indian Water closet white glazed (Oriya type) of size 580 x 440mm with PVC SWR grade ' P' or "S' trap   - in G.F.  </v>
          </cell>
          <cell r="C854">
            <v>3030.06</v>
          </cell>
          <cell r="D854" t="str">
            <v>Each</v>
          </cell>
        </row>
        <row r="855">
          <cell r="B855" t="str">
            <v xml:space="preserve">S &amp; F of Indian Water closet white glazed (Oriya type) of size 580 x 440mm  with PVC SWR grade ' P' or "S' trap- Other than  G.F.  </v>
          </cell>
          <cell r="C855">
            <v>4768.38</v>
          </cell>
          <cell r="D855" t="str">
            <v>Each</v>
          </cell>
        </row>
        <row r="856">
          <cell r="B856" t="str">
            <v xml:space="preserve">S &amp; F of E.W.C.(White) 500 mm with PVC SWR grade "P" or "S" TRAP </v>
          </cell>
          <cell r="C856">
            <v>6501.3</v>
          </cell>
          <cell r="D856" t="str">
            <v>Each</v>
          </cell>
        </row>
        <row r="924">
          <cell r="B924" t="str">
            <v>Supply and fixing of 12 watts  LED bulb  (qtn)</v>
          </cell>
          <cell r="C924">
            <v>170</v>
          </cell>
          <cell r="D924" t="str">
            <v>Each</v>
          </cell>
        </row>
        <row r="1025">
          <cell r="B1025" t="str">
            <v>Total</v>
          </cell>
        </row>
      </sheetData>
      <sheetData sheetId="7"/>
      <sheetData sheetId="8"/>
      <sheetData sheetId="9"/>
      <sheetData sheetId="10">
        <row r="126">
          <cell r="R126">
            <v>249.9</v>
          </cell>
        </row>
        <row r="534">
          <cell r="X534">
            <v>1284.18</v>
          </cell>
        </row>
        <row r="535">
          <cell r="X535">
            <v>1288.49</v>
          </cell>
        </row>
        <row r="556">
          <cell r="X556">
            <v>1417.27</v>
          </cell>
        </row>
        <row r="558">
          <cell r="X558">
            <v>1421.65</v>
          </cell>
        </row>
        <row r="559">
          <cell r="X559">
            <v>1430.28</v>
          </cell>
        </row>
        <row r="715">
          <cell r="X715">
            <v>7263.8</v>
          </cell>
        </row>
        <row r="717">
          <cell r="X717">
            <v>7372.27</v>
          </cell>
        </row>
        <row r="718">
          <cell r="X718">
            <v>7585.95</v>
          </cell>
        </row>
        <row r="719">
          <cell r="X719">
            <v>7799.63</v>
          </cell>
        </row>
        <row r="1227">
          <cell r="R1227">
            <v>1354.89</v>
          </cell>
        </row>
        <row r="1246">
          <cell r="R1246">
            <v>1361.71</v>
          </cell>
        </row>
        <row r="1323">
          <cell r="R1323">
            <v>206.91</v>
          </cell>
        </row>
        <row r="2347">
          <cell r="R2347">
            <v>1896.6</v>
          </cell>
        </row>
        <row r="2412">
          <cell r="K2412">
            <v>2016.25</v>
          </cell>
        </row>
        <row r="3112">
          <cell r="AG3112">
            <v>467</v>
          </cell>
          <cell r="AH3112">
            <v>419</v>
          </cell>
        </row>
        <row r="3530">
          <cell r="K3530">
            <v>3198.2</v>
          </cell>
        </row>
      </sheetData>
      <sheetData sheetId="11"/>
      <sheetData sheetId="12">
        <row r="1">
          <cell r="A1" t="str">
            <v>Name of work : Construction of Fire and Rescue service station building with development works at Kadamalaikundu in Theni District.</v>
          </cell>
        </row>
      </sheetData>
      <sheetData sheetId="13">
        <row r="1">
          <cell r="A1" t="str">
            <v>Name of work : Construction of Fire and Rescue service station building with development works at Kadamalaikundu in Theni District.</v>
          </cell>
        </row>
        <row r="957">
          <cell r="I957">
            <v>1</v>
          </cell>
        </row>
        <row r="967">
          <cell r="I967">
            <v>6</v>
          </cell>
        </row>
        <row r="968">
          <cell r="I968">
            <v>4</v>
          </cell>
        </row>
        <row r="970">
          <cell r="I970">
            <v>2</v>
          </cell>
        </row>
        <row r="971">
          <cell r="I971">
            <v>2</v>
          </cell>
        </row>
        <row r="1536">
          <cell r="I1536">
            <v>3</v>
          </cell>
        </row>
        <row r="1537">
          <cell r="I1537">
            <v>3</v>
          </cell>
        </row>
        <row r="1575">
          <cell r="I1575">
            <v>18</v>
          </cell>
        </row>
      </sheetData>
      <sheetData sheetId="14"/>
      <sheetData sheetId="15"/>
      <sheetData sheetId="16"/>
      <sheetData sheetId="17"/>
      <sheetData sheetId="18"/>
      <sheetData sheetId="19"/>
      <sheetData sheetId="20"/>
      <sheetData sheetId="21"/>
      <sheetData sheetId="22"/>
      <sheetData sheetId="23">
        <row r="963">
          <cell r="F963">
            <v>222376</v>
          </cell>
        </row>
      </sheetData>
      <sheetData sheetId="24"/>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ile data ( M30 grade) (2)"/>
      <sheetName val="Abstract "/>
      <sheetName val="G. Abstract"/>
      <sheetName val="pile data "/>
      <sheetName val="  Coastal  Elec.Data "/>
      <sheetName val="lead  charge"/>
      <sheetName val="building"/>
      <sheetName val="Elec.Data"/>
      <sheetName val="Sliding and french window"/>
      <sheetName val="LED data"/>
      <sheetName val="Data"/>
      <sheetName val="G. Abstractfinal"/>
      <sheetName val="main abst"/>
      <sheetName val="main detail"/>
      <sheetName val="sump"/>
      <sheetName val="septic tank"/>
      <sheetName val="Plinth"/>
      <sheetName val="OHT"/>
      <sheetName val="compound"/>
      <sheetName val="Sullage drain"/>
      <sheetName val="paver block"/>
      <sheetName val="Ex. WS"/>
      <sheetName val="UG cable"/>
      <sheetName val="Devp Abst"/>
      <sheetName val="Sheet1"/>
      <sheetName val="main abst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Name of work : Construction of Fire and Rescue service station building with development works at Kadamalaikundu in Theni District.</v>
          </cell>
        </row>
      </sheetData>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pile data ( M30 grade) (2)"/>
      <sheetName val="Abstract "/>
      <sheetName val="G. Abstract"/>
      <sheetName val="pile data "/>
      <sheetName val="  Coastal  Elec.Data "/>
      <sheetName val="lead  charge"/>
      <sheetName val="building"/>
      <sheetName val="Elec.Data"/>
      <sheetName val="Sliding and french window"/>
      <sheetName val="LED data"/>
      <sheetName val="Data"/>
      <sheetName val="G. Abstractfinal"/>
      <sheetName val="main abst"/>
      <sheetName val="main detail"/>
      <sheetName val="sump"/>
      <sheetName val="septic tank"/>
      <sheetName val="Plinth"/>
      <sheetName val="OHT"/>
      <sheetName val="compound"/>
      <sheetName val="Sullage drain"/>
      <sheetName val="paver block"/>
      <sheetName val="Ex. WS"/>
      <sheetName val="UG cable"/>
      <sheetName val="Devp Abst"/>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
          <cell r="A1" t="str">
            <v>Name of work : Construction of Fire and Rescue service station building with development works at Kadamalaikundu in Theni District.</v>
          </cell>
        </row>
      </sheetData>
      <sheetData sheetId="14" refreshError="1"/>
      <sheetData sheetId="15">
        <row r="2">
          <cell r="A2" t="str">
            <v>MADURAI DIVISION</v>
          </cell>
        </row>
      </sheetData>
      <sheetData sheetId="16" refreshError="1"/>
      <sheetData sheetId="17">
        <row r="4">
          <cell r="A4" t="str">
            <v>Name of work : Construction of Fire and Rescue service station building with development works at Kadamalaikundu in Theni District.</v>
          </cell>
        </row>
      </sheetData>
      <sheetData sheetId="18" refreshError="1"/>
      <sheetData sheetId="19" refreshError="1"/>
      <sheetData sheetId="20">
        <row r="1">
          <cell r="A1" t="str">
            <v>Name of work : Construction of Fire and Rescue service station building with development works at Kadamalaikundu in Theni District.</v>
          </cell>
        </row>
      </sheetData>
      <sheetData sheetId="21">
        <row r="2">
          <cell r="A2" t="str">
            <v>Name of work : Construction of Fire and Rescue service station building with development works at Kadamalaikundu in Theni District.</v>
          </cell>
        </row>
      </sheetData>
      <sheetData sheetId="22" refreshError="1"/>
      <sheetData sheetId="23" refreshError="1"/>
      <sheetData sheetId="2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226"/>
  <sheetViews>
    <sheetView view="pageBreakPreview" zoomScale="80" zoomScaleSheetLayoutView="80" workbookViewId="0">
      <selection activeCell="D16" sqref="D16"/>
    </sheetView>
  </sheetViews>
  <sheetFormatPr defaultRowHeight="15.75"/>
  <cols>
    <col min="1" max="1" width="12.77734375" customWidth="1"/>
    <col min="2" max="2" width="8.77734375" customWidth="1"/>
    <col min="3" max="3" width="51.6640625" customWidth="1"/>
    <col min="4" max="4" width="8.44140625" customWidth="1"/>
    <col min="5" max="5" width="7.33203125" customWidth="1"/>
    <col min="6" max="6" width="12.77734375" customWidth="1"/>
    <col min="7" max="7" width="9.109375" customWidth="1"/>
    <col min="8" max="8" width="9" bestFit="1" customWidth="1"/>
    <col min="9" max="9" width="16.88671875" customWidth="1"/>
  </cols>
  <sheetData>
    <row r="1" spans="1:7" ht="17.25">
      <c r="A1" s="546" t="s">
        <v>208</v>
      </c>
      <c r="B1" s="546"/>
      <c r="C1" s="546"/>
      <c r="D1" s="546"/>
      <c r="E1" s="546"/>
      <c r="F1" s="546"/>
    </row>
    <row r="2" spans="1:7" ht="17.25">
      <c r="A2" s="546" t="s">
        <v>207</v>
      </c>
      <c r="B2" s="546"/>
      <c r="C2" s="546"/>
      <c r="D2" s="546"/>
      <c r="E2" s="546"/>
      <c r="F2" s="546"/>
    </row>
    <row r="3" spans="1:7" ht="31.5" customHeight="1">
      <c r="A3" s="547" t="s">
        <v>244</v>
      </c>
      <c r="B3" s="547"/>
      <c r="C3" s="547"/>
      <c r="D3" s="547"/>
      <c r="E3" s="547"/>
      <c r="F3" s="547"/>
    </row>
    <row r="4" spans="1:7" ht="17.25">
      <c r="A4" s="548" t="s">
        <v>375</v>
      </c>
      <c r="B4" s="548"/>
      <c r="C4" s="548"/>
      <c r="D4" s="548"/>
      <c r="E4" s="548"/>
      <c r="F4" s="98"/>
    </row>
    <row r="5" spans="1:7" ht="6" customHeight="1">
      <c r="A5" s="98"/>
      <c r="B5" s="98"/>
      <c r="C5" s="98"/>
      <c r="D5" s="98"/>
      <c r="E5" s="98"/>
      <c r="F5" s="98"/>
    </row>
    <row r="6" spans="1:7" ht="45.75" customHeight="1">
      <c r="B6" s="115"/>
      <c r="C6" s="549" t="s">
        <v>205</v>
      </c>
      <c r="D6" s="549"/>
      <c r="E6" s="549"/>
      <c r="F6" s="115"/>
      <c r="G6" s="4" t="s">
        <v>117</v>
      </c>
    </row>
    <row r="7" spans="1:7" ht="24" customHeight="1">
      <c r="A7" s="114"/>
      <c r="B7" s="550" t="s">
        <v>204</v>
      </c>
      <c r="C7" s="550"/>
      <c r="D7" s="550"/>
      <c r="E7" s="550"/>
      <c r="F7" s="550"/>
      <c r="G7" s="19">
        <v>1.57</v>
      </c>
    </row>
    <row r="8" spans="1:7" ht="28.5" customHeight="1">
      <c r="A8" s="107"/>
      <c r="B8" s="107"/>
      <c r="C8" s="163" t="s">
        <v>203</v>
      </c>
      <c r="D8" s="107"/>
      <c r="E8" s="107"/>
      <c r="F8" s="107"/>
    </row>
    <row r="9" spans="1:7" ht="30.75" customHeight="1">
      <c r="A9" s="109">
        <f>G7</f>
        <v>1.57</v>
      </c>
      <c r="B9" s="107" t="s">
        <v>117</v>
      </c>
      <c r="C9" s="107" t="s">
        <v>220</v>
      </c>
      <c r="D9" s="98"/>
      <c r="E9" s="108" t="e">
        <f>G54</f>
        <v>#REF!</v>
      </c>
      <c r="F9" s="108" t="e">
        <f>A9*E9</f>
        <v>#REF!</v>
      </c>
    </row>
    <row r="10" spans="1:7" ht="30.75" customHeight="1">
      <c r="A10" s="113">
        <f>A9*10/100</f>
        <v>0.157</v>
      </c>
      <c r="B10" s="107" t="s">
        <v>27</v>
      </c>
      <c r="C10" s="107" t="s">
        <v>201</v>
      </c>
      <c r="D10" s="98"/>
      <c r="E10" s="108">
        <v>4000</v>
      </c>
      <c r="F10" s="108">
        <f>A10*E10</f>
        <v>628</v>
      </c>
    </row>
    <row r="11" spans="1:7" ht="30.75" customHeight="1">
      <c r="A11" s="108">
        <v>8</v>
      </c>
      <c r="B11" s="107" t="s">
        <v>39</v>
      </c>
      <c r="C11" s="107" t="s">
        <v>127</v>
      </c>
      <c r="D11" s="98"/>
      <c r="E11" s="108">
        <v>960</v>
      </c>
      <c r="F11" s="108">
        <f>A11*E11</f>
        <v>7680</v>
      </c>
    </row>
    <row r="12" spans="1:7" ht="21" customHeight="1">
      <c r="A12" s="107"/>
      <c r="B12" s="107"/>
      <c r="C12" s="107"/>
      <c r="D12" s="98"/>
      <c r="E12" s="107"/>
      <c r="F12" s="107"/>
    </row>
    <row r="13" spans="1:7" ht="21" customHeight="1">
      <c r="A13" s="107"/>
      <c r="B13" s="107"/>
      <c r="C13" s="107" t="s">
        <v>200</v>
      </c>
      <c r="D13" s="98"/>
      <c r="E13" s="107"/>
      <c r="F13" s="108" t="e">
        <f>SUM(F9:F12)</f>
        <v>#REF!</v>
      </c>
    </row>
    <row r="14" spans="1:7" ht="21" customHeight="1">
      <c r="A14" s="107"/>
      <c r="B14" s="107"/>
      <c r="C14" s="107" t="s">
        <v>87</v>
      </c>
      <c r="D14" s="98"/>
      <c r="E14" s="107"/>
      <c r="F14" s="108" t="e">
        <f>F13/7</f>
        <v>#REF!</v>
      </c>
    </row>
    <row r="15" spans="1:7" ht="21" customHeight="1">
      <c r="A15" s="107"/>
      <c r="B15" s="107"/>
      <c r="C15" s="107" t="s">
        <v>199</v>
      </c>
      <c r="D15" s="98"/>
      <c r="E15" s="107"/>
      <c r="F15" s="107">
        <f>1000/8</f>
        <v>125</v>
      </c>
    </row>
    <row r="16" spans="1:7" ht="21" customHeight="1">
      <c r="A16" s="107"/>
      <c r="B16" s="107"/>
      <c r="C16" s="107"/>
      <c r="D16" s="98"/>
      <c r="E16" s="107"/>
      <c r="F16" s="107"/>
    </row>
    <row r="17" spans="1:13" ht="21" customHeight="1">
      <c r="A17" s="107"/>
      <c r="B17" s="107"/>
      <c r="C17" s="107" t="s">
        <v>87</v>
      </c>
      <c r="D17" s="98"/>
      <c r="E17" s="107"/>
      <c r="F17" s="106" t="e">
        <f>SUM(F14:F16)</f>
        <v>#REF!</v>
      </c>
    </row>
    <row r="18" spans="1:13" ht="21" customHeight="1">
      <c r="A18" s="107"/>
      <c r="B18" s="107"/>
      <c r="C18" s="107" t="s">
        <v>198</v>
      </c>
      <c r="D18" s="107"/>
      <c r="E18" s="107"/>
      <c r="F18" s="107"/>
    </row>
    <row r="19" spans="1:13" ht="21" customHeight="1">
      <c r="A19" s="107"/>
      <c r="B19" s="107"/>
      <c r="C19" s="107"/>
      <c r="D19" s="107"/>
      <c r="E19" s="107"/>
      <c r="F19" s="107"/>
    </row>
    <row r="20" spans="1:13" ht="12.75" customHeight="1">
      <c r="A20" s="107"/>
      <c r="B20" s="107"/>
      <c r="C20" s="107"/>
      <c r="D20" s="107"/>
      <c r="E20" s="107"/>
      <c r="F20" s="107"/>
    </row>
    <row r="21" spans="1:13" s="16" customFormat="1" ht="42" customHeight="1">
      <c r="A21" s="112"/>
      <c r="B21" s="112"/>
      <c r="C21" s="551" t="s">
        <v>197</v>
      </c>
      <c r="D21" s="551"/>
      <c r="E21" s="551"/>
      <c r="F21" s="112"/>
    </row>
    <row r="22" spans="1:13" ht="30.75" customHeight="1">
      <c r="A22" s="111"/>
      <c r="B22" s="550" t="s">
        <v>196</v>
      </c>
      <c r="C22" s="550"/>
      <c r="D22" s="550"/>
      <c r="E22" s="550"/>
      <c r="F22" s="550"/>
      <c r="G22" s="19">
        <v>0.19600000000000001</v>
      </c>
    </row>
    <row r="23" spans="1:13" ht="30.75" customHeight="1">
      <c r="A23" s="107"/>
      <c r="B23" s="107"/>
      <c r="C23" s="110" t="s">
        <v>195</v>
      </c>
      <c r="D23" s="107"/>
      <c r="E23" s="107"/>
      <c r="F23" s="107"/>
    </row>
    <row r="24" spans="1:13" ht="30.75" customHeight="1">
      <c r="A24" s="109">
        <f>G22</f>
        <v>0.19600000000000001</v>
      </c>
      <c r="B24" s="107" t="s">
        <v>117</v>
      </c>
      <c r="C24" s="107" t="s">
        <v>264</v>
      </c>
      <c r="D24" s="98"/>
      <c r="E24" s="108">
        <v>3820</v>
      </c>
      <c r="F24" s="108">
        <f>A24*E24</f>
        <v>748.72</v>
      </c>
    </row>
    <row r="25" spans="1:13" ht="42.75" customHeight="1">
      <c r="A25" s="109">
        <f>+A24</f>
        <v>0.19600000000000001</v>
      </c>
      <c r="B25" s="107" t="s">
        <v>117</v>
      </c>
      <c r="C25" s="545" t="s">
        <v>265</v>
      </c>
      <c r="D25" s="545"/>
      <c r="E25" s="108">
        <f>9.62*5</f>
        <v>48.1</v>
      </c>
      <c r="F25" s="108">
        <f>E25*A25</f>
        <v>9.43</v>
      </c>
      <c r="I25">
        <f>8.69*0.125</f>
        <v>1.0900000000000001</v>
      </c>
    </row>
    <row r="26" spans="1:13" ht="36" customHeight="1">
      <c r="A26" s="109">
        <f>+A25</f>
        <v>0.19600000000000001</v>
      </c>
      <c r="B26" s="107" t="s">
        <v>117</v>
      </c>
      <c r="C26" s="107" t="s">
        <v>266</v>
      </c>
      <c r="D26" s="98"/>
      <c r="E26" s="108">
        <v>30.1</v>
      </c>
      <c r="F26" s="108">
        <f>A26*E26</f>
        <v>5.9</v>
      </c>
      <c r="I26" s="16">
        <f>0.125*26.3</f>
        <v>3.29</v>
      </c>
    </row>
    <row r="27" spans="1:13" ht="17.25">
      <c r="A27" s="108"/>
      <c r="B27" s="107"/>
      <c r="C27" s="107"/>
      <c r="D27" s="98"/>
      <c r="E27" s="108"/>
      <c r="F27" s="108"/>
      <c r="I27">
        <f>26.58/3</f>
        <v>8.86</v>
      </c>
    </row>
    <row r="28" spans="1:13" ht="17.25">
      <c r="A28" s="107"/>
      <c r="B28" s="107"/>
      <c r="C28" s="107" t="s">
        <v>87</v>
      </c>
      <c r="D28" s="98"/>
      <c r="E28" s="107"/>
      <c r="F28" s="106">
        <f>SUM(F24:F27)</f>
        <v>764.05</v>
      </c>
    </row>
    <row r="29" spans="1:13" ht="17.25">
      <c r="A29" s="98"/>
      <c r="B29" s="98"/>
      <c r="C29" s="98"/>
      <c r="D29" s="98"/>
      <c r="E29" s="98"/>
      <c r="F29" s="98"/>
    </row>
    <row r="30" spans="1:13" ht="51" customHeight="1">
      <c r="B30" s="105"/>
      <c r="C30" s="544" t="s">
        <v>192</v>
      </c>
      <c r="D30" s="544"/>
      <c r="E30" s="544"/>
      <c r="F30" s="105"/>
    </row>
    <row r="31" spans="1:13" ht="17.25">
      <c r="A31" s="98"/>
      <c r="B31" s="98"/>
      <c r="C31" s="98"/>
      <c r="D31" s="98"/>
      <c r="E31" s="98"/>
      <c r="F31" s="98"/>
      <c r="M31">
        <f>8.69*3</f>
        <v>26.07</v>
      </c>
    </row>
    <row r="32" spans="1:13" ht="60" customHeight="1">
      <c r="A32" s="101" t="s">
        <v>190</v>
      </c>
      <c r="B32" s="101">
        <v>3</v>
      </c>
      <c r="C32" s="104" t="s">
        <v>191</v>
      </c>
      <c r="E32" s="108">
        <v>9.16</v>
      </c>
      <c r="F32" s="108"/>
      <c r="G32" s="101">
        <f>E32*B32</f>
        <v>27.48</v>
      </c>
    </row>
    <row r="33" spans="1:10" ht="21.75" customHeight="1">
      <c r="A33" s="101" t="s">
        <v>190</v>
      </c>
      <c r="B33" s="101">
        <v>3</v>
      </c>
      <c r="C33" s="103" t="s">
        <v>189</v>
      </c>
      <c r="E33" s="108">
        <v>30.1</v>
      </c>
      <c r="F33" s="108"/>
      <c r="G33" s="101">
        <f>E33*B33</f>
        <v>90.3</v>
      </c>
      <c r="J33" t="s">
        <v>267</v>
      </c>
    </row>
    <row r="34" spans="1:10" ht="17.25">
      <c r="A34" s="101"/>
      <c r="B34" s="101"/>
      <c r="C34" s="102"/>
      <c r="E34" s="108"/>
      <c r="F34" s="108"/>
      <c r="G34" s="101"/>
    </row>
    <row r="35" spans="1:10" ht="17.25">
      <c r="A35" s="101"/>
      <c r="B35" s="101"/>
      <c r="C35" s="102" t="s">
        <v>188</v>
      </c>
      <c r="E35" s="101"/>
      <c r="F35" s="101"/>
      <c r="G35" s="100">
        <f>SUM(G32:G34)</f>
        <v>117.78</v>
      </c>
    </row>
    <row r="36" spans="1:10" ht="17.25">
      <c r="A36" s="98"/>
      <c r="B36" s="98"/>
      <c r="C36" s="98"/>
      <c r="E36" s="98"/>
      <c r="F36" s="98"/>
      <c r="G36" s="98"/>
    </row>
    <row r="37" spans="1:10" ht="17.25" hidden="1">
      <c r="A37" s="98"/>
      <c r="B37" s="98"/>
      <c r="C37" s="98"/>
      <c r="E37" s="98"/>
      <c r="F37" s="98"/>
      <c r="G37" s="98"/>
    </row>
    <row r="38" spans="1:10" ht="17.25" hidden="1">
      <c r="A38" s="98"/>
      <c r="B38" s="98"/>
      <c r="C38" s="98"/>
      <c r="E38" s="98"/>
      <c r="F38" s="98"/>
      <c r="G38" s="98"/>
    </row>
    <row r="39" spans="1:10" ht="3" customHeight="1">
      <c r="A39" s="99"/>
      <c r="B39" s="98"/>
      <c r="C39" s="99"/>
      <c r="E39" s="98"/>
      <c r="F39" s="98"/>
      <c r="G39" s="98"/>
    </row>
    <row r="40" spans="1:10" ht="24" customHeight="1">
      <c r="A40" s="19"/>
      <c r="B40" s="16">
        <v>4.2</v>
      </c>
      <c r="C40" s="16" t="s">
        <v>209</v>
      </c>
    </row>
    <row r="41" spans="1:10" ht="24" customHeight="1">
      <c r="A41" s="19">
        <v>5</v>
      </c>
      <c r="B41" t="s">
        <v>65</v>
      </c>
      <c r="C41" t="s">
        <v>211</v>
      </c>
      <c r="D41" t="e">
        <f>#REF!</f>
        <v>#REF!</v>
      </c>
      <c r="F41" t="e">
        <f>D41*A41</f>
        <v>#REF!</v>
      </c>
    </row>
    <row r="42" spans="1:10" ht="24" customHeight="1">
      <c r="A42" s="19">
        <v>3.3</v>
      </c>
      <c r="B42" t="s">
        <v>65</v>
      </c>
      <c r="C42" t="s">
        <v>212</v>
      </c>
      <c r="D42" t="e">
        <f>#REF!</f>
        <v>#REF!</v>
      </c>
      <c r="F42" t="e">
        <f t="shared" ref="F42:F48" si="0">D42*A42</f>
        <v>#REF!</v>
      </c>
    </row>
    <row r="43" spans="1:10" ht="24" customHeight="1">
      <c r="A43" s="19">
        <v>4.79</v>
      </c>
      <c r="B43" t="s">
        <v>65</v>
      </c>
      <c r="C43" t="s">
        <v>213</v>
      </c>
      <c r="D43" t="e">
        <f>#REF!</f>
        <v>#REF!</v>
      </c>
      <c r="F43" t="e">
        <f t="shared" si="0"/>
        <v>#REF!</v>
      </c>
    </row>
    <row r="44" spans="1:10" ht="24" customHeight="1">
      <c r="A44" s="19">
        <v>4</v>
      </c>
      <c r="B44" t="s">
        <v>27</v>
      </c>
      <c r="C44" t="s">
        <v>20</v>
      </c>
      <c r="D44" t="e">
        <f>#REF!</f>
        <v>#REF!</v>
      </c>
      <c r="F44" t="e">
        <f t="shared" si="0"/>
        <v>#REF!</v>
      </c>
    </row>
    <row r="45" spans="1:10" ht="24" customHeight="1">
      <c r="A45" s="19">
        <v>40</v>
      </c>
      <c r="B45" t="s">
        <v>88</v>
      </c>
      <c r="C45" t="s">
        <v>218</v>
      </c>
      <c r="D45" t="e">
        <f>#REF!</f>
        <v>#REF!</v>
      </c>
      <c r="F45" t="e">
        <f t="shared" si="0"/>
        <v>#REF!</v>
      </c>
    </row>
    <row r="46" spans="1:10" ht="24" customHeight="1">
      <c r="A46" s="19">
        <v>3.5</v>
      </c>
      <c r="B46" t="s">
        <v>72</v>
      </c>
      <c r="C46" t="s">
        <v>26</v>
      </c>
      <c r="D46" t="e">
        <f>#REF!</f>
        <v>#REF!</v>
      </c>
      <c r="F46" t="e">
        <f>D46*A46</f>
        <v>#REF!</v>
      </c>
    </row>
    <row r="47" spans="1:10" ht="24" customHeight="1">
      <c r="A47" s="19">
        <v>21.2</v>
      </c>
      <c r="B47" t="s">
        <v>72</v>
      </c>
      <c r="C47" t="s">
        <v>135</v>
      </c>
      <c r="D47" t="e">
        <f>#REF!</f>
        <v>#REF!</v>
      </c>
      <c r="F47" t="e">
        <f t="shared" si="0"/>
        <v>#REF!</v>
      </c>
    </row>
    <row r="48" spans="1:10" ht="24" customHeight="1">
      <c r="A48" s="19">
        <v>35.299999999999997</v>
      </c>
      <c r="B48" t="s">
        <v>72</v>
      </c>
      <c r="C48" t="s">
        <v>136</v>
      </c>
      <c r="D48" t="e">
        <f>#REF!</f>
        <v>#REF!</v>
      </c>
      <c r="F48" t="e">
        <f t="shared" si="0"/>
        <v>#REF!</v>
      </c>
    </row>
    <row r="49" spans="1:8" ht="24" customHeight="1">
      <c r="A49" s="19"/>
      <c r="C49" s="16" t="s">
        <v>214</v>
      </c>
      <c r="D49" t="e">
        <f>#REF!</f>
        <v>#REF!</v>
      </c>
      <c r="F49" s="16" t="e">
        <f>SUM(F41:F48)</f>
        <v>#REF!</v>
      </c>
    </row>
    <row r="50" spans="1:8" ht="24" customHeight="1">
      <c r="A50" s="19"/>
      <c r="C50" s="16" t="s">
        <v>215</v>
      </c>
      <c r="D50" t="e">
        <f>#REF!</f>
        <v>#REF!</v>
      </c>
      <c r="F50" s="16" t="e">
        <f>F49/10</f>
        <v>#REF!</v>
      </c>
      <c r="G50" t="e">
        <f>F50</f>
        <v>#REF!</v>
      </c>
    </row>
    <row r="51" spans="1:8" ht="24" customHeight="1">
      <c r="A51" s="19">
        <v>1</v>
      </c>
      <c r="B51" t="s">
        <v>65</v>
      </c>
      <c r="C51" t="s">
        <v>137</v>
      </c>
      <c r="D51" t="e">
        <f>#REF!</f>
        <v>#REF!</v>
      </c>
      <c r="F51" t="e">
        <f>D51</f>
        <v>#REF!</v>
      </c>
    </row>
    <row r="52" spans="1:8" ht="24" customHeight="1">
      <c r="A52" s="19"/>
      <c r="C52" t="s">
        <v>216</v>
      </c>
      <c r="F52" s="16" t="e">
        <f>SUM(F50:F51)</f>
        <v>#REF!</v>
      </c>
      <c r="G52" t="e">
        <f>SUM(G50:G51)</f>
        <v>#REF!</v>
      </c>
    </row>
    <row r="53" spans="1:8">
      <c r="A53" s="69" t="s">
        <v>32</v>
      </c>
      <c r="C53" t="s">
        <v>217</v>
      </c>
      <c r="D53" s="69" t="s">
        <v>32</v>
      </c>
      <c r="F53" t="e">
        <f>F52*0.5%</f>
        <v>#REF!</v>
      </c>
      <c r="G53" t="e">
        <f>G52*0.5/100</f>
        <v>#REF!</v>
      </c>
    </row>
    <row r="54" spans="1:8" ht="47.25">
      <c r="A54" s="19"/>
      <c r="B54" s="3"/>
      <c r="C54" s="16" t="s">
        <v>145</v>
      </c>
      <c r="E54" s="9"/>
      <c r="F54" s="17" t="e">
        <f>SUM(F52:F53)</f>
        <v>#REF!</v>
      </c>
      <c r="G54" s="16" t="e">
        <f>SUM(G52:G53)</f>
        <v>#REF!</v>
      </c>
      <c r="H54" s="67" t="s">
        <v>221</v>
      </c>
    </row>
    <row r="55" spans="1:8">
      <c r="A55" s="19"/>
      <c r="B55" s="3"/>
      <c r="E55" s="9"/>
      <c r="F55" s="5" t="s">
        <v>78</v>
      </c>
    </row>
    <row r="56" spans="1:8">
      <c r="A56" s="19"/>
      <c r="B56" s="3"/>
      <c r="C56" s="1" t="s">
        <v>18</v>
      </c>
      <c r="E56" s="9"/>
      <c r="F56" s="17" t="e">
        <f>F54+#REF!</f>
        <v>#REF!</v>
      </c>
    </row>
    <row r="57" spans="1:8">
      <c r="A57" s="19"/>
      <c r="B57" s="3"/>
      <c r="C57" s="1" t="s">
        <v>19</v>
      </c>
      <c r="E57" s="9"/>
      <c r="F57" s="131"/>
    </row>
    <row r="58" spans="1:8">
      <c r="A58" s="19"/>
      <c r="B58" s="3"/>
      <c r="C58" s="1" t="s">
        <v>118</v>
      </c>
      <c r="E58" s="9"/>
      <c r="F58" s="17" t="e">
        <f>F56+#REF!</f>
        <v>#REF!</v>
      </c>
    </row>
    <row r="59" spans="1:8">
      <c r="A59" s="19"/>
      <c r="B59" s="3"/>
      <c r="C59" s="1" t="s">
        <v>15</v>
      </c>
      <c r="E59" s="9"/>
      <c r="F59" s="17"/>
    </row>
    <row r="60" spans="1:8">
      <c r="A60" s="19"/>
      <c r="B60" s="3"/>
      <c r="C60" s="1" t="s">
        <v>75</v>
      </c>
      <c r="E60" s="9"/>
      <c r="F60" s="17" t="e">
        <f>F58+#REF!</f>
        <v>#REF!</v>
      </c>
    </row>
    <row r="61" spans="1:8" ht="17.25">
      <c r="A61" s="98"/>
      <c r="B61" s="98"/>
      <c r="C61" s="98"/>
      <c r="E61" s="98"/>
      <c r="F61" s="98"/>
      <c r="G61" s="98"/>
    </row>
    <row r="62" spans="1:8" ht="7.5" customHeight="1">
      <c r="A62" s="98"/>
      <c r="B62" s="98"/>
      <c r="C62" s="98"/>
      <c r="E62" s="98"/>
      <c r="F62" s="98"/>
      <c r="G62" s="98"/>
    </row>
    <row r="63" spans="1:8" ht="17.25" hidden="1">
      <c r="A63" s="98"/>
      <c r="B63" s="98"/>
      <c r="C63" s="98"/>
      <c r="E63" s="98"/>
      <c r="F63" s="98"/>
      <c r="G63" s="98"/>
    </row>
    <row r="64" spans="1:8" ht="17.25" hidden="1">
      <c r="A64" s="98"/>
      <c r="B64" s="98"/>
      <c r="C64" s="98"/>
      <c r="E64" s="98"/>
      <c r="F64" s="98"/>
      <c r="G64" s="98"/>
    </row>
    <row r="65" spans="1:7" ht="17.25">
      <c r="A65" s="546" t="s">
        <v>208</v>
      </c>
      <c r="B65" s="546"/>
      <c r="C65" s="546"/>
      <c r="D65" s="546"/>
      <c r="E65" s="546"/>
      <c r="F65" s="546"/>
    </row>
    <row r="66" spans="1:7" ht="17.25">
      <c r="A66" s="546" t="s">
        <v>207</v>
      </c>
      <c r="B66" s="546"/>
      <c r="C66" s="546"/>
      <c r="D66" s="546"/>
      <c r="E66" s="546"/>
      <c r="F66" s="546"/>
    </row>
    <row r="67" spans="1:7" ht="17.25">
      <c r="A67" s="547" t="s">
        <v>244</v>
      </c>
      <c r="B67" s="547"/>
      <c r="C67" s="547"/>
      <c r="D67" s="547"/>
      <c r="E67" s="547"/>
      <c r="F67" s="547"/>
    </row>
    <row r="68" spans="1:7" ht="17.25">
      <c r="A68" s="548" t="s">
        <v>206</v>
      </c>
      <c r="B68" s="548"/>
      <c r="C68" s="548"/>
      <c r="D68" s="548"/>
      <c r="E68" s="548"/>
      <c r="F68" s="98"/>
    </row>
    <row r="69" spans="1:7" ht="17.25">
      <c r="A69" s="98"/>
      <c r="B69" s="98"/>
      <c r="C69" s="98"/>
      <c r="D69" s="98"/>
      <c r="E69" s="98"/>
      <c r="F69" s="98"/>
    </row>
    <row r="70" spans="1:7" ht="19.5">
      <c r="B70" s="115"/>
      <c r="C70" s="549" t="s">
        <v>245</v>
      </c>
      <c r="D70" s="549"/>
      <c r="E70" s="549"/>
      <c r="F70" s="115"/>
      <c r="G70" s="4" t="s">
        <v>117</v>
      </c>
    </row>
    <row r="71" spans="1:7" ht="20.25">
      <c r="A71" s="114"/>
      <c r="B71" s="550" t="s">
        <v>246</v>
      </c>
      <c r="C71" s="550"/>
      <c r="D71" s="550"/>
      <c r="E71" s="550"/>
      <c r="F71" s="550"/>
      <c r="G71" s="19">
        <f>3.14*0.45*0.45*8/4</f>
        <v>1.272</v>
      </c>
    </row>
    <row r="72" spans="1:7" ht="39" customHeight="1">
      <c r="A72" s="107"/>
      <c r="B72" s="107"/>
      <c r="C72" s="163" t="s">
        <v>251</v>
      </c>
      <c r="D72" s="107"/>
      <c r="E72" s="107"/>
      <c r="F72" s="107"/>
    </row>
    <row r="73" spans="1:7" ht="28.5" customHeight="1">
      <c r="A73" s="109">
        <f>G71</f>
        <v>1.272</v>
      </c>
      <c r="B73" s="107" t="s">
        <v>117</v>
      </c>
      <c r="C73" s="107" t="s">
        <v>220</v>
      </c>
      <c r="D73" s="98"/>
      <c r="E73" s="108" t="e">
        <f>G54</f>
        <v>#REF!</v>
      </c>
      <c r="F73" s="108" t="e">
        <f>A73*E73</f>
        <v>#REF!</v>
      </c>
    </row>
    <row r="74" spans="1:7" ht="28.5" customHeight="1">
      <c r="A74" s="113">
        <f>A73*10/100</f>
        <v>0.12720000000000001</v>
      </c>
      <c r="B74" s="107" t="s">
        <v>27</v>
      </c>
      <c r="C74" s="107" t="s">
        <v>201</v>
      </c>
      <c r="D74" s="98"/>
      <c r="E74" s="108">
        <v>4000</v>
      </c>
      <c r="F74" s="108">
        <f>A74*E74</f>
        <v>508.8</v>
      </c>
    </row>
    <row r="75" spans="1:7" ht="28.5" customHeight="1">
      <c r="A75" s="108">
        <v>8</v>
      </c>
      <c r="B75" s="107" t="s">
        <v>39</v>
      </c>
      <c r="C75" s="107" t="s">
        <v>127</v>
      </c>
      <c r="D75" s="98"/>
      <c r="E75" s="108">
        <v>960</v>
      </c>
      <c r="F75" s="108">
        <f>A75*E75</f>
        <v>7680</v>
      </c>
    </row>
    <row r="76" spans="1:7" ht="17.25">
      <c r="A76" s="107"/>
      <c r="B76" s="107"/>
      <c r="C76" s="107"/>
      <c r="D76" s="98"/>
      <c r="E76" s="107"/>
      <c r="F76" s="107"/>
    </row>
    <row r="77" spans="1:7" ht="17.25">
      <c r="A77" s="107"/>
      <c r="B77" s="107"/>
      <c r="C77" s="107" t="s">
        <v>200</v>
      </c>
      <c r="D77" s="98"/>
      <c r="E77" s="107"/>
      <c r="F77" s="108" t="e">
        <f>SUM(F73:F76)</f>
        <v>#REF!</v>
      </c>
    </row>
    <row r="78" spans="1:7" ht="17.25">
      <c r="A78" s="107"/>
      <c r="B78" s="107"/>
      <c r="C78" s="107" t="s">
        <v>87</v>
      </c>
      <c r="D78" s="98"/>
      <c r="E78" s="107"/>
      <c r="F78" s="108" t="e">
        <f>F77/7</f>
        <v>#REF!</v>
      </c>
    </row>
    <row r="79" spans="1:7" ht="17.25">
      <c r="A79" s="107"/>
      <c r="B79" s="107"/>
      <c r="C79" s="107" t="s">
        <v>199</v>
      </c>
      <c r="D79" s="98"/>
      <c r="E79" s="107"/>
      <c r="F79" s="107">
        <f>1000/8</f>
        <v>125</v>
      </c>
    </row>
    <row r="80" spans="1:7" ht="17.25">
      <c r="A80" s="107"/>
      <c r="B80" s="107"/>
      <c r="C80" s="107"/>
      <c r="D80" s="98"/>
      <c r="E80" s="107"/>
      <c r="F80" s="107"/>
    </row>
    <row r="81" spans="1:7" ht="17.25">
      <c r="A81" s="107"/>
      <c r="B81" s="107"/>
      <c r="C81" s="107" t="s">
        <v>87</v>
      </c>
      <c r="D81" s="98"/>
      <c r="E81" s="107"/>
      <c r="F81" s="106" t="e">
        <f>SUM(F78:F80)</f>
        <v>#REF!</v>
      </c>
    </row>
    <row r="82" spans="1:7" ht="17.25">
      <c r="A82" s="107"/>
      <c r="B82" s="107"/>
      <c r="C82" s="107" t="s">
        <v>198</v>
      </c>
      <c r="D82" s="107"/>
      <c r="E82" s="107"/>
      <c r="F82" s="107"/>
    </row>
    <row r="83" spans="1:7" ht="17.25">
      <c r="A83" s="107"/>
      <c r="B83" s="107"/>
      <c r="C83" s="107"/>
      <c r="D83" s="107"/>
      <c r="E83" s="107"/>
      <c r="F83" s="107"/>
    </row>
    <row r="84" spans="1:7" ht="17.25">
      <c r="A84" s="107"/>
      <c r="B84" s="107"/>
      <c r="C84" s="107"/>
      <c r="D84" s="107"/>
      <c r="E84" s="107"/>
      <c r="F84" s="107"/>
    </row>
    <row r="85" spans="1:7" ht="17.25">
      <c r="A85" s="112"/>
      <c r="B85" s="112"/>
      <c r="C85" s="551" t="s">
        <v>197</v>
      </c>
      <c r="D85" s="551"/>
      <c r="E85" s="551"/>
      <c r="F85" s="112"/>
      <c r="G85" s="16"/>
    </row>
    <row r="86" spans="1:7" ht="20.25">
      <c r="A86" s="111"/>
      <c r="B86" s="550" t="s">
        <v>247</v>
      </c>
      <c r="C86" s="550"/>
      <c r="D86" s="550"/>
      <c r="E86" s="550"/>
      <c r="F86" s="550"/>
      <c r="G86" s="19">
        <f>3.14*0.45*0.45/4</f>
        <v>0.159</v>
      </c>
    </row>
    <row r="87" spans="1:7" ht="17.25">
      <c r="A87" s="107"/>
      <c r="B87" s="107"/>
      <c r="C87" s="110" t="s">
        <v>195</v>
      </c>
      <c r="D87" s="107"/>
      <c r="E87" s="107"/>
      <c r="F87" s="107"/>
    </row>
    <row r="88" spans="1:7" ht="17.25">
      <c r="A88" s="109">
        <f>G86</f>
        <v>0.159</v>
      </c>
      <c r="B88" s="107" t="s">
        <v>117</v>
      </c>
      <c r="C88" s="107" t="s">
        <v>194</v>
      </c>
      <c r="D88" s="98"/>
      <c r="E88" s="108">
        <f>E24</f>
        <v>3820</v>
      </c>
      <c r="F88" s="108">
        <f>A88*E88</f>
        <v>607.38</v>
      </c>
    </row>
    <row r="89" spans="1:7" ht="17.25">
      <c r="A89" s="109">
        <f>+A88</f>
        <v>0.159</v>
      </c>
      <c r="B89" s="107" t="s">
        <v>117</v>
      </c>
      <c r="C89" s="545" t="s">
        <v>265</v>
      </c>
      <c r="D89" s="545"/>
      <c r="E89" s="108">
        <f>9.62*5</f>
        <v>48.1</v>
      </c>
      <c r="F89" s="108">
        <f>E89*A89</f>
        <v>7.65</v>
      </c>
    </row>
    <row r="90" spans="1:7" ht="17.25">
      <c r="A90" s="109">
        <f>+A89</f>
        <v>0.159</v>
      </c>
      <c r="B90" s="107" t="s">
        <v>117</v>
      </c>
      <c r="C90" s="107" t="s">
        <v>266</v>
      </c>
      <c r="D90" s="98"/>
      <c r="E90" s="108">
        <v>30.1</v>
      </c>
      <c r="F90" s="108">
        <f>A90*E90</f>
        <v>4.79</v>
      </c>
    </row>
    <row r="91" spans="1:7" ht="17.25">
      <c r="A91" s="108"/>
      <c r="B91" s="107"/>
      <c r="C91" s="107"/>
      <c r="D91" s="98"/>
      <c r="E91" s="108"/>
      <c r="F91" s="108"/>
    </row>
    <row r="92" spans="1:7" ht="17.25">
      <c r="A92" s="107"/>
      <c r="B92" s="107"/>
      <c r="C92" s="107" t="s">
        <v>87</v>
      </c>
      <c r="D92" s="98"/>
      <c r="E92" s="107"/>
      <c r="F92" s="106">
        <f>SUM(F88:F91)</f>
        <v>619.82000000000005</v>
      </c>
    </row>
    <row r="93" spans="1:7" ht="17.25">
      <c r="A93" s="98"/>
      <c r="B93" s="98"/>
      <c r="C93" s="98"/>
      <c r="D93" s="98"/>
      <c r="E93" s="98"/>
      <c r="F93" s="98"/>
    </row>
    <row r="94" spans="1:7" ht="17.25">
      <c r="B94" s="105"/>
      <c r="C94" s="544" t="s">
        <v>192</v>
      </c>
      <c r="D94" s="544"/>
      <c r="E94" s="544"/>
      <c r="F94" s="105"/>
    </row>
    <row r="95" spans="1:7" ht="17.25">
      <c r="A95" s="98"/>
      <c r="B95" s="98"/>
      <c r="C95" s="98"/>
      <c r="D95" s="98"/>
      <c r="E95" s="98"/>
      <c r="F95" s="98"/>
    </row>
    <row r="96" spans="1:7" ht="34.5">
      <c r="A96" s="101" t="s">
        <v>190</v>
      </c>
      <c r="B96" s="101">
        <v>3</v>
      </c>
      <c r="C96" s="104" t="s">
        <v>191</v>
      </c>
      <c r="E96" s="101">
        <v>9.6199999999999992</v>
      </c>
      <c r="F96" s="101" t="s">
        <v>65</v>
      </c>
      <c r="G96" s="101">
        <f>E96*B96</f>
        <v>28.86</v>
      </c>
    </row>
    <row r="97" spans="1:7" ht="17.25">
      <c r="A97" s="101" t="s">
        <v>190</v>
      </c>
      <c r="B97" s="101">
        <v>3</v>
      </c>
      <c r="C97" s="103" t="s">
        <v>189</v>
      </c>
      <c r="E97" s="101">
        <f>E90</f>
        <v>30.1</v>
      </c>
      <c r="F97" s="101" t="s">
        <v>65</v>
      </c>
      <c r="G97" s="101">
        <f>E97*B97</f>
        <v>90.3</v>
      </c>
    </row>
    <row r="98" spans="1:7" ht="17.25">
      <c r="A98" s="101"/>
      <c r="B98" s="101"/>
      <c r="C98" s="102"/>
      <c r="E98" s="101"/>
      <c r="F98" s="101"/>
      <c r="G98" s="101"/>
    </row>
    <row r="99" spans="1:7" ht="17.25">
      <c r="A99" s="101"/>
      <c r="B99" s="101"/>
      <c r="C99" s="102" t="s">
        <v>188</v>
      </c>
      <c r="E99" s="101"/>
      <c r="F99" s="101"/>
      <c r="G99" s="100">
        <f>SUM(G96:G98)</f>
        <v>119.16</v>
      </c>
    </row>
    <row r="100" spans="1:7" ht="17.25">
      <c r="A100" s="98"/>
      <c r="B100" s="98"/>
      <c r="C100" s="98"/>
      <c r="E100" s="98"/>
      <c r="F100" s="98"/>
      <c r="G100" s="98"/>
    </row>
    <row r="101" spans="1:7" ht="23.25" hidden="1" customHeight="1">
      <c r="A101" s="98"/>
      <c r="B101" s="98"/>
      <c r="C101" s="98"/>
      <c r="E101" s="98"/>
      <c r="F101" s="98"/>
      <c r="G101" s="98"/>
    </row>
    <row r="102" spans="1:7" ht="23.25" hidden="1" customHeight="1">
      <c r="A102" s="98"/>
      <c r="B102" s="98"/>
      <c r="C102" s="98"/>
      <c r="E102" s="98"/>
      <c r="F102" s="98"/>
      <c r="G102" s="98"/>
    </row>
    <row r="103" spans="1:7" ht="29.25" hidden="1" customHeight="1">
      <c r="A103" s="19"/>
      <c r="B103" s="16">
        <v>4.2</v>
      </c>
      <c r="C103" s="16" t="s">
        <v>209</v>
      </c>
    </row>
    <row r="104" spans="1:7" ht="30" hidden="1" customHeight="1">
      <c r="A104" s="19">
        <v>5</v>
      </c>
      <c r="B104" t="s">
        <v>65</v>
      </c>
      <c r="C104" t="s">
        <v>211</v>
      </c>
      <c r="D104" t="e">
        <f>D41</f>
        <v>#REF!</v>
      </c>
      <c r="F104" t="e">
        <f>D104*A104</f>
        <v>#REF!</v>
      </c>
    </row>
    <row r="105" spans="1:7" ht="30" hidden="1" customHeight="1">
      <c r="A105" s="19">
        <v>3.3</v>
      </c>
      <c r="B105" t="s">
        <v>65</v>
      </c>
      <c r="C105" t="s">
        <v>212</v>
      </c>
      <c r="D105" t="e">
        <f t="shared" ref="D105:D116" si="1">D42</f>
        <v>#REF!</v>
      </c>
      <c r="F105" t="e">
        <f t="shared" ref="F105:F111" si="2">D105*A105</f>
        <v>#REF!</v>
      </c>
    </row>
    <row r="106" spans="1:7" ht="30" hidden="1" customHeight="1">
      <c r="A106" s="19">
        <v>4.79</v>
      </c>
      <c r="B106" t="s">
        <v>65</v>
      </c>
      <c r="C106" t="s">
        <v>213</v>
      </c>
      <c r="D106" t="e">
        <f t="shared" si="1"/>
        <v>#REF!</v>
      </c>
      <c r="F106" t="e">
        <f t="shared" si="2"/>
        <v>#REF!</v>
      </c>
    </row>
    <row r="107" spans="1:7" ht="30" hidden="1" customHeight="1">
      <c r="A107" s="19">
        <v>4</v>
      </c>
      <c r="B107" t="s">
        <v>27</v>
      </c>
      <c r="C107" t="s">
        <v>20</v>
      </c>
      <c r="D107" t="e">
        <f t="shared" si="1"/>
        <v>#REF!</v>
      </c>
      <c r="F107" t="e">
        <f t="shared" si="2"/>
        <v>#REF!</v>
      </c>
    </row>
    <row r="108" spans="1:7" ht="30" hidden="1" customHeight="1">
      <c r="A108" s="19">
        <v>40</v>
      </c>
      <c r="B108" t="s">
        <v>88</v>
      </c>
      <c r="C108" t="s">
        <v>218</v>
      </c>
      <c r="D108" t="e">
        <f t="shared" si="1"/>
        <v>#REF!</v>
      </c>
      <c r="F108" t="e">
        <f t="shared" si="2"/>
        <v>#REF!</v>
      </c>
    </row>
    <row r="109" spans="1:7" ht="30" hidden="1" customHeight="1">
      <c r="A109" s="19">
        <v>3.5</v>
      </c>
      <c r="B109" t="s">
        <v>72</v>
      </c>
      <c r="C109" t="s">
        <v>26</v>
      </c>
      <c r="D109" t="e">
        <f t="shared" si="1"/>
        <v>#REF!</v>
      </c>
      <c r="F109" t="e">
        <f>D109*A109</f>
        <v>#REF!</v>
      </c>
    </row>
    <row r="110" spans="1:7" ht="30" hidden="1" customHeight="1">
      <c r="A110" s="19">
        <v>21.2</v>
      </c>
      <c r="B110" t="s">
        <v>72</v>
      </c>
      <c r="C110" t="s">
        <v>135</v>
      </c>
      <c r="D110" t="e">
        <f t="shared" si="1"/>
        <v>#REF!</v>
      </c>
      <c r="F110" t="e">
        <f t="shared" si="2"/>
        <v>#REF!</v>
      </c>
    </row>
    <row r="111" spans="1:7" ht="30" hidden="1" customHeight="1">
      <c r="A111" s="19">
        <v>35.299999999999997</v>
      </c>
      <c r="B111" t="s">
        <v>72</v>
      </c>
      <c r="C111" t="s">
        <v>136</v>
      </c>
      <c r="D111" t="e">
        <f t="shared" si="1"/>
        <v>#REF!</v>
      </c>
      <c r="F111" t="e">
        <f t="shared" si="2"/>
        <v>#REF!</v>
      </c>
    </row>
    <row r="112" spans="1:7" ht="30" hidden="1" customHeight="1">
      <c r="A112" s="19"/>
      <c r="C112" s="16" t="s">
        <v>214</v>
      </c>
      <c r="D112" t="e">
        <f t="shared" si="1"/>
        <v>#REF!</v>
      </c>
      <c r="F112" s="16" t="e">
        <f>SUM(F104:F111)</f>
        <v>#REF!</v>
      </c>
    </row>
    <row r="113" spans="1:7" ht="30" hidden="1" customHeight="1">
      <c r="A113" s="19"/>
      <c r="C113" s="16" t="s">
        <v>215</v>
      </c>
      <c r="D113" t="e">
        <f t="shared" si="1"/>
        <v>#REF!</v>
      </c>
      <c r="F113" s="16" t="e">
        <f>F112/10</f>
        <v>#REF!</v>
      </c>
      <c r="G113" t="e">
        <f>F113</f>
        <v>#REF!</v>
      </c>
    </row>
    <row r="114" spans="1:7" ht="30" hidden="1" customHeight="1">
      <c r="A114" s="19">
        <v>1</v>
      </c>
      <c r="B114" t="s">
        <v>65</v>
      </c>
      <c r="C114" t="s">
        <v>137</v>
      </c>
      <c r="D114" t="e">
        <f t="shared" si="1"/>
        <v>#REF!</v>
      </c>
      <c r="F114" t="e">
        <f>D114</f>
        <v>#REF!</v>
      </c>
    </row>
    <row r="115" spans="1:7" ht="30" hidden="1" customHeight="1">
      <c r="A115" s="19"/>
      <c r="C115" t="s">
        <v>216</v>
      </c>
      <c r="D115">
        <f t="shared" si="1"/>
        <v>0</v>
      </c>
      <c r="F115" s="16" t="e">
        <f>SUM(F113:F114)</f>
        <v>#REF!</v>
      </c>
      <c r="G115" t="e">
        <f>SUM(G113:G114)</f>
        <v>#REF!</v>
      </c>
    </row>
    <row r="116" spans="1:7" ht="30" hidden="1" customHeight="1">
      <c r="A116" s="69" t="s">
        <v>32</v>
      </c>
      <c r="C116" t="s">
        <v>217</v>
      </c>
      <c r="D116" t="str">
        <f t="shared" si="1"/>
        <v>LS</v>
      </c>
      <c r="F116" t="e">
        <f>F115*0.5%</f>
        <v>#REF!</v>
      </c>
      <c r="G116" t="e">
        <f>G115*0.5/100</f>
        <v>#REF!</v>
      </c>
    </row>
    <row r="117" spans="1:7" ht="30" hidden="1" customHeight="1">
      <c r="A117" s="19"/>
      <c r="B117" s="3"/>
      <c r="C117" s="16" t="s">
        <v>145</v>
      </c>
      <c r="E117" s="9"/>
      <c r="F117" s="17" t="e">
        <f>SUM(F115:F116)</f>
        <v>#REF!</v>
      </c>
      <c r="G117" s="16" t="e">
        <f>SUM(G115:G116)</f>
        <v>#REF!</v>
      </c>
    </row>
    <row r="118" spans="1:7" ht="17.25" hidden="1">
      <c r="A118" s="98"/>
      <c r="B118" s="98"/>
      <c r="C118" s="98"/>
      <c r="E118" s="98"/>
      <c r="F118" s="98"/>
      <c r="G118" s="98"/>
    </row>
    <row r="119" spans="1:7" ht="17.25" hidden="1">
      <c r="A119" s="98"/>
      <c r="B119" s="98"/>
      <c r="C119" s="98"/>
      <c r="E119" s="98"/>
      <c r="F119" s="98"/>
      <c r="G119" s="98"/>
    </row>
    <row r="120" spans="1:7" ht="17.25" hidden="1">
      <c r="A120" s="98"/>
      <c r="B120" s="98"/>
      <c r="C120" s="98"/>
      <c r="E120" s="98"/>
      <c r="F120" s="98"/>
      <c r="G120" s="98"/>
    </row>
    <row r="121" spans="1:7" ht="17.25" hidden="1">
      <c r="A121" s="98"/>
      <c r="B121" s="98"/>
      <c r="C121" s="98"/>
      <c r="E121" s="98"/>
      <c r="F121" s="98"/>
      <c r="G121" s="99"/>
    </row>
    <row r="122" spans="1:7" ht="17.25" hidden="1">
      <c r="A122" s="98"/>
      <c r="B122" s="98"/>
      <c r="C122" s="98"/>
      <c r="E122" s="98"/>
      <c r="F122" s="98"/>
      <c r="G122" s="98"/>
    </row>
    <row r="123" spans="1:7" ht="17.25" hidden="1">
      <c r="A123" s="98"/>
      <c r="B123" s="98"/>
      <c r="C123" s="98"/>
      <c r="E123" s="98"/>
      <c r="F123" s="98"/>
      <c r="G123" s="98"/>
    </row>
    <row r="124" spans="1:7" ht="17.25" hidden="1">
      <c r="A124" s="98"/>
      <c r="B124" s="98"/>
      <c r="C124" s="98"/>
      <c r="E124" s="98"/>
      <c r="F124" s="98"/>
      <c r="G124" s="98"/>
    </row>
    <row r="125" spans="1:7" ht="17.25">
      <c r="A125" s="546" t="s">
        <v>208</v>
      </c>
      <c r="B125" s="546"/>
      <c r="C125" s="546"/>
      <c r="D125" s="546"/>
      <c r="E125" s="546"/>
      <c r="F125" s="546"/>
    </row>
    <row r="126" spans="1:7" ht="17.25">
      <c r="A126" s="546" t="s">
        <v>207</v>
      </c>
      <c r="B126" s="546"/>
      <c r="C126" s="546"/>
      <c r="D126" s="546"/>
      <c r="E126" s="546"/>
      <c r="F126" s="546"/>
    </row>
    <row r="127" spans="1:7" ht="17.25">
      <c r="A127" s="547" t="s">
        <v>244</v>
      </c>
      <c r="B127" s="547"/>
      <c r="C127" s="547"/>
      <c r="D127" s="547"/>
      <c r="E127" s="547"/>
      <c r="F127" s="547"/>
    </row>
    <row r="128" spans="1:7" ht="17.25">
      <c r="A128" s="548" t="s">
        <v>206</v>
      </c>
      <c r="B128" s="548"/>
      <c r="C128" s="548"/>
      <c r="D128" s="548"/>
      <c r="E128" s="548"/>
      <c r="F128" s="98"/>
    </row>
    <row r="129" spans="1:7" ht="17.25">
      <c r="A129" s="98"/>
      <c r="B129" s="98"/>
      <c r="C129" s="98"/>
      <c r="D129" s="98"/>
      <c r="E129" s="98"/>
      <c r="F129" s="98"/>
    </row>
    <row r="130" spans="1:7" ht="19.5">
      <c r="B130" s="115"/>
      <c r="C130" s="549" t="s">
        <v>248</v>
      </c>
      <c r="D130" s="549"/>
      <c r="E130" s="549"/>
      <c r="F130" s="115"/>
      <c r="G130" s="4" t="s">
        <v>117</v>
      </c>
    </row>
    <row r="131" spans="1:7" ht="20.25">
      <c r="A131" s="114"/>
      <c r="B131" s="550" t="s">
        <v>249</v>
      </c>
      <c r="C131" s="550"/>
      <c r="D131" s="550"/>
      <c r="E131" s="550"/>
      <c r="F131" s="550"/>
      <c r="G131" s="19">
        <f>3.14*0.4*0.4*8/4</f>
        <v>1.0049999999999999</v>
      </c>
    </row>
    <row r="132" spans="1:7" ht="39.75" customHeight="1">
      <c r="A132" s="107"/>
      <c r="B132" s="107"/>
      <c r="C132" s="163" t="s">
        <v>252</v>
      </c>
      <c r="D132" s="107"/>
      <c r="E132" s="107"/>
      <c r="F132" s="107"/>
    </row>
    <row r="133" spans="1:7" ht="17.25">
      <c r="A133" s="109">
        <f>G131</f>
        <v>1.0049999999999999</v>
      </c>
      <c r="B133" s="107" t="s">
        <v>117</v>
      </c>
      <c r="C133" s="107" t="s">
        <v>202</v>
      </c>
      <c r="D133" s="98"/>
      <c r="E133" s="108" t="e">
        <f>G117</f>
        <v>#REF!</v>
      </c>
      <c r="F133" s="108" t="e">
        <f>A133*E133</f>
        <v>#REF!</v>
      </c>
    </row>
    <row r="134" spans="1:7" ht="17.25">
      <c r="A134" s="113">
        <f>A133*10/100</f>
        <v>0.10050000000000001</v>
      </c>
      <c r="B134" s="107" t="s">
        <v>27</v>
      </c>
      <c r="C134" s="107" t="s">
        <v>201</v>
      </c>
      <c r="D134" s="98"/>
      <c r="E134" s="108">
        <v>4000</v>
      </c>
      <c r="F134" s="108">
        <f>A134*E134</f>
        <v>402</v>
      </c>
    </row>
    <row r="135" spans="1:7" ht="17.25">
      <c r="A135" s="108">
        <v>8</v>
      </c>
      <c r="B135" s="107" t="s">
        <v>39</v>
      </c>
      <c r="C135" s="107" t="s">
        <v>127</v>
      </c>
      <c r="D135" s="98"/>
      <c r="E135" s="108">
        <v>960</v>
      </c>
      <c r="F135" s="108">
        <f>A135*E135</f>
        <v>7680</v>
      </c>
    </row>
    <row r="136" spans="1:7" ht="17.25">
      <c r="A136" s="107"/>
      <c r="B136" s="107"/>
      <c r="C136" s="107"/>
      <c r="D136" s="98"/>
      <c r="E136" s="107"/>
      <c r="F136" s="107"/>
    </row>
    <row r="137" spans="1:7" ht="17.25">
      <c r="A137" s="107"/>
      <c r="B137" s="107"/>
      <c r="C137" s="107" t="s">
        <v>200</v>
      </c>
      <c r="D137" s="98"/>
      <c r="E137" s="107"/>
      <c r="F137" s="108" t="e">
        <f>SUM(F133:F136)</f>
        <v>#REF!</v>
      </c>
    </row>
    <row r="138" spans="1:7" ht="17.25">
      <c r="A138" s="107"/>
      <c r="B138" s="107"/>
      <c r="C138" s="107" t="s">
        <v>87</v>
      </c>
      <c r="D138" s="98"/>
      <c r="E138" s="107"/>
      <c r="F138" s="108" t="e">
        <f>F137/7</f>
        <v>#REF!</v>
      </c>
    </row>
    <row r="139" spans="1:7" ht="17.25">
      <c r="A139" s="107"/>
      <c r="B139" s="107"/>
      <c r="C139" s="107" t="s">
        <v>199</v>
      </c>
      <c r="D139" s="98"/>
      <c r="E139" s="107"/>
      <c r="F139" s="107">
        <f>1000/8</f>
        <v>125</v>
      </c>
    </row>
    <row r="140" spans="1:7" ht="17.25">
      <c r="A140" s="107"/>
      <c r="B140" s="107"/>
      <c r="C140" s="107"/>
      <c r="D140" s="98"/>
      <c r="E140" s="107"/>
      <c r="F140" s="107"/>
    </row>
    <row r="141" spans="1:7" ht="17.25">
      <c r="A141" s="107"/>
      <c r="B141" s="107"/>
      <c r="C141" s="107" t="s">
        <v>87</v>
      </c>
      <c r="D141" s="98"/>
      <c r="E141" s="107"/>
      <c r="F141" s="106" t="e">
        <f>SUM(F138:F140)</f>
        <v>#REF!</v>
      </c>
    </row>
    <row r="142" spans="1:7" ht="17.25">
      <c r="A142" s="107"/>
      <c r="B142" s="107"/>
      <c r="C142" s="107" t="s">
        <v>198</v>
      </c>
      <c r="D142" s="107"/>
      <c r="E142" s="107"/>
      <c r="F142" s="107"/>
    </row>
    <row r="143" spans="1:7" ht="17.25">
      <c r="A143" s="107"/>
      <c r="B143" s="107"/>
      <c r="C143" s="107"/>
      <c r="D143" s="107"/>
      <c r="E143" s="107"/>
      <c r="F143" s="107"/>
    </row>
    <row r="144" spans="1:7" ht="17.25">
      <c r="A144" s="107"/>
      <c r="B144" s="107"/>
      <c r="C144" s="107"/>
      <c r="D144" s="107"/>
      <c r="E144" s="107"/>
      <c r="F144" s="107"/>
    </row>
    <row r="145" spans="1:7" ht="17.25">
      <c r="A145" s="112"/>
      <c r="B145" s="112"/>
      <c r="C145" s="551" t="s">
        <v>197</v>
      </c>
      <c r="D145" s="551"/>
      <c r="E145" s="551"/>
      <c r="F145" s="112"/>
      <c r="G145" s="16"/>
    </row>
    <row r="146" spans="1:7" ht="20.25">
      <c r="A146" s="111"/>
      <c r="B146" s="550" t="s">
        <v>250</v>
      </c>
      <c r="C146" s="550"/>
      <c r="D146" s="550"/>
      <c r="E146" s="550"/>
      <c r="F146" s="550"/>
      <c r="G146" s="19">
        <f>3.14*0.4*0.4/4</f>
        <v>0.126</v>
      </c>
    </row>
    <row r="147" spans="1:7" ht="17.25">
      <c r="A147" s="107"/>
      <c r="B147" s="107"/>
      <c r="C147" s="110" t="s">
        <v>253</v>
      </c>
      <c r="D147" s="107"/>
      <c r="E147" s="107"/>
      <c r="F147" s="107"/>
    </row>
    <row r="148" spans="1:7" ht="17.25">
      <c r="A148" s="109">
        <f>G146</f>
        <v>0.126</v>
      </c>
      <c r="B148" s="107" t="s">
        <v>117</v>
      </c>
      <c r="C148" s="107" t="s">
        <v>194</v>
      </c>
      <c r="D148" s="98"/>
      <c r="E148" s="108">
        <f>E88</f>
        <v>3820</v>
      </c>
      <c r="F148" s="108">
        <f>A148*E148</f>
        <v>481.32</v>
      </c>
    </row>
    <row r="149" spans="1:7" ht="17.25">
      <c r="A149" s="109">
        <f>+A148</f>
        <v>0.126</v>
      </c>
      <c r="B149" s="107" t="s">
        <v>117</v>
      </c>
      <c r="C149" s="545" t="s">
        <v>193</v>
      </c>
      <c r="D149" s="545"/>
      <c r="E149" s="108">
        <f>E89</f>
        <v>48.1</v>
      </c>
      <c r="F149" s="108">
        <f>E149*A149</f>
        <v>6.06</v>
      </c>
    </row>
    <row r="150" spans="1:7" ht="17.25">
      <c r="A150" s="109">
        <f>+A149</f>
        <v>0.126</v>
      </c>
      <c r="B150" s="107" t="s">
        <v>117</v>
      </c>
      <c r="C150" s="107" t="s">
        <v>189</v>
      </c>
      <c r="D150" s="98"/>
      <c r="E150" s="108">
        <f>E90</f>
        <v>30.1</v>
      </c>
      <c r="F150" s="108">
        <f>A150*E150</f>
        <v>3.79</v>
      </c>
    </row>
    <row r="151" spans="1:7" ht="17.25">
      <c r="A151" s="108"/>
      <c r="B151" s="107"/>
      <c r="C151" s="107"/>
      <c r="D151" s="98"/>
      <c r="E151" s="108"/>
      <c r="F151" s="108"/>
    </row>
    <row r="152" spans="1:7" ht="17.25">
      <c r="A152" s="107"/>
      <c r="B152" s="107"/>
      <c r="C152" s="107" t="s">
        <v>87</v>
      </c>
      <c r="D152" s="98"/>
      <c r="E152" s="107"/>
      <c r="F152" s="106">
        <f>SUM(F148:F151)</f>
        <v>491.17</v>
      </c>
    </row>
    <row r="153" spans="1:7" ht="17.25">
      <c r="A153" s="98"/>
      <c r="B153" s="98"/>
      <c r="C153" s="98"/>
      <c r="D153" s="98"/>
      <c r="E153" s="98"/>
      <c r="F153" s="98"/>
    </row>
    <row r="154" spans="1:7" ht="17.25">
      <c r="B154" s="105"/>
      <c r="C154" s="544" t="s">
        <v>192</v>
      </c>
      <c r="D154" s="544"/>
      <c r="E154" s="544"/>
      <c r="F154" s="105"/>
    </row>
    <row r="155" spans="1:7" ht="17.25">
      <c r="A155" s="98"/>
      <c r="B155" s="98"/>
      <c r="C155" s="98"/>
      <c r="D155" s="98"/>
      <c r="E155" s="98"/>
      <c r="F155" s="98"/>
    </row>
    <row r="156" spans="1:7" ht="34.5">
      <c r="A156" s="101" t="s">
        <v>190</v>
      </c>
      <c r="B156" s="101">
        <v>3</v>
      </c>
      <c r="C156" s="104" t="s">
        <v>191</v>
      </c>
      <c r="E156" s="101">
        <f>E96</f>
        <v>9.6199999999999992</v>
      </c>
      <c r="F156" s="101" t="s">
        <v>65</v>
      </c>
      <c r="G156" s="101">
        <f>E156*B156</f>
        <v>28.86</v>
      </c>
    </row>
    <row r="157" spans="1:7" ht="17.25">
      <c r="A157" s="101" t="s">
        <v>190</v>
      </c>
      <c r="B157" s="101">
        <v>3</v>
      </c>
      <c r="C157" s="103" t="s">
        <v>189</v>
      </c>
      <c r="E157" s="101">
        <f>E97</f>
        <v>30.1</v>
      </c>
      <c r="F157" s="101" t="s">
        <v>65</v>
      </c>
      <c r="G157" s="101">
        <f>E157*B157</f>
        <v>90.3</v>
      </c>
    </row>
    <row r="158" spans="1:7" ht="17.25">
      <c r="A158" s="101"/>
      <c r="B158" s="101"/>
      <c r="C158" s="102"/>
      <c r="E158" s="101"/>
      <c r="F158" s="101"/>
      <c r="G158" s="101"/>
    </row>
    <row r="159" spans="1:7" ht="17.25">
      <c r="A159" s="101"/>
      <c r="B159" s="101"/>
      <c r="C159" s="102" t="s">
        <v>188</v>
      </c>
      <c r="E159" s="101"/>
      <c r="F159" s="101"/>
      <c r="G159" s="100">
        <f>SUM(G156:G158)</f>
        <v>119.16</v>
      </c>
    </row>
    <row r="160" spans="1:7" ht="17.25">
      <c r="A160" s="98"/>
      <c r="B160" s="98"/>
      <c r="C160" s="98"/>
      <c r="E160" s="98"/>
      <c r="F160" s="98"/>
      <c r="G160" s="98"/>
    </row>
    <row r="161" spans="1:7" ht="17.25">
      <c r="A161" s="98"/>
      <c r="B161" s="98"/>
      <c r="C161" s="98"/>
      <c r="E161" s="98"/>
      <c r="F161" s="98"/>
      <c r="G161" s="98"/>
    </row>
    <row r="162" spans="1:7">
      <c r="A162" s="14"/>
      <c r="B162" s="7"/>
      <c r="C162" s="1"/>
    </row>
    <row r="163" spans="1:7">
      <c r="B163" s="3"/>
      <c r="C163" s="1"/>
    </row>
    <row r="164" spans="1:7">
      <c r="B164" s="3"/>
      <c r="C164" s="1"/>
    </row>
    <row r="165" spans="1:7">
      <c r="B165" s="3"/>
      <c r="C165" s="5"/>
    </row>
    <row r="166" spans="1:7">
      <c r="A166" s="8"/>
      <c r="B166" s="7"/>
      <c r="C166" s="1"/>
    </row>
    <row r="167" spans="1:7">
      <c r="A167" s="8"/>
      <c r="B167" s="7"/>
      <c r="C167" s="1"/>
    </row>
    <row r="168" spans="1:7">
      <c r="A168" s="8"/>
      <c r="B168" s="7"/>
      <c r="C168" s="1"/>
    </row>
    <row r="169" spans="1:7">
      <c r="A169" s="17"/>
      <c r="B169" s="66"/>
      <c r="C169" s="15"/>
    </row>
    <row r="170" spans="1:7">
      <c r="A170" s="8"/>
      <c r="B170" s="7"/>
      <c r="C170" s="1"/>
    </row>
    <row r="171" spans="1:7">
      <c r="A171" s="8"/>
      <c r="B171" s="7"/>
      <c r="C171" s="1"/>
    </row>
    <row r="172" spans="1:7">
      <c r="B172" s="7"/>
      <c r="C172" s="1"/>
    </row>
    <row r="173" spans="1:7">
      <c r="C173" s="1"/>
    </row>
    <row r="175" spans="1:7">
      <c r="C175" s="1"/>
      <c r="F175" s="16"/>
    </row>
    <row r="177" spans="1:6">
      <c r="B177" s="3"/>
      <c r="E177" s="9"/>
      <c r="F177" s="5"/>
    </row>
    <row r="178" spans="1:6">
      <c r="B178" s="3"/>
      <c r="C178" s="24"/>
      <c r="D178" s="16"/>
      <c r="E178" s="33"/>
      <c r="F178" s="17"/>
    </row>
    <row r="179" spans="1:6">
      <c r="B179" s="3"/>
      <c r="C179" s="1"/>
      <c r="E179" s="9"/>
      <c r="F179" s="5"/>
    </row>
    <row r="184" spans="1:6">
      <c r="A184" s="12"/>
      <c r="B184" s="7"/>
      <c r="C184" s="15"/>
      <c r="E184" s="9"/>
    </row>
    <row r="185" spans="1:6">
      <c r="A185" s="19"/>
      <c r="B185" s="3"/>
      <c r="C185" s="1"/>
      <c r="E185" s="9"/>
    </row>
    <row r="186" spans="1:6">
      <c r="A186" s="19"/>
      <c r="B186" s="3"/>
      <c r="C186" s="1"/>
      <c r="E186" s="9"/>
    </row>
    <row r="187" spans="1:6">
      <c r="A187" s="19"/>
      <c r="B187" s="3"/>
      <c r="C187" s="1"/>
      <c r="E187" s="9"/>
    </row>
    <row r="188" spans="1:6">
      <c r="A188" s="19"/>
      <c r="B188" s="3"/>
      <c r="C188" s="1"/>
      <c r="E188" s="9"/>
    </row>
    <row r="189" spans="1:6">
      <c r="A189" s="19"/>
      <c r="B189" s="3"/>
      <c r="C189" s="1"/>
      <c r="E189" s="9"/>
    </row>
    <row r="190" spans="1:6">
      <c r="A190" s="19"/>
      <c r="B190" s="3"/>
      <c r="C190" s="1"/>
      <c r="E190" s="9"/>
    </row>
    <row r="191" spans="1:6">
      <c r="A191" s="19"/>
      <c r="B191" s="3"/>
      <c r="C191" s="5"/>
      <c r="D191" s="5"/>
      <c r="E191" s="9"/>
    </row>
    <row r="192" spans="1:6">
      <c r="A192" s="19"/>
      <c r="B192" s="7"/>
      <c r="C192" s="1"/>
      <c r="E192" s="9"/>
    </row>
    <row r="193" spans="1:6">
      <c r="A193" s="19"/>
      <c r="B193" s="3"/>
      <c r="C193" s="1"/>
      <c r="E193" s="9"/>
    </row>
    <row r="194" spans="1:6">
      <c r="A194" s="10"/>
      <c r="B194" s="7"/>
      <c r="C194" s="1"/>
      <c r="D194" s="25"/>
      <c r="E194" s="1"/>
      <c r="F194" s="8"/>
    </row>
    <row r="195" spans="1:6">
      <c r="A195" s="10"/>
      <c r="B195" s="7"/>
      <c r="C195" s="1"/>
      <c r="D195" s="25"/>
      <c r="E195" s="1"/>
      <c r="F195" s="8"/>
    </row>
    <row r="196" spans="1:6">
      <c r="A196" s="10"/>
      <c r="B196" s="7"/>
      <c r="C196" s="1"/>
      <c r="D196" s="25"/>
      <c r="E196" s="1"/>
      <c r="F196" s="8"/>
    </row>
    <row r="197" spans="1:6">
      <c r="A197" s="19"/>
      <c r="B197" s="7"/>
      <c r="C197" s="1"/>
      <c r="D197" s="25"/>
      <c r="E197" s="1"/>
      <c r="F197" s="8"/>
    </row>
    <row r="198" spans="1:6">
      <c r="A198" s="19"/>
      <c r="B198" s="3"/>
      <c r="C198" s="1"/>
      <c r="E198" s="9"/>
      <c r="F198" s="5"/>
    </row>
    <row r="199" spans="1:6">
      <c r="A199" s="19"/>
      <c r="B199" s="3"/>
      <c r="C199" s="2"/>
      <c r="E199" s="9"/>
      <c r="F199" s="8"/>
    </row>
    <row r="200" spans="1:6">
      <c r="A200" s="19"/>
      <c r="B200" s="3"/>
      <c r="E200" s="9"/>
      <c r="F200" s="5"/>
    </row>
    <row r="201" spans="1:6">
      <c r="A201" s="19"/>
      <c r="B201" s="3"/>
      <c r="C201" s="2"/>
      <c r="E201" s="9"/>
      <c r="F201" s="8"/>
    </row>
    <row r="202" spans="1:6">
      <c r="A202" s="19"/>
      <c r="B202" s="3"/>
      <c r="C202" s="1"/>
      <c r="D202" s="8"/>
      <c r="E202" s="1"/>
      <c r="F202" s="17"/>
    </row>
    <row r="203" spans="1:6">
      <c r="A203" s="19"/>
      <c r="B203" s="3"/>
      <c r="C203" s="1"/>
      <c r="D203" s="8"/>
      <c r="E203" s="1"/>
      <c r="F203" s="17"/>
    </row>
    <row r="204" spans="1:6">
      <c r="A204" s="19"/>
      <c r="B204" s="3"/>
      <c r="C204" s="1"/>
      <c r="D204" s="8"/>
      <c r="E204" s="1"/>
      <c r="F204" s="17"/>
    </row>
    <row r="205" spans="1:6">
      <c r="A205" s="19"/>
      <c r="B205" s="3"/>
      <c r="C205" s="1"/>
      <c r="D205" s="8"/>
      <c r="E205" s="1"/>
      <c r="F205" s="17"/>
    </row>
    <row r="206" spans="1:6">
      <c r="A206" s="19"/>
      <c r="B206" s="3"/>
      <c r="C206" s="1"/>
      <c r="D206" s="8"/>
      <c r="E206" s="1"/>
      <c r="F206" s="17"/>
    </row>
    <row r="207" spans="1:6">
      <c r="A207" s="12"/>
      <c r="B207" s="7"/>
      <c r="C207" s="1"/>
      <c r="E207" s="9"/>
      <c r="F207" s="17"/>
    </row>
    <row r="208" spans="1:6">
      <c r="A208" s="19"/>
    </row>
    <row r="209" spans="1:13">
      <c r="A209" s="19"/>
    </row>
    <row r="210" spans="1:13">
      <c r="A210" s="19"/>
    </row>
    <row r="212" spans="1:13">
      <c r="J212" s="16"/>
    </row>
    <row r="213" spans="1:13">
      <c r="J213" s="16"/>
    </row>
    <row r="217" spans="1:13">
      <c r="D217" s="71"/>
    </row>
    <row r="218" spans="1:13">
      <c r="D218" s="71"/>
    </row>
    <row r="219" spans="1:13">
      <c r="M219" s="16"/>
    </row>
    <row r="221" spans="1:13">
      <c r="C221" s="74"/>
      <c r="E221" s="74"/>
      <c r="F221" s="74"/>
      <c r="J221" s="74"/>
      <c r="L221" s="77"/>
      <c r="M221" s="77"/>
    </row>
    <row r="222" spans="1:13">
      <c r="C222" s="74"/>
      <c r="D222" s="16"/>
      <c r="E222" s="76"/>
      <c r="F222" s="76"/>
      <c r="J222" s="76"/>
      <c r="K222" s="16"/>
      <c r="L222" s="16"/>
      <c r="M222" s="16"/>
    </row>
    <row r="223" spans="1:13">
      <c r="C223" s="76"/>
      <c r="E223" s="74"/>
      <c r="F223" s="74"/>
      <c r="J223" s="74"/>
      <c r="L223" s="74"/>
      <c r="M223" s="74"/>
    </row>
    <row r="224" spans="1:13">
      <c r="C224" s="74"/>
      <c r="E224" s="74"/>
      <c r="F224" s="74"/>
      <c r="L224" s="74"/>
      <c r="M224" s="74"/>
    </row>
    <row r="225" spans="3:13">
      <c r="C225" s="74"/>
      <c r="J225" s="74"/>
      <c r="L225" s="16"/>
      <c r="M225" s="16"/>
    </row>
    <row r="226" spans="3:13">
      <c r="C226" s="74"/>
      <c r="D226" s="74"/>
      <c r="E226" s="74"/>
      <c r="F226" s="74"/>
    </row>
  </sheetData>
  <mergeCells count="30">
    <mergeCell ref="B7:F7"/>
    <mergeCell ref="A1:F1"/>
    <mergeCell ref="A2:F2"/>
    <mergeCell ref="A3:F3"/>
    <mergeCell ref="A4:E4"/>
    <mergeCell ref="C6:E6"/>
    <mergeCell ref="B86:F86"/>
    <mergeCell ref="C21:E21"/>
    <mergeCell ref="B22:F22"/>
    <mergeCell ref="C25:D25"/>
    <mergeCell ref="C30:E30"/>
    <mergeCell ref="A65:F65"/>
    <mergeCell ref="A66:F66"/>
    <mergeCell ref="A67:F67"/>
    <mergeCell ref="A68:E68"/>
    <mergeCell ref="C70:E70"/>
    <mergeCell ref="B71:F71"/>
    <mergeCell ref="C85:E85"/>
    <mergeCell ref="C154:E154"/>
    <mergeCell ref="C89:D89"/>
    <mergeCell ref="C94:E94"/>
    <mergeCell ref="A125:F125"/>
    <mergeCell ref="A126:F126"/>
    <mergeCell ref="A127:F127"/>
    <mergeCell ref="A128:E128"/>
    <mergeCell ref="C130:E130"/>
    <mergeCell ref="B131:F131"/>
    <mergeCell ref="C145:E145"/>
    <mergeCell ref="B146:F146"/>
    <mergeCell ref="C149:D149"/>
  </mergeCells>
  <pageMargins left="1.0900000000000001" right="0.43" top="0.75" bottom="0.52" header="0.3" footer="0.3"/>
  <pageSetup paperSize="9" scale="57" orientation="portrait" verticalDpi="300" r:id="rId1"/>
  <rowBreaks count="1" manualBreakCount="1">
    <brk id="61" max="7" man="1"/>
  </rowBreaks>
</worksheet>
</file>

<file path=xl/worksheets/sheet10.xml><?xml version="1.0" encoding="utf-8"?>
<worksheet xmlns="http://schemas.openxmlformats.org/spreadsheetml/2006/main" xmlns:r="http://schemas.openxmlformats.org/officeDocument/2006/relationships">
  <sheetPr>
    <tabColor rgb="FFFFC000"/>
  </sheetPr>
  <dimension ref="A1:I123"/>
  <sheetViews>
    <sheetView view="pageBreakPreview" topLeftCell="A112" zoomScaleSheetLayoutView="100" workbookViewId="0">
      <selection activeCell="E125" sqref="E125"/>
    </sheetView>
  </sheetViews>
  <sheetFormatPr defaultRowHeight="15.75"/>
  <cols>
    <col min="1" max="1" width="5.33203125" customWidth="1"/>
    <col min="2" max="2" width="28.33203125" customWidth="1"/>
    <col min="3" max="4" width="4.77734375" customWidth="1"/>
    <col min="9" max="9" width="10" customWidth="1"/>
  </cols>
  <sheetData>
    <row r="1" spans="1:9" ht="18.75">
      <c r="A1" s="609" t="s">
        <v>1161</v>
      </c>
      <c r="B1" s="610"/>
      <c r="C1" s="610"/>
      <c r="D1" s="610"/>
      <c r="E1" s="610"/>
      <c r="F1" s="610"/>
      <c r="G1" s="610"/>
      <c r="H1" s="610"/>
      <c r="I1" s="611"/>
    </row>
    <row r="2" spans="1:9">
      <c r="A2" s="612" t="s">
        <v>1162</v>
      </c>
      <c r="B2" s="613"/>
      <c r="C2" s="613"/>
      <c r="D2" s="613"/>
      <c r="E2" s="613"/>
      <c r="F2" s="613"/>
      <c r="G2" s="613"/>
      <c r="H2" s="613"/>
      <c r="I2" s="614"/>
    </row>
    <row r="3" spans="1:9">
      <c r="A3" s="390" t="s">
        <v>33</v>
      </c>
      <c r="B3" s="390" t="s">
        <v>1163</v>
      </c>
      <c r="C3" s="612" t="s">
        <v>105</v>
      </c>
      <c r="D3" s="614"/>
      <c r="E3" s="390" t="s">
        <v>456</v>
      </c>
      <c r="F3" s="390" t="s">
        <v>76</v>
      </c>
      <c r="G3" s="390" t="s">
        <v>444</v>
      </c>
      <c r="H3" s="391"/>
      <c r="I3" s="390" t="s">
        <v>1164</v>
      </c>
    </row>
    <row r="4" spans="1:9" ht="37.5">
      <c r="A4" s="295">
        <v>1.1000000000000001</v>
      </c>
      <c r="B4" s="392" t="s">
        <v>1165</v>
      </c>
      <c r="C4" s="299"/>
      <c r="D4" s="299"/>
      <c r="E4" s="299"/>
      <c r="F4" s="299"/>
      <c r="G4" s="299"/>
      <c r="H4" s="299"/>
      <c r="I4" s="299"/>
    </row>
    <row r="5" spans="1:9" ht="18.75">
      <c r="A5" s="295"/>
      <c r="B5" s="392" t="s">
        <v>1166</v>
      </c>
      <c r="C5" s="299"/>
      <c r="D5" s="299"/>
      <c r="E5" s="299"/>
      <c r="F5" s="299"/>
      <c r="G5" s="299"/>
      <c r="H5" s="299"/>
      <c r="I5" s="299"/>
    </row>
    <row r="6" spans="1:9" ht="18.75">
      <c r="A6" s="299"/>
      <c r="B6" s="299" t="s">
        <v>1167</v>
      </c>
      <c r="C6" s="393">
        <v>1</v>
      </c>
      <c r="D6" s="393">
        <v>22</v>
      </c>
      <c r="E6" s="394">
        <v>0.9</v>
      </c>
      <c r="F6" s="394">
        <v>0.9</v>
      </c>
      <c r="G6" s="394">
        <v>0.9</v>
      </c>
      <c r="H6" s="394"/>
      <c r="I6" s="394">
        <f>PRODUCT(C6:H6)</f>
        <v>16.04</v>
      </c>
    </row>
    <row r="7" spans="1:9" ht="18.75">
      <c r="A7" s="299"/>
      <c r="B7" s="299" t="s">
        <v>1168</v>
      </c>
      <c r="C7" s="393">
        <v>1</v>
      </c>
      <c r="D7" s="393">
        <v>14</v>
      </c>
      <c r="E7" s="394">
        <v>0.9</v>
      </c>
      <c r="F7" s="394">
        <v>0.9</v>
      </c>
      <c r="G7" s="394">
        <v>0.9</v>
      </c>
      <c r="H7" s="394"/>
      <c r="I7" s="394">
        <f t="shared" ref="I7:I11" si="0">PRODUCT(C7:H7)</f>
        <v>10.210000000000001</v>
      </c>
    </row>
    <row r="8" spans="1:9" ht="18.75">
      <c r="A8" s="299"/>
      <c r="B8" s="299" t="s">
        <v>1169</v>
      </c>
      <c r="C8" s="393">
        <v>1</v>
      </c>
      <c r="D8" s="393">
        <v>29</v>
      </c>
      <c r="E8" s="394">
        <v>0.9</v>
      </c>
      <c r="F8" s="394">
        <v>0.9</v>
      </c>
      <c r="G8" s="394">
        <v>0.9</v>
      </c>
      <c r="H8" s="394"/>
      <c r="I8" s="394">
        <f t="shared" si="0"/>
        <v>21.14</v>
      </c>
    </row>
    <row r="9" spans="1:9" ht="18.75">
      <c r="A9" s="299"/>
      <c r="B9" s="299" t="s">
        <v>1170</v>
      </c>
      <c r="C9" s="393">
        <v>1</v>
      </c>
      <c r="D9" s="393">
        <v>20</v>
      </c>
      <c r="E9" s="394">
        <v>0.9</v>
      </c>
      <c r="F9" s="394">
        <v>0.9</v>
      </c>
      <c r="G9" s="394">
        <v>0.9</v>
      </c>
      <c r="H9" s="394"/>
      <c r="I9" s="394">
        <f t="shared" si="0"/>
        <v>14.58</v>
      </c>
    </row>
    <row r="10" spans="1:9" ht="18.75">
      <c r="A10" s="299"/>
      <c r="B10" s="299" t="s">
        <v>1171</v>
      </c>
      <c r="C10" s="393">
        <v>4</v>
      </c>
      <c r="D10" s="393">
        <v>2</v>
      </c>
      <c r="E10" s="394">
        <v>0.9</v>
      </c>
      <c r="F10" s="394">
        <v>0.9</v>
      </c>
      <c r="G10" s="394">
        <v>0.9</v>
      </c>
      <c r="H10" s="394"/>
      <c r="I10" s="394">
        <f t="shared" si="0"/>
        <v>5.83</v>
      </c>
    </row>
    <row r="11" spans="1:9" ht="18.75">
      <c r="A11" s="299"/>
      <c r="B11" s="299" t="s">
        <v>1172</v>
      </c>
      <c r="C11" s="393">
        <v>1</v>
      </c>
      <c r="D11" s="393">
        <v>1</v>
      </c>
      <c r="E11" s="393">
        <v>199.8</v>
      </c>
      <c r="F11" s="394">
        <v>0.38</v>
      </c>
      <c r="G11" s="394">
        <v>0.4</v>
      </c>
      <c r="H11" s="394"/>
      <c r="I11" s="394">
        <f t="shared" si="0"/>
        <v>30.37</v>
      </c>
    </row>
    <row r="12" spans="1:9" ht="16.5">
      <c r="A12" s="390"/>
      <c r="B12" s="390"/>
      <c r="C12" s="395"/>
      <c r="D12" s="396"/>
      <c r="E12" s="396"/>
      <c r="F12" s="390"/>
      <c r="G12" s="390"/>
      <c r="H12" s="390" t="s">
        <v>1173</v>
      </c>
      <c r="I12" s="397">
        <f>SUM(I6:I11)</f>
        <v>98.17</v>
      </c>
    </row>
    <row r="13" spans="1:9" ht="16.5">
      <c r="A13" s="390"/>
      <c r="B13" s="390"/>
      <c r="C13" s="395"/>
      <c r="D13" s="396"/>
      <c r="E13" s="396"/>
      <c r="F13" s="390"/>
      <c r="G13" s="390" t="s">
        <v>261</v>
      </c>
      <c r="H13" s="390" t="s">
        <v>1173</v>
      </c>
      <c r="I13" s="397">
        <f>ROUNDUP(I12,1)</f>
        <v>98.2</v>
      </c>
    </row>
    <row r="14" spans="1:9" ht="37.5">
      <c r="A14" s="295">
        <v>3.1</v>
      </c>
      <c r="B14" s="392" t="s">
        <v>1174</v>
      </c>
      <c r="C14" s="393"/>
      <c r="D14" s="393"/>
      <c r="E14" s="393"/>
      <c r="F14" s="394"/>
      <c r="G14" s="394"/>
      <c r="H14" s="394"/>
      <c r="I14" s="398"/>
    </row>
    <row r="15" spans="1:9" ht="18.75">
      <c r="A15" s="295"/>
      <c r="B15" s="299" t="s">
        <v>1167</v>
      </c>
      <c r="C15" s="393">
        <v>1</v>
      </c>
      <c r="D15" s="393">
        <v>22</v>
      </c>
      <c r="E15" s="394">
        <v>0.9</v>
      </c>
      <c r="F15" s="394">
        <v>0.9</v>
      </c>
      <c r="G15" s="394">
        <v>0.1</v>
      </c>
      <c r="H15" s="394"/>
      <c r="I15" s="394">
        <f>PRODUCT(C15:H15)</f>
        <v>1.78</v>
      </c>
    </row>
    <row r="16" spans="1:9" ht="18.75">
      <c r="A16" s="295"/>
      <c r="B16" s="299" t="s">
        <v>1168</v>
      </c>
      <c r="C16" s="393">
        <v>1</v>
      </c>
      <c r="D16" s="393">
        <v>14</v>
      </c>
      <c r="E16" s="394">
        <v>0.9</v>
      </c>
      <c r="F16" s="394">
        <v>0.9</v>
      </c>
      <c r="G16" s="394">
        <v>0.1</v>
      </c>
      <c r="H16" s="394"/>
      <c r="I16" s="394">
        <f t="shared" ref="I16:I21" si="1">PRODUCT(C16:H16)</f>
        <v>1.1299999999999999</v>
      </c>
    </row>
    <row r="17" spans="1:9" ht="18.75">
      <c r="A17" s="295"/>
      <c r="B17" s="299" t="s">
        <v>1169</v>
      </c>
      <c r="C17" s="393">
        <v>1</v>
      </c>
      <c r="D17" s="393">
        <v>29</v>
      </c>
      <c r="E17" s="394">
        <v>0.9</v>
      </c>
      <c r="F17" s="394">
        <v>0.9</v>
      </c>
      <c r="G17" s="394">
        <v>0.1</v>
      </c>
      <c r="H17" s="394"/>
      <c r="I17" s="394">
        <f t="shared" si="1"/>
        <v>2.35</v>
      </c>
    </row>
    <row r="18" spans="1:9" ht="18.75">
      <c r="A18" s="295"/>
      <c r="B18" s="299" t="s">
        <v>1170</v>
      </c>
      <c r="C18" s="393">
        <v>1</v>
      </c>
      <c r="D18" s="393">
        <v>20</v>
      </c>
      <c r="E18" s="394">
        <v>0.9</v>
      </c>
      <c r="F18" s="394">
        <v>0.9</v>
      </c>
      <c r="G18" s="394">
        <v>0.1</v>
      </c>
      <c r="H18" s="394"/>
      <c r="I18" s="394">
        <f t="shared" si="1"/>
        <v>1.62</v>
      </c>
    </row>
    <row r="19" spans="1:9" ht="18.75">
      <c r="A19" s="295"/>
      <c r="B19" s="299" t="s">
        <v>1171</v>
      </c>
      <c r="C19" s="393">
        <v>4</v>
      </c>
      <c r="D19" s="393">
        <v>2</v>
      </c>
      <c r="E19" s="394">
        <v>0.9</v>
      </c>
      <c r="F19" s="394">
        <v>0.9</v>
      </c>
      <c r="G19" s="394">
        <v>0.1</v>
      </c>
      <c r="H19" s="394"/>
      <c r="I19" s="394">
        <f t="shared" si="1"/>
        <v>0.65</v>
      </c>
    </row>
    <row r="20" spans="1:9" ht="18.75">
      <c r="A20" s="295"/>
      <c r="B20" s="299" t="s">
        <v>1172</v>
      </c>
      <c r="C20" s="393">
        <v>1</v>
      </c>
      <c r="D20" s="393">
        <v>1</v>
      </c>
      <c r="E20" s="394">
        <v>199.8</v>
      </c>
      <c r="F20" s="394">
        <v>0.38</v>
      </c>
      <c r="G20" s="394">
        <v>0.1</v>
      </c>
      <c r="H20" s="394"/>
      <c r="I20" s="394">
        <f t="shared" si="1"/>
        <v>7.59</v>
      </c>
    </row>
    <row r="21" spans="1:9" ht="18.75">
      <c r="A21" s="299"/>
      <c r="B21" s="299" t="s">
        <v>495</v>
      </c>
      <c r="C21" s="393">
        <v>-1</v>
      </c>
      <c r="D21" s="393">
        <f>85+8</f>
        <v>93</v>
      </c>
      <c r="E21" s="393">
        <v>0.23</v>
      </c>
      <c r="F21" s="394">
        <v>0.23</v>
      </c>
      <c r="G21" s="394">
        <v>0.1</v>
      </c>
      <c r="H21" s="394"/>
      <c r="I21" s="394">
        <f t="shared" si="1"/>
        <v>-0.49</v>
      </c>
    </row>
    <row r="22" spans="1:9" ht="18.75">
      <c r="A22" s="299"/>
      <c r="B22" s="299"/>
      <c r="C22" s="393"/>
      <c r="D22" s="393"/>
      <c r="E22" s="393"/>
      <c r="F22" s="394"/>
      <c r="G22" s="394"/>
      <c r="H22" s="390" t="s">
        <v>1173</v>
      </c>
      <c r="I22" s="398">
        <f>+SUM(I15:I21)</f>
        <v>14.63</v>
      </c>
    </row>
    <row r="23" spans="1:9" ht="18.75">
      <c r="A23" s="299"/>
      <c r="B23" s="299"/>
      <c r="C23" s="393"/>
      <c r="D23" s="393"/>
      <c r="E23" s="393"/>
      <c r="F23" s="394"/>
      <c r="G23" s="394" t="s">
        <v>261</v>
      </c>
      <c r="H23" s="390" t="s">
        <v>1173</v>
      </c>
      <c r="I23" s="397">
        <f>ROUNDUP(I22,1)</f>
        <v>14.7</v>
      </c>
    </row>
    <row r="24" spans="1:9" ht="37.5">
      <c r="A24" s="295" t="s">
        <v>219</v>
      </c>
      <c r="B24" s="392" t="s">
        <v>210</v>
      </c>
      <c r="C24" s="393"/>
      <c r="D24" s="393"/>
      <c r="E24" s="393"/>
      <c r="F24" s="394"/>
      <c r="G24" s="394"/>
      <c r="H24" s="399"/>
      <c r="I24" s="398"/>
    </row>
    <row r="25" spans="1:9" ht="18.75">
      <c r="A25" s="295"/>
      <c r="B25" s="392" t="s">
        <v>1175</v>
      </c>
      <c r="C25" s="393"/>
      <c r="D25" s="393"/>
      <c r="E25" s="393"/>
      <c r="F25" s="394"/>
      <c r="G25" s="394"/>
      <c r="H25" s="399"/>
      <c r="I25" s="398"/>
    </row>
    <row r="26" spans="1:9" ht="18.75">
      <c r="A26" s="295"/>
      <c r="B26" s="400" t="s">
        <v>1176</v>
      </c>
      <c r="C26" s="393">
        <v>1</v>
      </c>
      <c r="D26" s="393">
        <v>93</v>
      </c>
      <c r="E26" s="394">
        <v>0.75</v>
      </c>
      <c r="F26" s="394">
        <v>0.75</v>
      </c>
      <c r="G26" s="394">
        <v>0.3</v>
      </c>
      <c r="H26" s="399"/>
      <c r="I26" s="394">
        <f>PRODUCT(C26:H26)</f>
        <v>15.69</v>
      </c>
    </row>
    <row r="27" spans="1:9" ht="18.75">
      <c r="A27" s="295"/>
      <c r="B27" s="400" t="s">
        <v>1177</v>
      </c>
      <c r="C27" s="393">
        <v>1</v>
      </c>
      <c r="D27" s="393">
        <v>91</v>
      </c>
      <c r="E27" s="394">
        <v>0.23</v>
      </c>
      <c r="F27" s="394">
        <v>0.23</v>
      </c>
      <c r="G27" s="394">
        <v>0.56999999999999995</v>
      </c>
      <c r="H27" s="399"/>
      <c r="I27" s="394">
        <f>PRODUCT(C27:H27)</f>
        <v>2.74</v>
      </c>
    </row>
    <row r="28" spans="1:9" ht="18.75">
      <c r="A28" s="295"/>
      <c r="B28" s="400" t="s">
        <v>1178</v>
      </c>
      <c r="C28" s="393">
        <v>1</v>
      </c>
      <c r="D28" s="393">
        <v>2</v>
      </c>
      <c r="E28" s="394">
        <v>0.23</v>
      </c>
      <c r="F28" s="394">
        <v>0.3</v>
      </c>
      <c r="G28" s="394">
        <v>0.56999999999999995</v>
      </c>
      <c r="H28" s="399"/>
      <c r="I28" s="401">
        <f>PRODUCT(C28:H28)</f>
        <v>0.08</v>
      </c>
    </row>
    <row r="29" spans="1:9" ht="18.75">
      <c r="A29" s="299"/>
      <c r="B29" s="299" t="s">
        <v>1179</v>
      </c>
      <c r="C29" s="393">
        <v>1</v>
      </c>
      <c r="D29" s="393">
        <v>1</v>
      </c>
      <c r="E29" s="393">
        <v>199.8</v>
      </c>
      <c r="F29" s="394">
        <v>0.23</v>
      </c>
      <c r="G29" s="394">
        <v>0.23</v>
      </c>
      <c r="H29" s="394"/>
      <c r="I29" s="394">
        <f t="shared" ref="I29:I60" si="2">PRODUCT(C29:H29)</f>
        <v>10.57</v>
      </c>
    </row>
    <row r="30" spans="1:9" ht="18.75">
      <c r="A30" s="299"/>
      <c r="B30" s="299" t="s">
        <v>495</v>
      </c>
      <c r="C30" s="393">
        <v>-1</v>
      </c>
      <c r="D30" s="393">
        <v>93</v>
      </c>
      <c r="E30" s="393">
        <v>0.23</v>
      </c>
      <c r="F30" s="394">
        <v>0.23</v>
      </c>
      <c r="G30" s="394">
        <v>0.23</v>
      </c>
      <c r="H30" s="394"/>
      <c r="I30" s="394">
        <f t="shared" si="2"/>
        <v>-1.1299999999999999</v>
      </c>
    </row>
    <row r="31" spans="1:9" ht="18.75">
      <c r="A31" s="299"/>
      <c r="B31" s="299"/>
      <c r="C31" s="393"/>
      <c r="D31" s="393"/>
      <c r="E31" s="393"/>
      <c r="F31" s="394"/>
      <c r="G31" s="394"/>
      <c r="H31" s="390" t="s">
        <v>1173</v>
      </c>
      <c r="I31" s="398">
        <f>+SUM(I26:I30)</f>
        <v>27.95</v>
      </c>
    </row>
    <row r="32" spans="1:9" ht="18.75">
      <c r="A32" s="299"/>
      <c r="B32" s="299"/>
      <c r="C32" s="393"/>
      <c r="D32" s="393"/>
      <c r="E32" s="393"/>
      <c r="F32" s="394"/>
      <c r="G32" s="394" t="s">
        <v>261</v>
      </c>
      <c r="H32" s="390" t="s">
        <v>1173</v>
      </c>
      <c r="I32" s="397">
        <f>ROUNDUP(I31,1)</f>
        <v>28</v>
      </c>
    </row>
    <row r="33" spans="1:9" ht="37.5">
      <c r="A33" s="402">
        <v>6.5</v>
      </c>
      <c r="B33" s="392" t="s">
        <v>1180</v>
      </c>
      <c r="C33" s="393"/>
      <c r="D33" s="393"/>
      <c r="E33" s="393"/>
      <c r="F33" s="394"/>
      <c r="G33" s="394"/>
      <c r="H33" s="399"/>
      <c r="I33" s="394"/>
    </row>
    <row r="34" spans="1:9" ht="18.75">
      <c r="A34" s="402"/>
      <c r="B34" s="400" t="s">
        <v>503</v>
      </c>
      <c r="C34" s="393">
        <v>1</v>
      </c>
      <c r="D34" s="393">
        <v>1</v>
      </c>
      <c r="E34" s="393">
        <v>199.8</v>
      </c>
      <c r="F34" s="394">
        <v>0.23</v>
      </c>
      <c r="G34" s="394">
        <v>0.12</v>
      </c>
      <c r="H34" s="393"/>
      <c r="I34" s="394">
        <f t="shared" si="2"/>
        <v>5.51</v>
      </c>
    </row>
    <row r="35" spans="1:9" ht="18.75">
      <c r="A35" s="299"/>
      <c r="B35" s="299"/>
      <c r="C35" s="393"/>
      <c r="D35" s="393"/>
      <c r="E35" s="393"/>
      <c r="F35" s="394"/>
      <c r="G35" s="394"/>
      <c r="H35" s="390" t="s">
        <v>1173</v>
      </c>
      <c r="I35" s="398">
        <f>I34</f>
        <v>5.51</v>
      </c>
    </row>
    <row r="36" spans="1:9" ht="18.75">
      <c r="A36" s="299"/>
      <c r="B36" s="299"/>
      <c r="C36" s="393"/>
      <c r="D36" s="393"/>
      <c r="E36" s="393"/>
      <c r="F36" s="394"/>
      <c r="G36" s="394" t="s">
        <v>261</v>
      </c>
      <c r="H36" s="390" t="s">
        <v>1173</v>
      </c>
      <c r="I36" s="397">
        <f>ROUNDUP(I35,1)</f>
        <v>5.6</v>
      </c>
    </row>
    <row r="37" spans="1:9" ht="37.5">
      <c r="A37" s="295">
        <v>8.1</v>
      </c>
      <c r="B37" s="392" t="s">
        <v>1181</v>
      </c>
      <c r="C37" s="393"/>
      <c r="D37" s="393"/>
      <c r="E37" s="393"/>
      <c r="F37" s="394"/>
      <c r="G37" s="394"/>
      <c r="H37" s="399"/>
      <c r="I37" s="394"/>
    </row>
    <row r="38" spans="1:9" ht="18.75">
      <c r="A38" s="299"/>
      <c r="B38" s="299" t="s">
        <v>1182</v>
      </c>
      <c r="C38" s="393"/>
      <c r="D38" s="393"/>
      <c r="E38" s="393"/>
      <c r="F38" s="394"/>
      <c r="G38" s="394"/>
      <c r="H38" s="394"/>
      <c r="I38" s="394"/>
    </row>
    <row r="39" spans="1:9" ht="18.75">
      <c r="A39" s="299"/>
      <c r="B39" s="299" t="s">
        <v>1183</v>
      </c>
      <c r="C39" s="393">
        <v>1</v>
      </c>
      <c r="D39" s="393">
        <v>2</v>
      </c>
      <c r="E39" s="394">
        <v>0.23</v>
      </c>
      <c r="F39" s="394">
        <v>0.3</v>
      </c>
      <c r="G39" s="394">
        <v>1.5</v>
      </c>
      <c r="H39" s="403"/>
      <c r="I39" s="394">
        <f>PRODUCT(C39:G39)</f>
        <v>0.21</v>
      </c>
    </row>
    <row r="40" spans="1:9" ht="37.5">
      <c r="A40" s="299"/>
      <c r="B40" s="404" t="s">
        <v>1184</v>
      </c>
      <c r="C40" s="393">
        <v>1</v>
      </c>
      <c r="D40" s="393">
        <v>1</v>
      </c>
      <c r="E40" s="393">
        <v>199.8</v>
      </c>
      <c r="F40" s="394">
        <v>0.23</v>
      </c>
      <c r="G40" s="394">
        <v>0.1</v>
      </c>
      <c r="H40" s="393"/>
      <c r="I40" s="394">
        <f t="shared" ref="I40" si="3">PRODUCT(C40:H40)</f>
        <v>4.5999999999999996</v>
      </c>
    </row>
    <row r="41" spans="1:9" ht="18.75">
      <c r="A41" s="299"/>
      <c r="B41" s="299"/>
      <c r="C41" s="393"/>
      <c r="D41" s="393"/>
      <c r="E41" s="394"/>
      <c r="F41" s="394"/>
      <c r="G41" s="394"/>
      <c r="H41" s="390" t="s">
        <v>1173</v>
      </c>
      <c r="I41" s="398">
        <f>+SUM(I39:I40)</f>
        <v>4.8099999999999996</v>
      </c>
    </row>
    <row r="42" spans="1:9" ht="18.75">
      <c r="A42" s="299"/>
      <c r="B42" s="299"/>
      <c r="C42" s="393"/>
      <c r="D42" s="393"/>
      <c r="E42" s="394"/>
      <c r="F42" s="394"/>
      <c r="G42" s="394" t="s">
        <v>261</v>
      </c>
      <c r="H42" s="390" t="s">
        <v>1173</v>
      </c>
      <c r="I42" s="405">
        <f>ROUNDUP(I41,1)</f>
        <v>4.9000000000000004</v>
      </c>
    </row>
    <row r="43" spans="1:9" ht="18.75">
      <c r="A43" s="295">
        <v>9.5</v>
      </c>
      <c r="B43" s="392" t="s">
        <v>1185</v>
      </c>
      <c r="C43" s="393"/>
      <c r="D43" s="393"/>
      <c r="E43" s="393"/>
      <c r="F43" s="394"/>
      <c r="G43" s="394"/>
      <c r="H43" s="399"/>
      <c r="I43" s="394"/>
    </row>
    <row r="44" spans="1:9" ht="18.75">
      <c r="A44" s="299"/>
      <c r="B44" s="299" t="s">
        <v>1182</v>
      </c>
      <c r="C44" s="393"/>
      <c r="D44" s="393"/>
      <c r="E44" s="393"/>
      <c r="F44" s="394"/>
      <c r="G44" s="394"/>
      <c r="H44" s="394"/>
      <c r="I44" s="394"/>
    </row>
    <row r="45" spans="1:9" ht="18.75">
      <c r="A45" s="299"/>
      <c r="B45" s="299" t="s">
        <v>1186</v>
      </c>
      <c r="C45" s="393">
        <v>1</v>
      </c>
      <c r="D45" s="393">
        <v>22</v>
      </c>
      <c r="E45" s="393"/>
      <c r="F45" s="394">
        <v>0.8</v>
      </c>
      <c r="G45" s="394">
        <v>0.23</v>
      </c>
      <c r="H45" s="394">
        <v>1.42</v>
      </c>
      <c r="I45" s="394">
        <f>PRODUCT(C45:H45)</f>
        <v>5.75</v>
      </c>
    </row>
    <row r="46" spans="1:9" ht="18.75">
      <c r="A46" s="299"/>
      <c r="B46" s="299" t="s">
        <v>1186</v>
      </c>
      <c r="C46" s="393">
        <v>2</v>
      </c>
      <c r="D46" s="393">
        <v>22</v>
      </c>
      <c r="E46" s="393"/>
      <c r="F46" s="394">
        <v>0.23</v>
      </c>
      <c r="G46" s="394">
        <v>0.23</v>
      </c>
      <c r="H46" s="394">
        <v>1.1000000000000001</v>
      </c>
      <c r="I46" s="394">
        <f>PRODUCT(C46:H46)</f>
        <v>2.56</v>
      </c>
    </row>
    <row r="47" spans="1:9" ht="18.75">
      <c r="A47" s="299"/>
      <c r="B47" s="404" t="s">
        <v>1187</v>
      </c>
      <c r="C47" s="406">
        <v>-1</v>
      </c>
      <c r="D47" s="406">
        <v>22</v>
      </c>
      <c r="E47" s="393"/>
      <c r="F47" s="615" t="s">
        <v>1188</v>
      </c>
      <c r="G47" s="616"/>
      <c r="H47" s="407">
        <v>0.23</v>
      </c>
      <c r="I47" s="407">
        <v>-0.06</v>
      </c>
    </row>
    <row r="48" spans="1:9" ht="18.75">
      <c r="A48" s="299"/>
      <c r="B48" s="404" t="s">
        <v>1189</v>
      </c>
      <c r="C48" s="406">
        <v>-1</v>
      </c>
      <c r="D48" s="406">
        <v>22</v>
      </c>
      <c r="E48" s="393"/>
      <c r="F48" s="408">
        <v>0.34</v>
      </c>
      <c r="G48" s="409">
        <v>0.23</v>
      </c>
      <c r="H48" s="407">
        <v>0.83</v>
      </c>
      <c r="I48" s="407">
        <f>PRODUCT(D48:H48)</f>
        <v>1.43</v>
      </c>
    </row>
    <row r="49" spans="1:9" ht="18.75">
      <c r="A49" s="299"/>
      <c r="B49" s="299" t="s">
        <v>1190</v>
      </c>
      <c r="C49" s="393">
        <v>1</v>
      </c>
      <c r="D49" s="393">
        <f>63+8</f>
        <v>71</v>
      </c>
      <c r="E49" s="393"/>
      <c r="F49" s="394">
        <v>0.23</v>
      </c>
      <c r="G49" s="394">
        <v>0.23</v>
      </c>
      <c r="H49" s="394">
        <v>1.5</v>
      </c>
      <c r="I49" s="394">
        <f t="shared" si="2"/>
        <v>5.63</v>
      </c>
    </row>
    <row r="50" spans="1:9" ht="18.75">
      <c r="A50" s="299"/>
      <c r="B50" s="299"/>
      <c r="C50" s="393"/>
      <c r="D50" s="393"/>
      <c r="E50" s="393"/>
      <c r="F50" s="394"/>
      <c r="G50" s="394"/>
      <c r="H50" s="390" t="s">
        <v>1173</v>
      </c>
      <c r="I50" s="398">
        <f>SUM(I45:I49)</f>
        <v>15.31</v>
      </c>
    </row>
    <row r="51" spans="1:9" ht="18.75">
      <c r="A51" s="299"/>
      <c r="B51" s="299"/>
      <c r="C51" s="393"/>
      <c r="D51" s="393"/>
      <c r="E51" s="393"/>
      <c r="F51" s="394"/>
      <c r="G51" s="394" t="s">
        <v>261</v>
      </c>
      <c r="H51" s="390" t="s">
        <v>1173</v>
      </c>
      <c r="I51" s="397">
        <f>ROUNDUP(I50,1)</f>
        <v>15.4</v>
      </c>
    </row>
    <row r="52" spans="1:9" ht="37.5">
      <c r="A52" s="295">
        <v>10.5</v>
      </c>
      <c r="B52" s="392" t="s">
        <v>1191</v>
      </c>
      <c r="C52" s="393"/>
      <c r="D52" s="393"/>
      <c r="E52" s="393"/>
      <c r="F52" s="394"/>
      <c r="G52" s="394"/>
      <c r="H52" s="399"/>
      <c r="I52" s="394"/>
    </row>
    <row r="53" spans="1:9" ht="18.75">
      <c r="A53" s="299"/>
      <c r="B53" s="299" t="s">
        <v>1192</v>
      </c>
      <c r="C53" s="393"/>
      <c r="D53" s="393"/>
      <c r="E53" s="393"/>
      <c r="F53" s="394"/>
      <c r="G53" s="394"/>
      <c r="H53" s="394"/>
      <c r="I53" s="394"/>
    </row>
    <row r="54" spans="1:9" ht="18.75">
      <c r="A54" s="299"/>
      <c r="B54" s="299" t="s">
        <v>1167</v>
      </c>
      <c r="C54" s="393">
        <v>1</v>
      </c>
      <c r="D54" s="393">
        <v>1</v>
      </c>
      <c r="E54" s="393"/>
      <c r="F54" s="394">
        <v>51</v>
      </c>
      <c r="G54" s="394"/>
      <c r="H54" s="394">
        <v>1.1000000000000001</v>
      </c>
      <c r="I54" s="394">
        <f t="shared" si="2"/>
        <v>56.1</v>
      </c>
    </row>
    <row r="55" spans="1:9" ht="18.75">
      <c r="A55" s="299"/>
      <c r="B55" s="299" t="s">
        <v>1168</v>
      </c>
      <c r="C55" s="393">
        <v>1</v>
      </c>
      <c r="D55" s="393">
        <v>1</v>
      </c>
      <c r="E55" s="393"/>
      <c r="F55" s="394">
        <v>33.200000000000003</v>
      </c>
      <c r="G55" s="394"/>
      <c r="H55" s="394">
        <v>1.1000000000000001</v>
      </c>
      <c r="I55" s="394">
        <f t="shared" si="2"/>
        <v>36.520000000000003</v>
      </c>
    </row>
    <row r="56" spans="1:9" ht="18.75">
      <c r="A56" s="299"/>
      <c r="B56" s="299" t="s">
        <v>1169</v>
      </c>
      <c r="C56" s="393">
        <v>1</v>
      </c>
      <c r="D56" s="393">
        <v>1</v>
      </c>
      <c r="E56" s="393"/>
      <c r="F56" s="394">
        <v>68.2</v>
      </c>
      <c r="G56" s="394"/>
      <c r="H56" s="394">
        <v>1.1000000000000001</v>
      </c>
      <c r="I56" s="394">
        <f t="shared" si="2"/>
        <v>75.02</v>
      </c>
    </row>
    <row r="57" spans="1:9" ht="18.75">
      <c r="A57" s="299"/>
      <c r="B57" s="299" t="s">
        <v>1170</v>
      </c>
      <c r="C57" s="393">
        <v>1</v>
      </c>
      <c r="D57" s="393">
        <v>1</v>
      </c>
      <c r="E57" s="393"/>
      <c r="F57" s="394">
        <v>47.4</v>
      </c>
      <c r="G57" s="394"/>
      <c r="H57" s="394">
        <v>1.1000000000000001</v>
      </c>
      <c r="I57" s="394">
        <f t="shared" si="2"/>
        <v>52.14</v>
      </c>
    </row>
    <row r="58" spans="1:9" ht="18.75">
      <c r="A58" s="299"/>
      <c r="B58" s="299" t="s">
        <v>1193</v>
      </c>
      <c r="C58" s="393">
        <v>-1</v>
      </c>
      <c r="D58" s="393">
        <v>71</v>
      </c>
      <c r="E58" s="393"/>
      <c r="F58" s="394">
        <v>0.23</v>
      </c>
      <c r="G58" s="394"/>
      <c r="H58" s="394">
        <v>1.1000000000000001</v>
      </c>
      <c r="I58" s="394">
        <f t="shared" si="2"/>
        <v>-17.96</v>
      </c>
    </row>
    <row r="59" spans="1:9" ht="18.75">
      <c r="A59" s="299"/>
      <c r="B59" s="299" t="s">
        <v>1194</v>
      </c>
      <c r="C59" s="406">
        <v>-1</v>
      </c>
      <c r="D59" s="406">
        <v>22</v>
      </c>
      <c r="E59" s="393"/>
      <c r="F59" s="615" t="s">
        <v>1188</v>
      </c>
      <c r="G59" s="616"/>
      <c r="H59" s="407"/>
      <c r="I59" s="407">
        <v>-0.25</v>
      </c>
    </row>
    <row r="60" spans="1:9" ht="18.75">
      <c r="A60" s="299"/>
      <c r="B60" s="299" t="s">
        <v>1195</v>
      </c>
      <c r="C60" s="393">
        <v>-1</v>
      </c>
      <c r="D60" s="393">
        <v>1</v>
      </c>
      <c r="E60" s="393"/>
      <c r="F60" s="394">
        <v>6</v>
      </c>
      <c r="G60" s="394"/>
      <c r="H60" s="394">
        <v>1.1000000000000001</v>
      </c>
      <c r="I60" s="394">
        <f t="shared" si="2"/>
        <v>-6.6</v>
      </c>
    </row>
    <row r="61" spans="1:9" ht="18.75">
      <c r="A61" s="299"/>
      <c r="B61" s="299"/>
      <c r="C61" s="393"/>
      <c r="D61" s="393"/>
      <c r="E61" s="393"/>
      <c r="F61" s="394"/>
      <c r="G61" s="394"/>
      <c r="H61" s="390" t="s">
        <v>1196</v>
      </c>
      <c r="I61" s="398">
        <f>SUM(I54:I60)</f>
        <v>194.97</v>
      </c>
    </row>
    <row r="62" spans="1:9" ht="18.75">
      <c r="A62" s="299"/>
      <c r="B62" s="299"/>
      <c r="C62" s="393"/>
      <c r="D62" s="393"/>
      <c r="E62" s="393"/>
      <c r="F62" s="394"/>
      <c r="G62" s="394" t="s">
        <v>261</v>
      </c>
      <c r="H62" s="390" t="s">
        <v>1196</v>
      </c>
      <c r="I62" s="397">
        <f>ROUNDUP(I61,1)</f>
        <v>195</v>
      </c>
    </row>
    <row r="63" spans="1:9" ht="37.5">
      <c r="A63" s="295">
        <v>33</v>
      </c>
      <c r="B63" s="392" t="s">
        <v>1197</v>
      </c>
      <c r="C63" s="393"/>
      <c r="D63" s="393"/>
      <c r="E63" s="393"/>
      <c r="F63" s="394"/>
      <c r="G63" s="394"/>
      <c r="H63" s="399"/>
      <c r="I63" s="394"/>
    </row>
    <row r="64" spans="1:9" ht="18.75">
      <c r="A64" s="410"/>
      <c r="B64" s="404" t="s">
        <v>1198</v>
      </c>
      <c r="C64" s="406">
        <v>2</v>
      </c>
      <c r="D64" s="406">
        <v>1</v>
      </c>
      <c r="E64" s="411"/>
      <c r="F64" s="407">
        <v>199.8</v>
      </c>
      <c r="G64" s="407"/>
      <c r="H64" s="407">
        <v>1.43</v>
      </c>
      <c r="I64" s="407">
        <f t="shared" ref="I64:I73" si="4">PRODUCT(C64:H64)</f>
        <v>571.42999999999995</v>
      </c>
    </row>
    <row r="65" spans="1:9" ht="18.75">
      <c r="A65" s="410"/>
      <c r="B65" s="404" t="s">
        <v>1199</v>
      </c>
      <c r="C65" s="406">
        <v>1</v>
      </c>
      <c r="D65" s="406">
        <v>1</v>
      </c>
      <c r="E65" s="411"/>
      <c r="F65" s="407">
        <v>199.8</v>
      </c>
      <c r="G65" s="407">
        <v>0.23</v>
      </c>
      <c r="H65" s="407"/>
      <c r="I65" s="407">
        <f t="shared" si="4"/>
        <v>45.95</v>
      </c>
    </row>
    <row r="66" spans="1:9" ht="18.75">
      <c r="A66" s="410"/>
      <c r="B66" s="404" t="s">
        <v>1200</v>
      </c>
      <c r="C66" s="406">
        <v>1</v>
      </c>
      <c r="D66" s="406">
        <v>22</v>
      </c>
      <c r="E66" s="411"/>
      <c r="F66" s="407">
        <v>0.12</v>
      </c>
      <c r="G66" s="407"/>
      <c r="H66" s="407">
        <v>1.1000000000000001</v>
      </c>
      <c r="I66" s="407">
        <f t="shared" si="4"/>
        <v>2.9</v>
      </c>
    </row>
    <row r="67" spans="1:9" ht="37.5">
      <c r="A67" s="410"/>
      <c r="B67" s="404" t="s">
        <v>1201</v>
      </c>
      <c r="C67" s="406">
        <v>1</v>
      </c>
      <c r="D67" s="406">
        <v>22</v>
      </c>
      <c r="E67" s="411"/>
      <c r="F67" s="407">
        <v>2.06</v>
      </c>
      <c r="G67" s="407"/>
      <c r="H67" s="407">
        <v>0.3</v>
      </c>
      <c r="I67" s="407">
        <f t="shared" si="4"/>
        <v>13.6</v>
      </c>
    </row>
    <row r="68" spans="1:9" ht="37.5">
      <c r="A68" s="410"/>
      <c r="B68" s="404" t="s">
        <v>1202</v>
      </c>
      <c r="C68" s="406">
        <v>1</v>
      </c>
      <c r="D68" s="406">
        <v>22</v>
      </c>
      <c r="E68" s="411"/>
      <c r="F68" s="407">
        <v>2.5499999999999998</v>
      </c>
      <c r="G68" s="407">
        <v>0.12</v>
      </c>
      <c r="H68" s="407"/>
      <c r="I68" s="407">
        <f t="shared" si="4"/>
        <v>6.73</v>
      </c>
    </row>
    <row r="69" spans="1:9" ht="18.75">
      <c r="A69" s="410"/>
      <c r="B69" s="404" t="s">
        <v>1203</v>
      </c>
      <c r="C69" s="406">
        <v>-1</v>
      </c>
      <c r="D69" s="406">
        <v>2</v>
      </c>
      <c r="E69" s="411"/>
      <c r="F69" s="407">
        <v>5.0999999999999996</v>
      </c>
      <c r="G69" s="407"/>
      <c r="H69" s="407">
        <v>1.55</v>
      </c>
      <c r="I69" s="407">
        <f t="shared" si="4"/>
        <v>-15.81</v>
      </c>
    </row>
    <row r="70" spans="1:9" ht="18.75">
      <c r="A70" s="410"/>
      <c r="B70" s="404" t="s">
        <v>1204</v>
      </c>
      <c r="C70" s="406">
        <v>1</v>
      </c>
      <c r="D70" s="406">
        <v>2</v>
      </c>
      <c r="E70" s="411"/>
      <c r="F70" s="407">
        <v>1.06</v>
      </c>
      <c r="G70" s="407">
        <v>2.5499999999999998</v>
      </c>
      <c r="H70" s="407"/>
      <c r="I70" s="407">
        <f t="shared" si="4"/>
        <v>5.41</v>
      </c>
    </row>
    <row r="71" spans="1:9" ht="18.75">
      <c r="A71" s="410"/>
      <c r="B71" s="404" t="s">
        <v>1205</v>
      </c>
      <c r="C71" s="406">
        <v>1</v>
      </c>
      <c r="D71" s="406">
        <v>2</v>
      </c>
      <c r="E71" s="411"/>
      <c r="F71" s="407">
        <v>0.3</v>
      </c>
      <c r="G71" s="407"/>
      <c r="H71" s="407">
        <v>0.23</v>
      </c>
      <c r="I71" s="407">
        <f t="shared" si="4"/>
        <v>0.14000000000000001</v>
      </c>
    </row>
    <row r="72" spans="1:9" ht="18.75">
      <c r="A72" s="410"/>
      <c r="B72" s="404" t="s">
        <v>1206</v>
      </c>
      <c r="C72" s="406">
        <v>71</v>
      </c>
      <c r="D72" s="406">
        <v>2</v>
      </c>
      <c r="E72" s="411"/>
      <c r="F72" s="407">
        <v>0.11</v>
      </c>
      <c r="G72" s="407"/>
      <c r="H72" s="407">
        <v>1.55</v>
      </c>
      <c r="I72" s="407">
        <f t="shared" si="4"/>
        <v>24.21</v>
      </c>
    </row>
    <row r="73" spans="1:9" ht="18.75">
      <c r="A73" s="410"/>
      <c r="B73" s="404" t="s">
        <v>1207</v>
      </c>
      <c r="C73" s="406">
        <v>71</v>
      </c>
      <c r="D73" s="406">
        <v>1</v>
      </c>
      <c r="E73" s="411"/>
      <c r="F73" s="407">
        <v>0.23</v>
      </c>
      <c r="G73" s="407"/>
      <c r="H73" s="407">
        <v>0.11</v>
      </c>
      <c r="I73" s="407">
        <f t="shared" si="4"/>
        <v>1.8</v>
      </c>
    </row>
    <row r="74" spans="1:9" ht="18.75">
      <c r="A74" s="299"/>
      <c r="B74" s="299"/>
      <c r="C74" s="393"/>
      <c r="D74" s="393"/>
      <c r="E74" s="393"/>
      <c r="F74" s="393"/>
      <c r="G74" s="393"/>
      <c r="H74" s="390" t="s">
        <v>1196</v>
      </c>
      <c r="I74" s="398">
        <f>SUM(I64:I73)</f>
        <v>656.36</v>
      </c>
    </row>
    <row r="75" spans="1:9" ht="18.75">
      <c r="A75" s="299"/>
      <c r="B75" s="299"/>
      <c r="C75" s="393"/>
      <c r="D75" s="393"/>
      <c r="E75" s="393"/>
      <c r="F75" s="393"/>
      <c r="G75" s="393" t="s">
        <v>261</v>
      </c>
      <c r="H75" s="390" t="s">
        <v>1196</v>
      </c>
      <c r="I75" s="397">
        <f>ROUNDUP(I74,1)</f>
        <v>656.4</v>
      </c>
    </row>
    <row r="76" spans="1:9" ht="18.75">
      <c r="A76" s="299">
        <v>36</v>
      </c>
      <c r="B76" s="299" t="s">
        <v>1208</v>
      </c>
      <c r="C76" s="393"/>
      <c r="D76" s="393"/>
      <c r="E76" s="393"/>
      <c r="F76" s="393"/>
      <c r="G76" s="393"/>
      <c r="H76" s="399"/>
      <c r="I76" s="398"/>
    </row>
    <row r="77" spans="1:9" ht="18.75">
      <c r="A77" s="299"/>
      <c r="B77" s="299" t="s">
        <v>1209</v>
      </c>
      <c r="C77" s="393"/>
      <c r="D77" s="393"/>
      <c r="E77" s="393"/>
      <c r="F77" s="393"/>
      <c r="G77" s="393"/>
      <c r="H77" s="394"/>
      <c r="I77" s="394"/>
    </row>
    <row r="78" spans="1:9" ht="18.75">
      <c r="A78" s="299"/>
      <c r="B78" s="299" t="s">
        <v>1210</v>
      </c>
      <c r="C78" s="393">
        <v>1</v>
      </c>
      <c r="D78" s="393">
        <v>1</v>
      </c>
      <c r="E78" s="393"/>
      <c r="F78" s="394">
        <f>199.8-6</f>
        <v>193.8</v>
      </c>
      <c r="G78" s="393"/>
      <c r="H78" s="394"/>
      <c r="I78" s="398">
        <f t="shared" ref="I78" si="5">PRODUCT(C78:H78)</f>
        <v>193.8</v>
      </c>
    </row>
    <row r="79" spans="1:9" ht="18.75">
      <c r="A79" s="299"/>
      <c r="B79" s="299" t="s">
        <v>1211</v>
      </c>
      <c r="C79" s="393"/>
      <c r="D79" s="393"/>
      <c r="E79" s="393"/>
      <c r="F79" s="393"/>
      <c r="G79" s="393"/>
      <c r="H79" s="399"/>
      <c r="I79" s="398"/>
    </row>
    <row r="80" spans="1:9" ht="18.75">
      <c r="A80" s="299"/>
      <c r="B80" s="299" t="s">
        <v>503</v>
      </c>
      <c r="C80" s="393">
        <v>1</v>
      </c>
      <c r="D80" s="393">
        <v>1</v>
      </c>
      <c r="E80" s="393"/>
      <c r="F80" s="394">
        <f>F78</f>
        <v>193.8</v>
      </c>
      <c r="G80" s="393"/>
      <c r="H80" s="394"/>
      <c r="I80" s="398">
        <f t="shared" ref="I80" si="6">PRODUCT(C80:H80)</f>
        <v>193.8</v>
      </c>
    </row>
    <row r="81" spans="1:9" ht="18.75">
      <c r="A81" s="299"/>
      <c r="B81" s="299"/>
      <c r="C81" s="393"/>
      <c r="D81" s="393"/>
      <c r="E81" s="393"/>
      <c r="F81" s="393"/>
      <c r="G81" s="393"/>
      <c r="H81" s="398"/>
      <c r="I81" s="398"/>
    </row>
    <row r="82" spans="1:9" ht="75">
      <c r="A82" s="299">
        <v>796</v>
      </c>
      <c r="B82" s="400" t="s">
        <v>1212</v>
      </c>
      <c r="C82" s="393"/>
      <c r="D82" s="393"/>
      <c r="E82" s="393"/>
      <c r="F82" s="393"/>
      <c r="G82" s="393"/>
      <c r="H82" s="399"/>
      <c r="I82" s="398"/>
    </row>
    <row r="83" spans="1:9" ht="18.75">
      <c r="A83" s="299"/>
      <c r="B83" s="299" t="s">
        <v>1213</v>
      </c>
      <c r="C83" s="393"/>
      <c r="D83" s="393"/>
      <c r="E83" s="393"/>
      <c r="F83" s="393"/>
      <c r="G83" s="393"/>
      <c r="H83" s="390" t="s">
        <v>1196</v>
      </c>
      <c r="I83" s="398">
        <f>I75</f>
        <v>656.4</v>
      </c>
    </row>
    <row r="84" spans="1:9" ht="18.75">
      <c r="A84" s="299"/>
      <c r="B84" s="299"/>
      <c r="C84" s="393"/>
      <c r="D84" s="393"/>
      <c r="E84" s="393"/>
      <c r="F84" s="393"/>
      <c r="G84" s="393"/>
      <c r="H84" s="398"/>
      <c r="I84" s="398"/>
    </row>
    <row r="85" spans="1:9" ht="18.75">
      <c r="A85" s="299"/>
      <c r="B85" s="299"/>
      <c r="C85" s="393"/>
      <c r="D85" s="393"/>
      <c r="E85" s="393"/>
      <c r="F85" s="393"/>
      <c r="G85" s="393"/>
      <c r="H85" s="398"/>
      <c r="I85" s="398"/>
    </row>
    <row r="86" spans="1:9" ht="18.75">
      <c r="A86" s="299">
        <v>39</v>
      </c>
      <c r="B86" s="299" t="s">
        <v>1214</v>
      </c>
      <c r="C86" s="393"/>
      <c r="D86" s="393"/>
      <c r="E86" s="393"/>
      <c r="F86" s="393"/>
      <c r="G86" s="393"/>
      <c r="H86" s="399"/>
      <c r="I86" s="398"/>
    </row>
    <row r="87" spans="1:9" ht="18.75">
      <c r="A87" s="299"/>
      <c r="B87" s="299" t="s">
        <v>1215</v>
      </c>
      <c r="C87" s="393">
        <v>1</v>
      </c>
      <c r="D87" s="393">
        <v>1</v>
      </c>
      <c r="E87" s="393"/>
      <c r="F87" s="394">
        <v>6</v>
      </c>
      <c r="G87" s="394">
        <v>1.5</v>
      </c>
      <c r="H87" s="393"/>
      <c r="I87" s="394">
        <f t="shared" ref="I87" si="7">PRODUCT(C87:H87)</f>
        <v>9</v>
      </c>
    </row>
    <row r="88" spans="1:9" ht="18.75">
      <c r="A88" s="299"/>
      <c r="B88" s="299"/>
      <c r="C88" s="393"/>
      <c r="D88" s="393"/>
      <c r="E88" s="393"/>
      <c r="F88" s="393"/>
      <c r="G88" s="393" t="s">
        <v>1216</v>
      </c>
      <c r="H88" s="393"/>
      <c r="I88" s="398">
        <f>I87*45</f>
        <v>405</v>
      </c>
    </row>
    <row r="89" spans="1:9" ht="18.75">
      <c r="A89" s="299"/>
      <c r="B89" s="299"/>
      <c r="C89" s="393"/>
      <c r="D89" s="393"/>
      <c r="E89" s="393"/>
      <c r="F89" s="393"/>
      <c r="G89" s="393"/>
      <c r="H89" s="399" t="s">
        <v>49</v>
      </c>
      <c r="I89" s="398">
        <f>I88</f>
        <v>405</v>
      </c>
    </row>
    <row r="90" spans="1:9" ht="18.75">
      <c r="A90" s="299">
        <v>41</v>
      </c>
      <c r="B90" s="299" t="s">
        <v>1217</v>
      </c>
      <c r="C90" s="393"/>
      <c r="D90" s="393"/>
      <c r="E90" s="393"/>
      <c r="F90" s="393"/>
      <c r="G90" s="393"/>
      <c r="H90" s="393"/>
      <c r="I90" s="394"/>
    </row>
    <row r="91" spans="1:9" ht="18.75">
      <c r="A91" s="299"/>
      <c r="B91" s="299" t="s">
        <v>1215</v>
      </c>
      <c r="C91" s="393">
        <v>1</v>
      </c>
      <c r="D91" s="393">
        <v>1</v>
      </c>
      <c r="E91" s="394"/>
      <c r="F91" s="394">
        <v>6</v>
      </c>
      <c r="G91" s="394">
        <v>1</v>
      </c>
      <c r="H91" s="393">
        <v>1.5</v>
      </c>
      <c r="I91" s="394">
        <f t="shared" ref="I91" si="8">PRODUCT(C91:H91)</f>
        <v>9</v>
      </c>
    </row>
    <row r="92" spans="1:9" ht="18.75">
      <c r="A92" s="299"/>
      <c r="B92" s="299"/>
      <c r="C92" s="393"/>
      <c r="D92" s="393"/>
      <c r="E92" s="393"/>
      <c r="F92" s="393"/>
      <c r="G92" s="393"/>
      <c r="H92" s="390" t="s">
        <v>1196</v>
      </c>
      <c r="I92" s="398">
        <f>I91</f>
        <v>9</v>
      </c>
    </row>
    <row r="93" spans="1:9" ht="18.75">
      <c r="A93" s="299">
        <v>18.100000000000001</v>
      </c>
      <c r="B93" s="299" t="s">
        <v>1218</v>
      </c>
      <c r="C93" s="393"/>
      <c r="D93" s="393"/>
      <c r="E93" s="393"/>
      <c r="F93" s="393"/>
      <c r="G93" s="393"/>
      <c r="H93" s="393"/>
      <c r="I93" s="394"/>
    </row>
    <row r="94" spans="1:9" ht="18.75">
      <c r="A94" s="299"/>
      <c r="B94" s="299" t="s">
        <v>485</v>
      </c>
      <c r="C94" s="412"/>
      <c r="D94" s="412"/>
      <c r="E94" s="412"/>
      <c r="F94" s="412"/>
      <c r="G94" s="393"/>
      <c r="H94" s="393"/>
      <c r="I94" s="394"/>
    </row>
    <row r="95" spans="1:9" ht="18.75">
      <c r="A95" s="299"/>
      <c r="B95" s="299" t="s">
        <v>1219</v>
      </c>
      <c r="C95" s="296">
        <v>1</v>
      </c>
      <c r="D95" s="296">
        <v>93</v>
      </c>
      <c r="E95" s="298">
        <v>3.2</v>
      </c>
      <c r="F95" s="299"/>
      <c r="G95" s="394">
        <v>0.3</v>
      </c>
      <c r="H95" s="393"/>
      <c r="I95" s="394">
        <f t="shared" ref="I95:I97" si="9">PRODUCT(C95:H95)</f>
        <v>89.28</v>
      </c>
    </row>
    <row r="96" spans="1:9" ht="18.75">
      <c r="A96" s="299"/>
      <c r="B96" s="299" t="s">
        <v>1220</v>
      </c>
      <c r="C96" s="393">
        <v>1</v>
      </c>
      <c r="D96" s="393">
        <v>2</v>
      </c>
      <c r="E96" s="296">
        <v>199.8</v>
      </c>
      <c r="F96" s="394"/>
      <c r="G96" s="394">
        <v>0.23</v>
      </c>
      <c r="H96" s="393"/>
      <c r="I96" s="394">
        <f t="shared" si="9"/>
        <v>91.91</v>
      </c>
    </row>
    <row r="97" spans="1:9" ht="18.75">
      <c r="A97" s="299"/>
      <c r="B97" s="299" t="s">
        <v>495</v>
      </c>
      <c r="C97" s="393">
        <v>-2</v>
      </c>
      <c r="D97" s="393">
        <v>93</v>
      </c>
      <c r="E97" s="296">
        <v>0.23</v>
      </c>
      <c r="F97" s="394"/>
      <c r="G97" s="394">
        <v>0.3</v>
      </c>
      <c r="H97" s="393"/>
      <c r="I97" s="394">
        <f t="shared" si="9"/>
        <v>-12.83</v>
      </c>
    </row>
    <row r="98" spans="1:9" ht="18.75">
      <c r="A98" s="299"/>
      <c r="B98" s="299"/>
      <c r="C98" s="393"/>
      <c r="D98" s="393"/>
      <c r="E98" s="393"/>
      <c r="F98" s="393"/>
      <c r="G98" s="393"/>
      <c r="H98" s="390" t="s">
        <v>1196</v>
      </c>
      <c r="I98" s="398">
        <f>+SUM(I95:I97)</f>
        <v>168.36</v>
      </c>
    </row>
    <row r="99" spans="1:9" ht="18.75">
      <c r="A99" s="299"/>
      <c r="B99" s="299"/>
      <c r="C99" s="393"/>
      <c r="D99" s="393"/>
      <c r="E99" s="393"/>
      <c r="F99" s="393"/>
      <c r="G99" s="393" t="s">
        <v>261</v>
      </c>
      <c r="H99" s="390" t="s">
        <v>1196</v>
      </c>
      <c r="I99" s="397">
        <f>ROUNDUP(I98,1)</f>
        <v>168.4</v>
      </c>
    </row>
    <row r="100" spans="1:9" ht="18.75">
      <c r="A100" s="299"/>
      <c r="B100" s="299" t="s">
        <v>1221</v>
      </c>
      <c r="C100" s="393"/>
      <c r="D100" s="393"/>
      <c r="E100" s="393"/>
      <c r="F100" s="393"/>
      <c r="G100" s="393"/>
      <c r="H100" s="399"/>
      <c r="I100" s="398"/>
    </row>
    <row r="101" spans="1:9" ht="18.75">
      <c r="A101" s="299"/>
      <c r="B101" s="299" t="s">
        <v>1177</v>
      </c>
      <c r="C101" s="393">
        <v>1</v>
      </c>
      <c r="D101" s="393">
        <v>91</v>
      </c>
      <c r="E101" s="393">
        <v>0.92</v>
      </c>
      <c r="F101" s="394"/>
      <c r="G101" s="394">
        <v>0.56999999999999995</v>
      </c>
      <c r="H101" s="393"/>
      <c r="I101" s="394">
        <f t="shared" ref="I101:I104" si="10">PRODUCT(C101:H101)</f>
        <v>47.72</v>
      </c>
    </row>
    <row r="102" spans="1:9" ht="18.75">
      <c r="A102" s="299"/>
      <c r="B102" s="299"/>
      <c r="C102" s="393">
        <v>1</v>
      </c>
      <c r="D102" s="393">
        <v>2</v>
      </c>
      <c r="E102" s="393">
        <v>1.06</v>
      </c>
      <c r="F102" s="394"/>
      <c r="G102" s="394">
        <v>0.56999999999999995</v>
      </c>
      <c r="H102" s="393"/>
      <c r="I102" s="394">
        <f t="shared" si="10"/>
        <v>1.21</v>
      </c>
    </row>
    <row r="103" spans="1:9" ht="37.5">
      <c r="A103" s="299"/>
      <c r="B103" s="404" t="s">
        <v>1184</v>
      </c>
      <c r="C103" s="393">
        <v>1</v>
      </c>
      <c r="D103" s="393">
        <v>2</v>
      </c>
      <c r="E103" s="393">
        <v>199.8</v>
      </c>
      <c r="F103" s="394"/>
      <c r="G103" s="394">
        <v>0.1</v>
      </c>
      <c r="H103" s="393"/>
      <c r="I103" s="394">
        <f t="shared" si="10"/>
        <v>39.96</v>
      </c>
    </row>
    <row r="104" spans="1:9" ht="18.75">
      <c r="A104" s="299"/>
      <c r="B104" s="299" t="s">
        <v>1222</v>
      </c>
      <c r="C104" s="393">
        <v>1</v>
      </c>
      <c r="D104" s="393">
        <v>2</v>
      </c>
      <c r="E104" s="393">
        <v>1.06</v>
      </c>
      <c r="F104" s="394"/>
      <c r="G104" s="394">
        <v>1.5</v>
      </c>
      <c r="H104" s="393"/>
      <c r="I104" s="394">
        <f t="shared" si="10"/>
        <v>3.18</v>
      </c>
    </row>
    <row r="105" spans="1:9" ht="18.75">
      <c r="A105" s="299"/>
      <c r="B105" s="400"/>
      <c r="C105" s="393"/>
      <c r="D105" s="393"/>
      <c r="E105" s="393"/>
      <c r="F105" s="394"/>
      <c r="G105" s="394"/>
      <c r="H105" s="390" t="s">
        <v>1196</v>
      </c>
      <c r="I105" s="398">
        <f>+SUM(I101:I104)</f>
        <v>92.07</v>
      </c>
    </row>
    <row r="106" spans="1:9" ht="18.75">
      <c r="A106" s="299"/>
      <c r="B106" s="299"/>
      <c r="C106" s="393"/>
      <c r="D106" s="393"/>
      <c r="E106" s="393"/>
      <c r="F106" s="394"/>
      <c r="G106" s="394" t="s">
        <v>261</v>
      </c>
      <c r="H106" s="390" t="s">
        <v>1196</v>
      </c>
      <c r="I106" s="397">
        <f>ROUNDUP(I105,1)</f>
        <v>92.1</v>
      </c>
    </row>
    <row r="107" spans="1:9" ht="18.75">
      <c r="A107" s="299">
        <v>43</v>
      </c>
      <c r="B107" s="299" t="s">
        <v>1223</v>
      </c>
      <c r="C107" s="393"/>
      <c r="D107" s="393"/>
      <c r="E107" s="393"/>
      <c r="F107" s="393"/>
      <c r="G107" s="393"/>
      <c r="H107" s="393"/>
      <c r="I107" s="393"/>
    </row>
    <row r="108" spans="1:9" ht="18.75">
      <c r="A108" s="299"/>
      <c r="B108" s="299"/>
      <c r="C108" s="393"/>
      <c r="D108" s="393"/>
      <c r="E108" s="391"/>
      <c r="F108" s="399" t="s">
        <v>456</v>
      </c>
      <c r="G108" s="393" t="s">
        <v>1224</v>
      </c>
      <c r="H108" s="399" t="s">
        <v>1225</v>
      </c>
      <c r="I108" s="399" t="s">
        <v>1226</v>
      </c>
    </row>
    <row r="109" spans="1:9" ht="18.75">
      <c r="A109" s="299"/>
      <c r="B109" s="299" t="s">
        <v>1227</v>
      </c>
      <c r="C109" s="393">
        <v>2</v>
      </c>
      <c r="D109" s="413">
        <v>6</v>
      </c>
      <c r="E109" s="393">
        <v>93</v>
      </c>
      <c r="F109" s="394">
        <v>1.05</v>
      </c>
      <c r="G109" s="393"/>
      <c r="H109" s="394">
        <f>C109*D109*E109*F109</f>
        <v>1171.8</v>
      </c>
      <c r="I109" s="393"/>
    </row>
    <row r="110" spans="1:9" ht="18.75">
      <c r="A110" s="299"/>
      <c r="B110" s="299" t="s">
        <v>1228</v>
      </c>
      <c r="C110" s="393">
        <v>1</v>
      </c>
      <c r="D110" s="413">
        <v>6</v>
      </c>
      <c r="E110" s="393">
        <v>91</v>
      </c>
      <c r="F110" s="394">
        <v>1.6</v>
      </c>
      <c r="G110" s="393"/>
      <c r="H110" s="394"/>
      <c r="I110" s="394">
        <f>C110*D110*E110*F110</f>
        <v>873.6</v>
      </c>
    </row>
    <row r="111" spans="1:9" ht="18.75">
      <c r="A111" s="299"/>
      <c r="B111" s="299" t="s">
        <v>1229</v>
      </c>
      <c r="C111" s="393">
        <v>1</v>
      </c>
      <c r="D111" s="413">
        <v>6</v>
      </c>
      <c r="E111" s="393">
        <v>2</v>
      </c>
      <c r="F111" s="394">
        <v>3.25</v>
      </c>
      <c r="G111" s="394"/>
      <c r="H111" s="394"/>
      <c r="I111" s="394">
        <f>C111*D111*E111*F111</f>
        <v>39</v>
      </c>
    </row>
    <row r="112" spans="1:9" ht="18.75">
      <c r="A112" s="414"/>
      <c r="B112" s="400" t="s">
        <v>1230</v>
      </c>
      <c r="C112" s="393">
        <v>1</v>
      </c>
      <c r="D112" s="413">
        <v>7</v>
      </c>
      <c r="E112" s="393">
        <v>91</v>
      </c>
      <c r="F112" s="394">
        <v>0.82</v>
      </c>
      <c r="G112" s="394">
        <f>F112*E112*D112*C112</f>
        <v>522.34</v>
      </c>
      <c r="H112" s="394"/>
      <c r="I112" s="394"/>
    </row>
    <row r="113" spans="1:9" ht="18.75">
      <c r="A113" s="403"/>
      <c r="B113" s="299" t="s">
        <v>1231</v>
      </c>
      <c r="C113" s="393">
        <v>1</v>
      </c>
      <c r="D113" s="413">
        <v>15</v>
      </c>
      <c r="E113" s="393">
        <v>2</v>
      </c>
      <c r="F113" s="394">
        <v>0.96</v>
      </c>
      <c r="G113" s="394">
        <f>F113*E113*D113*C113</f>
        <v>28.8</v>
      </c>
      <c r="H113" s="394"/>
      <c r="I113" s="394"/>
    </row>
    <row r="114" spans="1:9" ht="18.75">
      <c r="A114" s="403"/>
      <c r="B114" s="299" t="s">
        <v>1232</v>
      </c>
      <c r="C114" s="393">
        <v>1</v>
      </c>
      <c r="D114" s="393">
        <v>3</v>
      </c>
      <c r="E114" s="394"/>
      <c r="F114" s="393">
        <v>199.8</v>
      </c>
      <c r="G114" s="394"/>
      <c r="H114" s="394"/>
      <c r="I114" s="394">
        <f>F114*D114*C114</f>
        <v>599.4</v>
      </c>
    </row>
    <row r="115" spans="1:9" ht="18.75">
      <c r="A115" s="403"/>
      <c r="B115" s="299" t="s">
        <v>1233</v>
      </c>
      <c r="C115" s="393">
        <v>1</v>
      </c>
      <c r="D115" s="393">
        <v>2</v>
      </c>
      <c r="E115" s="394"/>
      <c r="F115" s="393">
        <v>200.1</v>
      </c>
      <c r="G115" s="394"/>
      <c r="H115" s="394"/>
      <c r="I115" s="394">
        <f>F115*D115*C115</f>
        <v>400.2</v>
      </c>
    </row>
    <row r="116" spans="1:9" ht="18.75">
      <c r="A116" s="403"/>
      <c r="B116" s="299" t="s">
        <v>1234</v>
      </c>
      <c r="C116" s="393">
        <v>1</v>
      </c>
      <c r="D116" s="393">
        <v>1176</v>
      </c>
      <c r="E116" s="394"/>
      <c r="F116" s="393">
        <v>0.96</v>
      </c>
      <c r="G116" s="394">
        <f>F116*D116*C116</f>
        <v>1128.96</v>
      </c>
      <c r="H116" s="394"/>
      <c r="I116" s="393"/>
    </row>
    <row r="117" spans="1:9" ht="18.75">
      <c r="A117" s="403"/>
      <c r="B117" s="400"/>
      <c r="C117" s="393"/>
      <c r="D117" s="393"/>
      <c r="E117" s="394"/>
      <c r="F117" s="393"/>
      <c r="G117" s="398">
        <f>+SUM(G109:G116)</f>
        <v>1680.1</v>
      </c>
      <c r="H117" s="398">
        <f>+SUM(H109:H116)</f>
        <v>1171.8</v>
      </c>
      <c r="I117" s="398">
        <f>+SUM(I109:I116)</f>
        <v>1912.2</v>
      </c>
    </row>
    <row r="118" spans="1:9" ht="18.75">
      <c r="A118" s="403"/>
      <c r="B118" s="299"/>
      <c r="C118" s="393"/>
      <c r="D118" s="393"/>
      <c r="E118" s="394"/>
      <c r="F118" s="415" t="s">
        <v>461</v>
      </c>
      <c r="G118" s="416">
        <v>0.39500000000000002</v>
      </c>
      <c r="H118" s="416">
        <v>0.61699999999999999</v>
      </c>
      <c r="I118" s="393">
        <v>0.88800000000000001</v>
      </c>
    </row>
    <row r="119" spans="1:9" ht="18.75">
      <c r="A119" s="403"/>
      <c r="B119" s="299"/>
      <c r="C119" s="393"/>
      <c r="D119" s="393"/>
      <c r="E119" s="394"/>
      <c r="F119" s="393"/>
      <c r="G119" s="398">
        <f>G117*G118</f>
        <v>663.64</v>
      </c>
      <c r="H119" s="398">
        <f>H117*H118</f>
        <v>723</v>
      </c>
      <c r="I119" s="417">
        <f>I117*I118</f>
        <v>1698.0340000000001</v>
      </c>
    </row>
    <row r="120" spans="1:9" ht="18.75">
      <c r="A120" s="403"/>
      <c r="B120" s="299"/>
      <c r="C120" s="393"/>
      <c r="D120" s="393"/>
      <c r="E120" s="394"/>
      <c r="F120" s="393"/>
      <c r="G120" s="393"/>
      <c r="H120" s="393"/>
      <c r="I120" s="394">
        <f>G119+H119+I119</f>
        <v>3084.67</v>
      </c>
    </row>
    <row r="121" spans="1:9" ht="18.75">
      <c r="A121" s="403"/>
      <c r="B121" s="299"/>
      <c r="C121" s="393"/>
      <c r="D121" s="393"/>
      <c r="E121" s="394"/>
      <c r="F121" s="393"/>
      <c r="G121" s="417"/>
      <c r="H121" s="417" t="s">
        <v>27</v>
      </c>
      <c r="I121" s="417">
        <f>I120/1000</f>
        <v>3.085</v>
      </c>
    </row>
    <row r="122" spans="1:9" ht="18.75">
      <c r="A122" s="403"/>
      <c r="B122" s="299"/>
      <c r="C122" s="393"/>
      <c r="D122" s="393"/>
      <c r="E122" s="393"/>
      <c r="F122" s="393"/>
      <c r="G122" s="393"/>
      <c r="H122" s="393"/>
      <c r="I122" s="416"/>
    </row>
    <row r="123" spans="1:9" ht="18.75">
      <c r="A123" s="403"/>
      <c r="B123" s="299"/>
      <c r="C123" s="393"/>
      <c r="D123" s="393"/>
      <c r="E123" s="393"/>
      <c r="F123" s="393"/>
      <c r="G123" s="393"/>
      <c r="H123" s="393"/>
      <c r="I123" s="399"/>
    </row>
  </sheetData>
  <mergeCells count="5">
    <mergeCell ref="A1:I1"/>
    <mergeCell ref="A2:I2"/>
    <mergeCell ref="C3:D3"/>
    <mergeCell ref="F47:G47"/>
    <mergeCell ref="F59:G59"/>
  </mergeCells>
  <pageMargins left="0.7" right="0.7" top="0.75" bottom="0.75" header="0.3" footer="0.3"/>
  <pageSetup paperSize="9" scale="82" orientation="portrait" horizontalDpi="300" verticalDpi="0" r:id="rId1"/>
  <drawing r:id="rId2"/>
</worksheet>
</file>

<file path=xl/worksheets/sheet11.xml><?xml version="1.0" encoding="utf-8"?>
<worksheet xmlns="http://schemas.openxmlformats.org/spreadsheetml/2006/main" xmlns:r="http://schemas.openxmlformats.org/officeDocument/2006/relationships">
  <sheetPr>
    <tabColor rgb="FFFFFF00"/>
  </sheetPr>
  <dimension ref="A1:H43"/>
  <sheetViews>
    <sheetView view="pageBreakPreview" topLeftCell="A34" zoomScale="130" zoomScaleSheetLayoutView="130" workbookViewId="0">
      <selection activeCell="E125" sqref="E125"/>
    </sheetView>
  </sheetViews>
  <sheetFormatPr defaultRowHeight="15.75"/>
  <cols>
    <col min="1" max="1" width="6" customWidth="1"/>
    <col min="2" max="2" width="23.44140625" customWidth="1"/>
    <col min="3" max="4" width="4.77734375" customWidth="1"/>
    <col min="5" max="7" width="6.44140625" customWidth="1"/>
  </cols>
  <sheetData>
    <row r="1" spans="1:8">
      <c r="A1" s="595" t="s">
        <v>208</v>
      </c>
      <c r="B1" s="595"/>
      <c r="C1" s="595"/>
      <c r="D1" s="595"/>
      <c r="E1" s="595"/>
      <c r="F1" s="595"/>
      <c r="G1" s="595"/>
      <c r="H1" s="595"/>
    </row>
    <row r="2" spans="1:8">
      <c r="A2" s="595" t="s">
        <v>1038</v>
      </c>
      <c r="B2" s="595"/>
      <c r="C2" s="595"/>
      <c r="D2" s="595"/>
      <c r="E2" s="595"/>
      <c r="F2" s="595"/>
      <c r="G2" s="595"/>
      <c r="H2" s="595"/>
    </row>
    <row r="3" spans="1:8">
      <c r="A3" s="391"/>
      <c r="B3" s="391"/>
      <c r="C3" s="391"/>
      <c r="D3" s="391"/>
      <c r="E3" s="391"/>
      <c r="F3" s="391"/>
      <c r="G3" s="391"/>
      <c r="H3" s="391"/>
    </row>
    <row r="4" spans="1:8" ht="18.75">
      <c r="A4" s="391"/>
      <c r="B4" s="617" t="s">
        <v>1235</v>
      </c>
      <c r="C4" s="617"/>
      <c r="D4" s="617"/>
      <c r="E4" s="617"/>
      <c r="F4" s="617"/>
      <c r="G4" s="617"/>
      <c r="H4" s="391"/>
    </row>
    <row r="5" spans="1:8">
      <c r="A5" s="418" t="s">
        <v>1236</v>
      </c>
      <c r="B5" s="418" t="s">
        <v>95</v>
      </c>
      <c r="C5" s="618" t="s">
        <v>72</v>
      </c>
      <c r="D5" s="618"/>
      <c r="E5" s="419" t="s">
        <v>1237</v>
      </c>
      <c r="F5" s="419" t="s">
        <v>134</v>
      </c>
      <c r="G5" s="419" t="s">
        <v>1238</v>
      </c>
      <c r="H5" s="420" t="s">
        <v>1239</v>
      </c>
    </row>
    <row r="6" spans="1:8" ht="30">
      <c r="A6" s="403">
        <v>1.6</v>
      </c>
      <c r="B6" s="421" t="s">
        <v>1240</v>
      </c>
      <c r="C6" s="422"/>
      <c r="D6" s="422"/>
      <c r="E6" s="422"/>
      <c r="F6" s="422"/>
      <c r="G6" s="422"/>
      <c r="H6" s="423"/>
    </row>
    <row r="7" spans="1:8" ht="30">
      <c r="A7" s="403"/>
      <c r="B7" s="424" t="s">
        <v>1241</v>
      </c>
      <c r="C7" s="403">
        <v>1</v>
      </c>
      <c r="D7" s="403">
        <v>1</v>
      </c>
      <c r="E7" s="425">
        <v>27.4</v>
      </c>
      <c r="F7" s="426">
        <v>0.75</v>
      </c>
      <c r="G7" s="426">
        <v>0.45</v>
      </c>
      <c r="H7" s="426">
        <f>PRODUCT(C7:G7)</f>
        <v>9.25</v>
      </c>
    </row>
    <row r="8" spans="1:8">
      <c r="A8" s="403"/>
      <c r="B8" s="403" t="s">
        <v>1242</v>
      </c>
      <c r="C8" s="403">
        <v>1</v>
      </c>
      <c r="D8" s="403">
        <v>1</v>
      </c>
      <c r="E8" s="425">
        <v>10</v>
      </c>
      <c r="F8" s="426">
        <v>0.75</v>
      </c>
      <c r="G8" s="426">
        <v>0.45</v>
      </c>
      <c r="H8" s="426">
        <f t="shared" ref="H8:H9" si="0">PRODUCT(C8:G8)</f>
        <v>3.38</v>
      </c>
    </row>
    <row r="9" spans="1:8">
      <c r="A9" s="403"/>
      <c r="B9" s="403" t="s">
        <v>1243</v>
      </c>
      <c r="C9" s="403">
        <v>1</v>
      </c>
      <c r="D9" s="403">
        <v>1</v>
      </c>
      <c r="E9" s="425">
        <v>63.6</v>
      </c>
      <c r="F9" s="426">
        <v>0.75</v>
      </c>
      <c r="G9" s="426">
        <v>0.45</v>
      </c>
      <c r="H9" s="426">
        <f t="shared" si="0"/>
        <v>21.47</v>
      </c>
    </row>
    <row r="10" spans="1:8">
      <c r="A10" s="403"/>
      <c r="B10" s="403"/>
      <c r="C10" s="403"/>
      <c r="D10" s="403"/>
      <c r="E10" s="403"/>
      <c r="F10" s="403"/>
      <c r="G10" s="403"/>
      <c r="H10" s="426">
        <f>+SUM(H7:H9)</f>
        <v>34.1</v>
      </c>
    </row>
    <row r="11" spans="1:8">
      <c r="A11" s="403"/>
      <c r="B11" s="403"/>
      <c r="C11" s="403"/>
      <c r="D11" s="403"/>
      <c r="E11" s="403"/>
      <c r="F11" s="403" t="s">
        <v>261</v>
      </c>
      <c r="G11" s="403" t="s">
        <v>117</v>
      </c>
      <c r="H11" s="427">
        <f>ROUNDUP(H10,1)</f>
        <v>34.1</v>
      </c>
    </row>
    <row r="12" spans="1:8" ht="30">
      <c r="A12" s="403">
        <v>3.1</v>
      </c>
      <c r="B12" s="421" t="s">
        <v>1244</v>
      </c>
      <c r="C12" s="403"/>
      <c r="D12" s="403"/>
      <c r="E12" s="403"/>
      <c r="F12" s="403"/>
      <c r="G12" s="403"/>
      <c r="H12" s="418"/>
    </row>
    <row r="13" spans="1:8" ht="30">
      <c r="A13" s="403"/>
      <c r="B13" s="424" t="s">
        <v>1241</v>
      </c>
      <c r="C13" s="403">
        <v>1</v>
      </c>
      <c r="D13" s="403">
        <v>1</v>
      </c>
      <c r="E13" s="425">
        <v>27.4</v>
      </c>
      <c r="F13" s="426">
        <v>0.75</v>
      </c>
      <c r="G13" s="403">
        <v>0.15</v>
      </c>
      <c r="H13" s="426">
        <f t="shared" ref="H13:H15" si="1">PRODUCT(C13:G13)</f>
        <v>3.08</v>
      </c>
    </row>
    <row r="14" spans="1:8">
      <c r="A14" s="403"/>
      <c r="B14" s="403" t="s">
        <v>1242</v>
      </c>
      <c r="C14" s="403">
        <v>1</v>
      </c>
      <c r="D14" s="403">
        <v>1</v>
      </c>
      <c r="E14" s="425">
        <v>10</v>
      </c>
      <c r="F14" s="426">
        <v>0.75</v>
      </c>
      <c r="G14" s="403">
        <v>0.15</v>
      </c>
      <c r="H14" s="426">
        <f t="shared" si="1"/>
        <v>1.1299999999999999</v>
      </c>
    </row>
    <row r="15" spans="1:8">
      <c r="A15" s="403"/>
      <c r="B15" s="403" t="s">
        <v>1243</v>
      </c>
      <c r="C15" s="403">
        <v>1</v>
      </c>
      <c r="D15" s="403">
        <v>1</v>
      </c>
      <c r="E15" s="425">
        <v>63.6</v>
      </c>
      <c r="F15" s="426">
        <v>0.75</v>
      </c>
      <c r="G15" s="403">
        <v>0.15</v>
      </c>
      <c r="H15" s="426">
        <f t="shared" si="1"/>
        <v>7.16</v>
      </c>
    </row>
    <row r="16" spans="1:8">
      <c r="A16" s="403"/>
      <c r="B16" s="403"/>
      <c r="C16" s="403"/>
      <c r="D16" s="403"/>
      <c r="E16" s="403"/>
      <c r="F16" s="403"/>
      <c r="G16" s="403"/>
      <c r="H16" s="426">
        <f>+SUM(H13:H15)</f>
        <v>11.37</v>
      </c>
    </row>
    <row r="17" spans="1:8">
      <c r="A17" s="403"/>
      <c r="B17" s="403"/>
      <c r="C17" s="403"/>
      <c r="D17" s="403"/>
      <c r="E17" s="403"/>
      <c r="F17" s="403" t="s">
        <v>261</v>
      </c>
      <c r="G17" s="403" t="s">
        <v>117</v>
      </c>
      <c r="H17" s="427">
        <f>ROUNDUP(H16,1)</f>
        <v>11.4</v>
      </c>
    </row>
    <row r="18" spans="1:8">
      <c r="A18" s="403">
        <v>10.5</v>
      </c>
      <c r="B18" s="418" t="s">
        <v>1245</v>
      </c>
      <c r="C18" s="422"/>
      <c r="D18" s="422"/>
      <c r="E18" s="422"/>
      <c r="F18" s="422"/>
      <c r="G18" s="422"/>
      <c r="H18" s="428"/>
    </row>
    <row r="19" spans="1:8" ht="30">
      <c r="A19" s="403"/>
      <c r="B19" s="424" t="s">
        <v>1241</v>
      </c>
      <c r="C19" s="403">
        <v>1</v>
      </c>
      <c r="D19" s="403">
        <v>1</v>
      </c>
      <c r="E19" s="425">
        <v>27.4</v>
      </c>
      <c r="F19" s="422"/>
      <c r="G19" s="429">
        <v>0.6</v>
      </c>
      <c r="H19" s="426">
        <f t="shared" ref="H19:H41" si="2">PRODUCT(C19:G19)</f>
        <v>16.440000000000001</v>
      </c>
    </row>
    <row r="20" spans="1:8">
      <c r="A20" s="403"/>
      <c r="B20" s="403" t="s">
        <v>1242</v>
      </c>
      <c r="C20" s="403">
        <v>1</v>
      </c>
      <c r="D20" s="403">
        <v>2</v>
      </c>
      <c r="E20" s="425">
        <v>10</v>
      </c>
      <c r="F20" s="422"/>
      <c r="G20" s="429">
        <v>0.6</v>
      </c>
      <c r="H20" s="426">
        <f t="shared" si="2"/>
        <v>12</v>
      </c>
    </row>
    <row r="21" spans="1:8">
      <c r="A21" s="403"/>
      <c r="B21" s="403" t="s">
        <v>1243</v>
      </c>
      <c r="C21" s="403">
        <v>1</v>
      </c>
      <c r="D21" s="403">
        <v>2</v>
      </c>
      <c r="E21" s="425">
        <v>63.6</v>
      </c>
      <c r="F21" s="422"/>
      <c r="G21" s="429">
        <v>0.6</v>
      </c>
      <c r="H21" s="426">
        <f t="shared" si="2"/>
        <v>76.319999999999993</v>
      </c>
    </row>
    <row r="22" spans="1:8">
      <c r="A22" s="403"/>
      <c r="B22" s="403"/>
      <c r="C22" s="403"/>
      <c r="D22" s="403"/>
      <c r="E22" s="403"/>
      <c r="F22" s="403"/>
      <c r="G22" s="403"/>
      <c r="H22" s="430">
        <f>+SUM(H19:H21)</f>
        <v>104.76</v>
      </c>
    </row>
    <row r="23" spans="1:8">
      <c r="A23" s="403"/>
      <c r="B23" s="403"/>
      <c r="C23" s="403"/>
      <c r="D23" s="403"/>
      <c r="E23" s="403"/>
      <c r="F23" s="403" t="s">
        <v>261</v>
      </c>
      <c r="G23" s="403" t="s">
        <v>123</v>
      </c>
      <c r="H23" s="427">
        <f>ROUNDUP(H22,1)</f>
        <v>104.8</v>
      </c>
    </row>
    <row r="24" spans="1:8">
      <c r="A24" s="418">
        <v>33</v>
      </c>
      <c r="B24" s="418" t="s">
        <v>1246</v>
      </c>
      <c r="C24" s="403"/>
      <c r="D24" s="403"/>
      <c r="E24" s="403"/>
      <c r="F24" s="403"/>
      <c r="G24" s="403"/>
      <c r="H24" s="403"/>
    </row>
    <row r="25" spans="1:8">
      <c r="A25" s="418"/>
      <c r="B25" s="418" t="s">
        <v>1247</v>
      </c>
      <c r="C25" s="403"/>
      <c r="D25" s="403"/>
      <c r="E25" s="403"/>
      <c r="F25" s="403"/>
      <c r="G25" s="403"/>
      <c r="H25" s="403"/>
    </row>
    <row r="26" spans="1:8" ht="30">
      <c r="A26" s="418"/>
      <c r="B26" s="424" t="s">
        <v>1241</v>
      </c>
      <c r="C26" s="403">
        <v>1</v>
      </c>
      <c r="D26" s="403">
        <v>1</v>
      </c>
      <c r="E26" s="425">
        <v>27.4</v>
      </c>
      <c r="F26" s="403"/>
      <c r="G26" s="426">
        <v>0.83</v>
      </c>
      <c r="H26" s="426">
        <f t="shared" ref="H26:H28" si="3">PRODUCT(C26:G26)</f>
        <v>22.74</v>
      </c>
    </row>
    <row r="27" spans="1:8">
      <c r="A27" s="418"/>
      <c r="B27" s="403" t="s">
        <v>1242</v>
      </c>
      <c r="C27" s="403">
        <v>1</v>
      </c>
      <c r="D27" s="403">
        <v>2</v>
      </c>
      <c r="E27" s="425">
        <v>10</v>
      </c>
      <c r="F27" s="403"/>
      <c r="G27" s="426">
        <v>0.83</v>
      </c>
      <c r="H27" s="426">
        <f t="shared" si="3"/>
        <v>16.600000000000001</v>
      </c>
    </row>
    <row r="28" spans="1:8">
      <c r="A28" s="418"/>
      <c r="B28" s="403" t="s">
        <v>1243</v>
      </c>
      <c r="C28" s="403">
        <v>1</v>
      </c>
      <c r="D28" s="403">
        <v>2</v>
      </c>
      <c r="E28" s="425">
        <v>63.6</v>
      </c>
      <c r="F28" s="403"/>
      <c r="G28" s="426">
        <v>0.83</v>
      </c>
      <c r="H28" s="426">
        <f t="shared" si="3"/>
        <v>105.58</v>
      </c>
    </row>
    <row r="29" spans="1:8">
      <c r="A29" s="403"/>
      <c r="B29" s="403"/>
      <c r="C29" s="403"/>
      <c r="D29" s="403"/>
      <c r="E29" s="403"/>
      <c r="F29" s="403"/>
      <c r="G29" s="403"/>
      <c r="H29" s="426">
        <f>+SUM(H26:H28)</f>
        <v>144.91999999999999</v>
      </c>
    </row>
    <row r="30" spans="1:8">
      <c r="A30" s="403"/>
      <c r="B30" s="403"/>
      <c r="C30" s="403"/>
      <c r="D30" s="403"/>
      <c r="E30" s="403"/>
      <c r="F30" s="403" t="s">
        <v>261</v>
      </c>
      <c r="G30" s="403" t="s">
        <v>123</v>
      </c>
      <c r="H30" s="427">
        <f>ROUNDUP(H29,1)</f>
        <v>145</v>
      </c>
    </row>
    <row r="31" spans="1:8" ht="30">
      <c r="A31" s="403">
        <v>34</v>
      </c>
      <c r="B31" s="421" t="s">
        <v>1248</v>
      </c>
      <c r="C31" s="403"/>
      <c r="D31" s="403"/>
      <c r="E31" s="403"/>
      <c r="F31" s="403"/>
      <c r="G31" s="403"/>
      <c r="H31" s="403"/>
    </row>
    <row r="32" spans="1:8">
      <c r="A32" s="403"/>
      <c r="B32" s="421" t="s">
        <v>1249</v>
      </c>
      <c r="C32" s="403"/>
      <c r="D32" s="403"/>
      <c r="E32" s="403"/>
      <c r="F32" s="403"/>
      <c r="G32" s="403"/>
      <c r="H32" s="403"/>
    </row>
    <row r="33" spans="1:8" ht="30">
      <c r="A33" s="403"/>
      <c r="B33" s="424" t="s">
        <v>1241</v>
      </c>
      <c r="C33" s="403">
        <v>2</v>
      </c>
      <c r="D33" s="403">
        <v>1</v>
      </c>
      <c r="E33" s="425">
        <v>27.4</v>
      </c>
      <c r="F33" s="403"/>
      <c r="G33" s="426">
        <v>0.6</v>
      </c>
      <c r="H33" s="426">
        <f t="shared" ref="H33:H35" si="4">PRODUCT(C33:G33)</f>
        <v>32.880000000000003</v>
      </c>
    </row>
    <row r="34" spans="1:8">
      <c r="A34" s="403"/>
      <c r="B34" s="403" t="s">
        <v>1242</v>
      </c>
      <c r="C34" s="403">
        <v>2</v>
      </c>
      <c r="D34" s="403">
        <v>2</v>
      </c>
      <c r="E34" s="425">
        <v>10</v>
      </c>
      <c r="F34" s="403"/>
      <c r="G34" s="426">
        <v>0.6</v>
      </c>
      <c r="H34" s="426">
        <f t="shared" si="4"/>
        <v>24</v>
      </c>
    </row>
    <row r="35" spans="1:8">
      <c r="A35" s="403"/>
      <c r="B35" s="403" t="s">
        <v>1243</v>
      </c>
      <c r="C35" s="403">
        <v>2</v>
      </c>
      <c r="D35" s="403">
        <v>2</v>
      </c>
      <c r="E35" s="425">
        <v>63.6</v>
      </c>
      <c r="F35" s="403"/>
      <c r="G35" s="426">
        <v>0.6</v>
      </c>
      <c r="H35" s="426">
        <f t="shared" si="4"/>
        <v>152.63999999999999</v>
      </c>
    </row>
    <row r="36" spans="1:8">
      <c r="A36" s="403"/>
      <c r="B36" s="403"/>
      <c r="C36" s="403"/>
      <c r="D36" s="403"/>
      <c r="E36" s="403"/>
      <c r="F36" s="403"/>
      <c r="G36" s="403"/>
      <c r="H36" s="426">
        <f>+SUM(H33:H35)</f>
        <v>209.52</v>
      </c>
    </row>
    <row r="37" spans="1:8">
      <c r="A37" s="403"/>
      <c r="B37" s="403"/>
      <c r="C37" s="403"/>
      <c r="D37" s="403"/>
      <c r="E37" s="403"/>
      <c r="F37" s="403" t="s">
        <v>261</v>
      </c>
      <c r="G37" s="403" t="s">
        <v>123</v>
      </c>
      <c r="H37" s="427">
        <f>ROUNDUP(H36,1)</f>
        <v>209.6</v>
      </c>
    </row>
    <row r="38" spans="1:8" ht="30">
      <c r="A38" s="418">
        <v>28</v>
      </c>
      <c r="B38" s="421" t="s">
        <v>1250</v>
      </c>
      <c r="C38" s="403"/>
      <c r="D38" s="403"/>
      <c r="E38" s="403"/>
      <c r="F38" s="403"/>
      <c r="G38" s="403"/>
      <c r="H38" s="403"/>
    </row>
    <row r="39" spans="1:8" ht="30">
      <c r="A39" s="418"/>
      <c r="B39" s="424" t="s">
        <v>1241</v>
      </c>
      <c r="C39" s="403">
        <v>1</v>
      </c>
      <c r="D39" s="403">
        <v>1</v>
      </c>
      <c r="E39" s="425">
        <v>27.4</v>
      </c>
      <c r="F39" s="403">
        <v>0.3</v>
      </c>
      <c r="G39" s="403"/>
      <c r="H39" s="426">
        <f t="shared" si="2"/>
        <v>8.2200000000000006</v>
      </c>
    </row>
    <row r="40" spans="1:8">
      <c r="A40" s="418"/>
      <c r="B40" s="403" t="s">
        <v>1242</v>
      </c>
      <c r="C40" s="403">
        <v>1</v>
      </c>
      <c r="D40" s="403">
        <v>1</v>
      </c>
      <c r="E40" s="425">
        <v>10</v>
      </c>
      <c r="F40" s="403">
        <v>0.3</v>
      </c>
      <c r="G40" s="403"/>
      <c r="H40" s="426">
        <f t="shared" si="2"/>
        <v>3</v>
      </c>
    </row>
    <row r="41" spans="1:8">
      <c r="A41" s="418"/>
      <c r="B41" s="403" t="s">
        <v>1243</v>
      </c>
      <c r="C41" s="403">
        <v>1</v>
      </c>
      <c r="D41" s="403">
        <v>1</v>
      </c>
      <c r="E41" s="425">
        <v>63.6</v>
      </c>
      <c r="F41" s="403">
        <v>0.3</v>
      </c>
      <c r="G41" s="403"/>
      <c r="H41" s="426">
        <f t="shared" si="2"/>
        <v>19.079999999999998</v>
      </c>
    </row>
    <row r="42" spans="1:8">
      <c r="A42" s="403"/>
      <c r="B42" s="403"/>
      <c r="C42" s="403"/>
      <c r="D42" s="403"/>
      <c r="E42" s="403"/>
      <c r="F42" s="403"/>
      <c r="G42" s="403"/>
      <c r="H42" s="430">
        <f>+SUM(H39:H41)</f>
        <v>30.3</v>
      </c>
    </row>
    <row r="43" spans="1:8">
      <c r="A43" s="403"/>
      <c r="B43" s="403"/>
      <c r="C43" s="403"/>
      <c r="D43" s="403"/>
      <c r="E43" s="403"/>
      <c r="F43" s="403" t="s">
        <v>261</v>
      </c>
      <c r="G43" s="403" t="s">
        <v>123</v>
      </c>
      <c r="H43" s="427">
        <f>ROUNDUP(H42,1)</f>
        <v>30.3</v>
      </c>
    </row>
  </sheetData>
  <mergeCells count="4">
    <mergeCell ref="A1:H1"/>
    <mergeCell ref="A2:H2"/>
    <mergeCell ref="B4:G4"/>
    <mergeCell ref="C5:D5"/>
  </mergeCells>
  <pageMargins left="0.7" right="0.7" top="0.75" bottom="0.75" header="0.3" footer="0.3"/>
  <pageSetup paperSize="9" orientation="portrait" horizontalDpi="300" verticalDpi="0" r:id="rId1"/>
</worksheet>
</file>

<file path=xl/worksheets/sheet12.xml><?xml version="1.0" encoding="utf-8"?>
<worksheet xmlns="http://schemas.openxmlformats.org/spreadsheetml/2006/main" xmlns:r="http://schemas.openxmlformats.org/officeDocument/2006/relationships">
  <sheetPr>
    <tabColor rgb="FFFFFF00"/>
  </sheetPr>
  <dimension ref="A1:H41"/>
  <sheetViews>
    <sheetView view="pageBreakPreview" topLeftCell="A10" zoomScaleSheetLayoutView="100" workbookViewId="0">
      <selection activeCell="E125" sqref="E125"/>
    </sheetView>
  </sheetViews>
  <sheetFormatPr defaultRowHeight="15.75"/>
  <cols>
    <col min="1" max="1" width="6.77734375" customWidth="1"/>
    <col min="2" max="2" width="24.88671875" customWidth="1"/>
  </cols>
  <sheetData>
    <row r="1" spans="1:8" ht="39.75" customHeight="1">
      <c r="A1" s="587" t="str">
        <f>[4]OHT!A4</f>
        <v>Name of work : Construction of Fire and Rescue service station building with development works at Kadamalaikundu in Theni District.</v>
      </c>
      <c r="B1" s="588"/>
      <c r="C1" s="588"/>
      <c r="D1" s="588"/>
      <c r="E1" s="588"/>
      <c r="F1" s="588"/>
      <c r="G1" s="588"/>
      <c r="H1" s="588"/>
    </row>
    <row r="2" spans="1:8">
      <c r="A2" s="590" t="s">
        <v>1251</v>
      </c>
      <c r="B2" s="590"/>
      <c r="C2" s="590"/>
      <c r="D2" s="590"/>
      <c r="E2" s="590"/>
      <c r="F2" s="590"/>
      <c r="G2" s="590"/>
      <c r="H2" s="590"/>
    </row>
    <row r="3" spans="1:8">
      <c r="A3" s="590" t="s">
        <v>1252</v>
      </c>
      <c r="B3" s="590"/>
      <c r="C3" s="590"/>
      <c r="D3" s="590"/>
      <c r="E3" s="590"/>
      <c r="F3" s="590"/>
      <c r="G3" s="590"/>
      <c r="H3" s="590"/>
    </row>
    <row r="4" spans="1:8" ht="18.75">
      <c r="A4" s="431"/>
      <c r="B4" s="617" t="s">
        <v>1253</v>
      </c>
      <c r="C4" s="617"/>
      <c r="D4" s="617"/>
      <c r="E4" s="617"/>
      <c r="F4" s="617"/>
      <c r="G4" s="617"/>
      <c r="H4" s="432"/>
    </row>
    <row r="5" spans="1:8">
      <c r="A5" s="433" t="s">
        <v>1236</v>
      </c>
      <c r="B5" s="433" t="s">
        <v>95</v>
      </c>
      <c r="C5" s="619" t="s">
        <v>72</v>
      </c>
      <c r="D5" s="619"/>
      <c r="E5" s="434" t="s">
        <v>1237</v>
      </c>
      <c r="F5" s="434" t="s">
        <v>134</v>
      </c>
      <c r="G5" s="434" t="s">
        <v>1238</v>
      </c>
      <c r="H5" s="435" t="s">
        <v>1239</v>
      </c>
    </row>
    <row r="6" spans="1:8">
      <c r="A6" s="418"/>
      <c r="B6" s="418" t="s">
        <v>1254</v>
      </c>
      <c r="C6" s="419"/>
      <c r="D6" s="419"/>
      <c r="E6" s="419"/>
      <c r="F6" s="419"/>
      <c r="G6" s="419"/>
      <c r="H6" s="420"/>
    </row>
    <row r="7" spans="1:8">
      <c r="A7" s="418"/>
      <c r="B7" s="418" t="s">
        <v>1255</v>
      </c>
      <c r="C7" s="419"/>
      <c r="D7" s="419"/>
      <c r="E7" s="419"/>
      <c r="F7" s="419"/>
      <c r="G7" s="419"/>
      <c r="H7" s="420"/>
    </row>
    <row r="8" spans="1:8">
      <c r="A8" s="418"/>
      <c r="B8" s="418"/>
      <c r="C8" s="419"/>
      <c r="D8" s="419"/>
      <c r="E8" s="419"/>
      <c r="F8" s="419"/>
      <c r="G8" s="419"/>
      <c r="H8" s="420"/>
    </row>
    <row r="9" spans="1:8" ht="30">
      <c r="A9" s="403">
        <v>1.5</v>
      </c>
      <c r="B9" s="421" t="s">
        <v>1240</v>
      </c>
      <c r="C9" s="422"/>
      <c r="D9" s="422"/>
      <c r="E9" s="422"/>
      <c r="F9" s="422"/>
      <c r="G9" s="422"/>
      <c r="H9" s="423"/>
    </row>
    <row r="10" spans="1:8">
      <c r="A10" s="403"/>
      <c r="B10" s="424" t="s">
        <v>1256</v>
      </c>
      <c r="C10" s="422">
        <v>1</v>
      </c>
      <c r="D10" s="422">
        <v>1</v>
      </c>
      <c r="E10" s="423">
        <v>63.6</v>
      </c>
      <c r="F10" s="423">
        <v>7</v>
      </c>
      <c r="G10" s="422">
        <v>0.38</v>
      </c>
      <c r="H10" s="423">
        <f>PRODUCT(C10:G10)</f>
        <v>169.18</v>
      </c>
    </row>
    <row r="11" spans="1:8">
      <c r="A11" s="403"/>
      <c r="B11" s="403" t="s">
        <v>1257</v>
      </c>
      <c r="C11" s="422">
        <v>1</v>
      </c>
      <c r="D11" s="422">
        <v>1</v>
      </c>
      <c r="E11" s="423">
        <v>16.5</v>
      </c>
      <c r="F11" s="423">
        <v>10</v>
      </c>
      <c r="G11" s="422">
        <v>0.38</v>
      </c>
      <c r="H11" s="423">
        <f t="shared" ref="H11:H33" si="0">PRODUCT(C11:G11)</f>
        <v>62.7</v>
      </c>
    </row>
    <row r="12" spans="1:8">
      <c r="A12" s="403"/>
      <c r="B12" s="403"/>
      <c r="C12" s="422"/>
      <c r="D12" s="422"/>
      <c r="E12" s="422"/>
      <c r="F12" s="422"/>
      <c r="G12" s="422"/>
      <c r="H12" s="423">
        <f>+SUM(H10:H11)</f>
        <v>231.88</v>
      </c>
    </row>
    <row r="13" spans="1:8">
      <c r="A13" s="403"/>
      <c r="B13" s="403"/>
      <c r="C13" s="422"/>
      <c r="D13" s="422"/>
      <c r="E13" s="422"/>
      <c r="F13" s="422" t="s">
        <v>261</v>
      </c>
      <c r="G13" s="422" t="s">
        <v>117</v>
      </c>
      <c r="H13" s="420">
        <f>ROUNDUP(H12,1)</f>
        <v>231.9</v>
      </c>
    </row>
    <row r="14" spans="1:8" ht="30">
      <c r="A14" s="418">
        <v>2</v>
      </c>
      <c r="B14" s="421" t="s">
        <v>1258</v>
      </c>
      <c r="C14" s="422"/>
      <c r="D14" s="422"/>
      <c r="E14" s="422"/>
      <c r="F14" s="422"/>
      <c r="G14" s="422"/>
      <c r="H14" s="423"/>
    </row>
    <row r="15" spans="1:8">
      <c r="A15" s="403"/>
      <c r="B15" s="424" t="s">
        <v>1256</v>
      </c>
      <c r="C15" s="422">
        <v>1</v>
      </c>
      <c r="D15" s="422">
        <v>1</v>
      </c>
      <c r="E15" s="423">
        <v>63.6</v>
      </c>
      <c r="F15" s="423">
        <v>7</v>
      </c>
      <c r="G15" s="422">
        <v>0.15</v>
      </c>
      <c r="H15" s="423">
        <f t="shared" si="0"/>
        <v>66.78</v>
      </c>
    </row>
    <row r="16" spans="1:8">
      <c r="A16" s="403"/>
      <c r="B16" s="403" t="s">
        <v>1257</v>
      </c>
      <c r="C16" s="422">
        <v>1</v>
      </c>
      <c r="D16" s="422">
        <v>1</v>
      </c>
      <c r="E16" s="423">
        <v>16.5</v>
      </c>
      <c r="F16" s="423">
        <v>10</v>
      </c>
      <c r="G16" s="422">
        <v>0.15</v>
      </c>
      <c r="H16" s="423">
        <f t="shared" si="0"/>
        <v>24.75</v>
      </c>
    </row>
    <row r="17" spans="1:8">
      <c r="A17" s="403"/>
      <c r="B17" s="403"/>
      <c r="C17" s="422"/>
      <c r="D17" s="422"/>
      <c r="E17" s="422"/>
      <c r="F17" s="422"/>
      <c r="G17" s="422"/>
      <c r="H17" s="423">
        <f>+SUM(H15:H16)</f>
        <v>91.53</v>
      </c>
    </row>
    <row r="18" spans="1:8">
      <c r="A18" s="403"/>
      <c r="B18" s="403"/>
      <c r="C18" s="422"/>
      <c r="D18" s="422"/>
      <c r="E18" s="422"/>
      <c r="F18" s="422" t="s">
        <v>261</v>
      </c>
      <c r="G18" s="422" t="s">
        <v>117</v>
      </c>
      <c r="H18" s="420">
        <f>ROUNDUP(H17,1)</f>
        <v>91.6</v>
      </c>
    </row>
    <row r="19" spans="1:8">
      <c r="A19" s="403"/>
      <c r="B19" s="403"/>
      <c r="C19" s="422"/>
      <c r="D19" s="422"/>
      <c r="E19" s="422"/>
      <c r="F19" s="422"/>
      <c r="G19" s="422"/>
      <c r="H19" s="423"/>
    </row>
    <row r="20" spans="1:8" ht="30">
      <c r="A20" s="418">
        <v>3</v>
      </c>
      <c r="B20" s="421" t="s">
        <v>1259</v>
      </c>
      <c r="C20" s="422"/>
      <c r="D20" s="422"/>
      <c r="E20" s="422"/>
      <c r="F20" s="422"/>
      <c r="G20" s="422"/>
      <c r="H20" s="423"/>
    </row>
    <row r="21" spans="1:8">
      <c r="A21" s="403"/>
      <c r="B21" s="424" t="s">
        <v>1256</v>
      </c>
      <c r="C21" s="422">
        <v>1</v>
      </c>
      <c r="D21" s="422">
        <v>1</v>
      </c>
      <c r="E21" s="423">
        <v>63.6</v>
      </c>
      <c r="F21" s="423">
        <v>7</v>
      </c>
      <c r="G21" s="422">
        <v>0.15</v>
      </c>
      <c r="H21" s="423">
        <f t="shared" ref="H21:H22" si="1">PRODUCT(C21:G21)</f>
        <v>66.78</v>
      </c>
    </row>
    <row r="22" spans="1:8">
      <c r="A22" s="403"/>
      <c r="B22" s="403" t="s">
        <v>1257</v>
      </c>
      <c r="C22" s="422">
        <v>1</v>
      </c>
      <c r="D22" s="422">
        <v>1</v>
      </c>
      <c r="E22" s="423">
        <v>16.5</v>
      </c>
      <c r="F22" s="423">
        <v>10</v>
      </c>
      <c r="G22" s="422">
        <v>0.15</v>
      </c>
      <c r="H22" s="423">
        <f t="shared" si="1"/>
        <v>24.75</v>
      </c>
    </row>
    <row r="23" spans="1:8">
      <c r="A23" s="403"/>
      <c r="B23" s="403"/>
      <c r="C23" s="422"/>
      <c r="D23" s="422"/>
      <c r="E23" s="422"/>
      <c r="F23" s="422"/>
      <c r="G23" s="422"/>
      <c r="H23" s="423">
        <f>+SUM(H21:H22)</f>
        <v>91.53</v>
      </c>
    </row>
    <row r="24" spans="1:8">
      <c r="A24" s="403"/>
      <c r="B24" s="403"/>
      <c r="C24" s="422"/>
      <c r="D24" s="422"/>
      <c r="E24" s="422"/>
      <c r="F24" s="422" t="s">
        <v>261</v>
      </c>
      <c r="G24" s="422" t="s">
        <v>117</v>
      </c>
      <c r="H24" s="420">
        <f>ROUNDUP(H23,1)</f>
        <v>91.6</v>
      </c>
    </row>
    <row r="25" spans="1:8">
      <c r="A25" s="403"/>
      <c r="B25" s="403"/>
      <c r="C25" s="422"/>
      <c r="D25" s="422"/>
      <c r="E25" s="422"/>
      <c r="F25" s="422"/>
      <c r="G25" s="422"/>
      <c r="H25" s="420"/>
    </row>
    <row r="26" spans="1:8" ht="75">
      <c r="A26" s="418">
        <v>4</v>
      </c>
      <c r="B26" s="421" t="s">
        <v>1260</v>
      </c>
      <c r="C26" s="422"/>
      <c r="D26" s="422"/>
      <c r="E26" s="422"/>
      <c r="F26" s="422"/>
      <c r="G26" s="422"/>
      <c r="H26" s="423"/>
    </row>
    <row r="27" spans="1:8">
      <c r="A27" s="403"/>
      <c r="B27" s="424" t="s">
        <v>1256</v>
      </c>
      <c r="C27" s="422">
        <v>1</v>
      </c>
      <c r="D27" s="422">
        <v>1</v>
      </c>
      <c r="E27" s="423">
        <v>63.6</v>
      </c>
      <c r="F27" s="423">
        <v>7</v>
      </c>
      <c r="G27" s="422"/>
      <c r="H27" s="423">
        <f t="shared" si="0"/>
        <v>445.2</v>
      </c>
    </row>
    <row r="28" spans="1:8">
      <c r="A28" s="403"/>
      <c r="B28" s="403" t="s">
        <v>1257</v>
      </c>
      <c r="C28" s="422">
        <v>1</v>
      </c>
      <c r="D28" s="422">
        <v>1</v>
      </c>
      <c r="E28" s="423">
        <v>16.5</v>
      </c>
      <c r="F28" s="423">
        <v>10</v>
      </c>
      <c r="G28" s="422"/>
      <c r="H28" s="423">
        <f t="shared" si="0"/>
        <v>165</v>
      </c>
    </row>
    <row r="29" spans="1:8">
      <c r="A29" s="403"/>
      <c r="B29" s="403"/>
      <c r="C29" s="422"/>
      <c r="D29" s="422"/>
      <c r="E29" s="422"/>
      <c r="F29" s="422"/>
      <c r="G29" s="422"/>
      <c r="H29" s="423">
        <f>+SUM(H27:H28)</f>
        <v>610.20000000000005</v>
      </c>
    </row>
    <row r="30" spans="1:8">
      <c r="A30" s="403"/>
      <c r="B30" s="403"/>
      <c r="C30" s="422"/>
      <c r="D30" s="422"/>
      <c r="E30" s="422"/>
      <c r="F30" s="422" t="s">
        <v>261</v>
      </c>
      <c r="G30" s="422" t="s">
        <v>123</v>
      </c>
      <c r="H30" s="420">
        <f>ROUNDUP(H29,1)</f>
        <v>610.20000000000005</v>
      </c>
    </row>
    <row r="31" spans="1:8">
      <c r="A31" s="418">
        <v>50.2</v>
      </c>
      <c r="B31" s="418" t="s">
        <v>1261</v>
      </c>
      <c r="C31" s="422"/>
      <c r="D31" s="422"/>
      <c r="E31" s="422"/>
      <c r="F31" s="422"/>
      <c r="G31" s="422"/>
      <c r="H31" s="423"/>
    </row>
    <row r="32" spans="1:8">
      <c r="A32" s="403"/>
      <c r="B32" s="424" t="s">
        <v>1256</v>
      </c>
      <c r="C32" s="422">
        <v>1</v>
      </c>
      <c r="D32" s="422">
        <v>2</v>
      </c>
      <c r="E32" s="423">
        <v>63.6</v>
      </c>
      <c r="F32" s="422"/>
      <c r="G32" s="422"/>
      <c r="H32" s="423">
        <f t="shared" si="0"/>
        <v>127.2</v>
      </c>
    </row>
    <row r="33" spans="1:8">
      <c r="A33" s="403"/>
      <c r="B33" s="403" t="s">
        <v>1257</v>
      </c>
      <c r="C33" s="422">
        <v>1</v>
      </c>
      <c r="D33" s="422">
        <v>1</v>
      </c>
      <c r="E33" s="423">
        <v>20</v>
      </c>
      <c r="F33" s="422"/>
      <c r="G33" s="422"/>
      <c r="H33" s="423">
        <f t="shared" si="0"/>
        <v>20</v>
      </c>
    </row>
    <row r="34" spans="1:8">
      <c r="A34" s="403"/>
      <c r="B34" s="403"/>
      <c r="C34" s="422"/>
      <c r="D34" s="422"/>
      <c r="E34" s="422"/>
      <c r="F34" s="422"/>
      <c r="G34" s="422"/>
      <c r="H34" s="428">
        <f>+SUM(H32:H33)</f>
        <v>147.19999999999999</v>
      </c>
    </row>
    <row r="35" spans="1:8">
      <c r="A35" s="403"/>
      <c r="B35" s="403"/>
      <c r="C35" s="422"/>
      <c r="D35" s="422"/>
      <c r="E35" s="422"/>
      <c r="F35" s="422" t="s">
        <v>261</v>
      </c>
      <c r="G35" s="422" t="s">
        <v>39</v>
      </c>
      <c r="H35" s="420">
        <f>ROUNDUP(H34,1)</f>
        <v>147.19999999999999</v>
      </c>
    </row>
    <row r="36" spans="1:8" ht="30">
      <c r="A36" s="403">
        <v>41</v>
      </c>
      <c r="B36" s="436" t="s">
        <v>1262</v>
      </c>
      <c r="C36" s="422"/>
      <c r="D36" s="422"/>
      <c r="E36" s="422"/>
      <c r="F36" s="422"/>
      <c r="G36" s="422"/>
      <c r="H36" s="423"/>
    </row>
    <row r="37" spans="1:8">
      <c r="A37" s="403"/>
      <c r="B37" s="436" t="s">
        <v>1263</v>
      </c>
      <c r="C37" s="422"/>
      <c r="D37" s="422"/>
      <c r="E37" s="422"/>
      <c r="F37" s="422"/>
      <c r="G37" s="422"/>
      <c r="H37" s="423"/>
    </row>
    <row r="38" spans="1:8">
      <c r="A38" s="403"/>
      <c r="B38" s="424" t="s">
        <v>1256</v>
      </c>
      <c r="C38" s="422">
        <v>1</v>
      </c>
      <c r="D38" s="422">
        <v>2</v>
      </c>
      <c r="E38" s="423">
        <v>63.6</v>
      </c>
      <c r="F38" s="422"/>
      <c r="G38" s="422">
        <v>0.45</v>
      </c>
      <c r="H38" s="423">
        <f t="shared" ref="H38:H39" si="2">PRODUCT(C38:G38)</f>
        <v>57.24</v>
      </c>
    </row>
    <row r="39" spans="1:8">
      <c r="A39" s="403"/>
      <c r="B39" s="403" t="s">
        <v>1257</v>
      </c>
      <c r="C39" s="422">
        <v>1</v>
      </c>
      <c r="D39" s="422">
        <v>1</v>
      </c>
      <c r="E39" s="423">
        <v>20</v>
      </c>
      <c r="F39" s="422"/>
      <c r="G39" s="422">
        <v>0.45</v>
      </c>
      <c r="H39" s="423">
        <f t="shared" si="2"/>
        <v>9</v>
      </c>
    </row>
    <row r="40" spans="1:8">
      <c r="A40" s="403"/>
      <c r="B40" s="403"/>
      <c r="C40" s="422"/>
      <c r="D40" s="422"/>
      <c r="E40" s="422"/>
      <c r="F40" s="422"/>
      <c r="G40" s="422"/>
      <c r="H40" s="423">
        <f>+SUM(H38:H39)</f>
        <v>66.239999999999995</v>
      </c>
    </row>
    <row r="41" spans="1:8">
      <c r="A41" s="403"/>
      <c r="B41" s="403"/>
      <c r="C41" s="422"/>
      <c r="D41" s="422"/>
      <c r="E41" s="422"/>
      <c r="F41" s="422" t="s">
        <v>261</v>
      </c>
      <c r="G41" s="422" t="s">
        <v>123</v>
      </c>
      <c r="H41" s="420">
        <f>ROUNDUP(H40,1)</f>
        <v>66.3</v>
      </c>
    </row>
  </sheetData>
  <mergeCells count="5">
    <mergeCell ref="A1:H1"/>
    <mergeCell ref="A2:H2"/>
    <mergeCell ref="A3:H3"/>
    <mergeCell ref="B4:G4"/>
    <mergeCell ref="C5:D5"/>
  </mergeCells>
  <pageMargins left="0.7" right="0.7" top="0.75" bottom="0.75" header="0.3" footer="0.3"/>
  <pageSetup paperSize="9" scale="86" orientation="portrait" horizontalDpi="300" verticalDpi="0" r:id="rId1"/>
</worksheet>
</file>

<file path=xl/worksheets/sheet13.xml><?xml version="1.0" encoding="utf-8"?>
<worksheet xmlns="http://schemas.openxmlformats.org/spreadsheetml/2006/main" xmlns:r="http://schemas.openxmlformats.org/officeDocument/2006/relationships">
  <sheetPr>
    <tabColor rgb="FFFFC000"/>
  </sheetPr>
  <dimension ref="A1:H50"/>
  <sheetViews>
    <sheetView view="pageBreakPreview" topLeftCell="A43" zoomScale="130" zoomScaleSheetLayoutView="130" workbookViewId="0">
      <selection activeCell="E125" sqref="E125"/>
    </sheetView>
  </sheetViews>
  <sheetFormatPr defaultRowHeight="15.75"/>
  <cols>
    <col min="1" max="1" width="6.77734375" style="172" customWidth="1"/>
    <col min="2" max="2" width="24.88671875" style="172" customWidth="1"/>
    <col min="3" max="4" width="5.6640625" style="172" customWidth="1"/>
    <col min="5" max="8" width="8.88671875" style="172"/>
  </cols>
  <sheetData>
    <row r="1" spans="1:8" ht="39.75" customHeight="1">
      <c r="A1" s="620" t="str">
        <f>[4]OHT!A4</f>
        <v>Name of work : Construction of Fire and Rescue service station building with development works at Kadamalaikundu in Theni District.</v>
      </c>
      <c r="B1" s="621"/>
      <c r="C1" s="621"/>
      <c r="D1" s="621"/>
      <c r="E1" s="621"/>
      <c r="F1" s="621"/>
      <c r="G1" s="621"/>
      <c r="H1" s="621"/>
    </row>
    <row r="2" spans="1:8">
      <c r="A2" s="622" t="s">
        <v>1251</v>
      </c>
      <c r="B2" s="622"/>
      <c r="C2" s="622"/>
      <c r="D2" s="622"/>
      <c r="E2" s="622"/>
      <c r="F2" s="622"/>
      <c r="G2" s="622"/>
      <c r="H2" s="622"/>
    </row>
    <row r="3" spans="1:8">
      <c r="A3" s="622" t="s">
        <v>1391</v>
      </c>
      <c r="B3" s="622"/>
      <c r="C3" s="622"/>
      <c r="D3" s="622"/>
      <c r="E3" s="622"/>
      <c r="F3" s="622"/>
      <c r="G3" s="622"/>
      <c r="H3" s="622"/>
    </row>
    <row r="4" spans="1:8" ht="18">
      <c r="A4" s="501"/>
      <c r="B4" s="623"/>
      <c r="C4" s="623"/>
      <c r="D4" s="623"/>
      <c r="E4" s="623"/>
      <c r="F4" s="623"/>
      <c r="G4" s="623"/>
      <c r="H4" s="502"/>
    </row>
    <row r="5" spans="1:8" ht="43.5">
      <c r="A5" s="503">
        <v>1.5</v>
      </c>
      <c r="B5" s="504" t="s">
        <v>1392</v>
      </c>
      <c r="C5" s="503"/>
      <c r="D5" s="503"/>
      <c r="E5" s="503"/>
      <c r="F5" s="503"/>
      <c r="G5" s="503"/>
      <c r="H5" s="505"/>
    </row>
    <row r="6" spans="1:8">
      <c r="A6" s="506"/>
      <c r="B6" s="507" t="s">
        <v>1393</v>
      </c>
      <c r="C6" s="506">
        <v>1</v>
      </c>
      <c r="D6" s="506">
        <v>1</v>
      </c>
      <c r="E6" s="508">
        <v>7.2</v>
      </c>
      <c r="F6" s="508">
        <v>2.4</v>
      </c>
      <c r="G6" s="506">
        <v>0.9</v>
      </c>
      <c r="H6" s="509">
        <f>PRODUCT(C6:G6)</f>
        <v>15.55</v>
      </c>
    </row>
    <row r="7" spans="1:8">
      <c r="A7" s="503"/>
      <c r="B7" s="505"/>
      <c r="C7" s="503"/>
      <c r="D7" s="503"/>
      <c r="E7" s="510"/>
      <c r="F7" s="510" t="s">
        <v>261</v>
      </c>
      <c r="G7" s="511">
        <f>ROUNDUP(H6,1)</f>
        <v>15.6</v>
      </c>
      <c r="H7" s="512" t="s">
        <v>1414</v>
      </c>
    </row>
    <row r="8" spans="1:8">
      <c r="A8" s="503">
        <v>3.1</v>
      </c>
      <c r="B8" s="505" t="s">
        <v>1394</v>
      </c>
      <c r="C8" s="503"/>
      <c r="D8" s="503"/>
      <c r="E8" s="503"/>
      <c r="F8" s="503"/>
      <c r="G8" s="503"/>
      <c r="H8" s="505"/>
    </row>
    <row r="9" spans="1:8">
      <c r="A9" s="506"/>
      <c r="B9" s="507" t="s">
        <v>1393</v>
      </c>
      <c r="C9" s="506">
        <v>1</v>
      </c>
      <c r="D9" s="506">
        <v>1</v>
      </c>
      <c r="E9" s="508">
        <v>7.2</v>
      </c>
      <c r="F9" s="508">
        <v>2.4</v>
      </c>
      <c r="G9" s="506">
        <v>0.15</v>
      </c>
      <c r="H9" s="509">
        <f>PRODUCT(C9:G9)</f>
        <v>2.59</v>
      </c>
    </row>
    <row r="10" spans="1:8">
      <c r="A10" s="503"/>
      <c r="B10" s="505"/>
      <c r="C10" s="503"/>
      <c r="D10" s="503"/>
      <c r="E10" s="510"/>
      <c r="F10" s="510" t="s">
        <v>261</v>
      </c>
      <c r="G10" s="511">
        <f>ROUNDUP(H9,1)</f>
        <v>2.6</v>
      </c>
      <c r="H10" s="512" t="s">
        <v>1414</v>
      </c>
    </row>
    <row r="11" spans="1:8" ht="29.25">
      <c r="A11" s="503">
        <v>4.0999999999999996</v>
      </c>
      <c r="B11" s="504" t="s">
        <v>1395</v>
      </c>
      <c r="C11" s="503"/>
      <c r="D11" s="503"/>
      <c r="E11" s="503"/>
      <c r="F11" s="503"/>
      <c r="G11" s="503"/>
      <c r="H11" s="505"/>
    </row>
    <row r="12" spans="1:8">
      <c r="A12" s="506"/>
      <c r="B12" s="507" t="s">
        <v>1396</v>
      </c>
      <c r="C12" s="506">
        <v>1</v>
      </c>
      <c r="D12" s="506">
        <v>1</v>
      </c>
      <c r="E12" s="508">
        <v>7.2</v>
      </c>
      <c r="F12" s="508">
        <v>1.5</v>
      </c>
      <c r="G12" s="506">
        <v>0.25</v>
      </c>
      <c r="H12" s="509">
        <f>PRODUCT(C12:G12)</f>
        <v>2.7</v>
      </c>
    </row>
    <row r="13" spans="1:8">
      <c r="A13" s="503"/>
      <c r="B13" s="505"/>
      <c r="C13" s="503"/>
      <c r="D13" s="503"/>
      <c r="E13" s="510"/>
      <c r="F13" s="510" t="s">
        <v>261</v>
      </c>
      <c r="G13" s="511">
        <f>ROUNDUP(H12,1)</f>
        <v>2.7</v>
      </c>
      <c r="H13" s="512" t="s">
        <v>1414</v>
      </c>
    </row>
    <row r="14" spans="1:8">
      <c r="A14" s="503">
        <v>5</v>
      </c>
      <c r="B14" s="505" t="s">
        <v>1411</v>
      </c>
      <c r="C14" s="503"/>
      <c r="D14" s="503"/>
      <c r="E14" s="503"/>
      <c r="F14" s="503"/>
      <c r="G14" s="503"/>
      <c r="H14" s="505"/>
    </row>
    <row r="15" spans="1:8">
      <c r="A15" s="506"/>
      <c r="B15" s="507" t="s">
        <v>1397</v>
      </c>
      <c r="C15" s="506">
        <v>1</v>
      </c>
      <c r="D15" s="506">
        <v>2</v>
      </c>
      <c r="E15" s="508">
        <v>7.2</v>
      </c>
      <c r="F15" s="508">
        <v>0.6</v>
      </c>
      <c r="G15" s="506">
        <v>0.45</v>
      </c>
      <c r="H15" s="509">
        <f t="shared" ref="H15:H17" si="0">PRODUCT(C15:G15)</f>
        <v>3.89</v>
      </c>
    </row>
    <row r="16" spans="1:8">
      <c r="A16" s="506"/>
      <c r="B16" s="507" t="s">
        <v>1398</v>
      </c>
      <c r="C16" s="506">
        <v>1</v>
      </c>
      <c r="D16" s="506">
        <v>2</v>
      </c>
      <c r="E16" s="508">
        <v>7.2</v>
      </c>
      <c r="F16" s="508">
        <v>0.45</v>
      </c>
      <c r="G16" s="506">
        <v>0.45</v>
      </c>
      <c r="H16" s="509">
        <f t="shared" si="0"/>
        <v>2.92</v>
      </c>
    </row>
    <row r="17" spans="1:8">
      <c r="A17" s="506"/>
      <c r="B17" s="507" t="s">
        <v>1399</v>
      </c>
      <c r="C17" s="506">
        <v>1</v>
      </c>
      <c r="D17" s="506">
        <v>2</v>
      </c>
      <c r="E17" s="508">
        <v>7.2</v>
      </c>
      <c r="F17" s="508">
        <v>0.3</v>
      </c>
      <c r="G17" s="506">
        <v>0.6</v>
      </c>
      <c r="H17" s="509">
        <f t="shared" si="0"/>
        <v>2.59</v>
      </c>
    </row>
    <row r="18" spans="1:8">
      <c r="A18" s="506"/>
      <c r="B18" s="507"/>
      <c r="C18" s="506"/>
      <c r="D18" s="506"/>
      <c r="E18" s="508"/>
      <c r="F18" s="508"/>
      <c r="G18" s="513"/>
      <c r="H18" s="514">
        <f>SUM(H15:H17)</f>
        <v>9.4</v>
      </c>
    </row>
    <row r="19" spans="1:8">
      <c r="A19" s="503"/>
      <c r="B19" s="505"/>
      <c r="C19" s="503"/>
      <c r="D19" s="503"/>
      <c r="E19" s="510"/>
      <c r="F19" s="510" t="s">
        <v>261</v>
      </c>
      <c r="G19" s="511">
        <f>ROUNDUP(H18,1)</f>
        <v>9.4</v>
      </c>
      <c r="H19" s="512" t="s">
        <v>1414</v>
      </c>
    </row>
    <row r="20" spans="1:8" ht="29.25">
      <c r="A20" s="503">
        <v>6.5</v>
      </c>
      <c r="B20" s="504" t="s">
        <v>1400</v>
      </c>
      <c r="C20" s="503"/>
      <c r="D20" s="503"/>
      <c r="E20" s="503"/>
      <c r="F20" s="503"/>
      <c r="G20" s="503"/>
      <c r="H20" s="505"/>
    </row>
    <row r="21" spans="1:8">
      <c r="A21" s="506"/>
      <c r="B21" s="507" t="s">
        <v>1401</v>
      </c>
      <c r="C21" s="506">
        <v>1</v>
      </c>
      <c r="D21" s="506">
        <v>2</v>
      </c>
      <c r="E21" s="508">
        <v>1.5</v>
      </c>
      <c r="F21" s="508">
        <v>0.23</v>
      </c>
      <c r="G21" s="506">
        <v>0.9</v>
      </c>
      <c r="H21" s="509">
        <f>PRODUCT(C21:G21)</f>
        <v>0.62</v>
      </c>
    </row>
    <row r="22" spans="1:8">
      <c r="A22" s="503"/>
      <c r="B22" s="505"/>
      <c r="C22" s="503"/>
      <c r="D22" s="503"/>
      <c r="E22" s="510"/>
      <c r="F22" s="510" t="s">
        <v>261</v>
      </c>
      <c r="G22" s="511">
        <f>ROUNDUP(H21,1)</f>
        <v>0.7</v>
      </c>
      <c r="H22" s="512" t="s">
        <v>1414</v>
      </c>
    </row>
    <row r="23" spans="1:8" ht="29.25">
      <c r="A23" s="503">
        <v>18.100000000000001</v>
      </c>
      <c r="B23" s="504" t="s">
        <v>1402</v>
      </c>
      <c r="C23" s="503"/>
      <c r="D23" s="503"/>
      <c r="E23" s="503"/>
      <c r="F23" s="503"/>
      <c r="G23" s="503"/>
      <c r="H23" s="505"/>
    </row>
    <row r="24" spans="1:8" ht="43.5">
      <c r="A24" s="503"/>
      <c r="B24" s="504" t="s">
        <v>1403</v>
      </c>
      <c r="C24" s="503"/>
      <c r="D24" s="503"/>
      <c r="E24" s="503"/>
      <c r="F24" s="503"/>
      <c r="G24" s="503"/>
      <c r="H24" s="505"/>
    </row>
    <row r="25" spans="1:8">
      <c r="A25" s="506"/>
      <c r="B25" s="507" t="s">
        <v>1404</v>
      </c>
      <c r="C25" s="506">
        <v>1</v>
      </c>
      <c r="D25" s="506">
        <v>1</v>
      </c>
      <c r="E25" s="508">
        <v>17.399999999999999</v>
      </c>
      <c r="F25" s="508"/>
      <c r="G25" s="508">
        <v>0.25</v>
      </c>
      <c r="H25" s="509">
        <f>PRODUCT(C25:G25)</f>
        <v>4.3499999999999996</v>
      </c>
    </row>
    <row r="26" spans="1:8">
      <c r="A26" s="506"/>
      <c r="B26" s="507"/>
      <c r="C26" s="506"/>
      <c r="D26" s="506"/>
      <c r="E26" s="508"/>
      <c r="F26" s="508"/>
      <c r="G26" s="515"/>
      <c r="H26" s="514">
        <f>SUM(H25:H25)</f>
        <v>4.3499999999999996</v>
      </c>
    </row>
    <row r="27" spans="1:8">
      <c r="A27" s="503"/>
      <c r="B27" s="505"/>
      <c r="C27" s="503"/>
      <c r="D27" s="503"/>
      <c r="E27" s="510"/>
      <c r="F27" s="510" t="s">
        <v>261</v>
      </c>
      <c r="G27" s="511">
        <f>ROUNDUP(H26,1)</f>
        <v>4.4000000000000004</v>
      </c>
      <c r="H27" s="512" t="s">
        <v>1414</v>
      </c>
    </row>
    <row r="28" spans="1:8" ht="72">
      <c r="A28" s="503"/>
      <c r="B28" s="504" t="s">
        <v>1405</v>
      </c>
      <c r="C28" s="503"/>
      <c r="D28" s="503"/>
      <c r="E28" s="503"/>
      <c r="F28" s="503"/>
      <c r="G28" s="503"/>
      <c r="H28" s="505"/>
    </row>
    <row r="29" spans="1:8">
      <c r="A29" s="506"/>
      <c r="B29" s="507" t="s">
        <v>187</v>
      </c>
      <c r="C29" s="506">
        <v>1</v>
      </c>
      <c r="D29" s="506">
        <v>1</v>
      </c>
      <c r="E29" s="508">
        <v>7.2</v>
      </c>
      <c r="F29" s="508">
        <v>0.9</v>
      </c>
      <c r="G29" s="508"/>
      <c r="H29" s="509">
        <f>SUM(C29*D29*E29*F29)</f>
        <v>6.48</v>
      </c>
    </row>
    <row r="30" spans="1:8">
      <c r="A30" s="503"/>
      <c r="B30" s="505"/>
      <c r="C30" s="503"/>
      <c r="D30" s="503"/>
      <c r="E30" s="510"/>
      <c r="F30" s="510" t="s">
        <v>261</v>
      </c>
      <c r="G30" s="511">
        <f>ROUNDUP(H29,1)</f>
        <v>6.5</v>
      </c>
      <c r="H30" s="512" t="s">
        <v>1414</v>
      </c>
    </row>
    <row r="31" spans="1:8">
      <c r="A31" s="503"/>
      <c r="B31" s="505" t="s">
        <v>1113</v>
      </c>
      <c r="C31" s="503"/>
      <c r="D31" s="503"/>
      <c r="E31" s="510"/>
      <c r="F31" s="510"/>
      <c r="G31" s="516"/>
      <c r="H31" s="512"/>
    </row>
    <row r="32" spans="1:8">
      <c r="A32" s="503"/>
      <c r="B32" s="505" t="s">
        <v>1412</v>
      </c>
      <c r="C32" s="503">
        <v>2</v>
      </c>
      <c r="D32" s="503">
        <v>2</v>
      </c>
      <c r="E32" s="510">
        <v>7.2</v>
      </c>
      <c r="F32" s="510"/>
      <c r="G32" s="516">
        <v>1.5</v>
      </c>
      <c r="H32" s="509">
        <f t="shared" ref="H32:H35" si="1">PRODUCT(C32:G32)</f>
        <v>43.2</v>
      </c>
    </row>
    <row r="33" spans="1:8">
      <c r="A33" s="503"/>
      <c r="B33" s="505" t="s">
        <v>1412</v>
      </c>
      <c r="C33" s="503">
        <v>2</v>
      </c>
      <c r="D33" s="503">
        <v>2</v>
      </c>
      <c r="E33" s="510">
        <v>0.6</v>
      </c>
      <c r="F33" s="510"/>
      <c r="G33" s="516">
        <v>0.45</v>
      </c>
      <c r="H33" s="509">
        <f t="shared" si="1"/>
        <v>1.08</v>
      </c>
    </row>
    <row r="34" spans="1:8">
      <c r="A34" s="503"/>
      <c r="B34" s="505" t="s">
        <v>1412</v>
      </c>
      <c r="C34" s="503">
        <v>2</v>
      </c>
      <c r="D34" s="503">
        <v>2</v>
      </c>
      <c r="E34" s="510">
        <v>0.45</v>
      </c>
      <c r="F34" s="510"/>
      <c r="G34" s="516">
        <v>0.45</v>
      </c>
      <c r="H34" s="509">
        <f t="shared" si="1"/>
        <v>0.81</v>
      </c>
    </row>
    <row r="35" spans="1:8">
      <c r="A35" s="503"/>
      <c r="B35" s="505"/>
      <c r="C35" s="503">
        <v>2</v>
      </c>
      <c r="D35" s="503">
        <v>2</v>
      </c>
      <c r="E35" s="510">
        <v>0.3</v>
      </c>
      <c r="F35" s="510"/>
      <c r="G35" s="516">
        <v>0.6</v>
      </c>
      <c r="H35" s="509">
        <f t="shared" si="1"/>
        <v>0.72</v>
      </c>
    </row>
    <row r="36" spans="1:8">
      <c r="A36" s="503"/>
      <c r="B36" s="505"/>
      <c r="C36" s="503"/>
      <c r="D36" s="503"/>
      <c r="E36" s="510"/>
      <c r="F36" s="510"/>
      <c r="G36" s="516"/>
      <c r="H36" s="517">
        <f>SUM(H32:H35)</f>
        <v>45.81</v>
      </c>
    </row>
    <row r="37" spans="1:8">
      <c r="A37" s="503"/>
      <c r="B37" s="505"/>
      <c r="C37" s="503"/>
      <c r="D37" s="503"/>
      <c r="E37" s="510"/>
      <c r="F37" s="510" t="s">
        <v>261</v>
      </c>
      <c r="G37" s="511">
        <f>ROUNDUP(H36,1)</f>
        <v>45.9</v>
      </c>
      <c r="H37" s="512" t="s">
        <v>371</v>
      </c>
    </row>
    <row r="38" spans="1:8">
      <c r="A38" s="503">
        <v>33</v>
      </c>
      <c r="B38" s="505" t="s">
        <v>1406</v>
      </c>
      <c r="C38" s="503"/>
      <c r="D38" s="503"/>
      <c r="E38" s="503"/>
      <c r="F38" s="503"/>
      <c r="G38" s="503"/>
      <c r="H38" s="505"/>
    </row>
    <row r="39" spans="1:8">
      <c r="A39" s="506"/>
      <c r="B39" s="507" t="s">
        <v>1401</v>
      </c>
      <c r="C39" s="506">
        <v>2</v>
      </c>
      <c r="D39" s="506">
        <v>2</v>
      </c>
      <c r="E39" s="508">
        <v>1.5</v>
      </c>
      <c r="F39" s="508"/>
      <c r="G39" s="508">
        <v>0.9</v>
      </c>
      <c r="H39" s="509">
        <f t="shared" ref="H39:H40" si="2">PRODUCT(C39:G39)</f>
        <v>5.4</v>
      </c>
    </row>
    <row r="40" spans="1:8">
      <c r="A40" s="506"/>
      <c r="B40" s="507" t="s">
        <v>1413</v>
      </c>
      <c r="C40" s="506">
        <v>2</v>
      </c>
      <c r="D40" s="506">
        <v>1</v>
      </c>
      <c r="E40" s="508">
        <v>3.3</v>
      </c>
      <c r="F40" s="508"/>
      <c r="G40" s="515">
        <v>0.23</v>
      </c>
      <c r="H40" s="509">
        <f t="shared" si="2"/>
        <v>1.52</v>
      </c>
    </row>
    <row r="41" spans="1:8">
      <c r="A41" s="506"/>
      <c r="B41" s="507"/>
      <c r="C41" s="506"/>
      <c r="D41" s="506"/>
      <c r="E41" s="508"/>
      <c r="F41" s="508"/>
      <c r="G41" s="515"/>
      <c r="H41" s="514">
        <f>SUM(H39:H39)</f>
        <v>5.4</v>
      </c>
    </row>
    <row r="42" spans="1:8">
      <c r="A42" s="503"/>
      <c r="B42" s="505"/>
      <c r="C42" s="503"/>
      <c r="D42" s="503"/>
      <c r="E42" s="510"/>
      <c r="F42" s="510" t="s">
        <v>261</v>
      </c>
      <c r="G42" s="511">
        <f>ROUNDUP(H41,1)</f>
        <v>5.4</v>
      </c>
      <c r="H42" s="512" t="s">
        <v>371</v>
      </c>
    </row>
    <row r="43" spans="1:8">
      <c r="A43" s="503">
        <v>37.1</v>
      </c>
      <c r="B43" s="504" t="s">
        <v>852</v>
      </c>
      <c r="C43" s="503"/>
      <c r="D43" s="503"/>
      <c r="E43" s="503"/>
      <c r="F43" s="503"/>
      <c r="G43" s="503"/>
      <c r="H43" s="505"/>
    </row>
    <row r="44" spans="1:8">
      <c r="A44" s="503"/>
      <c r="B44" s="505"/>
      <c r="C44" s="503"/>
      <c r="D44" s="503"/>
      <c r="E44" s="510"/>
      <c r="F44" s="510" t="s">
        <v>261</v>
      </c>
      <c r="G44" s="511">
        <f>G42</f>
        <v>5.4</v>
      </c>
      <c r="H44" s="512" t="s">
        <v>371</v>
      </c>
    </row>
    <row r="45" spans="1:8" ht="43.5">
      <c r="A45" s="503">
        <v>42.1</v>
      </c>
      <c r="B45" s="504" t="s">
        <v>1407</v>
      </c>
      <c r="C45" s="503"/>
      <c r="D45" s="503"/>
      <c r="E45" s="503"/>
      <c r="F45" s="503"/>
      <c r="G45" s="503"/>
      <c r="H45" s="505"/>
    </row>
    <row r="46" spans="1:8">
      <c r="A46" s="506"/>
      <c r="B46" s="507" t="s">
        <v>1408</v>
      </c>
      <c r="C46" s="513"/>
      <c r="D46" s="518"/>
      <c r="E46" s="519">
        <f>G13</f>
        <v>2.7</v>
      </c>
      <c r="F46" s="518">
        <v>100</v>
      </c>
      <c r="G46" s="518"/>
      <c r="H46" s="509">
        <f t="shared" ref="H46" si="3">PRODUCT(C46:G46)</f>
        <v>270</v>
      </c>
    </row>
    <row r="47" spans="1:8">
      <c r="A47" s="503"/>
      <c r="B47" s="505"/>
      <c r="C47" s="503"/>
      <c r="D47" s="503"/>
      <c r="E47" s="510"/>
      <c r="F47" s="510"/>
      <c r="G47" s="520">
        <f>H46/1000</f>
        <v>0.27</v>
      </c>
      <c r="H47" s="512" t="s">
        <v>27</v>
      </c>
    </row>
    <row r="48" spans="1:8">
      <c r="A48" s="503">
        <v>30</v>
      </c>
      <c r="B48" s="505" t="s">
        <v>1409</v>
      </c>
      <c r="C48" s="503"/>
      <c r="D48" s="503"/>
      <c r="E48" s="503"/>
      <c r="F48" s="503"/>
      <c r="G48" s="503"/>
      <c r="H48" s="505"/>
    </row>
    <row r="49" spans="1:8">
      <c r="A49" s="506"/>
      <c r="B49" s="507" t="s">
        <v>1410</v>
      </c>
      <c r="C49" s="506">
        <v>2</v>
      </c>
      <c r="D49" s="506">
        <v>1</v>
      </c>
      <c r="E49" s="508">
        <v>7.2</v>
      </c>
      <c r="F49" s="508">
        <v>1.5</v>
      </c>
      <c r="G49" s="508"/>
      <c r="H49" s="509">
        <f>E49*F49</f>
        <v>10.8</v>
      </c>
    </row>
    <row r="50" spans="1:8">
      <c r="A50" s="506"/>
      <c r="B50" s="507"/>
      <c r="C50" s="506"/>
      <c r="D50" s="506"/>
      <c r="E50" s="508"/>
      <c r="F50" s="510" t="s">
        <v>261</v>
      </c>
      <c r="G50" s="511">
        <f>ROUNDUP(H49,1)</f>
        <v>10.8</v>
      </c>
      <c r="H50" s="512" t="s">
        <v>371</v>
      </c>
    </row>
  </sheetData>
  <mergeCells count="4">
    <mergeCell ref="A1:H1"/>
    <mergeCell ref="A2:H2"/>
    <mergeCell ref="A3:H3"/>
    <mergeCell ref="B4:G4"/>
  </mergeCells>
  <pageMargins left="0.7" right="0.7" top="0.75" bottom="0.75" header="0.3" footer="0.3"/>
  <pageSetup paperSize="9" scale="86" orientation="portrait" horizontalDpi="300" verticalDpi="0" r:id="rId1"/>
</worksheet>
</file>

<file path=xl/worksheets/sheet14.xml><?xml version="1.0" encoding="utf-8"?>
<worksheet xmlns="http://schemas.openxmlformats.org/spreadsheetml/2006/main" xmlns:r="http://schemas.openxmlformats.org/officeDocument/2006/relationships">
  <sheetPr>
    <tabColor rgb="FFFFC000"/>
  </sheetPr>
  <dimension ref="A1:H63"/>
  <sheetViews>
    <sheetView view="pageBreakPreview" zoomScale="60" workbookViewId="0">
      <selection activeCell="E125" sqref="E125"/>
    </sheetView>
  </sheetViews>
  <sheetFormatPr defaultRowHeight="15.75"/>
  <cols>
    <col min="1" max="1" width="7.21875" customWidth="1"/>
    <col min="2" max="2" width="40.6640625" customWidth="1"/>
  </cols>
  <sheetData>
    <row r="1" spans="1:8">
      <c r="A1" s="624" t="s">
        <v>1264</v>
      </c>
      <c r="B1" s="624"/>
      <c r="C1" s="624"/>
      <c r="D1" s="624"/>
      <c r="E1" s="624"/>
      <c r="F1" s="624"/>
      <c r="G1" s="624"/>
      <c r="H1" s="624"/>
    </row>
    <row r="2" spans="1:8" ht="52.5" customHeight="1">
      <c r="A2" s="625" t="str">
        <f>'[4]Ex. WS'!A2:H2</f>
        <v>Name of work : Construction of Fire and Rescue service station building with development works at Kadamalaikundu in Theni District.</v>
      </c>
      <c r="B2" s="625"/>
      <c r="C2" s="625"/>
      <c r="D2" s="625"/>
      <c r="E2" s="625"/>
      <c r="F2" s="625"/>
      <c r="G2" s="625"/>
      <c r="H2" s="625"/>
    </row>
    <row r="3" spans="1:8" ht="18">
      <c r="A3" s="626" t="s">
        <v>1348</v>
      </c>
      <c r="B3" s="626"/>
      <c r="C3" s="626"/>
      <c r="D3" s="626"/>
      <c r="E3" s="626"/>
      <c r="F3" s="626"/>
      <c r="G3" s="626"/>
      <c r="H3" s="626"/>
    </row>
    <row r="4" spans="1:8" ht="18">
      <c r="A4" s="627" t="s">
        <v>1349</v>
      </c>
      <c r="B4" s="628" t="s">
        <v>1350</v>
      </c>
      <c r="C4" s="627" t="s">
        <v>72</v>
      </c>
      <c r="D4" s="627"/>
      <c r="E4" s="627" t="s">
        <v>455</v>
      </c>
      <c r="F4" s="627"/>
      <c r="G4" s="627"/>
      <c r="H4" s="627" t="s">
        <v>55</v>
      </c>
    </row>
    <row r="5" spans="1:8" ht="18">
      <c r="A5" s="627"/>
      <c r="B5" s="628"/>
      <c r="C5" s="627"/>
      <c r="D5" s="627"/>
      <c r="E5" s="469" t="s">
        <v>456</v>
      </c>
      <c r="F5" s="469" t="s">
        <v>76</v>
      </c>
      <c r="G5" s="469" t="s">
        <v>444</v>
      </c>
      <c r="H5" s="627"/>
    </row>
    <row r="6" spans="1:8" ht="254.25" customHeight="1">
      <c r="A6" s="470">
        <v>1</v>
      </c>
      <c r="B6" s="497" t="s">
        <v>1381</v>
      </c>
      <c r="C6" s="443"/>
      <c r="D6" s="443"/>
      <c r="E6" s="443"/>
      <c r="F6" s="471"/>
      <c r="G6" s="443"/>
      <c r="H6" s="443"/>
    </row>
    <row r="7" spans="1:8">
      <c r="A7" s="470"/>
      <c r="B7" s="446" t="s">
        <v>1351</v>
      </c>
      <c r="C7" s="472">
        <v>1</v>
      </c>
      <c r="D7" s="472">
        <v>1</v>
      </c>
      <c r="E7" s="473">
        <v>1</v>
      </c>
      <c r="F7" s="473"/>
      <c r="G7" s="474"/>
      <c r="H7" s="474">
        <f>C7*D7*E7</f>
        <v>1</v>
      </c>
    </row>
    <row r="8" spans="1:8">
      <c r="A8" s="470"/>
      <c r="B8" s="446"/>
      <c r="C8" s="472"/>
      <c r="D8" s="472"/>
      <c r="E8" s="473"/>
      <c r="F8" s="473"/>
      <c r="G8" s="474"/>
      <c r="H8" s="474"/>
    </row>
    <row r="9" spans="1:8" ht="131.25">
      <c r="A9" s="475">
        <v>3</v>
      </c>
      <c r="B9" s="476" t="s">
        <v>1352</v>
      </c>
      <c r="C9" s="477"/>
      <c r="D9" s="477"/>
      <c r="E9" s="478"/>
      <c r="F9" s="478"/>
      <c r="G9" s="479"/>
      <c r="H9" s="479"/>
    </row>
    <row r="10" spans="1:8" ht="37.5">
      <c r="A10" s="475"/>
      <c r="B10" s="480" t="s">
        <v>1353</v>
      </c>
      <c r="C10" s="477"/>
      <c r="D10" s="477"/>
      <c r="E10" s="478"/>
      <c r="F10" s="478"/>
      <c r="G10" s="479"/>
      <c r="H10" s="479"/>
    </row>
    <row r="11" spans="1:8" ht="18.75">
      <c r="A11" s="475"/>
      <c r="B11" s="481" t="s">
        <v>1354</v>
      </c>
      <c r="C11" s="477">
        <v>1</v>
      </c>
      <c r="D11" s="477">
        <v>2</v>
      </c>
      <c r="E11" s="478">
        <v>8.5</v>
      </c>
      <c r="F11" s="478"/>
      <c r="G11" s="479"/>
      <c r="H11" s="478">
        <f>E11</f>
        <v>8.5</v>
      </c>
    </row>
    <row r="12" spans="1:8" ht="18.75">
      <c r="A12" s="475"/>
      <c r="B12" s="481" t="s">
        <v>1355</v>
      </c>
      <c r="C12" s="477">
        <v>1</v>
      </c>
      <c r="D12" s="477">
        <v>1</v>
      </c>
      <c r="E12" s="478">
        <v>70</v>
      </c>
      <c r="F12" s="478"/>
      <c r="G12" s="479"/>
      <c r="H12" s="478">
        <f>E12</f>
        <v>70</v>
      </c>
    </row>
    <row r="13" spans="1:8" ht="18.75">
      <c r="A13" s="475"/>
      <c r="B13" s="481" t="s">
        <v>1356</v>
      </c>
      <c r="C13" s="477">
        <v>1</v>
      </c>
      <c r="D13" s="477">
        <v>1</v>
      </c>
      <c r="E13" s="478">
        <v>60</v>
      </c>
      <c r="F13" s="478"/>
      <c r="G13" s="479"/>
      <c r="H13" s="478">
        <v>60</v>
      </c>
    </row>
    <row r="14" spans="1:8" ht="18.75">
      <c r="A14" s="475"/>
      <c r="B14" s="481"/>
      <c r="C14" s="477"/>
      <c r="D14" s="477"/>
      <c r="E14" s="478"/>
      <c r="F14" s="478"/>
      <c r="G14" s="479"/>
      <c r="H14" s="479">
        <f>+SUM(H11:H13)</f>
        <v>138.5</v>
      </c>
    </row>
    <row r="15" spans="1:8" ht="75">
      <c r="A15" s="475">
        <v>5</v>
      </c>
      <c r="B15" s="476" t="s">
        <v>1357</v>
      </c>
      <c r="C15" s="477"/>
      <c r="D15" s="477"/>
      <c r="E15" s="478"/>
      <c r="F15" s="478"/>
      <c r="G15" s="478"/>
      <c r="H15" s="479"/>
    </row>
    <row r="16" spans="1:8" ht="18.75">
      <c r="A16" s="475"/>
      <c r="B16" s="481" t="s">
        <v>1358</v>
      </c>
      <c r="C16" s="477">
        <v>1</v>
      </c>
      <c r="D16" s="477">
        <v>1</v>
      </c>
      <c r="E16" s="478">
        <v>2</v>
      </c>
      <c r="F16" s="478"/>
      <c r="G16" s="478"/>
      <c r="H16" s="478">
        <f>C16*D16*E16</f>
        <v>2</v>
      </c>
    </row>
    <row r="17" spans="1:8" ht="18.75">
      <c r="A17" s="475"/>
      <c r="B17" s="481"/>
      <c r="C17" s="477"/>
      <c r="D17" s="477"/>
      <c r="E17" s="478"/>
      <c r="F17" s="478"/>
      <c r="G17" s="478"/>
      <c r="H17" s="479">
        <f>SUM(H16:H16)</f>
        <v>2</v>
      </c>
    </row>
    <row r="18" spans="1:8" ht="168.75">
      <c r="A18" s="475">
        <v>6</v>
      </c>
      <c r="B18" s="476" t="s">
        <v>1359</v>
      </c>
      <c r="C18" s="477"/>
      <c r="D18" s="477"/>
      <c r="E18" s="478"/>
      <c r="F18" s="478"/>
      <c r="G18" s="478"/>
      <c r="H18" s="479"/>
    </row>
    <row r="19" spans="1:8" ht="18.75">
      <c r="A19" s="475"/>
      <c r="B19" s="481" t="s">
        <v>1360</v>
      </c>
      <c r="C19" s="477">
        <v>1</v>
      </c>
      <c r="D19" s="477">
        <v>1</v>
      </c>
      <c r="E19" s="478">
        <v>1</v>
      </c>
      <c r="F19" s="478"/>
      <c r="G19" s="478"/>
      <c r="H19" s="478">
        <f>C19*D19*E19</f>
        <v>1</v>
      </c>
    </row>
    <row r="20" spans="1:8" ht="18.75">
      <c r="A20" s="475"/>
      <c r="B20" s="481"/>
      <c r="C20" s="477"/>
      <c r="D20" s="477"/>
      <c r="E20" s="478"/>
      <c r="F20" s="478"/>
      <c r="G20" s="478"/>
      <c r="H20" s="479">
        <f>SUM(H19:H19)</f>
        <v>1</v>
      </c>
    </row>
    <row r="21" spans="1:8" ht="75">
      <c r="A21" s="475">
        <v>7</v>
      </c>
      <c r="B21" s="476" t="s">
        <v>1361</v>
      </c>
      <c r="C21" s="477"/>
      <c r="D21" s="477"/>
      <c r="E21" s="478"/>
      <c r="F21" s="478"/>
      <c r="G21" s="479"/>
      <c r="H21" s="479"/>
    </row>
    <row r="22" spans="1:8" ht="18.75">
      <c r="A22" s="475"/>
      <c r="B22" s="481" t="s">
        <v>1036</v>
      </c>
      <c r="C22" s="477">
        <v>1</v>
      </c>
      <c r="D22" s="477">
        <v>1</v>
      </c>
      <c r="E22" s="478">
        <v>25</v>
      </c>
      <c r="F22" s="478"/>
      <c r="G22" s="478"/>
      <c r="H22" s="478">
        <f>E22</f>
        <v>25</v>
      </c>
    </row>
    <row r="23" spans="1:8" ht="18.75">
      <c r="A23" s="475"/>
      <c r="B23" s="481"/>
      <c r="C23" s="477"/>
      <c r="D23" s="477"/>
      <c r="E23" s="478"/>
      <c r="F23" s="478"/>
      <c r="G23" s="479"/>
      <c r="H23" s="479">
        <f>H22</f>
        <v>25</v>
      </c>
    </row>
    <row r="24" spans="1:8" ht="18.75">
      <c r="A24" s="475"/>
      <c r="B24" s="481"/>
      <c r="C24" s="477"/>
      <c r="D24" s="477"/>
      <c r="E24" s="478"/>
      <c r="F24" s="478"/>
      <c r="G24" s="478"/>
      <c r="H24" s="479"/>
    </row>
    <row r="25" spans="1:8" ht="56.25">
      <c r="A25" s="475">
        <v>8</v>
      </c>
      <c r="B25" s="482" t="s">
        <v>1362</v>
      </c>
      <c r="C25" s="483"/>
      <c r="D25" s="477"/>
      <c r="E25" s="478"/>
      <c r="F25" s="478"/>
      <c r="G25" s="478"/>
      <c r="H25" s="478"/>
    </row>
    <row r="26" spans="1:8" ht="18.75">
      <c r="A26" s="475"/>
      <c r="B26" s="484" t="s">
        <v>1363</v>
      </c>
      <c r="C26" s="485">
        <v>1</v>
      </c>
      <c r="D26" s="485">
        <v>1</v>
      </c>
      <c r="E26" s="486">
        <v>70</v>
      </c>
      <c r="F26" s="478"/>
      <c r="G26" s="479"/>
      <c r="H26" s="478">
        <f>E26</f>
        <v>70</v>
      </c>
    </row>
    <row r="27" spans="1:8" ht="18.75">
      <c r="A27" s="475"/>
      <c r="B27" s="484" t="s">
        <v>1356</v>
      </c>
      <c r="C27" s="485">
        <v>1</v>
      </c>
      <c r="D27" s="485">
        <v>1</v>
      </c>
      <c r="E27" s="486">
        <v>60</v>
      </c>
      <c r="F27" s="478"/>
      <c r="G27" s="479"/>
      <c r="H27" s="478">
        <f>E27</f>
        <v>60</v>
      </c>
    </row>
    <row r="28" spans="1:8" ht="18.75">
      <c r="A28" s="475"/>
      <c r="B28" s="487"/>
      <c r="C28" s="469"/>
      <c r="D28" s="469"/>
      <c r="E28" s="469"/>
      <c r="F28" s="478"/>
      <c r="G28" s="479"/>
      <c r="H28" s="479">
        <f>+SUM(H26:H27)</f>
        <v>130</v>
      </c>
    </row>
    <row r="29" spans="1:8" ht="37.5">
      <c r="A29" s="475">
        <v>9</v>
      </c>
      <c r="B29" s="481" t="s">
        <v>1364</v>
      </c>
      <c r="C29" s="477"/>
      <c r="D29" s="477"/>
      <c r="E29" s="478"/>
      <c r="F29" s="478"/>
      <c r="G29" s="478"/>
      <c r="H29" s="478"/>
    </row>
    <row r="30" spans="1:8" ht="18.75">
      <c r="A30" s="475"/>
      <c r="B30" s="481" t="s">
        <v>1365</v>
      </c>
      <c r="C30" s="477">
        <v>1</v>
      </c>
      <c r="D30" s="477">
        <v>2</v>
      </c>
      <c r="E30" s="478">
        <v>8.5</v>
      </c>
      <c r="F30" s="478"/>
      <c r="G30" s="479"/>
      <c r="H30" s="478">
        <f>C30*D30*E30</f>
        <v>17</v>
      </c>
    </row>
    <row r="31" spans="1:8" ht="18.75">
      <c r="A31" s="475"/>
      <c r="B31" s="481"/>
      <c r="C31" s="477"/>
      <c r="D31" s="477"/>
      <c r="E31" s="478"/>
      <c r="F31" s="477"/>
      <c r="G31" s="477"/>
      <c r="H31" s="478">
        <f>SUM(H30:H30)</f>
        <v>17</v>
      </c>
    </row>
    <row r="32" spans="1:8" ht="18.75">
      <c r="A32" s="475"/>
      <c r="B32" s="481"/>
      <c r="C32" s="477"/>
      <c r="D32" s="477"/>
      <c r="E32" s="478"/>
      <c r="F32" s="478"/>
      <c r="G32" s="479" t="s">
        <v>261</v>
      </c>
      <c r="H32" s="479">
        <f>ROUND(H31,0)</f>
        <v>17</v>
      </c>
    </row>
    <row r="33" spans="1:8" ht="37.5">
      <c r="A33" s="475">
        <v>11</v>
      </c>
      <c r="B33" s="481" t="s">
        <v>1366</v>
      </c>
      <c r="C33" s="483"/>
      <c r="D33" s="477"/>
      <c r="E33" s="478"/>
      <c r="F33" s="478"/>
      <c r="G33" s="478"/>
      <c r="H33" s="478"/>
    </row>
    <row r="34" spans="1:8" ht="18.75">
      <c r="A34" s="475"/>
      <c r="B34" s="481" t="s">
        <v>1367</v>
      </c>
      <c r="C34" s="477">
        <v>1</v>
      </c>
      <c r="D34" s="477">
        <v>1</v>
      </c>
      <c r="E34" s="478">
        <v>70</v>
      </c>
      <c r="F34" s="478"/>
      <c r="G34" s="478"/>
      <c r="H34" s="478">
        <f>C34*D34*E34</f>
        <v>70</v>
      </c>
    </row>
    <row r="35" spans="1:8" ht="18.75">
      <c r="A35" s="475"/>
      <c r="B35" s="481" t="s">
        <v>1368</v>
      </c>
      <c r="C35" s="477">
        <v>1</v>
      </c>
      <c r="D35" s="477">
        <v>2</v>
      </c>
      <c r="E35" s="478">
        <v>6</v>
      </c>
      <c r="F35" s="478"/>
      <c r="G35" s="478"/>
      <c r="H35" s="478">
        <f>C35*D35*E35</f>
        <v>12</v>
      </c>
    </row>
    <row r="36" spans="1:8" ht="18.75">
      <c r="A36" s="475"/>
      <c r="B36" s="481" t="s">
        <v>1369</v>
      </c>
      <c r="C36" s="477">
        <v>1</v>
      </c>
      <c r="D36" s="477">
        <v>1</v>
      </c>
      <c r="E36" s="478">
        <v>60</v>
      </c>
      <c r="F36" s="478"/>
      <c r="G36" s="478"/>
      <c r="H36" s="478">
        <f>C36*D36*E36</f>
        <v>60</v>
      </c>
    </row>
    <row r="37" spans="1:8" ht="18.75">
      <c r="A37" s="475"/>
      <c r="B37" s="481"/>
      <c r="C37" s="477"/>
      <c r="D37" s="477"/>
      <c r="E37" s="478"/>
      <c r="F37" s="478"/>
      <c r="G37" s="479" t="s">
        <v>261</v>
      </c>
      <c r="H37" s="479">
        <f>SUM(H34:H36)</f>
        <v>142</v>
      </c>
    </row>
    <row r="38" spans="1:8" ht="37.5">
      <c r="A38" s="475">
        <v>12</v>
      </c>
      <c r="B38" s="481" t="s">
        <v>1370</v>
      </c>
      <c r="C38" s="483"/>
      <c r="D38" s="477"/>
      <c r="E38" s="478"/>
      <c r="F38" s="478"/>
      <c r="G38" s="478"/>
      <c r="H38" s="478"/>
    </row>
    <row r="39" spans="1:8" ht="18.75">
      <c r="A39" s="475"/>
      <c r="B39" s="481" t="s">
        <v>1371</v>
      </c>
      <c r="C39" s="477"/>
      <c r="D39" s="477"/>
      <c r="E39" s="478"/>
      <c r="F39" s="478"/>
      <c r="G39" s="478"/>
      <c r="H39" s="478"/>
    </row>
    <row r="40" spans="1:8" ht="18.75">
      <c r="A40" s="475"/>
      <c r="B40" s="481"/>
      <c r="C40" s="477">
        <v>2</v>
      </c>
      <c r="D40" s="477">
        <v>1</v>
      </c>
      <c r="E40" s="478">
        <v>5</v>
      </c>
      <c r="F40" s="478"/>
      <c r="G40" s="478"/>
      <c r="H40" s="479">
        <f>C40*D40*E40</f>
        <v>10</v>
      </c>
    </row>
    <row r="41" spans="1:8" ht="18.75">
      <c r="A41" s="475"/>
      <c r="B41" s="481" t="s">
        <v>1372</v>
      </c>
      <c r="C41" s="477"/>
      <c r="D41" s="477"/>
      <c r="E41" s="478"/>
      <c r="F41" s="478"/>
      <c r="G41" s="478"/>
      <c r="H41" s="478"/>
    </row>
    <row r="42" spans="1:8" ht="18.75">
      <c r="A42" s="475"/>
      <c r="B42" s="481"/>
      <c r="C42" s="477">
        <v>2</v>
      </c>
      <c r="D42" s="477">
        <v>1</v>
      </c>
      <c r="E42" s="478">
        <v>10</v>
      </c>
      <c r="F42" s="478"/>
      <c r="G42" s="478"/>
      <c r="H42" s="479">
        <f>C42*D42*E42</f>
        <v>20</v>
      </c>
    </row>
    <row r="43" spans="1:8" ht="18.75">
      <c r="A43" s="475"/>
      <c r="B43" s="480"/>
      <c r="C43" s="477"/>
      <c r="D43" s="477"/>
      <c r="E43" s="478"/>
      <c r="F43" s="478"/>
      <c r="G43" s="478"/>
      <c r="H43" s="478"/>
    </row>
    <row r="44" spans="1:8" ht="93.75">
      <c r="A44" s="475">
        <v>13</v>
      </c>
      <c r="B44" s="481" t="s">
        <v>1373</v>
      </c>
      <c r="C44" s="477"/>
      <c r="D44" s="477"/>
      <c r="E44" s="478"/>
      <c r="F44" s="478"/>
      <c r="G44" s="478"/>
      <c r="H44" s="478"/>
    </row>
    <row r="45" spans="1:8" ht="18.75">
      <c r="A45" s="475"/>
      <c r="B45" s="481" t="s">
        <v>1367</v>
      </c>
      <c r="C45" s="477">
        <v>1</v>
      </c>
      <c r="D45" s="477">
        <v>2</v>
      </c>
      <c r="E45" s="478">
        <v>1</v>
      </c>
      <c r="F45" s="478"/>
      <c r="G45" s="478"/>
      <c r="H45" s="479">
        <f>C45*D45*E45</f>
        <v>2</v>
      </c>
    </row>
    <row r="46" spans="1:8" ht="18.75">
      <c r="A46" s="475"/>
      <c r="B46" s="481"/>
      <c r="C46" s="477"/>
      <c r="D46" s="477"/>
      <c r="E46" s="478"/>
      <c r="F46" s="478"/>
      <c r="G46" s="478"/>
      <c r="H46" s="479"/>
    </row>
    <row r="47" spans="1:8" ht="37.5">
      <c r="A47" s="475">
        <v>14</v>
      </c>
      <c r="B47" s="481" t="s">
        <v>1374</v>
      </c>
      <c r="C47" s="477"/>
      <c r="D47" s="477"/>
      <c r="E47" s="478"/>
      <c r="F47" s="478"/>
      <c r="G47" s="478"/>
      <c r="H47" s="479"/>
    </row>
    <row r="48" spans="1:8" ht="18.75">
      <c r="A48" s="475"/>
      <c r="B48" s="481" t="s">
        <v>1367</v>
      </c>
      <c r="C48" s="477">
        <v>1</v>
      </c>
      <c r="D48" s="477">
        <v>2</v>
      </c>
      <c r="E48" s="478">
        <v>1</v>
      </c>
      <c r="F48" s="478"/>
      <c r="G48" s="478"/>
      <c r="H48" s="479">
        <f>C48*D48*E48</f>
        <v>2</v>
      </c>
    </row>
    <row r="49" spans="1:8" ht="18.75">
      <c r="A49" s="475"/>
      <c r="B49" s="481"/>
      <c r="C49" s="477"/>
      <c r="D49" s="477"/>
      <c r="E49" s="478"/>
      <c r="F49" s="478"/>
      <c r="G49" s="478"/>
      <c r="H49" s="478"/>
    </row>
    <row r="50" spans="1:8" ht="37.5">
      <c r="A50" s="475">
        <v>15</v>
      </c>
      <c r="B50" s="481" t="s">
        <v>1375</v>
      </c>
      <c r="C50" s="477"/>
      <c r="D50" s="477"/>
      <c r="E50" s="478"/>
      <c r="F50" s="478"/>
      <c r="G50" s="478"/>
      <c r="H50" s="478"/>
    </row>
    <row r="51" spans="1:8" ht="18.75">
      <c r="A51" s="475"/>
      <c r="B51" s="481" t="s">
        <v>1367</v>
      </c>
      <c r="C51" s="477">
        <v>1</v>
      </c>
      <c r="D51" s="477">
        <v>2</v>
      </c>
      <c r="E51" s="478">
        <v>1</v>
      </c>
      <c r="F51" s="478"/>
      <c r="G51" s="478"/>
      <c r="H51" s="479">
        <f>C51*D51*E51</f>
        <v>2</v>
      </c>
    </row>
    <row r="52" spans="1:8" ht="18.75">
      <c r="A52" s="475"/>
      <c r="B52" s="481"/>
      <c r="C52" s="477"/>
      <c r="D52" s="477"/>
      <c r="E52" s="478"/>
      <c r="F52" s="478"/>
      <c r="G52" s="478"/>
      <c r="H52" s="478"/>
    </row>
    <row r="53" spans="1:8" ht="37.5">
      <c r="A53" s="475">
        <v>16</v>
      </c>
      <c r="B53" s="481" t="s">
        <v>1376</v>
      </c>
      <c r="C53" s="477"/>
      <c r="D53" s="477"/>
      <c r="E53" s="478"/>
      <c r="F53" s="478"/>
      <c r="G53" s="478"/>
      <c r="H53" s="478"/>
    </row>
    <row r="54" spans="1:8" ht="18.75">
      <c r="A54" s="475"/>
      <c r="B54" s="481" t="s">
        <v>1367</v>
      </c>
      <c r="C54" s="477">
        <v>6</v>
      </c>
      <c r="D54" s="477">
        <v>2</v>
      </c>
      <c r="E54" s="478">
        <v>1</v>
      </c>
      <c r="F54" s="478"/>
      <c r="G54" s="478"/>
      <c r="H54" s="479">
        <f>C54*D54*E54</f>
        <v>12</v>
      </c>
    </row>
    <row r="55" spans="1:8" ht="18.75">
      <c r="A55" s="475"/>
      <c r="B55" s="481"/>
      <c r="C55" s="477"/>
      <c r="D55" s="477"/>
      <c r="E55" s="478"/>
      <c r="F55" s="478"/>
      <c r="G55" s="478"/>
      <c r="H55" s="478"/>
    </row>
    <row r="56" spans="1:8" ht="37.5">
      <c r="A56" s="475">
        <v>17</v>
      </c>
      <c r="B56" s="488" t="s">
        <v>138</v>
      </c>
      <c r="C56" s="477"/>
      <c r="D56" s="477"/>
      <c r="E56" s="477"/>
      <c r="F56" s="477"/>
      <c r="G56" s="477"/>
      <c r="H56" s="477"/>
    </row>
    <row r="57" spans="1:8" ht="18.75">
      <c r="A57" s="475"/>
      <c r="B57" s="481" t="s">
        <v>1377</v>
      </c>
      <c r="C57" s="477">
        <v>1</v>
      </c>
      <c r="D57" s="477">
        <v>1</v>
      </c>
      <c r="E57" s="477">
        <v>1</v>
      </c>
      <c r="F57" s="477"/>
      <c r="G57" s="477"/>
      <c r="H57" s="477">
        <v>1</v>
      </c>
    </row>
    <row r="58" spans="1:8" ht="18.75">
      <c r="A58" s="475"/>
      <c r="B58" s="481"/>
      <c r="C58" s="477"/>
      <c r="D58" s="477"/>
      <c r="E58" s="477"/>
      <c r="F58" s="477"/>
      <c r="G58" s="477"/>
      <c r="H58" s="477"/>
    </row>
    <row r="59" spans="1:8" ht="37.5">
      <c r="A59" s="489">
        <v>18</v>
      </c>
      <c r="B59" s="490" t="s">
        <v>1378</v>
      </c>
      <c r="C59" s="489"/>
      <c r="D59" s="489"/>
      <c r="E59" s="491"/>
      <c r="F59" s="491"/>
      <c r="G59" s="491"/>
      <c r="H59" s="491"/>
    </row>
    <row r="60" spans="1:8" ht="18.75">
      <c r="A60" s="489"/>
      <c r="B60" s="492" t="s">
        <v>1379</v>
      </c>
      <c r="C60" s="489">
        <v>1</v>
      </c>
      <c r="D60" s="489">
        <v>3</v>
      </c>
      <c r="E60" s="493">
        <v>1</v>
      </c>
      <c r="F60" s="491"/>
      <c r="G60" s="491"/>
      <c r="H60" s="493">
        <f>E60*C60*D60</f>
        <v>3</v>
      </c>
    </row>
    <row r="61" spans="1:8" ht="18.75">
      <c r="A61" s="489"/>
      <c r="B61" s="492" t="s">
        <v>1380</v>
      </c>
      <c r="C61" s="489">
        <v>1</v>
      </c>
      <c r="D61" s="489">
        <v>3</v>
      </c>
      <c r="E61" s="493">
        <v>1</v>
      </c>
      <c r="F61" s="491"/>
      <c r="G61" s="491"/>
      <c r="H61" s="493">
        <f>E61*C61*D61</f>
        <v>3</v>
      </c>
    </row>
    <row r="62" spans="1:8" ht="18.75">
      <c r="A62" s="489"/>
      <c r="B62" s="492"/>
      <c r="C62" s="489"/>
      <c r="D62" s="489"/>
      <c r="E62" s="491"/>
      <c r="F62" s="491"/>
      <c r="G62" s="491"/>
      <c r="H62" s="494">
        <f>SUM(H60:H61)</f>
        <v>6</v>
      </c>
    </row>
    <row r="63" spans="1:8" ht="18.75">
      <c r="A63" s="489"/>
      <c r="B63" s="495"/>
      <c r="C63" s="496"/>
      <c r="D63" s="496"/>
      <c r="E63" s="496"/>
      <c r="F63" s="496"/>
      <c r="G63" s="496"/>
      <c r="H63" s="496"/>
    </row>
  </sheetData>
  <mergeCells count="8">
    <mergeCell ref="A1:H1"/>
    <mergeCell ref="A2:H2"/>
    <mergeCell ref="A3:H3"/>
    <mergeCell ref="A4:A5"/>
    <mergeCell ref="B4:B5"/>
    <mergeCell ref="C4:D5"/>
    <mergeCell ref="E4:G4"/>
    <mergeCell ref="H4:H5"/>
  </mergeCells>
  <pageMargins left="0.7" right="0.7" top="0.75" bottom="0.75" header="0.3" footer="0.3"/>
  <pageSetup paperSize="9" scale="72" orientation="portrait" horizontalDpi="300" verticalDpi="0" r:id="rId1"/>
</worksheet>
</file>

<file path=xl/worksheets/sheet15.xml><?xml version="1.0" encoding="utf-8"?>
<worksheet xmlns="http://schemas.openxmlformats.org/spreadsheetml/2006/main" xmlns:r="http://schemas.openxmlformats.org/officeDocument/2006/relationships">
  <sheetPr>
    <tabColor rgb="FFFFFF00"/>
  </sheetPr>
  <dimension ref="A1:H104"/>
  <sheetViews>
    <sheetView view="pageBreakPreview" topLeftCell="A68" zoomScale="115" zoomScaleSheetLayoutView="115" workbookViewId="0">
      <selection activeCell="E125" sqref="E125"/>
    </sheetView>
  </sheetViews>
  <sheetFormatPr defaultRowHeight="15.75"/>
  <cols>
    <col min="1" max="1" width="6.44140625" customWidth="1"/>
    <col min="2" max="2" width="31.44140625" customWidth="1"/>
    <col min="3" max="4" width="6" customWidth="1"/>
    <col min="5" max="7" width="7.77734375" customWidth="1"/>
  </cols>
  <sheetData>
    <row r="1" spans="1:8">
      <c r="A1" s="624" t="s">
        <v>1264</v>
      </c>
      <c r="B1" s="624"/>
      <c r="C1" s="624"/>
      <c r="D1" s="624"/>
      <c r="E1" s="624"/>
      <c r="F1" s="624"/>
      <c r="G1" s="624"/>
      <c r="H1" s="624"/>
    </row>
    <row r="2" spans="1:8" ht="33" customHeight="1">
      <c r="A2" s="629" t="str">
        <f>'[4]paver block'!A1:J1</f>
        <v>Name of work : Construction of Fire and Rescue service station building with development works at Kadamalaikundu in Theni District.</v>
      </c>
      <c r="B2" s="630"/>
      <c r="C2" s="630"/>
      <c r="D2" s="630"/>
      <c r="E2" s="630"/>
      <c r="F2" s="630"/>
      <c r="G2" s="630"/>
      <c r="H2" s="631"/>
    </row>
    <row r="3" spans="1:8">
      <c r="A3" s="632" t="s">
        <v>1265</v>
      </c>
      <c r="B3" s="633"/>
      <c r="C3" s="633"/>
      <c r="D3" s="633"/>
      <c r="E3" s="633"/>
      <c r="F3" s="633"/>
      <c r="G3" s="633"/>
      <c r="H3" s="634"/>
    </row>
    <row r="4" spans="1:8">
      <c r="A4" s="635" t="s">
        <v>1266</v>
      </c>
      <c r="B4" s="635" t="s">
        <v>95</v>
      </c>
      <c r="C4" s="635" t="s">
        <v>72</v>
      </c>
      <c r="D4" s="635"/>
      <c r="E4" s="636" t="s">
        <v>455</v>
      </c>
      <c r="F4" s="636"/>
      <c r="G4" s="636"/>
      <c r="H4" s="635" t="s">
        <v>55</v>
      </c>
    </row>
    <row r="5" spans="1:8">
      <c r="A5" s="635"/>
      <c r="B5" s="635"/>
      <c r="C5" s="635"/>
      <c r="D5" s="635"/>
      <c r="E5" s="437" t="s">
        <v>456</v>
      </c>
      <c r="F5" s="437" t="s">
        <v>76</v>
      </c>
      <c r="G5" s="437" t="s">
        <v>444</v>
      </c>
      <c r="H5" s="635"/>
    </row>
    <row r="6" spans="1:8" ht="45">
      <c r="A6" s="438">
        <v>1</v>
      </c>
      <c r="B6" s="439" t="s">
        <v>1267</v>
      </c>
      <c r="C6" s="438"/>
      <c r="D6" s="438"/>
      <c r="E6" s="438"/>
      <c r="F6" s="438"/>
      <c r="G6" s="438"/>
      <c r="H6" s="438"/>
    </row>
    <row r="7" spans="1:8">
      <c r="A7" s="438"/>
      <c r="B7" s="438" t="s">
        <v>1268</v>
      </c>
      <c r="C7" s="438">
        <v>1</v>
      </c>
      <c r="D7" s="438">
        <v>1</v>
      </c>
      <c r="E7" s="440">
        <v>300</v>
      </c>
      <c r="F7" s="441" t="s">
        <v>78</v>
      </c>
      <c r="G7" s="441" t="s">
        <v>78</v>
      </c>
      <c r="H7" s="440">
        <f>PRODUCT(D7:E7)</f>
        <v>300</v>
      </c>
    </row>
    <row r="8" spans="1:8">
      <c r="A8" s="438"/>
      <c r="B8" s="438"/>
      <c r="C8" s="438"/>
      <c r="D8" s="438"/>
      <c r="E8" s="438"/>
      <c r="F8" s="438"/>
      <c r="G8" s="438"/>
      <c r="H8" s="442">
        <f>SUM(H7:H7)</f>
        <v>300</v>
      </c>
    </row>
    <row r="9" spans="1:8" ht="45">
      <c r="A9" s="438">
        <v>2</v>
      </c>
      <c r="B9" s="439" t="s">
        <v>1269</v>
      </c>
      <c r="C9" s="438"/>
      <c r="D9" s="438"/>
      <c r="E9" s="438"/>
      <c r="F9" s="438"/>
      <c r="G9" s="438"/>
      <c r="H9" s="438"/>
    </row>
    <row r="10" spans="1:8">
      <c r="A10" s="438"/>
      <c r="B10" s="438" t="s">
        <v>1270</v>
      </c>
      <c r="C10" s="438">
        <v>1</v>
      </c>
      <c r="D10" s="438">
        <v>1</v>
      </c>
      <c r="E10" s="440">
        <v>25</v>
      </c>
      <c r="F10" s="441" t="s">
        <v>78</v>
      </c>
      <c r="G10" s="441" t="s">
        <v>78</v>
      </c>
      <c r="H10" s="440">
        <f>PRODUCT(D10:E10)</f>
        <v>25</v>
      </c>
    </row>
    <row r="11" spans="1:8">
      <c r="A11" s="438"/>
      <c r="B11" s="438"/>
      <c r="C11" s="438"/>
      <c r="D11" s="438"/>
      <c r="E11" s="438"/>
      <c r="F11" s="438"/>
      <c r="G11" s="438"/>
      <c r="H11" s="442">
        <f>SUM(H10:H10)</f>
        <v>25</v>
      </c>
    </row>
    <row r="12" spans="1:8" ht="30">
      <c r="A12" s="438">
        <v>3</v>
      </c>
      <c r="B12" s="439" t="s">
        <v>1271</v>
      </c>
      <c r="C12" s="438"/>
      <c r="D12" s="438"/>
      <c r="E12" s="438"/>
      <c r="F12" s="438"/>
      <c r="G12" s="438"/>
      <c r="H12" s="438"/>
    </row>
    <row r="13" spans="1:8">
      <c r="A13" s="438"/>
      <c r="B13" s="438" t="s">
        <v>1272</v>
      </c>
      <c r="C13" s="438">
        <v>1</v>
      </c>
      <c r="D13" s="438">
        <v>1</v>
      </c>
      <c r="E13" s="440">
        <v>1</v>
      </c>
      <c r="F13" s="441" t="s">
        <v>78</v>
      </c>
      <c r="G13" s="441" t="s">
        <v>78</v>
      </c>
      <c r="H13" s="440">
        <v>1</v>
      </c>
    </row>
    <row r="14" spans="1:8">
      <c r="A14" s="443"/>
      <c r="B14" s="443"/>
      <c r="C14" s="443"/>
      <c r="D14" s="443"/>
      <c r="E14" s="444"/>
      <c r="F14" s="444"/>
      <c r="G14" s="444"/>
      <c r="H14" s="443"/>
    </row>
    <row r="15" spans="1:8" ht="43.5">
      <c r="A15" s="445">
        <v>4</v>
      </c>
      <c r="B15" s="446" t="s">
        <v>1273</v>
      </c>
      <c r="C15" s="447"/>
      <c r="D15" s="447"/>
      <c r="E15" s="447"/>
      <c r="F15" s="447"/>
      <c r="G15" s="447"/>
      <c r="H15" s="447"/>
    </row>
    <row r="16" spans="1:8">
      <c r="A16" s="445"/>
      <c r="B16" s="447" t="s">
        <v>1274</v>
      </c>
      <c r="C16" s="447"/>
      <c r="D16" s="447"/>
      <c r="E16" s="447"/>
      <c r="F16" s="447"/>
      <c r="G16" s="447"/>
      <c r="H16" s="447"/>
    </row>
    <row r="17" spans="1:8">
      <c r="A17" s="445"/>
      <c r="B17" s="447" t="s">
        <v>1275</v>
      </c>
      <c r="C17" s="447">
        <v>1</v>
      </c>
      <c r="D17" s="447">
        <v>2</v>
      </c>
      <c r="E17" s="448">
        <v>1</v>
      </c>
      <c r="F17" s="449" t="s">
        <v>78</v>
      </c>
      <c r="G17" s="449" t="s">
        <v>78</v>
      </c>
      <c r="H17" s="448">
        <f>PRODUCT(C17:G17)</f>
        <v>2</v>
      </c>
    </row>
    <row r="18" spans="1:8">
      <c r="A18" s="445"/>
      <c r="B18" s="447" t="s">
        <v>1276</v>
      </c>
      <c r="C18" s="447">
        <v>1</v>
      </c>
      <c r="D18" s="447">
        <v>1</v>
      </c>
      <c r="E18" s="448">
        <v>1</v>
      </c>
      <c r="F18" s="449"/>
      <c r="G18" s="449"/>
      <c r="H18" s="448">
        <f>PRODUCT(C18:G18)</f>
        <v>1</v>
      </c>
    </row>
    <row r="19" spans="1:8">
      <c r="A19" s="445"/>
      <c r="B19" s="447"/>
      <c r="C19" s="447"/>
      <c r="D19" s="447"/>
      <c r="E19" s="448"/>
      <c r="F19" s="449"/>
      <c r="G19" s="449"/>
      <c r="H19" s="450">
        <f>SUM(H17:H18)</f>
        <v>3</v>
      </c>
    </row>
    <row r="20" spans="1:8" ht="29.25">
      <c r="A20" s="445">
        <v>5</v>
      </c>
      <c r="B20" s="451" t="s">
        <v>1277</v>
      </c>
      <c r="C20" s="447"/>
      <c r="D20" s="447"/>
      <c r="E20" s="448"/>
      <c r="F20" s="448"/>
      <c r="G20" s="448"/>
      <c r="H20" s="448"/>
    </row>
    <row r="21" spans="1:8">
      <c r="A21" s="445"/>
      <c r="B21" s="447" t="s">
        <v>1278</v>
      </c>
      <c r="C21" s="447">
        <v>3</v>
      </c>
      <c r="D21" s="447">
        <v>1</v>
      </c>
      <c r="E21" s="448">
        <v>1</v>
      </c>
      <c r="F21" s="449" t="s">
        <v>78</v>
      </c>
      <c r="G21" s="449" t="s">
        <v>78</v>
      </c>
      <c r="H21" s="448">
        <f>PRODUCT(C21:G21)</f>
        <v>3</v>
      </c>
    </row>
    <row r="22" spans="1:8">
      <c r="A22" s="445"/>
      <c r="B22" s="447"/>
      <c r="C22" s="447"/>
      <c r="D22" s="447"/>
      <c r="E22" s="448"/>
      <c r="F22" s="449"/>
      <c r="G22" s="449"/>
      <c r="H22" s="448"/>
    </row>
    <row r="23" spans="1:8" ht="43.5">
      <c r="A23" s="445">
        <v>6</v>
      </c>
      <c r="B23" s="446" t="s">
        <v>1279</v>
      </c>
      <c r="C23" s="447"/>
      <c r="D23" s="447"/>
      <c r="E23" s="448"/>
      <c r="F23" s="448"/>
      <c r="G23" s="448"/>
      <c r="H23" s="448"/>
    </row>
    <row r="24" spans="1:8">
      <c r="A24" s="445"/>
      <c r="B24" s="447" t="s">
        <v>1280</v>
      </c>
      <c r="C24" s="447">
        <v>3</v>
      </c>
      <c r="D24" s="447">
        <v>1</v>
      </c>
      <c r="E24" s="448">
        <v>1</v>
      </c>
      <c r="F24" s="449" t="s">
        <v>78</v>
      </c>
      <c r="G24" s="449" t="s">
        <v>78</v>
      </c>
      <c r="H24" s="448">
        <f>PRODUCT(C24:G24)</f>
        <v>3</v>
      </c>
    </row>
    <row r="25" spans="1:8">
      <c r="A25" s="445"/>
      <c r="B25" s="447"/>
      <c r="C25" s="447"/>
      <c r="D25" s="447"/>
      <c r="E25" s="448"/>
      <c r="F25" s="449"/>
      <c r="G25" s="449"/>
      <c r="H25" s="448"/>
    </row>
    <row r="26" spans="1:8" ht="43.5">
      <c r="A26" s="445">
        <v>7</v>
      </c>
      <c r="B26" s="446" t="s">
        <v>1281</v>
      </c>
      <c r="C26" s="447">
        <v>1</v>
      </c>
      <c r="D26" s="447">
        <v>1</v>
      </c>
      <c r="E26" s="448">
        <v>1</v>
      </c>
      <c r="F26" s="449" t="s">
        <v>78</v>
      </c>
      <c r="G26" s="449" t="s">
        <v>78</v>
      </c>
      <c r="H26" s="448">
        <f>PRODUCT(C26:G26)</f>
        <v>1</v>
      </c>
    </row>
    <row r="27" spans="1:8">
      <c r="A27" s="445"/>
      <c r="B27" s="446"/>
      <c r="C27" s="447"/>
      <c r="D27" s="447"/>
      <c r="E27" s="448"/>
      <c r="F27" s="449"/>
      <c r="G27" s="449"/>
      <c r="H27" s="448"/>
    </row>
    <row r="28" spans="1:8" ht="43.5">
      <c r="A28" s="445">
        <v>8</v>
      </c>
      <c r="B28" s="446" t="s">
        <v>1282</v>
      </c>
      <c r="C28" s="447">
        <v>1</v>
      </c>
      <c r="D28" s="447">
        <v>1</v>
      </c>
      <c r="E28" s="448">
        <v>1</v>
      </c>
      <c r="F28" s="449" t="s">
        <v>78</v>
      </c>
      <c r="G28" s="449" t="s">
        <v>78</v>
      </c>
      <c r="H28" s="448">
        <f>PRODUCT(C28:G28)</f>
        <v>1</v>
      </c>
    </row>
    <row r="29" spans="1:8">
      <c r="A29" s="445"/>
      <c r="B29" s="446"/>
      <c r="C29" s="447"/>
      <c r="D29" s="447"/>
      <c r="E29" s="448"/>
      <c r="F29" s="449"/>
      <c r="G29" s="449"/>
      <c r="H29" s="448"/>
    </row>
    <row r="30" spans="1:8" ht="29.25">
      <c r="A30" s="445">
        <v>9</v>
      </c>
      <c r="B30" s="446" t="s">
        <v>1283</v>
      </c>
      <c r="C30" s="447">
        <v>1</v>
      </c>
      <c r="D30" s="447">
        <v>1</v>
      </c>
      <c r="E30" s="448">
        <v>1</v>
      </c>
      <c r="F30" s="449" t="s">
        <v>78</v>
      </c>
      <c r="G30" s="449" t="s">
        <v>78</v>
      </c>
      <c r="H30" s="448">
        <f>PRODUCT(C30:G30)</f>
        <v>1</v>
      </c>
    </row>
    <row r="31" spans="1:8">
      <c r="A31" s="445"/>
      <c r="B31" s="446"/>
      <c r="C31" s="447"/>
      <c r="D31" s="447"/>
      <c r="E31" s="448"/>
      <c r="F31" s="449"/>
      <c r="G31" s="449"/>
      <c r="H31" s="448"/>
    </row>
    <row r="32" spans="1:8" ht="29.25">
      <c r="A32" s="445">
        <v>10</v>
      </c>
      <c r="B32" s="446" t="s">
        <v>1284</v>
      </c>
      <c r="C32" s="447"/>
      <c r="D32" s="447"/>
      <c r="E32" s="448"/>
      <c r="F32" s="449"/>
      <c r="G32" s="449"/>
      <c r="H32" s="448"/>
    </row>
    <row r="33" spans="1:8">
      <c r="A33" s="445"/>
      <c r="B33" s="446" t="s">
        <v>1285</v>
      </c>
      <c r="C33" s="447">
        <v>1</v>
      </c>
      <c r="D33" s="447">
        <v>1</v>
      </c>
      <c r="E33" s="448">
        <v>300</v>
      </c>
      <c r="F33" s="449" t="s">
        <v>78</v>
      </c>
      <c r="G33" s="449" t="s">
        <v>78</v>
      </c>
      <c r="H33" s="448">
        <f t="shared" ref="H33:H73" si="0">PRODUCT(C33:G33)</f>
        <v>300</v>
      </c>
    </row>
    <row r="34" spans="1:8">
      <c r="A34" s="445"/>
      <c r="B34" s="446" t="s">
        <v>1286</v>
      </c>
      <c r="C34" s="447">
        <v>1</v>
      </c>
      <c r="D34" s="447">
        <v>1</v>
      </c>
      <c r="E34" s="448">
        <v>25</v>
      </c>
      <c r="F34" s="449"/>
      <c r="G34" s="449"/>
      <c r="H34" s="448">
        <f t="shared" si="0"/>
        <v>25</v>
      </c>
    </row>
    <row r="35" spans="1:8">
      <c r="A35" s="445"/>
      <c r="B35" s="446"/>
      <c r="C35" s="447"/>
      <c r="D35" s="447"/>
      <c r="E35" s="448"/>
      <c r="F35" s="449"/>
      <c r="G35" s="449"/>
      <c r="H35" s="450">
        <f>SUM(H33:H34)</f>
        <v>325</v>
      </c>
    </row>
    <row r="36" spans="1:8" ht="29.25">
      <c r="A36" s="445">
        <v>9</v>
      </c>
      <c r="B36" s="446" t="s">
        <v>1287</v>
      </c>
      <c r="C36" s="447"/>
      <c r="D36" s="447"/>
      <c r="E36" s="448"/>
      <c r="F36" s="449"/>
      <c r="G36" s="449"/>
      <c r="H36" s="448"/>
    </row>
    <row r="37" spans="1:8">
      <c r="A37" s="445"/>
      <c r="B37" s="446" t="s">
        <v>1288</v>
      </c>
      <c r="C37" s="447">
        <v>1</v>
      </c>
      <c r="D37" s="447">
        <v>1</v>
      </c>
      <c r="E37" s="448">
        <v>300</v>
      </c>
      <c r="F37" s="449" t="s">
        <v>78</v>
      </c>
      <c r="G37" s="449" t="s">
        <v>78</v>
      </c>
      <c r="H37" s="448">
        <f t="shared" si="0"/>
        <v>300</v>
      </c>
    </row>
    <row r="38" spans="1:8">
      <c r="A38" s="445"/>
      <c r="B38" s="446"/>
      <c r="C38" s="447"/>
      <c r="D38" s="447"/>
      <c r="E38" s="448"/>
      <c r="F38" s="449"/>
      <c r="G38" s="449"/>
      <c r="H38" s="450">
        <f>SUM(H37:H37)</f>
        <v>300</v>
      </c>
    </row>
    <row r="39" spans="1:8">
      <c r="A39" s="445"/>
      <c r="B39" s="446"/>
      <c r="C39" s="447"/>
      <c r="D39" s="447"/>
      <c r="E39" s="448"/>
      <c r="F39" s="449"/>
      <c r="G39" s="452"/>
      <c r="H39" s="450"/>
    </row>
    <row r="40" spans="1:8" ht="29.25">
      <c r="A40" s="445">
        <v>10</v>
      </c>
      <c r="B40" s="446" t="s">
        <v>1289</v>
      </c>
      <c r="C40" s="447"/>
      <c r="D40" s="447"/>
      <c r="E40" s="448"/>
      <c r="F40" s="449"/>
      <c r="G40" s="449"/>
      <c r="H40" s="448"/>
    </row>
    <row r="41" spans="1:8">
      <c r="A41" s="445"/>
      <c r="B41" s="453" t="s">
        <v>1290</v>
      </c>
      <c r="C41" s="447"/>
      <c r="D41" s="447"/>
      <c r="E41" s="448"/>
      <c r="F41" s="449"/>
      <c r="G41" s="449"/>
      <c r="H41" s="448"/>
    </row>
    <row r="42" spans="1:8">
      <c r="A42" s="445"/>
      <c r="B42" s="446" t="s">
        <v>1291</v>
      </c>
      <c r="C42" s="447">
        <v>1</v>
      </c>
      <c r="D42" s="447">
        <v>1</v>
      </c>
      <c r="E42" s="448">
        <v>15</v>
      </c>
      <c r="F42" s="449" t="s">
        <v>78</v>
      </c>
      <c r="G42" s="449" t="s">
        <v>78</v>
      </c>
      <c r="H42" s="448">
        <f t="shared" si="0"/>
        <v>15</v>
      </c>
    </row>
    <row r="43" spans="1:8">
      <c r="A43" s="445"/>
      <c r="B43" s="446"/>
      <c r="C43" s="447"/>
      <c r="D43" s="447"/>
      <c r="E43" s="448"/>
      <c r="F43" s="449"/>
      <c r="G43" s="449"/>
      <c r="H43" s="450">
        <f>SUM(H42:H42)</f>
        <v>15</v>
      </c>
    </row>
    <row r="44" spans="1:8">
      <c r="A44" s="445"/>
      <c r="B44" s="453" t="s">
        <v>1292</v>
      </c>
      <c r="C44" s="447"/>
      <c r="D44" s="447"/>
      <c r="E44" s="448"/>
      <c r="F44" s="449"/>
      <c r="G44" s="449"/>
      <c r="H44" s="448"/>
    </row>
    <row r="45" spans="1:8">
      <c r="A45" s="445"/>
      <c r="B45" s="446" t="s">
        <v>1293</v>
      </c>
      <c r="C45" s="447">
        <v>1</v>
      </c>
      <c r="D45" s="447">
        <v>1</v>
      </c>
      <c r="E45" s="448">
        <v>5</v>
      </c>
      <c r="F45" s="449" t="s">
        <v>78</v>
      </c>
      <c r="G45" s="449" t="s">
        <v>78</v>
      </c>
      <c r="H45" s="450">
        <f t="shared" si="0"/>
        <v>5</v>
      </c>
    </row>
    <row r="46" spans="1:8">
      <c r="A46" s="445"/>
      <c r="B46" s="453" t="s">
        <v>1294</v>
      </c>
      <c r="C46" s="447"/>
      <c r="D46" s="447"/>
      <c r="E46" s="448"/>
      <c r="F46" s="449"/>
      <c r="G46" s="449"/>
      <c r="H46" s="448"/>
    </row>
    <row r="47" spans="1:8">
      <c r="A47" s="445"/>
      <c r="B47" s="446" t="s">
        <v>1295</v>
      </c>
      <c r="C47" s="447">
        <v>1</v>
      </c>
      <c r="D47" s="447">
        <v>1</v>
      </c>
      <c r="E47" s="448">
        <v>3</v>
      </c>
      <c r="F47" s="449" t="s">
        <v>78</v>
      </c>
      <c r="G47" s="449" t="s">
        <v>78</v>
      </c>
      <c r="H47" s="448">
        <f t="shared" si="0"/>
        <v>3</v>
      </c>
    </row>
    <row r="48" spans="1:8">
      <c r="A48" s="445"/>
      <c r="B48" s="446" t="s">
        <v>1296</v>
      </c>
      <c r="C48" s="447">
        <v>1</v>
      </c>
      <c r="D48" s="447">
        <v>1</v>
      </c>
      <c r="E48" s="448">
        <v>5</v>
      </c>
      <c r="F48" s="449" t="s">
        <v>78</v>
      </c>
      <c r="G48" s="449" t="s">
        <v>78</v>
      </c>
      <c r="H48" s="448">
        <f t="shared" si="0"/>
        <v>5</v>
      </c>
    </row>
    <row r="49" spans="1:8">
      <c r="A49" s="445"/>
      <c r="B49" s="446" t="s">
        <v>1297</v>
      </c>
      <c r="C49" s="447">
        <v>1</v>
      </c>
      <c r="D49" s="447">
        <v>1</v>
      </c>
      <c r="E49" s="448">
        <v>5</v>
      </c>
      <c r="F49" s="449" t="s">
        <v>78</v>
      </c>
      <c r="G49" s="449" t="s">
        <v>78</v>
      </c>
      <c r="H49" s="448">
        <f t="shared" si="0"/>
        <v>5</v>
      </c>
    </row>
    <row r="50" spans="1:8">
      <c r="A50" s="445"/>
      <c r="B50" s="446" t="s">
        <v>1298</v>
      </c>
      <c r="C50" s="447">
        <v>1</v>
      </c>
      <c r="D50" s="447">
        <v>1</v>
      </c>
      <c r="E50" s="448">
        <v>3</v>
      </c>
      <c r="F50" s="449" t="s">
        <v>78</v>
      </c>
      <c r="G50" s="449" t="s">
        <v>78</v>
      </c>
      <c r="H50" s="448">
        <f t="shared" si="0"/>
        <v>3</v>
      </c>
    </row>
    <row r="51" spans="1:8">
      <c r="A51" s="445"/>
      <c r="B51" s="446"/>
      <c r="C51" s="447"/>
      <c r="D51" s="447"/>
      <c r="E51" s="448"/>
      <c r="F51" s="449"/>
      <c r="G51" s="449"/>
      <c r="H51" s="450">
        <f>SUM(H47:H50)</f>
        <v>16</v>
      </c>
    </row>
    <row r="52" spans="1:8">
      <c r="A52" s="445"/>
      <c r="B52" s="446"/>
      <c r="C52" s="447"/>
      <c r="D52" s="447"/>
      <c r="E52" s="448"/>
      <c r="F52" s="449"/>
      <c r="G52" s="452"/>
      <c r="H52" s="450"/>
    </row>
    <row r="53" spans="1:8" ht="29.25">
      <c r="A53" s="445">
        <v>11</v>
      </c>
      <c r="B53" s="446" t="s">
        <v>1299</v>
      </c>
      <c r="C53" s="447"/>
      <c r="D53" s="447"/>
      <c r="E53" s="448"/>
      <c r="F53" s="449"/>
      <c r="G53" s="449"/>
      <c r="H53" s="448"/>
    </row>
    <row r="54" spans="1:8">
      <c r="A54" s="445"/>
      <c r="B54" s="453" t="s">
        <v>1300</v>
      </c>
      <c r="C54" s="447"/>
      <c r="D54" s="447"/>
      <c r="E54" s="448"/>
      <c r="F54" s="449"/>
      <c r="G54" s="449"/>
      <c r="H54" s="448"/>
    </row>
    <row r="55" spans="1:8">
      <c r="A55" s="445"/>
      <c r="B55" s="446" t="s">
        <v>1301</v>
      </c>
      <c r="C55" s="447">
        <v>1</v>
      </c>
      <c r="D55" s="447">
        <v>1</v>
      </c>
      <c r="E55" s="448">
        <v>70</v>
      </c>
      <c r="F55" s="449"/>
      <c r="G55" s="449"/>
      <c r="H55" s="448">
        <f>PRODUCT(C55:G55)</f>
        <v>70</v>
      </c>
    </row>
    <row r="56" spans="1:8">
      <c r="A56" s="445"/>
      <c r="B56" s="446"/>
      <c r="C56" s="447"/>
      <c r="D56" s="447"/>
      <c r="E56" s="448"/>
      <c r="F56" s="449"/>
      <c r="G56" s="449"/>
      <c r="H56" s="448">
        <f>SUM(H55:H55)</f>
        <v>70</v>
      </c>
    </row>
    <row r="57" spans="1:8">
      <c r="A57" s="445"/>
      <c r="B57" s="446"/>
      <c r="C57" s="447"/>
      <c r="D57" s="447"/>
      <c r="E57" s="448"/>
      <c r="F57" s="452" t="s">
        <v>261</v>
      </c>
      <c r="G57" s="178">
        <f>ROUNDUP(H56,1)</f>
        <v>70</v>
      </c>
      <c r="H57" s="450" t="s">
        <v>1302</v>
      </c>
    </row>
    <row r="58" spans="1:8">
      <c r="A58" s="445"/>
      <c r="B58" s="446" t="s">
        <v>1303</v>
      </c>
      <c r="C58" s="447"/>
      <c r="D58" s="447"/>
      <c r="E58" s="448"/>
      <c r="F58" s="449"/>
      <c r="G58" s="449"/>
      <c r="H58" s="448"/>
    </row>
    <row r="59" spans="1:8">
      <c r="A59" s="445"/>
      <c r="B59" s="446" t="s">
        <v>1304</v>
      </c>
      <c r="C59" s="447">
        <v>1</v>
      </c>
      <c r="D59" s="447">
        <v>1</v>
      </c>
      <c r="E59" s="448">
        <v>15</v>
      </c>
      <c r="F59" s="449" t="s">
        <v>78</v>
      </c>
      <c r="G59" s="449" t="s">
        <v>78</v>
      </c>
      <c r="H59" s="448">
        <f t="shared" si="0"/>
        <v>15</v>
      </c>
    </row>
    <row r="60" spans="1:8">
      <c r="A60" s="445"/>
      <c r="B60" s="446"/>
      <c r="C60" s="447"/>
      <c r="D60" s="447"/>
      <c r="E60" s="448"/>
      <c r="F60" s="449"/>
      <c r="G60" s="449"/>
      <c r="H60" s="450">
        <f>SUM(H59:H59)</f>
        <v>15</v>
      </c>
    </row>
    <row r="61" spans="1:8" ht="29.25">
      <c r="A61" s="445">
        <v>13</v>
      </c>
      <c r="B61" s="446" t="s">
        <v>1305</v>
      </c>
      <c r="C61" s="447"/>
      <c r="D61" s="447"/>
      <c r="E61" s="448"/>
      <c r="F61" s="449"/>
      <c r="G61" s="449"/>
      <c r="H61" s="448"/>
    </row>
    <row r="62" spans="1:8">
      <c r="A62" s="445" t="s">
        <v>613</v>
      </c>
      <c r="B62" s="446" t="s">
        <v>1306</v>
      </c>
      <c r="C62" s="447">
        <v>1</v>
      </c>
      <c r="D62" s="447">
        <v>1</v>
      </c>
      <c r="E62" s="448">
        <v>5</v>
      </c>
      <c r="F62" s="449" t="s">
        <v>78</v>
      </c>
      <c r="G62" s="449" t="s">
        <v>78</v>
      </c>
      <c r="H62" s="448">
        <f t="shared" si="0"/>
        <v>5</v>
      </c>
    </row>
    <row r="63" spans="1:8">
      <c r="A63" s="445" t="s">
        <v>616</v>
      </c>
      <c r="B63" s="446" t="s">
        <v>1307</v>
      </c>
      <c r="C63" s="447">
        <v>1</v>
      </c>
      <c r="D63" s="447">
        <v>1</v>
      </c>
      <c r="E63" s="448">
        <v>6</v>
      </c>
      <c r="F63" s="449" t="s">
        <v>78</v>
      </c>
      <c r="G63" s="449" t="s">
        <v>78</v>
      </c>
      <c r="H63" s="448">
        <f t="shared" si="0"/>
        <v>6</v>
      </c>
    </row>
    <row r="64" spans="1:8">
      <c r="A64" s="445" t="s">
        <v>1308</v>
      </c>
      <c r="B64" s="446" t="s">
        <v>1309</v>
      </c>
      <c r="C64" s="447">
        <v>1</v>
      </c>
      <c r="D64" s="447">
        <v>1</v>
      </c>
      <c r="E64" s="448">
        <v>3</v>
      </c>
      <c r="F64" s="449" t="s">
        <v>78</v>
      </c>
      <c r="G64" s="449" t="s">
        <v>78</v>
      </c>
      <c r="H64" s="448">
        <f t="shared" si="0"/>
        <v>3</v>
      </c>
    </row>
    <row r="65" spans="1:8">
      <c r="A65" s="445" t="s">
        <v>1310</v>
      </c>
      <c r="B65" s="446" t="s">
        <v>1311</v>
      </c>
      <c r="C65" s="447">
        <v>1</v>
      </c>
      <c r="D65" s="447">
        <v>1</v>
      </c>
      <c r="E65" s="448">
        <v>1</v>
      </c>
      <c r="F65" s="449" t="s">
        <v>78</v>
      </c>
      <c r="G65" s="449" t="s">
        <v>78</v>
      </c>
      <c r="H65" s="448">
        <f t="shared" si="0"/>
        <v>1</v>
      </c>
    </row>
    <row r="66" spans="1:8">
      <c r="A66" s="445" t="s">
        <v>1312</v>
      </c>
      <c r="B66" s="446" t="s">
        <v>1313</v>
      </c>
      <c r="C66" s="447">
        <v>1</v>
      </c>
      <c r="D66" s="447">
        <v>1</v>
      </c>
      <c r="E66" s="448">
        <v>3</v>
      </c>
      <c r="F66" s="449" t="s">
        <v>78</v>
      </c>
      <c r="G66" s="449" t="s">
        <v>78</v>
      </c>
      <c r="H66" s="448">
        <f t="shared" si="0"/>
        <v>3</v>
      </c>
    </row>
    <row r="67" spans="1:8">
      <c r="A67" s="445" t="s">
        <v>1314</v>
      </c>
      <c r="B67" s="446" t="s">
        <v>1315</v>
      </c>
      <c r="C67" s="447">
        <v>1</v>
      </c>
      <c r="D67" s="447">
        <v>1</v>
      </c>
      <c r="E67" s="448">
        <v>5</v>
      </c>
      <c r="F67" s="449" t="s">
        <v>78</v>
      </c>
      <c r="G67" s="449" t="s">
        <v>78</v>
      </c>
      <c r="H67" s="448">
        <f t="shared" si="0"/>
        <v>5</v>
      </c>
    </row>
    <row r="68" spans="1:8">
      <c r="A68" s="445" t="s">
        <v>1316</v>
      </c>
      <c r="B68" s="446" t="s">
        <v>1317</v>
      </c>
      <c r="C68" s="447">
        <v>1</v>
      </c>
      <c r="D68" s="447">
        <v>1</v>
      </c>
      <c r="E68" s="448">
        <v>1</v>
      </c>
      <c r="F68" s="449" t="s">
        <v>78</v>
      </c>
      <c r="G68" s="449" t="s">
        <v>78</v>
      </c>
      <c r="H68" s="448">
        <f t="shared" si="0"/>
        <v>1</v>
      </c>
    </row>
    <row r="69" spans="1:8">
      <c r="A69" s="445" t="s">
        <v>1318</v>
      </c>
      <c r="B69" s="446" t="s">
        <v>1319</v>
      </c>
      <c r="C69" s="447">
        <v>1</v>
      </c>
      <c r="D69" s="447">
        <v>1</v>
      </c>
      <c r="E69" s="448">
        <v>3</v>
      </c>
      <c r="F69" s="449" t="s">
        <v>78</v>
      </c>
      <c r="G69" s="449" t="s">
        <v>78</v>
      </c>
      <c r="H69" s="448">
        <f t="shared" si="0"/>
        <v>3</v>
      </c>
    </row>
    <row r="70" spans="1:8">
      <c r="A70" s="445" t="s">
        <v>1320</v>
      </c>
      <c r="B70" s="446" t="s">
        <v>1321</v>
      </c>
      <c r="C70" s="447">
        <v>1</v>
      </c>
      <c r="D70" s="447">
        <v>1</v>
      </c>
      <c r="E70" s="448">
        <v>2</v>
      </c>
      <c r="F70" s="449" t="s">
        <v>78</v>
      </c>
      <c r="G70" s="449" t="s">
        <v>78</v>
      </c>
      <c r="H70" s="448">
        <f t="shared" si="0"/>
        <v>2</v>
      </c>
    </row>
    <row r="71" spans="1:8">
      <c r="A71" s="445" t="s">
        <v>1322</v>
      </c>
      <c r="B71" s="446" t="s">
        <v>1323</v>
      </c>
      <c r="C71" s="447">
        <v>1</v>
      </c>
      <c r="D71" s="447">
        <v>1</v>
      </c>
      <c r="E71" s="448">
        <v>2</v>
      </c>
      <c r="F71" s="449" t="s">
        <v>78</v>
      </c>
      <c r="G71" s="449" t="s">
        <v>78</v>
      </c>
      <c r="H71" s="448">
        <f t="shared" si="0"/>
        <v>2</v>
      </c>
    </row>
    <row r="72" spans="1:8">
      <c r="A72" s="445" t="s">
        <v>1324</v>
      </c>
      <c r="B72" s="446" t="s">
        <v>1325</v>
      </c>
      <c r="C72" s="447">
        <v>1</v>
      </c>
      <c r="D72" s="447">
        <v>1</v>
      </c>
      <c r="E72" s="448">
        <v>2</v>
      </c>
      <c r="F72" s="449" t="s">
        <v>78</v>
      </c>
      <c r="G72" s="449" t="s">
        <v>78</v>
      </c>
      <c r="H72" s="448">
        <f t="shared" si="0"/>
        <v>2</v>
      </c>
    </row>
    <row r="73" spans="1:8">
      <c r="A73" s="445" t="s">
        <v>1326</v>
      </c>
      <c r="B73" s="446" t="s">
        <v>1327</v>
      </c>
      <c r="C73" s="447">
        <v>1</v>
      </c>
      <c r="D73" s="447">
        <v>1</v>
      </c>
      <c r="E73" s="448">
        <v>2</v>
      </c>
      <c r="F73" s="449" t="s">
        <v>78</v>
      </c>
      <c r="G73" s="449" t="s">
        <v>78</v>
      </c>
      <c r="H73" s="448">
        <f t="shared" si="0"/>
        <v>2</v>
      </c>
    </row>
    <row r="74" spans="1:8">
      <c r="A74" s="447"/>
      <c r="B74" s="447"/>
      <c r="C74" s="447"/>
      <c r="D74" s="447"/>
      <c r="E74" s="447"/>
      <c r="F74" s="447"/>
      <c r="G74" s="447"/>
      <c r="H74" s="447"/>
    </row>
    <row r="75" spans="1:8" ht="30">
      <c r="A75" s="447"/>
      <c r="B75" s="439" t="s">
        <v>1328</v>
      </c>
      <c r="C75" s="447"/>
      <c r="D75" s="447"/>
      <c r="E75" s="447"/>
      <c r="F75" s="447"/>
      <c r="G75" s="447"/>
      <c r="H75" s="447"/>
    </row>
    <row r="76" spans="1:8">
      <c r="A76" s="447"/>
      <c r="B76" s="439" t="s">
        <v>1329</v>
      </c>
      <c r="C76" s="447">
        <v>1</v>
      </c>
      <c r="D76" s="447">
        <v>1</v>
      </c>
      <c r="E76" s="447"/>
      <c r="F76" s="447"/>
      <c r="G76" s="447"/>
      <c r="H76" s="450">
        <v>220</v>
      </c>
    </row>
    <row r="77" spans="1:8">
      <c r="A77" s="447"/>
      <c r="B77" s="447"/>
      <c r="C77" s="447"/>
      <c r="D77" s="447"/>
      <c r="E77" s="447"/>
      <c r="F77" s="447"/>
      <c r="G77" s="447"/>
      <c r="H77" s="447"/>
    </row>
    <row r="78" spans="1:8">
      <c r="A78" s="447"/>
      <c r="B78" s="444" t="s">
        <v>1330</v>
      </c>
      <c r="C78" s="447"/>
      <c r="D78" s="447"/>
      <c r="E78" s="447"/>
      <c r="F78" s="447"/>
      <c r="G78" s="447"/>
      <c r="H78" s="447"/>
    </row>
    <row r="79" spans="1:8" ht="47.25">
      <c r="A79" s="454">
        <v>1</v>
      </c>
      <c r="B79" s="455" t="s">
        <v>1331</v>
      </c>
      <c r="C79" s="454">
        <v>1</v>
      </c>
      <c r="D79" s="454">
        <v>1</v>
      </c>
      <c r="E79" s="454">
        <v>1</v>
      </c>
      <c r="F79" s="456" t="s">
        <v>78</v>
      </c>
      <c r="G79" s="456" t="s">
        <v>78</v>
      </c>
      <c r="H79" s="457">
        <f>C79*D79*E79</f>
        <v>1</v>
      </c>
    </row>
    <row r="80" spans="1:8">
      <c r="A80" s="454"/>
      <c r="B80" s="455"/>
      <c r="C80" s="454"/>
      <c r="D80" s="454"/>
      <c r="E80" s="454"/>
      <c r="F80" s="454"/>
      <c r="G80" s="454"/>
      <c r="H80" s="458"/>
    </row>
    <row r="81" spans="1:8" ht="31.5">
      <c r="A81" s="454">
        <v>2</v>
      </c>
      <c r="B81" s="455" t="s">
        <v>1332</v>
      </c>
      <c r="C81" s="454"/>
      <c r="D81" s="454"/>
      <c r="E81" s="454"/>
      <c r="F81" s="454"/>
      <c r="G81" s="454"/>
      <c r="H81" s="458"/>
    </row>
    <row r="82" spans="1:8">
      <c r="A82" s="454"/>
      <c r="B82" s="459" t="s">
        <v>1333</v>
      </c>
      <c r="C82" s="454"/>
      <c r="D82" s="454"/>
      <c r="E82" s="454"/>
      <c r="F82" s="454"/>
      <c r="G82" s="454"/>
      <c r="H82" s="458"/>
    </row>
    <row r="83" spans="1:8" ht="31.5">
      <c r="A83" s="454"/>
      <c r="B83" s="460" t="s">
        <v>1334</v>
      </c>
      <c r="C83" s="454">
        <v>1</v>
      </c>
      <c r="D83" s="454">
        <v>29</v>
      </c>
      <c r="E83" s="461">
        <v>1</v>
      </c>
      <c r="F83" s="456"/>
      <c r="G83" s="456"/>
      <c r="H83" s="448">
        <v>29</v>
      </c>
    </row>
    <row r="84" spans="1:8">
      <c r="A84" s="454"/>
      <c r="B84" s="462" t="s">
        <v>1335</v>
      </c>
      <c r="C84" s="454">
        <v>1</v>
      </c>
      <c r="D84" s="454">
        <v>9</v>
      </c>
      <c r="E84" s="461">
        <v>1</v>
      </c>
      <c r="F84" s="456"/>
      <c r="G84" s="456"/>
      <c r="H84" s="448">
        <v>9</v>
      </c>
    </row>
    <row r="85" spans="1:8">
      <c r="A85" s="454"/>
      <c r="B85" s="462" t="s">
        <v>1336</v>
      </c>
      <c r="C85" s="454">
        <v>1</v>
      </c>
      <c r="D85" s="454">
        <v>9</v>
      </c>
      <c r="E85" s="461">
        <v>1</v>
      </c>
      <c r="F85" s="456"/>
      <c r="G85" s="456"/>
      <c r="H85" s="448">
        <v>9</v>
      </c>
    </row>
    <row r="86" spans="1:8">
      <c r="A86" s="454"/>
      <c r="B86" s="454"/>
      <c r="C86" s="454"/>
      <c r="D86" s="454"/>
      <c r="E86" s="454"/>
      <c r="F86" s="454"/>
      <c r="G86" s="454"/>
      <c r="H86" s="457">
        <f>+SUM(H83:H85)</f>
        <v>47</v>
      </c>
    </row>
    <row r="87" spans="1:8">
      <c r="A87" s="454"/>
      <c r="B87" s="459" t="s">
        <v>1337</v>
      </c>
      <c r="C87" s="454"/>
      <c r="D87" s="454"/>
      <c r="E87" s="454"/>
      <c r="F87" s="454"/>
      <c r="G87" s="454"/>
      <c r="H87" s="454"/>
    </row>
    <row r="88" spans="1:8">
      <c r="A88" s="454"/>
      <c r="B88" s="459" t="s">
        <v>619</v>
      </c>
      <c r="C88" s="454"/>
      <c r="D88" s="454"/>
      <c r="E88" s="454"/>
      <c r="F88" s="454"/>
      <c r="G88" s="454"/>
      <c r="H88" s="458"/>
    </row>
    <row r="89" spans="1:8">
      <c r="A89" s="454"/>
      <c r="B89" s="462" t="s">
        <v>1338</v>
      </c>
      <c r="C89" s="454">
        <v>1</v>
      </c>
      <c r="D89" s="454">
        <v>13</v>
      </c>
      <c r="E89" s="461">
        <v>1</v>
      </c>
      <c r="F89" s="456" t="s">
        <v>78</v>
      </c>
      <c r="G89" s="456" t="s">
        <v>78</v>
      </c>
      <c r="H89" s="458">
        <v>13</v>
      </c>
    </row>
    <row r="90" spans="1:8">
      <c r="A90" s="454"/>
      <c r="B90" s="462" t="s">
        <v>1339</v>
      </c>
      <c r="C90" s="454">
        <v>1</v>
      </c>
      <c r="D90" s="454">
        <v>10</v>
      </c>
      <c r="E90" s="461">
        <v>1</v>
      </c>
      <c r="F90" s="456"/>
      <c r="G90" s="456"/>
      <c r="H90" s="458">
        <v>10</v>
      </c>
    </row>
    <row r="91" spans="1:8">
      <c r="A91" s="454"/>
      <c r="B91" s="462" t="s">
        <v>1340</v>
      </c>
      <c r="C91" s="454">
        <v>1</v>
      </c>
      <c r="D91" s="454">
        <v>9</v>
      </c>
      <c r="E91" s="461">
        <v>1</v>
      </c>
      <c r="F91" s="456"/>
      <c r="G91" s="456"/>
      <c r="H91" s="458">
        <v>9</v>
      </c>
    </row>
    <row r="92" spans="1:8">
      <c r="A92" s="454"/>
      <c r="B92" s="462" t="s">
        <v>1341</v>
      </c>
      <c r="C92" s="454">
        <v>1</v>
      </c>
      <c r="D92" s="454">
        <v>12</v>
      </c>
      <c r="E92" s="461">
        <v>1</v>
      </c>
      <c r="F92" s="456"/>
      <c r="G92" s="456"/>
      <c r="H92" s="458">
        <v>12</v>
      </c>
    </row>
    <row r="93" spans="1:8">
      <c r="A93" s="454"/>
      <c r="B93" s="462" t="s">
        <v>1342</v>
      </c>
      <c r="C93" s="454">
        <v>1</v>
      </c>
      <c r="D93" s="454">
        <v>8</v>
      </c>
      <c r="E93" s="461">
        <v>1</v>
      </c>
      <c r="F93" s="456"/>
      <c r="G93" s="456"/>
      <c r="H93" s="458">
        <v>8</v>
      </c>
    </row>
    <row r="94" spans="1:8">
      <c r="A94" s="454"/>
      <c r="B94" s="462" t="s">
        <v>1343</v>
      </c>
      <c r="C94" s="454">
        <v>1</v>
      </c>
      <c r="D94" s="454">
        <v>9</v>
      </c>
      <c r="E94" s="461">
        <v>1</v>
      </c>
      <c r="F94" s="456" t="s">
        <v>78</v>
      </c>
      <c r="G94" s="456" t="s">
        <v>78</v>
      </c>
      <c r="H94" s="458">
        <v>9</v>
      </c>
    </row>
    <row r="95" spans="1:8">
      <c r="A95" s="454"/>
      <c r="B95" s="455" t="s">
        <v>623</v>
      </c>
      <c r="C95" s="454"/>
      <c r="D95" s="454"/>
      <c r="E95" s="454"/>
      <c r="F95" s="454"/>
      <c r="G95" s="454"/>
      <c r="H95" s="457"/>
    </row>
    <row r="96" spans="1:8">
      <c r="A96" s="463"/>
      <c r="B96" s="462" t="s">
        <v>1344</v>
      </c>
      <c r="C96" s="454">
        <v>1</v>
      </c>
      <c r="D96" s="464">
        <v>18</v>
      </c>
      <c r="E96" s="461">
        <v>1</v>
      </c>
      <c r="F96" s="465"/>
      <c r="G96" s="465"/>
      <c r="H96" s="465">
        <v>18</v>
      </c>
    </row>
    <row r="97" spans="1:8">
      <c r="A97" s="463"/>
      <c r="B97" s="466" t="s">
        <v>1345</v>
      </c>
      <c r="C97" s="454">
        <v>1</v>
      </c>
      <c r="D97" s="464">
        <v>8</v>
      </c>
      <c r="E97" s="461">
        <v>1</v>
      </c>
      <c r="F97" s="465"/>
      <c r="G97" s="465"/>
      <c r="H97" s="465">
        <v>8</v>
      </c>
    </row>
    <row r="98" spans="1:8">
      <c r="A98" s="463"/>
      <c r="B98" s="466" t="s">
        <v>1346</v>
      </c>
      <c r="C98" s="454">
        <v>1</v>
      </c>
      <c r="D98" s="464">
        <v>6</v>
      </c>
      <c r="E98" s="461">
        <v>1</v>
      </c>
      <c r="F98" s="465"/>
      <c r="G98" s="465"/>
      <c r="H98" s="465">
        <v>6</v>
      </c>
    </row>
    <row r="99" spans="1:8">
      <c r="A99" s="463"/>
      <c r="B99" s="466" t="s">
        <v>1347</v>
      </c>
      <c r="C99" s="454">
        <v>1</v>
      </c>
      <c r="D99" s="464">
        <v>6</v>
      </c>
      <c r="E99" s="461">
        <v>1</v>
      </c>
      <c r="F99" s="465"/>
      <c r="G99" s="465"/>
      <c r="H99" s="465">
        <v>6</v>
      </c>
    </row>
    <row r="100" spans="1:8">
      <c r="A100" s="463"/>
      <c r="B100" s="462" t="s">
        <v>1342</v>
      </c>
      <c r="C100" s="454">
        <v>1</v>
      </c>
      <c r="D100" s="464">
        <v>8</v>
      </c>
      <c r="E100" s="461">
        <v>1</v>
      </c>
      <c r="F100" s="465"/>
      <c r="G100" s="465"/>
      <c r="H100" s="465">
        <v>8</v>
      </c>
    </row>
    <row r="101" spans="1:8">
      <c r="A101" s="463"/>
      <c r="B101" s="462" t="s">
        <v>1343</v>
      </c>
      <c r="C101" s="454">
        <v>1</v>
      </c>
      <c r="D101" s="464">
        <v>9</v>
      </c>
      <c r="E101" s="461">
        <v>1</v>
      </c>
      <c r="F101" s="465"/>
      <c r="G101" s="465"/>
      <c r="H101" s="465">
        <v>9</v>
      </c>
    </row>
    <row r="102" spans="1:8">
      <c r="A102" s="463"/>
      <c r="B102" s="467"/>
      <c r="C102" s="463"/>
      <c r="D102" s="465"/>
      <c r="E102" s="465"/>
      <c r="F102" s="465"/>
      <c r="G102" s="465"/>
      <c r="H102" s="468">
        <f>+SUM(H89:H101)</f>
        <v>116</v>
      </c>
    </row>
    <row r="103" spans="1:8">
      <c r="A103" s="463"/>
      <c r="B103" s="467"/>
      <c r="C103" s="463"/>
      <c r="D103" s="465"/>
      <c r="E103" s="465"/>
      <c r="F103" s="465"/>
      <c r="G103" s="465"/>
      <c r="H103" s="465"/>
    </row>
    <row r="104" spans="1:8">
      <c r="A104" s="463"/>
      <c r="B104" s="467"/>
      <c r="C104" s="463"/>
      <c r="D104" s="463"/>
      <c r="E104" s="463"/>
      <c r="F104" s="463"/>
      <c r="G104" s="463"/>
      <c r="H104" s="463"/>
    </row>
  </sheetData>
  <mergeCells count="8">
    <mergeCell ref="A1:H1"/>
    <mergeCell ref="A2:H2"/>
    <mergeCell ref="A3:H3"/>
    <mergeCell ref="A4:A5"/>
    <mergeCell ref="B4:B5"/>
    <mergeCell ref="C4:D5"/>
    <mergeCell ref="E4:G4"/>
    <mergeCell ref="H4:H5"/>
  </mergeCells>
  <pageMargins left="0.7" right="0.7" top="0.75" bottom="0.75" header="0.3" footer="0.3"/>
  <pageSetup paperSize="9" scale="89" orientation="portrait" horizontalDpi="300" verticalDpi="0" r:id="rId1"/>
</worksheet>
</file>

<file path=xl/worksheets/sheet2.xml><?xml version="1.0" encoding="utf-8"?>
<worksheet xmlns="http://schemas.openxmlformats.org/spreadsheetml/2006/main" xmlns:r="http://schemas.openxmlformats.org/officeDocument/2006/relationships">
  <dimension ref="A1:K704"/>
  <sheetViews>
    <sheetView topLeftCell="A22" workbookViewId="0">
      <selection activeCell="D40" sqref="D40"/>
    </sheetView>
  </sheetViews>
  <sheetFormatPr defaultRowHeight="15.75"/>
  <cols>
    <col min="1" max="1" width="9" bestFit="1" customWidth="1"/>
    <col min="2" max="2" width="7.5546875" customWidth="1"/>
    <col min="3" max="3" width="44.5546875" customWidth="1"/>
    <col min="4" max="4" width="10.6640625" customWidth="1"/>
    <col min="5" max="5" width="14.109375" customWidth="1"/>
    <col min="6" max="6" width="12.33203125" customWidth="1"/>
    <col min="7" max="7" width="9" bestFit="1" customWidth="1"/>
    <col min="10" max="10" width="8.88671875" customWidth="1"/>
  </cols>
  <sheetData>
    <row r="1" spans="1:6">
      <c r="C1" s="15" t="s">
        <v>93</v>
      </c>
    </row>
    <row r="2" spans="1:6">
      <c r="C2" s="18" t="s">
        <v>153</v>
      </c>
    </row>
    <row r="5" spans="1:6">
      <c r="A5" s="29">
        <v>2.2800000000000001E-2</v>
      </c>
      <c r="B5" s="20" t="s">
        <v>44</v>
      </c>
      <c r="C5" s="21" t="s">
        <v>133</v>
      </c>
      <c r="D5" s="21">
        <f>[1]Data!I2634</f>
        <v>121800</v>
      </c>
      <c r="E5" s="26" t="s">
        <v>44</v>
      </c>
      <c r="F5" s="21">
        <f>D5*A5</f>
        <v>2777.04</v>
      </c>
    </row>
    <row r="6" spans="1:6">
      <c r="A6" s="29">
        <v>3.5400000000000001E-2</v>
      </c>
      <c r="B6" s="20" t="s">
        <v>44</v>
      </c>
      <c r="C6" s="21" t="s">
        <v>125</v>
      </c>
      <c r="D6" s="21">
        <f>[1]Data!I2635</f>
        <v>108400</v>
      </c>
      <c r="E6" s="26" t="s">
        <v>44</v>
      </c>
      <c r="F6" s="21">
        <f t="shared" ref="F6:F15" si="0">D6*A6</f>
        <v>3837.36</v>
      </c>
    </row>
    <row r="7" spans="1:6">
      <c r="A7" s="30">
        <v>3.2300000000000002E-2</v>
      </c>
      <c r="B7" s="20" t="s">
        <v>44</v>
      </c>
      <c r="C7" t="s">
        <v>186</v>
      </c>
      <c r="D7" s="21">
        <f>[1]Data!I2636</f>
        <v>116700</v>
      </c>
      <c r="E7" s="26" t="s">
        <v>44</v>
      </c>
      <c r="F7" s="21">
        <f t="shared" si="0"/>
        <v>3769.41</v>
      </c>
    </row>
    <row r="8" spans="1:6">
      <c r="A8" s="28">
        <v>2.835</v>
      </c>
      <c r="B8" s="20" t="s">
        <v>30</v>
      </c>
      <c r="C8" s="21" t="s">
        <v>47</v>
      </c>
      <c r="D8" s="21">
        <v>843</v>
      </c>
      <c r="E8" s="26" t="s">
        <v>30</v>
      </c>
      <c r="F8" s="21">
        <f t="shared" si="0"/>
        <v>2389.91</v>
      </c>
    </row>
    <row r="9" spans="1:6">
      <c r="A9" s="21">
        <v>2</v>
      </c>
      <c r="B9" s="20" t="s">
        <v>105</v>
      </c>
      <c r="C9" t="s">
        <v>148</v>
      </c>
      <c r="D9" s="75">
        <v>450</v>
      </c>
      <c r="E9" s="26" t="s">
        <v>69</v>
      </c>
      <c r="F9" s="21">
        <f t="shared" si="0"/>
        <v>900</v>
      </c>
    </row>
    <row r="10" spans="1:6">
      <c r="A10" s="21">
        <v>6</v>
      </c>
      <c r="B10" s="20" t="s">
        <v>105</v>
      </c>
      <c r="C10" t="s">
        <v>149</v>
      </c>
      <c r="D10" s="75">
        <v>79</v>
      </c>
      <c r="E10" s="26" t="s">
        <v>69</v>
      </c>
      <c r="F10" s="21">
        <f t="shared" si="0"/>
        <v>474</v>
      </c>
    </row>
    <row r="11" spans="1:6">
      <c r="A11" s="21">
        <v>4</v>
      </c>
      <c r="B11" s="20" t="s">
        <v>105</v>
      </c>
      <c r="C11" t="s">
        <v>150</v>
      </c>
      <c r="D11" s="75">
        <v>130</v>
      </c>
      <c r="E11" s="26" t="s">
        <v>69</v>
      </c>
      <c r="F11" s="21">
        <f t="shared" si="0"/>
        <v>520</v>
      </c>
    </row>
    <row r="12" spans="1:6">
      <c r="A12" s="21">
        <v>1</v>
      </c>
      <c r="B12" s="20" t="s">
        <v>105</v>
      </c>
      <c r="C12" t="s">
        <v>151</v>
      </c>
      <c r="D12" s="75">
        <v>985</v>
      </c>
      <c r="E12" s="26" t="s">
        <v>69</v>
      </c>
      <c r="F12" s="21">
        <f t="shared" si="0"/>
        <v>985</v>
      </c>
    </row>
    <row r="13" spans="1:6">
      <c r="A13" s="21">
        <v>2</v>
      </c>
      <c r="B13" s="20" t="s">
        <v>105</v>
      </c>
      <c r="C13" t="s">
        <v>147</v>
      </c>
      <c r="D13" s="75">
        <v>24.6</v>
      </c>
      <c r="E13" s="26" t="s">
        <v>69</v>
      </c>
      <c r="F13" s="21">
        <f t="shared" si="0"/>
        <v>49.2</v>
      </c>
    </row>
    <row r="14" spans="1:6">
      <c r="A14" s="21">
        <v>2</v>
      </c>
      <c r="B14" s="20" t="s">
        <v>105</v>
      </c>
      <c r="C14" s="21" t="s">
        <v>109</v>
      </c>
      <c r="D14" s="21">
        <v>51.3</v>
      </c>
      <c r="E14" s="26" t="s">
        <v>69</v>
      </c>
      <c r="F14" s="21">
        <f t="shared" si="0"/>
        <v>102.6</v>
      </c>
    </row>
    <row r="15" spans="1:6">
      <c r="A15" s="72">
        <v>118</v>
      </c>
      <c r="B15" s="27"/>
      <c r="C15" s="72" t="s">
        <v>61</v>
      </c>
      <c r="D15" s="21">
        <v>2.4500000000000002</v>
      </c>
      <c r="E15" s="26"/>
      <c r="F15" s="21">
        <f t="shared" si="0"/>
        <v>289.10000000000002</v>
      </c>
    </row>
    <row r="16" spans="1:6">
      <c r="E16" s="26"/>
      <c r="F16" s="16">
        <f>SUM(F5:F15)</f>
        <v>16093.62</v>
      </c>
    </row>
    <row r="17" spans="1:7">
      <c r="A17" s="21"/>
      <c r="B17" s="27"/>
      <c r="C17" s="16"/>
      <c r="D17" s="21"/>
      <c r="E17" s="26"/>
      <c r="F17" s="23" t="s">
        <v>5</v>
      </c>
    </row>
    <row r="18" spans="1:7">
      <c r="A18" s="21"/>
      <c r="B18" s="27"/>
      <c r="C18" s="16" t="s">
        <v>115</v>
      </c>
      <c r="D18" s="21"/>
      <c r="E18" s="26"/>
      <c r="F18" s="16">
        <f>F16/2.835</f>
        <v>5676.76</v>
      </c>
    </row>
    <row r="19" spans="1:7">
      <c r="A19" s="21"/>
      <c r="B19" s="27"/>
      <c r="E19" s="9"/>
      <c r="F19" s="22" t="s">
        <v>5</v>
      </c>
    </row>
    <row r="20" spans="1:7">
      <c r="B20" s="3"/>
      <c r="E20" s="9"/>
    </row>
    <row r="21" spans="1:7" ht="16.5">
      <c r="A21" s="553" t="s">
        <v>154</v>
      </c>
      <c r="B21" s="553"/>
      <c r="C21" s="553"/>
      <c r="D21" s="79"/>
      <c r="E21" s="80"/>
      <c r="F21" s="81"/>
      <c r="G21" s="82"/>
    </row>
    <row r="22" spans="1:7" ht="16.5">
      <c r="A22" s="553"/>
      <c r="B22" s="553"/>
      <c r="C22" s="553"/>
      <c r="D22" s="555"/>
      <c r="E22" s="555"/>
      <c r="F22" s="555"/>
      <c r="G22" s="555"/>
    </row>
    <row r="23" spans="1:7" ht="16.5">
      <c r="A23" s="83">
        <v>11.61</v>
      </c>
      <c r="B23" s="84" t="s">
        <v>49</v>
      </c>
      <c r="C23" s="85" t="s">
        <v>99</v>
      </c>
      <c r="D23" s="81" t="e">
        <f>#REF!</f>
        <v>#REF!</v>
      </c>
      <c r="E23" s="84" t="s">
        <v>49</v>
      </c>
      <c r="F23" s="81" t="e">
        <f>D23*A23</f>
        <v>#REF!</v>
      </c>
      <c r="G23" s="82"/>
    </row>
    <row r="24" spans="1:7" ht="16.5">
      <c r="A24" s="83">
        <v>7.8</v>
      </c>
      <c r="B24" s="84" t="s">
        <v>39</v>
      </c>
      <c r="C24" s="85" t="s">
        <v>155</v>
      </c>
      <c r="D24" s="81" t="e">
        <f>#REF!</f>
        <v>#REF!</v>
      </c>
      <c r="E24" s="84" t="s">
        <v>39</v>
      </c>
      <c r="F24" s="81" t="e">
        <f t="shared" ref="F24:F29" si="1">D24*A24</f>
        <v>#REF!</v>
      </c>
      <c r="G24" s="82"/>
    </row>
    <row r="25" spans="1:7" ht="16.5">
      <c r="A25" s="83">
        <v>1.62</v>
      </c>
      <c r="B25" s="84" t="s">
        <v>10</v>
      </c>
      <c r="C25" s="85" t="s">
        <v>156</v>
      </c>
      <c r="D25" s="81">
        <v>208.8</v>
      </c>
      <c r="E25" s="84" t="s">
        <v>10</v>
      </c>
      <c r="F25" s="81">
        <f t="shared" si="1"/>
        <v>338.26</v>
      </c>
      <c r="G25" s="82"/>
    </row>
    <row r="26" spans="1:7" ht="16.5">
      <c r="A26" s="83">
        <v>2</v>
      </c>
      <c r="B26" s="84" t="s">
        <v>37</v>
      </c>
      <c r="C26" s="85" t="s">
        <v>157</v>
      </c>
      <c r="D26" s="81">
        <v>48</v>
      </c>
      <c r="E26" s="84" t="s">
        <v>37</v>
      </c>
      <c r="F26" s="81">
        <f t="shared" si="1"/>
        <v>96</v>
      </c>
      <c r="G26" s="82"/>
    </row>
    <row r="27" spans="1:7" ht="16.5">
      <c r="A27" s="83">
        <v>2</v>
      </c>
      <c r="B27" s="84" t="s">
        <v>37</v>
      </c>
      <c r="C27" s="85" t="s">
        <v>158</v>
      </c>
      <c r="D27" s="81">
        <v>350</v>
      </c>
      <c r="E27" s="84" t="s">
        <v>37</v>
      </c>
      <c r="F27" s="81">
        <f t="shared" si="1"/>
        <v>700</v>
      </c>
      <c r="G27" s="82"/>
    </row>
    <row r="28" spans="1:7" ht="16.5">
      <c r="A28" s="83">
        <v>4</v>
      </c>
      <c r="B28" s="84" t="s">
        <v>37</v>
      </c>
      <c r="C28" s="85" t="s">
        <v>159</v>
      </c>
      <c r="D28" s="81">
        <v>15</v>
      </c>
      <c r="E28" s="84" t="s">
        <v>37</v>
      </c>
      <c r="F28" s="81">
        <f t="shared" si="1"/>
        <v>60</v>
      </c>
      <c r="G28" s="82"/>
    </row>
    <row r="29" spans="1:7" ht="16.5">
      <c r="A29" s="83">
        <v>1.62</v>
      </c>
      <c r="B29" s="84" t="s">
        <v>123</v>
      </c>
      <c r="C29" s="85" t="s">
        <v>160</v>
      </c>
      <c r="D29" s="81" t="e">
        <f>D42</f>
        <v>#REF!</v>
      </c>
      <c r="E29" s="84" t="s">
        <v>123</v>
      </c>
      <c r="F29" s="81" t="e">
        <f t="shared" si="1"/>
        <v>#REF!</v>
      </c>
      <c r="G29" s="82"/>
    </row>
    <row r="30" spans="1:7" ht="16.5">
      <c r="A30" s="79"/>
      <c r="B30" s="86"/>
      <c r="C30" s="85" t="s">
        <v>122</v>
      </c>
      <c r="D30" s="79"/>
      <c r="E30" s="80"/>
      <c r="F30" s="81"/>
      <c r="G30" s="82"/>
    </row>
    <row r="31" spans="1:7" ht="16.5">
      <c r="A31" s="79"/>
      <c r="B31" s="79"/>
      <c r="C31" s="87" t="s">
        <v>152</v>
      </c>
      <c r="D31" s="79"/>
      <c r="E31" s="79"/>
      <c r="F31" s="88" t="e">
        <f>SUM(F23:F30)</f>
        <v>#REF!</v>
      </c>
      <c r="G31" s="89" t="s">
        <v>69</v>
      </c>
    </row>
    <row r="32" spans="1:7" ht="16.5">
      <c r="A32" s="79"/>
      <c r="B32" s="79"/>
      <c r="C32" s="16" t="s">
        <v>161</v>
      </c>
      <c r="D32" s="79"/>
      <c r="E32" s="79"/>
      <c r="F32" s="16" t="e">
        <f>F31/A29</f>
        <v>#REF!</v>
      </c>
      <c r="G32" s="79" t="s">
        <v>123</v>
      </c>
    </row>
    <row r="33" spans="1:11" ht="16.5">
      <c r="A33" s="89"/>
      <c r="B33" s="89"/>
      <c r="C33" s="90"/>
      <c r="D33" s="89"/>
      <c r="E33" s="89"/>
      <c r="F33" s="89"/>
      <c r="G33" s="79"/>
    </row>
    <row r="34" spans="1:11" ht="16.5">
      <c r="A34" s="79"/>
      <c r="B34" s="86"/>
      <c r="C34" s="78" t="s">
        <v>162</v>
      </c>
      <c r="D34" s="78"/>
      <c r="E34" s="78"/>
      <c r="F34" s="78"/>
      <c r="G34" s="79"/>
    </row>
    <row r="35" spans="1:11" ht="16.5">
      <c r="A35" s="83"/>
      <c r="B35" s="84"/>
      <c r="C35" s="91" t="s">
        <v>163</v>
      </c>
      <c r="D35" s="81"/>
      <c r="E35" s="84"/>
      <c r="F35" s="81"/>
      <c r="G35" s="79"/>
    </row>
    <row r="36" spans="1:11" ht="16.5">
      <c r="A36" s="83">
        <v>12.08</v>
      </c>
      <c r="B36" s="84" t="s">
        <v>49</v>
      </c>
      <c r="C36" s="85" t="s">
        <v>99</v>
      </c>
      <c r="D36" s="81" t="e">
        <f>D23</f>
        <v>#REF!</v>
      </c>
      <c r="E36" s="84" t="s">
        <v>49</v>
      </c>
      <c r="F36" s="81" t="e">
        <f>D36*A36</f>
        <v>#REF!</v>
      </c>
      <c r="G36" s="79"/>
      <c r="I36" t="e">
        <f>#REF!</f>
        <v>#REF!</v>
      </c>
      <c r="J36" s="19" t="e">
        <f>#REF!</f>
        <v>#REF!</v>
      </c>
      <c r="K36" t="e">
        <f>#REF!</f>
        <v>#REF!</v>
      </c>
    </row>
    <row r="37" spans="1:11" ht="16.5">
      <c r="A37" s="83">
        <v>8.1</v>
      </c>
      <c r="B37" s="84" t="s">
        <v>10</v>
      </c>
      <c r="C37" s="85" t="s">
        <v>155</v>
      </c>
      <c r="D37" s="81">
        <v>27.1</v>
      </c>
      <c r="E37" s="84" t="s">
        <v>10</v>
      </c>
      <c r="F37" s="81">
        <f t="shared" ref="F37:F42" si="2">D37*A37</f>
        <v>219.51</v>
      </c>
      <c r="G37" s="79"/>
      <c r="I37" t="e">
        <f>#REF!</f>
        <v>#REF!</v>
      </c>
      <c r="J37" s="19" t="e">
        <f>#REF!</f>
        <v>#REF!</v>
      </c>
    </row>
    <row r="38" spans="1:11" ht="16.5">
      <c r="A38" s="83">
        <v>1.823</v>
      </c>
      <c r="B38" s="84" t="s">
        <v>39</v>
      </c>
      <c r="C38" s="85" t="s">
        <v>156</v>
      </c>
      <c r="D38" s="81">
        <f>D25</f>
        <v>208.8</v>
      </c>
      <c r="E38" s="84" t="s">
        <v>39</v>
      </c>
      <c r="F38" s="81">
        <f t="shared" si="2"/>
        <v>380.64</v>
      </c>
      <c r="G38" s="79"/>
      <c r="I38" t="e">
        <f>#REF!</f>
        <v>#REF!</v>
      </c>
      <c r="J38" s="19" t="e">
        <f>#REF!</f>
        <v>#REF!</v>
      </c>
    </row>
    <row r="39" spans="1:11" ht="16.5">
      <c r="A39" s="83">
        <v>2</v>
      </c>
      <c r="B39" s="84" t="s">
        <v>164</v>
      </c>
      <c r="C39" s="85" t="s">
        <v>157</v>
      </c>
      <c r="D39" s="81">
        <f>D26</f>
        <v>48</v>
      </c>
      <c r="E39" s="84" t="s">
        <v>37</v>
      </c>
      <c r="F39" s="81">
        <f t="shared" si="2"/>
        <v>96</v>
      </c>
      <c r="G39" s="79"/>
      <c r="I39" t="e">
        <f>#REF!</f>
        <v>#REF!</v>
      </c>
      <c r="J39" s="19" t="e">
        <f>#REF!</f>
        <v>#REF!</v>
      </c>
    </row>
    <row r="40" spans="1:11" ht="16.5">
      <c r="A40" s="83">
        <v>2</v>
      </c>
      <c r="B40" s="84" t="s">
        <v>37</v>
      </c>
      <c r="C40" s="85" t="s">
        <v>158</v>
      </c>
      <c r="D40" s="81">
        <f>D27</f>
        <v>350</v>
      </c>
      <c r="E40" s="84" t="s">
        <v>37</v>
      </c>
      <c r="F40" s="81">
        <f t="shared" si="2"/>
        <v>700</v>
      </c>
      <c r="G40" s="79"/>
      <c r="I40" t="e">
        <f>#REF!</f>
        <v>#REF!</v>
      </c>
      <c r="J40" s="19" t="e">
        <f>#REF!</f>
        <v>#REF!</v>
      </c>
    </row>
    <row r="41" spans="1:11" ht="16.5">
      <c r="A41" s="83">
        <v>4</v>
      </c>
      <c r="B41" s="84" t="s">
        <v>37</v>
      </c>
      <c r="C41" s="85" t="s">
        <v>159</v>
      </c>
      <c r="D41" s="81">
        <f>D28</f>
        <v>15</v>
      </c>
      <c r="E41" s="84" t="s">
        <v>37</v>
      </c>
      <c r="F41" s="81">
        <f t="shared" si="2"/>
        <v>60</v>
      </c>
      <c r="G41" s="79"/>
      <c r="I41" t="e">
        <f>#REF!</f>
        <v>#REF!</v>
      </c>
      <c r="J41" s="19" t="e">
        <f>#REF!</f>
        <v>#REF!</v>
      </c>
    </row>
    <row r="42" spans="1:11" ht="16.5">
      <c r="A42" s="83">
        <v>1.823</v>
      </c>
      <c r="B42" s="84" t="s">
        <v>123</v>
      </c>
      <c r="C42" s="85" t="s">
        <v>160</v>
      </c>
      <c r="D42" s="79" t="e">
        <f>F52</f>
        <v>#REF!</v>
      </c>
      <c r="E42" s="84" t="s">
        <v>123</v>
      </c>
      <c r="F42" s="81" t="e">
        <f t="shared" si="2"/>
        <v>#REF!</v>
      </c>
      <c r="G42" s="79"/>
      <c r="I42" t="e">
        <f>#REF!</f>
        <v>#REF!</v>
      </c>
      <c r="J42" s="19" t="e">
        <f>#REF!</f>
        <v>#REF!</v>
      </c>
    </row>
    <row r="43" spans="1:11" ht="16.5">
      <c r="A43" s="83"/>
      <c r="B43" s="84"/>
      <c r="C43" s="85" t="s">
        <v>122</v>
      </c>
      <c r="D43" s="79"/>
      <c r="E43" s="80"/>
      <c r="F43" s="81"/>
      <c r="G43" s="79"/>
    </row>
    <row r="44" spans="1:11" ht="16.5">
      <c r="A44" s="79"/>
      <c r="B44" s="86"/>
      <c r="C44" s="85"/>
      <c r="D44" s="79"/>
      <c r="E44" s="80"/>
      <c r="F44" s="81"/>
      <c r="G44" s="79"/>
    </row>
    <row r="45" spans="1:11" ht="16.5">
      <c r="A45" s="79"/>
      <c r="B45" s="79"/>
      <c r="C45" s="92" t="s">
        <v>152</v>
      </c>
      <c r="D45" s="79"/>
      <c r="E45" s="79"/>
      <c r="F45" s="88" t="e">
        <f>SUM(F36:F44)</f>
        <v>#REF!</v>
      </c>
      <c r="G45" s="89" t="s">
        <v>69</v>
      </c>
    </row>
    <row r="46" spans="1:11" ht="16.5">
      <c r="A46" s="79"/>
      <c r="B46" s="79"/>
      <c r="C46" s="16" t="s">
        <v>165</v>
      </c>
      <c r="D46" s="79"/>
      <c r="E46" s="79"/>
      <c r="F46" s="16" t="e">
        <f>F45/A42</f>
        <v>#REF!</v>
      </c>
      <c r="G46" s="79" t="s">
        <v>123</v>
      </c>
    </row>
    <row r="47" spans="1:11" ht="16.5">
      <c r="A47" s="79"/>
      <c r="B47" s="79"/>
      <c r="C47" s="92"/>
      <c r="D47" s="79"/>
      <c r="E47" s="79"/>
      <c r="F47" s="79"/>
      <c r="G47" s="79"/>
    </row>
    <row r="48" spans="1:11" ht="16.5">
      <c r="A48" s="81">
        <v>1</v>
      </c>
      <c r="B48" s="84" t="s">
        <v>43</v>
      </c>
      <c r="C48" s="85" t="s">
        <v>166</v>
      </c>
      <c r="D48" s="81" t="e">
        <f>#REF!</f>
        <v>#REF!</v>
      </c>
      <c r="E48" s="85" t="s">
        <v>43</v>
      </c>
      <c r="F48" s="81" t="e">
        <f>D48*A48</f>
        <v>#REF!</v>
      </c>
      <c r="G48" s="79"/>
    </row>
    <row r="49" spans="1:7" ht="16.5">
      <c r="A49" s="81">
        <v>1</v>
      </c>
      <c r="B49" s="84" t="s">
        <v>43</v>
      </c>
      <c r="C49" s="85" t="s">
        <v>167</v>
      </c>
      <c r="D49" s="81" t="e">
        <f>#REF!</f>
        <v>#REF!</v>
      </c>
      <c r="E49" s="85" t="s">
        <v>43</v>
      </c>
      <c r="F49" s="81" t="e">
        <f>D49*A49</f>
        <v>#REF!</v>
      </c>
      <c r="G49" s="79"/>
    </row>
    <row r="50" spans="1:7" ht="16.5">
      <c r="A50" s="81">
        <v>0.5</v>
      </c>
      <c r="B50" s="84" t="s">
        <v>43</v>
      </c>
      <c r="C50" s="85" t="s">
        <v>168</v>
      </c>
      <c r="D50" s="81" t="e">
        <f>#REF!</f>
        <v>#REF!</v>
      </c>
      <c r="E50" s="85" t="s">
        <v>43</v>
      </c>
      <c r="F50" s="81" t="e">
        <f>D50*A50</f>
        <v>#REF!</v>
      </c>
      <c r="G50" s="79"/>
    </row>
    <row r="51" spans="1:7" ht="16.5">
      <c r="A51" s="79"/>
      <c r="B51" s="86"/>
      <c r="C51" s="79"/>
      <c r="D51" s="79"/>
      <c r="E51" s="93"/>
      <c r="F51" s="94" t="s">
        <v>78</v>
      </c>
      <c r="G51" s="79"/>
    </row>
    <row r="52" spans="1:7" ht="16.5">
      <c r="A52" s="79"/>
      <c r="B52" s="86"/>
      <c r="C52" s="85" t="s">
        <v>169</v>
      </c>
      <c r="D52" s="79"/>
      <c r="E52" s="93"/>
      <c r="F52" s="88" t="e">
        <f>SUM(F48:F51)</f>
        <v>#REF!</v>
      </c>
      <c r="G52" s="79"/>
    </row>
    <row r="53" spans="1:7" ht="16.5">
      <c r="A53" s="79"/>
      <c r="B53" s="86"/>
      <c r="C53" s="79"/>
      <c r="D53" s="79"/>
      <c r="E53" s="93"/>
      <c r="F53" s="94" t="s">
        <v>78</v>
      </c>
      <c r="G53" s="79"/>
    </row>
    <row r="54" spans="1:7" ht="16.5">
      <c r="A54" s="89"/>
      <c r="B54" s="89"/>
      <c r="C54" s="90"/>
      <c r="D54" s="89"/>
      <c r="E54" s="89"/>
      <c r="F54" s="89"/>
      <c r="G54" s="79"/>
    </row>
    <row r="55" spans="1:7" ht="16.5">
      <c r="A55" s="79"/>
      <c r="B55" s="553" t="s">
        <v>170</v>
      </c>
      <c r="C55" s="553"/>
      <c r="D55" s="553"/>
      <c r="E55" s="553"/>
      <c r="F55" s="553"/>
      <c r="G55" s="79"/>
    </row>
    <row r="56" spans="1:7" ht="16.5">
      <c r="A56" s="83"/>
      <c r="B56" s="84"/>
      <c r="C56" s="91" t="s">
        <v>171</v>
      </c>
      <c r="D56" s="81"/>
      <c r="E56" s="84"/>
      <c r="F56" s="81"/>
      <c r="G56" s="79"/>
    </row>
    <row r="57" spans="1:7" ht="16.5">
      <c r="A57" s="83"/>
      <c r="B57" s="84"/>
      <c r="C57" s="85"/>
      <c r="D57" s="81"/>
      <c r="E57" s="84"/>
      <c r="F57" s="81"/>
      <c r="G57" s="79"/>
    </row>
    <row r="58" spans="1:7" ht="16.5">
      <c r="A58" s="83"/>
      <c r="B58" s="84"/>
      <c r="C58" s="85"/>
      <c r="D58" s="81"/>
      <c r="E58" s="84"/>
      <c r="F58" s="81"/>
      <c r="G58" s="79"/>
    </row>
    <row r="59" spans="1:7" ht="16.5">
      <c r="A59" s="83">
        <v>17.510000000000002</v>
      </c>
      <c r="B59" s="84" t="s">
        <v>49</v>
      </c>
      <c r="C59" s="85" t="s">
        <v>172</v>
      </c>
      <c r="D59" s="81" t="e">
        <f>D36</f>
        <v>#REF!</v>
      </c>
      <c r="E59" s="84" t="s">
        <v>49</v>
      </c>
      <c r="F59" s="81" t="e">
        <f>D59*A59</f>
        <v>#REF!</v>
      </c>
      <c r="G59" s="79"/>
    </row>
    <row r="60" spans="1:7" ht="16.5">
      <c r="A60" s="83">
        <v>2.48</v>
      </c>
      <c r="B60" s="84" t="s">
        <v>10</v>
      </c>
      <c r="C60" s="85" t="s">
        <v>156</v>
      </c>
      <c r="D60" s="81">
        <f>D38</f>
        <v>208.8</v>
      </c>
      <c r="E60" s="84" t="s">
        <v>10</v>
      </c>
      <c r="F60" s="81">
        <f t="shared" ref="F60:F65" si="3">D60*A60</f>
        <v>517.82000000000005</v>
      </c>
      <c r="G60" s="79"/>
    </row>
    <row r="61" spans="1:7" ht="16.5">
      <c r="A61" s="83">
        <v>14.7</v>
      </c>
      <c r="B61" s="84" t="s">
        <v>39</v>
      </c>
      <c r="C61" s="85" t="s">
        <v>230</v>
      </c>
      <c r="D61" s="81">
        <v>27.1</v>
      </c>
      <c r="E61" s="84" t="s">
        <v>39</v>
      </c>
      <c r="F61" s="81">
        <f t="shared" si="3"/>
        <v>398.37</v>
      </c>
      <c r="G61" s="79"/>
    </row>
    <row r="62" spans="1:7" ht="16.5">
      <c r="A62" s="83">
        <v>3</v>
      </c>
      <c r="B62" s="84" t="s">
        <v>164</v>
      </c>
      <c r="C62" s="85" t="s">
        <v>158</v>
      </c>
      <c r="D62" s="81">
        <v>175</v>
      </c>
      <c r="E62" s="84" t="s">
        <v>37</v>
      </c>
      <c r="F62" s="81">
        <f t="shared" si="3"/>
        <v>525</v>
      </c>
      <c r="G62" s="79"/>
    </row>
    <row r="63" spans="1:7" ht="16.5">
      <c r="A63" s="83">
        <v>3</v>
      </c>
      <c r="B63" s="84" t="s">
        <v>37</v>
      </c>
      <c r="C63" s="85" t="s">
        <v>157</v>
      </c>
      <c r="D63" s="81">
        <v>60</v>
      </c>
      <c r="E63" s="84" t="s">
        <v>37</v>
      </c>
      <c r="F63" s="81">
        <f t="shared" si="3"/>
        <v>180</v>
      </c>
      <c r="G63" s="79"/>
    </row>
    <row r="64" spans="1:7" ht="16.5">
      <c r="A64" s="83">
        <v>6</v>
      </c>
      <c r="B64" s="84" t="s">
        <v>37</v>
      </c>
      <c r="C64" s="85" t="s">
        <v>159</v>
      </c>
      <c r="D64" s="81">
        <v>15</v>
      </c>
      <c r="E64" s="84" t="s">
        <v>37</v>
      </c>
      <c r="F64" s="81">
        <f t="shared" si="3"/>
        <v>90</v>
      </c>
      <c r="G64" s="79"/>
    </row>
    <row r="65" spans="1:7" ht="16.5">
      <c r="A65" s="83">
        <v>2.48</v>
      </c>
      <c r="B65" s="84" t="s">
        <v>123</v>
      </c>
      <c r="C65" s="85" t="s">
        <v>160</v>
      </c>
      <c r="D65" s="79" t="e">
        <f>F76</f>
        <v>#REF!</v>
      </c>
      <c r="E65" s="84" t="s">
        <v>123</v>
      </c>
      <c r="F65" s="81" t="e">
        <f t="shared" si="3"/>
        <v>#REF!</v>
      </c>
      <c r="G65" s="79"/>
    </row>
    <row r="66" spans="1:7" ht="16.5">
      <c r="A66" s="83"/>
      <c r="B66" s="84"/>
      <c r="C66" s="85" t="s">
        <v>122</v>
      </c>
      <c r="D66" s="79"/>
      <c r="E66" s="80"/>
      <c r="F66" s="81"/>
      <c r="G66" s="79"/>
    </row>
    <row r="67" spans="1:7" ht="16.5">
      <c r="A67" s="79"/>
      <c r="B67" s="86"/>
      <c r="C67" s="85"/>
      <c r="D67" s="79"/>
      <c r="E67" s="80"/>
      <c r="F67" s="81"/>
      <c r="G67" s="79"/>
    </row>
    <row r="68" spans="1:7" ht="16.5">
      <c r="A68" s="79"/>
      <c r="B68" s="79"/>
      <c r="C68" s="92" t="s">
        <v>152</v>
      </c>
      <c r="D68" s="79"/>
      <c r="E68" s="79"/>
      <c r="F68" s="88" t="e">
        <f>SUM(F59:F67)</f>
        <v>#REF!</v>
      </c>
      <c r="G68" s="89" t="s">
        <v>69</v>
      </c>
    </row>
    <row r="69" spans="1:7" ht="16.5">
      <c r="A69" s="79"/>
      <c r="B69" s="79"/>
      <c r="C69" s="92"/>
      <c r="D69" s="79"/>
      <c r="E69" s="79"/>
      <c r="F69" s="16" t="e">
        <f>F68/A65</f>
        <v>#REF!</v>
      </c>
      <c r="G69" s="79" t="s">
        <v>123</v>
      </c>
    </row>
    <row r="70" spans="1:7" ht="16.5">
      <c r="A70" s="79"/>
      <c r="B70" s="79"/>
      <c r="C70" s="92"/>
      <c r="D70" s="79"/>
      <c r="E70" s="79"/>
      <c r="F70" s="79"/>
      <c r="G70" s="79"/>
    </row>
    <row r="71" spans="1:7" ht="16.5">
      <c r="A71" s="81">
        <v>1</v>
      </c>
      <c r="B71" s="84" t="s">
        <v>43</v>
      </c>
      <c r="C71" s="85" t="s">
        <v>166</v>
      </c>
      <c r="D71" s="81" t="e">
        <f>D48</f>
        <v>#REF!</v>
      </c>
      <c r="E71" s="85" t="s">
        <v>43</v>
      </c>
      <c r="F71" s="81" t="e">
        <f>D71*A71</f>
        <v>#REF!</v>
      </c>
      <c r="G71" s="79"/>
    </row>
    <row r="72" spans="1:7" ht="16.5">
      <c r="A72" s="81">
        <v>1</v>
      </c>
      <c r="B72" s="84" t="s">
        <v>43</v>
      </c>
      <c r="C72" s="85" t="s">
        <v>167</v>
      </c>
      <c r="D72" s="81" t="e">
        <f>D49</f>
        <v>#REF!</v>
      </c>
      <c r="E72" s="85" t="s">
        <v>43</v>
      </c>
      <c r="F72" s="81" t="e">
        <f>D72*A72</f>
        <v>#REF!</v>
      </c>
      <c r="G72" s="79"/>
    </row>
    <row r="73" spans="1:7" ht="16.5">
      <c r="A73" s="81">
        <v>0.5</v>
      </c>
      <c r="B73" s="84" t="s">
        <v>43</v>
      </c>
      <c r="C73" s="85" t="s">
        <v>168</v>
      </c>
      <c r="D73" s="81" t="e">
        <f>D50</f>
        <v>#REF!</v>
      </c>
      <c r="E73" s="85" t="s">
        <v>43</v>
      </c>
      <c r="F73" s="81" t="e">
        <f>D73*A73</f>
        <v>#REF!</v>
      </c>
      <c r="G73" s="79"/>
    </row>
    <row r="74" spans="1:7" ht="16.5">
      <c r="A74" s="79"/>
      <c r="B74" s="84" t="s">
        <v>24</v>
      </c>
      <c r="C74" s="85" t="s">
        <v>97</v>
      </c>
      <c r="D74" s="85" t="s">
        <v>52</v>
      </c>
      <c r="E74" s="85" t="s">
        <v>24</v>
      </c>
      <c r="F74" s="81"/>
      <c r="G74" s="79"/>
    </row>
    <row r="75" spans="1:7" ht="16.5">
      <c r="A75" s="79"/>
      <c r="B75" s="86"/>
      <c r="C75" s="79"/>
      <c r="D75" s="79"/>
      <c r="E75" s="93"/>
      <c r="F75" s="94" t="s">
        <v>78</v>
      </c>
      <c r="G75" s="79"/>
    </row>
    <row r="76" spans="1:7" ht="16.5">
      <c r="A76" s="79"/>
      <c r="B76" s="86"/>
      <c r="C76" s="85" t="s">
        <v>169</v>
      </c>
      <c r="D76" s="79"/>
      <c r="E76" s="93"/>
      <c r="F76" s="88" t="e">
        <f>SUM(F71:F75)</f>
        <v>#REF!</v>
      </c>
      <c r="G76" s="79"/>
    </row>
    <row r="77" spans="1:7" ht="16.5">
      <c r="A77" s="79"/>
      <c r="B77" s="86"/>
      <c r="C77" s="79"/>
      <c r="D77" s="79"/>
      <c r="E77" s="93"/>
      <c r="F77" s="94" t="s">
        <v>78</v>
      </c>
      <c r="G77" s="79"/>
    </row>
    <row r="78" spans="1:7" ht="16.5">
      <c r="A78" s="79"/>
      <c r="B78" s="86"/>
      <c r="C78" s="85"/>
      <c r="D78" s="79"/>
      <c r="E78" s="93"/>
      <c r="F78" s="81"/>
      <c r="G78" s="79"/>
    </row>
    <row r="79" spans="1:7" ht="16.5">
      <c r="A79" s="79"/>
      <c r="B79" s="79"/>
      <c r="C79" s="79"/>
      <c r="D79" s="79"/>
      <c r="E79" s="79"/>
      <c r="F79" s="79"/>
      <c r="G79" s="79"/>
    </row>
    <row r="80" spans="1:7" ht="16.5">
      <c r="A80" s="79"/>
      <c r="B80" s="553" t="s">
        <v>173</v>
      </c>
      <c r="C80" s="553"/>
      <c r="D80" s="553"/>
      <c r="E80" s="78"/>
      <c r="F80" s="78"/>
      <c r="G80" s="79"/>
    </row>
    <row r="81" spans="1:7" ht="16.5">
      <c r="A81" s="83"/>
      <c r="B81" s="84"/>
      <c r="C81" s="91" t="s">
        <v>174</v>
      </c>
      <c r="D81" s="81"/>
      <c r="E81" s="84"/>
      <c r="F81" s="81"/>
      <c r="G81" s="79"/>
    </row>
    <row r="82" spans="1:7" ht="16.5">
      <c r="A82" s="83"/>
      <c r="B82" s="84"/>
      <c r="C82" s="85"/>
      <c r="D82" s="81"/>
      <c r="E82" s="84"/>
      <c r="F82" s="81"/>
      <c r="G82" s="79"/>
    </row>
    <row r="83" spans="1:7" ht="16.5">
      <c r="A83" s="83"/>
      <c r="B83" s="84"/>
      <c r="C83" s="85"/>
      <c r="D83" s="81"/>
      <c r="E83" s="84"/>
      <c r="F83" s="81"/>
      <c r="G83" s="79"/>
    </row>
    <row r="84" spans="1:7" ht="16.5">
      <c r="A84" s="83">
        <v>4.88</v>
      </c>
      <c r="B84" s="84" t="s">
        <v>49</v>
      </c>
      <c r="C84" s="85" t="s">
        <v>175</v>
      </c>
      <c r="D84" s="81" t="e">
        <f>D59</f>
        <v>#REF!</v>
      </c>
      <c r="E84" s="84" t="s">
        <v>49</v>
      </c>
      <c r="F84" s="81" t="e">
        <f>D84*A84</f>
        <v>#REF!</v>
      </c>
      <c r="G84" s="79"/>
    </row>
    <row r="85" spans="1:7" ht="16.5">
      <c r="A85" s="83">
        <v>7.76</v>
      </c>
      <c r="B85" s="84" t="s">
        <v>49</v>
      </c>
      <c r="C85" s="85" t="s">
        <v>176</v>
      </c>
      <c r="D85" s="81" t="e">
        <f>D84</f>
        <v>#REF!</v>
      </c>
      <c r="E85" s="84" t="s">
        <v>49</v>
      </c>
      <c r="F85" s="81" t="e">
        <f t="shared" ref="F85:F93" si="4">D85*A85</f>
        <v>#REF!</v>
      </c>
      <c r="G85" s="79"/>
    </row>
    <row r="86" spans="1:7" ht="16.5">
      <c r="A86" s="83">
        <v>3.03</v>
      </c>
      <c r="B86" s="84" t="s">
        <v>49</v>
      </c>
      <c r="C86" s="85" t="s">
        <v>177</v>
      </c>
      <c r="D86" s="81" t="e">
        <f>D85</f>
        <v>#REF!</v>
      </c>
      <c r="E86" s="84" t="s">
        <v>49</v>
      </c>
      <c r="F86" s="81" t="e">
        <f t="shared" si="4"/>
        <v>#REF!</v>
      </c>
      <c r="G86" s="79"/>
    </row>
    <row r="87" spans="1:7" ht="16.5">
      <c r="A87" s="83">
        <v>1.45</v>
      </c>
      <c r="B87" s="84" t="s">
        <v>49</v>
      </c>
      <c r="C87" s="85" t="s">
        <v>172</v>
      </c>
      <c r="D87" s="81" t="e">
        <f>D86</f>
        <v>#REF!</v>
      </c>
      <c r="E87" s="84" t="s">
        <v>49</v>
      </c>
      <c r="F87" s="81" t="e">
        <f t="shared" si="4"/>
        <v>#REF!</v>
      </c>
      <c r="G87" s="79"/>
    </row>
    <row r="88" spans="1:7" ht="16.5">
      <c r="A88" s="83">
        <v>2.4300000000000002</v>
      </c>
      <c r="B88" s="84" t="s">
        <v>10</v>
      </c>
      <c r="C88" s="85" t="s">
        <v>156</v>
      </c>
      <c r="D88" s="81">
        <v>209.9</v>
      </c>
      <c r="E88" s="84" t="s">
        <v>10</v>
      </c>
      <c r="F88" s="81">
        <f t="shared" si="4"/>
        <v>510.06</v>
      </c>
      <c r="G88" s="79"/>
    </row>
    <row r="89" spans="1:7" ht="16.5">
      <c r="A89" s="83">
        <v>11.7</v>
      </c>
      <c r="B89" s="84" t="s">
        <v>39</v>
      </c>
      <c r="C89" s="85" t="s">
        <v>155</v>
      </c>
      <c r="D89" s="81">
        <f>D61</f>
        <v>27.1</v>
      </c>
      <c r="E89" s="84" t="s">
        <v>39</v>
      </c>
      <c r="F89" s="81">
        <f t="shared" si="4"/>
        <v>317.07</v>
      </c>
      <c r="G89" s="79"/>
    </row>
    <row r="90" spans="1:7" ht="16.5">
      <c r="A90" s="83">
        <v>3</v>
      </c>
      <c r="B90" s="84" t="s">
        <v>164</v>
      </c>
      <c r="C90" s="85" t="s">
        <v>178</v>
      </c>
      <c r="D90" s="81">
        <v>175</v>
      </c>
      <c r="E90" s="84" t="s">
        <v>37</v>
      </c>
      <c r="F90" s="81">
        <f t="shared" si="4"/>
        <v>525</v>
      </c>
      <c r="G90" s="79"/>
    </row>
    <row r="91" spans="1:7" ht="16.5">
      <c r="A91" s="83">
        <v>3</v>
      </c>
      <c r="B91" s="84" t="s">
        <v>37</v>
      </c>
      <c r="C91" s="85" t="s">
        <v>157</v>
      </c>
      <c r="D91" s="81">
        <v>60</v>
      </c>
      <c r="E91" s="84" t="s">
        <v>37</v>
      </c>
      <c r="F91" s="81">
        <f t="shared" si="4"/>
        <v>180</v>
      </c>
      <c r="G91" s="79"/>
    </row>
    <row r="92" spans="1:7" ht="16.5">
      <c r="A92" s="83">
        <v>4</v>
      </c>
      <c r="B92" s="84" t="s">
        <v>37</v>
      </c>
      <c r="C92" s="85" t="s">
        <v>159</v>
      </c>
      <c r="D92" s="81">
        <v>15</v>
      </c>
      <c r="E92" s="84" t="s">
        <v>37</v>
      </c>
      <c r="F92" s="81">
        <f t="shared" si="4"/>
        <v>60</v>
      </c>
      <c r="G92" s="79"/>
    </row>
    <row r="93" spans="1:7" ht="16.5">
      <c r="A93" s="83">
        <v>2.4300000000000002</v>
      </c>
      <c r="B93" s="84" t="s">
        <v>123</v>
      </c>
      <c r="C93" s="85" t="s">
        <v>160</v>
      </c>
      <c r="D93" s="79" t="e">
        <f>D65</f>
        <v>#REF!</v>
      </c>
      <c r="E93" s="84" t="s">
        <v>123</v>
      </c>
      <c r="F93" s="81" t="e">
        <f t="shared" si="4"/>
        <v>#REF!</v>
      </c>
      <c r="G93" s="79"/>
    </row>
    <row r="94" spans="1:7" ht="16.5">
      <c r="A94" s="83"/>
      <c r="B94" s="84"/>
      <c r="C94" s="85" t="s">
        <v>122</v>
      </c>
      <c r="D94" s="79"/>
      <c r="E94" s="80"/>
      <c r="F94" s="81">
        <v>11.26</v>
      </c>
      <c r="G94" s="79">
        <v>0</v>
      </c>
    </row>
    <row r="95" spans="1:7" ht="16.5">
      <c r="A95" s="79"/>
      <c r="B95" s="86"/>
      <c r="C95" s="85"/>
      <c r="D95" s="79"/>
      <c r="E95" s="80"/>
      <c r="F95" s="81"/>
      <c r="G95" s="79"/>
    </row>
    <row r="96" spans="1:7" ht="16.5">
      <c r="A96" s="79"/>
      <c r="B96" s="79"/>
      <c r="C96" s="92" t="s">
        <v>152</v>
      </c>
      <c r="D96" s="79"/>
      <c r="E96" s="79"/>
      <c r="F96" s="88" t="e">
        <f>SUM(F84:F95)</f>
        <v>#REF!</v>
      </c>
      <c r="G96" s="89" t="s">
        <v>69</v>
      </c>
    </row>
    <row r="97" spans="1:7" ht="16.5">
      <c r="A97" s="79"/>
      <c r="B97" s="79"/>
      <c r="C97" s="92"/>
      <c r="D97" s="79"/>
      <c r="E97" s="79"/>
      <c r="F97" s="16" t="e">
        <f>F96/A93</f>
        <v>#REF!</v>
      </c>
      <c r="G97" s="79" t="s">
        <v>123</v>
      </c>
    </row>
    <row r="98" spans="1:7" ht="16.5">
      <c r="A98" s="79"/>
      <c r="B98" s="79"/>
      <c r="C98" s="92"/>
      <c r="D98" s="79"/>
      <c r="E98" s="79"/>
      <c r="F98" s="79"/>
      <c r="G98" s="79"/>
    </row>
    <row r="99" spans="1:7" ht="16.5">
      <c r="A99" s="81">
        <v>1</v>
      </c>
      <c r="B99" s="84" t="s">
        <v>43</v>
      </c>
      <c r="C99" s="85" t="s">
        <v>166</v>
      </c>
      <c r="D99" s="81" t="e">
        <f>D71</f>
        <v>#REF!</v>
      </c>
      <c r="E99" s="85" t="s">
        <v>43</v>
      </c>
      <c r="F99" s="81" t="e">
        <f>D99*A99</f>
        <v>#REF!</v>
      </c>
      <c r="G99" s="79"/>
    </row>
    <row r="100" spans="1:7" ht="16.5">
      <c r="A100" s="81">
        <v>1</v>
      </c>
      <c r="B100" s="84" t="s">
        <v>43</v>
      </c>
      <c r="C100" s="85" t="s">
        <v>167</v>
      </c>
      <c r="D100" s="81" t="e">
        <f>D72</f>
        <v>#REF!</v>
      </c>
      <c r="E100" s="85" t="s">
        <v>43</v>
      </c>
      <c r="F100" s="81" t="e">
        <f>D100*A100</f>
        <v>#REF!</v>
      </c>
      <c r="G100" s="79"/>
    </row>
    <row r="101" spans="1:7" ht="16.5">
      <c r="A101" s="81">
        <v>0.5</v>
      </c>
      <c r="B101" s="84" t="s">
        <v>43</v>
      </c>
      <c r="C101" s="85" t="s">
        <v>168</v>
      </c>
      <c r="D101" s="81" t="e">
        <f>D73</f>
        <v>#REF!</v>
      </c>
      <c r="E101" s="85" t="s">
        <v>43</v>
      </c>
      <c r="F101" s="81" t="e">
        <f>D101*A101</f>
        <v>#REF!</v>
      </c>
      <c r="G101" s="79"/>
    </row>
    <row r="102" spans="1:7" ht="16.5">
      <c r="A102" s="79"/>
      <c r="B102" s="84"/>
      <c r="C102" s="85"/>
      <c r="D102" s="81"/>
      <c r="E102" s="85"/>
      <c r="F102" s="81"/>
      <c r="G102" s="79"/>
    </row>
    <row r="103" spans="1:7" ht="16.5">
      <c r="A103" s="79"/>
      <c r="B103" s="86"/>
      <c r="C103" s="85" t="s">
        <v>169</v>
      </c>
      <c r="D103" s="79"/>
      <c r="E103" s="93"/>
      <c r="F103" s="88" t="e">
        <f>SUM(F99:F102)</f>
        <v>#REF!</v>
      </c>
      <c r="G103" s="79"/>
    </row>
    <row r="104" spans="1:7" ht="16.5">
      <c r="A104" s="79"/>
      <c r="B104" s="86"/>
      <c r="C104" s="79"/>
      <c r="D104" s="79"/>
      <c r="E104" s="93"/>
      <c r="F104" s="94" t="s">
        <v>78</v>
      </c>
      <c r="G104" s="79"/>
    </row>
    <row r="105" spans="1:7" ht="16.5">
      <c r="A105" s="79"/>
      <c r="B105" s="79"/>
      <c r="C105" s="79"/>
      <c r="D105" s="79"/>
      <c r="E105" s="79"/>
      <c r="F105" s="79"/>
      <c r="G105" s="79"/>
    </row>
    <row r="106" spans="1:7" ht="16.5">
      <c r="A106" s="553" t="s">
        <v>179</v>
      </c>
      <c r="B106" s="553"/>
      <c r="C106" s="553"/>
      <c r="D106" s="553"/>
      <c r="E106" s="553"/>
      <c r="F106" s="553"/>
      <c r="G106" s="79"/>
    </row>
    <row r="107" spans="1:7" ht="16.5">
      <c r="A107" s="553"/>
      <c r="B107" s="553"/>
      <c r="C107" s="553"/>
      <c r="D107" s="553"/>
      <c r="E107" s="553"/>
      <c r="F107" s="553"/>
      <c r="G107" s="79"/>
    </row>
    <row r="108" spans="1:7" ht="16.5">
      <c r="A108" s="83"/>
      <c r="B108" s="84"/>
      <c r="C108" s="85"/>
      <c r="D108" s="81"/>
      <c r="E108" s="84"/>
      <c r="F108" s="81"/>
      <c r="G108" s="79"/>
    </row>
    <row r="109" spans="1:7" ht="16.5">
      <c r="A109" s="83">
        <v>10.33</v>
      </c>
      <c r="B109" s="84" t="s">
        <v>49</v>
      </c>
      <c r="C109" s="85" t="s">
        <v>172</v>
      </c>
      <c r="D109" s="81" t="e">
        <f>D87</f>
        <v>#REF!</v>
      </c>
      <c r="E109" s="84" t="s">
        <v>49</v>
      </c>
      <c r="F109" s="81" t="e">
        <f>D109*A109</f>
        <v>#REF!</v>
      </c>
      <c r="G109" s="79"/>
    </row>
    <row r="110" spans="1:7" ht="16.5">
      <c r="A110" s="83">
        <v>1.42</v>
      </c>
      <c r="B110" s="84" t="s">
        <v>10</v>
      </c>
      <c r="C110" s="85" t="s">
        <v>156</v>
      </c>
      <c r="D110" s="81">
        <v>208.8</v>
      </c>
      <c r="E110" s="84" t="s">
        <v>10</v>
      </c>
      <c r="F110" s="81">
        <f t="shared" ref="F110:F115" si="5">D110*A110</f>
        <v>296.5</v>
      </c>
      <c r="G110" s="79"/>
    </row>
    <row r="111" spans="1:7" ht="16.5">
      <c r="A111" s="83">
        <v>6.9</v>
      </c>
      <c r="B111" s="84" t="s">
        <v>39</v>
      </c>
      <c r="C111" s="85" t="s">
        <v>155</v>
      </c>
      <c r="D111" s="81">
        <f>D89</f>
        <v>27.1</v>
      </c>
      <c r="E111" s="84" t="s">
        <v>39</v>
      </c>
      <c r="F111" s="81">
        <f t="shared" si="5"/>
        <v>186.99</v>
      </c>
      <c r="G111" s="79"/>
    </row>
    <row r="112" spans="1:7" ht="16.5">
      <c r="A112" s="83">
        <v>2</v>
      </c>
      <c r="B112" s="84" t="s">
        <v>164</v>
      </c>
      <c r="C112" s="85" t="str">
        <f>C36</f>
        <v>Aluminium section</v>
      </c>
      <c r="D112" s="81">
        <v>350</v>
      </c>
      <c r="E112" s="84" t="s">
        <v>37</v>
      </c>
      <c r="F112" s="81">
        <f t="shared" si="5"/>
        <v>700</v>
      </c>
      <c r="G112" s="79"/>
    </row>
    <row r="113" spans="1:8" ht="16.5">
      <c r="A113" s="83">
        <v>2</v>
      </c>
      <c r="B113" s="84" t="s">
        <v>37</v>
      </c>
      <c r="C113" s="85" t="s">
        <v>157</v>
      </c>
      <c r="D113" s="81">
        <v>48</v>
      </c>
      <c r="E113" s="84" t="s">
        <v>37</v>
      </c>
      <c r="F113" s="81">
        <f t="shared" si="5"/>
        <v>96</v>
      </c>
      <c r="G113" s="79"/>
    </row>
    <row r="114" spans="1:8" ht="16.5">
      <c r="A114" s="83">
        <v>4</v>
      </c>
      <c r="B114" s="84" t="s">
        <v>37</v>
      </c>
      <c r="C114" s="85" t="s">
        <v>159</v>
      </c>
      <c r="D114" s="81">
        <v>15</v>
      </c>
      <c r="E114" s="84" t="s">
        <v>37</v>
      </c>
      <c r="F114" s="81">
        <f t="shared" si="5"/>
        <v>60</v>
      </c>
      <c r="G114" s="79"/>
    </row>
    <row r="115" spans="1:8" ht="16.5">
      <c r="A115" s="83">
        <v>1.42</v>
      </c>
      <c r="B115" s="84" t="s">
        <v>123</v>
      </c>
      <c r="C115" s="85" t="s">
        <v>160</v>
      </c>
      <c r="D115" s="79" t="e">
        <f>F125</f>
        <v>#REF!</v>
      </c>
      <c r="E115" s="84" t="s">
        <v>123</v>
      </c>
      <c r="F115" s="81" t="e">
        <f t="shared" si="5"/>
        <v>#REF!</v>
      </c>
      <c r="G115" s="79"/>
    </row>
    <row r="116" spans="1:8" ht="16.5">
      <c r="A116" s="83"/>
      <c r="B116" s="84"/>
      <c r="C116" s="85" t="s">
        <v>122</v>
      </c>
      <c r="D116" s="79"/>
      <c r="E116" s="80"/>
      <c r="F116" s="81">
        <v>3.06</v>
      </c>
      <c r="G116" s="79"/>
    </row>
    <row r="117" spans="1:8" ht="16.5">
      <c r="A117" s="83"/>
      <c r="B117" s="84"/>
      <c r="C117" s="85"/>
      <c r="D117" s="79"/>
      <c r="E117" s="84"/>
      <c r="F117" s="81"/>
      <c r="G117" s="79"/>
    </row>
    <row r="118" spans="1:8" ht="16.5">
      <c r="A118" s="83"/>
      <c r="B118" s="84"/>
      <c r="C118" s="87" t="s">
        <v>139</v>
      </c>
      <c r="D118" s="89"/>
      <c r="E118" s="78"/>
      <c r="F118" s="88" t="e">
        <f>SUM(F109:F117)</f>
        <v>#REF!</v>
      </c>
      <c r="G118" s="89" t="s">
        <v>69</v>
      </c>
      <c r="H118" t="e">
        <f>F118/A115</f>
        <v>#REF!</v>
      </c>
    </row>
    <row r="119" spans="1:8" ht="16.5">
      <c r="A119" s="79"/>
      <c r="B119" s="79"/>
      <c r="C119" s="92"/>
      <c r="D119" s="79"/>
      <c r="E119" s="79"/>
      <c r="F119" s="79"/>
      <c r="G119" s="79"/>
    </row>
    <row r="120" spans="1:8" ht="16.5">
      <c r="A120" s="81">
        <v>1</v>
      </c>
      <c r="B120" s="84" t="s">
        <v>43</v>
      </c>
      <c r="C120" s="85" t="s">
        <v>166</v>
      </c>
      <c r="D120" s="81" t="e">
        <f>D99</f>
        <v>#REF!</v>
      </c>
      <c r="E120" s="85" t="s">
        <v>43</v>
      </c>
      <c r="F120" s="81" t="e">
        <f>D120*A120</f>
        <v>#REF!</v>
      </c>
      <c r="G120" s="79"/>
    </row>
    <row r="121" spans="1:8" ht="16.5">
      <c r="A121" s="81">
        <v>1</v>
      </c>
      <c r="B121" s="84" t="s">
        <v>43</v>
      </c>
      <c r="C121" s="85" t="s">
        <v>167</v>
      </c>
      <c r="D121" s="81" t="e">
        <f>D100</f>
        <v>#REF!</v>
      </c>
      <c r="E121" s="85" t="s">
        <v>43</v>
      </c>
      <c r="F121" s="81" t="e">
        <f>D121*A121</f>
        <v>#REF!</v>
      </c>
      <c r="G121" s="79"/>
    </row>
    <row r="122" spans="1:8" ht="16.5">
      <c r="A122" s="81">
        <v>0.5</v>
      </c>
      <c r="B122" s="84" t="s">
        <v>43</v>
      </c>
      <c r="C122" s="85" t="s">
        <v>168</v>
      </c>
      <c r="D122" s="81" t="e">
        <f>D101</f>
        <v>#REF!</v>
      </c>
      <c r="E122" s="85" t="s">
        <v>43</v>
      </c>
      <c r="F122" s="81" t="e">
        <f>D122*A122</f>
        <v>#REF!</v>
      </c>
      <c r="G122" s="79"/>
    </row>
    <row r="123" spans="1:8" ht="16.5">
      <c r="A123" s="79"/>
      <c r="B123" s="84"/>
      <c r="C123" s="85"/>
      <c r="D123" s="81"/>
      <c r="E123" s="85"/>
      <c r="F123" s="81"/>
      <c r="G123" s="79"/>
    </row>
    <row r="124" spans="1:8" ht="16.5">
      <c r="A124" s="79"/>
      <c r="B124" s="86"/>
      <c r="C124" s="79"/>
      <c r="D124" s="79"/>
      <c r="E124" s="93"/>
      <c r="F124" s="94" t="s">
        <v>78</v>
      </c>
      <c r="G124" s="79"/>
    </row>
    <row r="125" spans="1:8" ht="16.5">
      <c r="A125" s="79"/>
      <c r="B125" s="86"/>
      <c r="C125" s="85" t="s">
        <v>169</v>
      </c>
      <c r="D125" s="79"/>
      <c r="E125" s="93"/>
      <c r="F125" s="88" t="e">
        <f>SUM(F120:F124)</f>
        <v>#REF!</v>
      </c>
      <c r="G125" s="79"/>
    </row>
    <row r="126" spans="1:8" ht="16.5">
      <c r="A126" s="79"/>
      <c r="B126" s="86"/>
      <c r="C126" s="85"/>
      <c r="D126" s="79"/>
      <c r="E126" s="93"/>
      <c r="F126" s="88"/>
      <c r="G126" s="79"/>
    </row>
    <row r="127" spans="1:8" ht="16.5">
      <c r="A127" s="79"/>
      <c r="B127" s="86"/>
      <c r="C127" s="79"/>
      <c r="D127" s="79"/>
      <c r="E127" s="93"/>
      <c r="F127" s="94" t="s">
        <v>78</v>
      </c>
      <c r="G127" s="79"/>
    </row>
    <row r="128" spans="1:8" ht="16.5">
      <c r="A128" s="79"/>
      <c r="B128" s="553" t="s">
        <v>180</v>
      </c>
      <c r="C128" s="553"/>
      <c r="D128" s="553"/>
      <c r="E128" s="78"/>
      <c r="F128" s="78"/>
      <c r="G128" s="79"/>
    </row>
    <row r="129" spans="1:7" ht="16.5">
      <c r="A129" s="83"/>
      <c r="B129" s="84"/>
      <c r="C129" s="91" t="s">
        <v>174</v>
      </c>
      <c r="D129" s="81"/>
      <c r="E129" s="84"/>
      <c r="F129" s="81"/>
      <c r="G129" s="79"/>
    </row>
    <row r="130" spans="1:7" ht="16.5">
      <c r="A130" s="83"/>
      <c r="B130" s="84"/>
      <c r="C130" s="85"/>
      <c r="D130" s="81"/>
      <c r="E130" s="84"/>
      <c r="F130" s="81"/>
      <c r="G130" s="79"/>
    </row>
    <row r="131" spans="1:7" ht="16.5">
      <c r="A131" s="83"/>
      <c r="B131" s="84"/>
      <c r="C131" s="85"/>
      <c r="D131" s="81"/>
      <c r="E131" s="84"/>
      <c r="F131" s="81"/>
      <c r="G131" s="79"/>
    </row>
    <row r="132" spans="1:7" ht="16.5">
      <c r="A132" s="83">
        <v>4.42</v>
      </c>
      <c r="B132" s="84" t="s">
        <v>49</v>
      </c>
      <c r="C132" s="85" t="s">
        <v>175</v>
      </c>
      <c r="D132" s="81" t="e">
        <f>D109</f>
        <v>#REF!</v>
      </c>
      <c r="E132" s="84" t="s">
        <v>49</v>
      </c>
      <c r="F132" s="81" t="e">
        <f>D132*A132</f>
        <v>#REF!</v>
      </c>
      <c r="G132" s="79"/>
    </row>
    <row r="133" spans="1:7" ht="16.5">
      <c r="A133" s="83">
        <v>7.36</v>
      </c>
      <c r="B133" s="84" t="s">
        <v>49</v>
      </c>
      <c r="C133" s="85" t="s">
        <v>176</v>
      </c>
      <c r="D133" s="81" t="e">
        <f>D132</f>
        <v>#REF!</v>
      </c>
      <c r="E133" s="84" t="s">
        <v>49</v>
      </c>
      <c r="F133" s="81" t="e">
        <f t="shared" ref="F133:F141" si="6">D133*A133</f>
        <v>#REF!</v>
      </c>
      <c r="G133" s="79"/>
    </row>
    <row r="134" spans="1:7" ht="16.5">
      <c r="A134" s="83">
        <v>3.03</v>
      </c>
      <c r="B134" s="84" t="s">
        <v>49</v>
      </c>
      <c r="C134" s="85" t="s">
        <v>177</v>
      </c>
      <c r="D134" s="81" t="e">
        <f>D133</f>
        <v>#REF!</v>
      </c>
      <c r="E134" s="84" t="s">
        <v>49</v>
      </c>
      <c r="F134" s="81" t="e">
        <f t="shared" si="6"/>
        <v>#REF!</v>
      </c>
      <c r="G134" s="79"/>
    </row>
    <row r="135" spans="1:7" ht="16.5">
      <c r="A135" s="83">
        <v>1.38</v>
      </c>
      <c r="B135" s="84" t="s">
        <v>49</v>
      </c>
      <c r="C135" s="85" t="s">
        <v>172</v>
      </c>
      <c r="D135" s="81" t="e">
        <f>D134</f>
        <v>#REF!</v>
      </c>
      <c r="E135" s="84" t="s">
        <v>49</v>
      </c>
      <c r="F135" s="81" t="e">
        <f t="shared" si="6"/>
        <v>#REF!</v>
      </c>
      <c r="G135" s="79"/>
    </row>
    <row r="136" spans="1:7" ht="16.5">
      <c r="A136" s="83">
        <v>2.0249999999999999</v>
      </c>
      <c r="B136" s="84" t="s">
        <v>10</v>
      </c>
      <c r="C136" s="85" t="s">
        <v>100</v>
      </c>
      <c r="D136" s="81">
        <f>D110</f>
        <v>208.8</v>
      </c>
      <c r="E136" s="84" t="s">
        <v>10</v>
      </c>
      <c r="F136" s="81">
        <f t="shared" si="6"/>
        <v>422.82</v>
      </c>
      <c r="G136" s="79"/>
    </row>
    <row r="137" spans="1:7" ht="16.5">
      <c r="A137" s="83">
        <v>11.1</v>
      </c>
      <c r="B137" s="84" t="s">
        <v>39</v>
      </c>
      <c r="C137" s="85" t="s">
        <v>101</v>
      </c>
      <c r="D137" s="81">
        <f>D111</f>
        <v>27.1</v>
      </c>
      <c r="E137" s="84" t="s">
        <v>39</v>
      </c>
      <c r="F137" s="81">
        <f t="shared" si="6"/>
        <v>300.81</v>
      </c>
      <c r="G137" s="79"/>
    </row>
    <row r="138" spans="1:7" ht="16.5">
      <c r="A138" s="83">
        <v>3</v>
      </c>
      <c r="B138" s="84" t="s">
        <v>164</v>
      </c>
      <c r="C138" s="85" t="str">
        <f>C62</f>
        <v>10" I Max hinges (304 grade) qtn</v>
      </c>
      <c r="D138" s="81">
        <f>D112</f>
        <v>350</v>
      </c>
      <c r="E138" s="84" t="s">
        <v>37</v>
      </c>
      <c r="F138" s="81">
        <f t="shared" si="6"/>
        <v>1050</v>
      </c>
      <c r="G138" s="79"/>
    </row>
    <row r="139" spans="1:7" ht="16.5">
      <c r="A139" s="83">
        <v>3</v>
      </c>
      <c r="B139" s="84" t="s">
        <v>37</v>
      </c>
      <c r="C139" s="85" t="s">
        <v>181</v>
      </c>
      <c r="D139" s="81">
        <f>D113</f>
        <v>48</v>
      </c>
      <c r="E139" s="84" t="s">
        <v>37</v>
      </c>
      <c r="F139" s="81">
        <f t="shared" si="6"/>
        <v>144</v>
      </c>
      <c r="G139" s="79"/>
    </row>
    <row r="140" spans="1:7" ht="16.5">
      <c r="A140" s="83">
        <v>4</v>
      </c>
      <c r="B140" s="84" t="s">
        <v>37</v>
      </c>
      <c r="C140" s="85" t="s">
        <v>182</v>
      </c>
      <c r="D140" s="81">
        <v>15</v>
      </c>
      <c r="E140" s="84" t="s">
        <v>37</v>
      </c>
      <c r="F140" s="81">
        <f t="shared" si="6"/>
        <v>60</v>
      </c>
      <c r="G140" s="79"/>
    </row>
    <row r="141" spans="1:7" ht="16.5">
      <c r="A141" s="83">
        <v>2.0249999999999999</v>
      </c>
      <c r="B141" s="84" t="s">
        <v>123</v>
      </c>
      <c r="C141" s="85" t="s">
        <v>103</v>
      </c>
      <c r="D141" s="79" t="e">
        <f>F152</f>
        <v>#REF!</v>
      </c>
      <c r="E141" s="84" t="s">
        <v>123</v>
      </c>
      <c r="F141" s="81" t="e">
        <f t="shared" si="6"/>
        <v>#REF!</v>
      </c>
      <c r="G141" s="79"/>
    </row>
    <row r="142" spans="1:7" ht="16.5">
      <c r="A142" s="83"/>
      <c r="B142" s="84"/>
      <c r="C142" s="85" t="s">
        <v>104</v>
      </c>
      <c r="D142" s="79"/>
      <c r="E142" s="80"/>
      <c r="F142" s="81"/>
      <c r="G142" s="79"/>
    </row>
    <row r="143" spans="1:7" ht="16.5">
      <c r="A143" s="79"/>
      <c r="B143" s="86"/>
      <c r="C143" s="85"/>
      <c r="D143" s="79"/>
      <c r="E143" s="80"/>
      <c r="F143" s="81"/>
      <c r="G143" s="79"/>
    </row>
    <row r="144" spans="1:7" ht="16.5">
      <c r="A144" s="79"/>
      <c r="B144" s="79"/>
      <c r="C144" s="92" t="s">
        <v>152</v>
      </c>
      <c r="D144" s="79"/>
      <c r="E144" s="79"/>
      <c r="F144" s="89" t="e">
        <f>SUM(F132:F143)</f>
        <v>#REF!</v>
      </c>
      <c r="G144" s="89" t="s">
        <v>69</v>
      </c>
    </row>
    <row r="145" spans="1:7" ht="16.5">
      <c r="A145" s="79"/>
      <c r="B145" s="79"/>
      <c r="C145" s="16" t="s">
        <v>183</v>
      </c>
      <c r="D145" s="79"/>
      <c r="E145" s="79"/>
      <c r="F145" s="16" t="e">
        <f>F144/A136</f>
        <v>#REF!</v>
      </c>
      <c r="G145" s="79" t="s">
        <v>123</v>
      </c>
    </row>
    <row r="146" spans="1:7" ht="16.5">
      <c r="A146" s="79"/>
      <c r="B146" s="79"/>
      <c r="C146" s="92"/>
      <c r="D146" s="79"/>
      <c r="E146" s="79"/>
      <c r="F146" s="79"/>
      <c r="G146" s="79"/>
    </row>
    <row r="147" spans="1:7" ht="16.5">
      <c r="A147" s="81">
        <v>1</v>
      </c>
      <c r="B147" s="84" t="s">
        <v>43</v>
      </c>
      <c r="C147" s="85" t="s">
        <v>166</v>
      </c>
      <c r="D147" s="81" t="e">
        <f>D120</f>
        <v>#REF!</v>
      </c>
      <c r="E147" s="85" t="s">
        <v>43</v>
      </c>
      <c r="F147" s="81" t="e">
        <f>D147*A147</f>
        <v>#REF!</v>
      </c>
      <c r="G147" s="79"/>
    </row>
    <row r="148" spans="1:7" ht="16.5">
      <c r="A148" s="81">
        <v>1</v>
      </c>
      <c r="B148" s="84" t="s">
        <v>43</v>
      </c>
      <c r="C148" s="85" t="s">
        <v>167</v>
      </c>
      <c r="D148" s="81" t="e">
        <f>D121</f>
        <v>#REF!</v>
      </c>
      <c r="E148" s="85" t="s">
        <v>43</v>
      </c>
      <c r="F148" s="81" t="e">
        <f>D148*A148</f>
        <v>#REF!</v>
      </c>
      <c r="G148" s="79"/>
    </row>
    <row r="149" spans="1:7" ht="16.5">
      <c r="A149" s="81">
        <v>0.5</v>
      </c>
      <c r="B149" s="84" t="s">
        <v>43</v>
      </c>
      <c r="C149" s="85" t="s">
        <v>168</v>
      </c>
      <c r="D149" s="81" t="e">
        <f>D122</f>
        <v>#REF!</v>
      </c>
      <c r="E149" s="85" t="s">
        <v>43</v>
      </c>
      <c r="F149" s="81" t="e">
        <f>D149*A149</f>
        <v>#REF!</v>
      </c>
      <c r="G149" s="79"/>
    </row>
    <row r="150" spans="1:7" ht="16.5">
      <c r="A150" s="79"/>
      <c r="B150" s="84"/>
      <c r="C150" s="85"/>
      <c r="D150" s="81"/>
      <c r="E150" s="85"/>
      <c r="F150" s="81"/>
      <c r="G150" s="79"/>
    </row>
    <row r="151" spans="1:7" ht="16.5">
      <c r="A151" s="79"/>
      <c r="B151" s="86"/>
      <c r="C151" s="79"/>
      <c r="D151" s="79"/>
      <c r="E151" s="93"/>
      <c r="F151" s="94" t="s">
        <v>78</v>
      </c>
      <c r="G151" s="79"/>
    </row>
    <row r="152" spans="1:7" ht="16.5">
      <c r="A152" s="79"/>
      <c r="B152" s="86"/>
      <c r="C152" s="85" t="s">
        <v>169</v>
      </c>
      <c r="D152" s="79"/>
      <c r="E152" s="93"/>
      <c r="F152" s="88" t="e">
        <f>SUM(F147:F151)</f>
        <v>#REF!</v>
      </c>
      <c r="G152" s="79"/>
    </row>
    <row r="153" spans="1:7" ht="16.5">
      <c r="A153" s="79"/>
      <c r="B153" s="86"/>
      <c r="C153" s="79"/>
      <c r="D153" s="79"/>
      <c r="E153" s="93"/>
      <c r="F153" s="94" t="s">
        <v>78</v>
      </c>
      <c r="G153" s="79"/>
    </row>
    <row r="155" spans="1:7">
      <c r="A155" s="553" t="s">
        <v>184</v>
      </c>
      <c r="B155" s="553"/>
      <c r="C155" s="553"/>
      <c r="D155" s="553"/>
      <c r="E155" s="553"/>
      <c r="F155" s="553"/>
    </row>
    <row r="156" spans="1:7">
      <c r="A156" s="553"/>
      <c r="B156" s="553"/>
      <c r="C156" s="553"/>
      <c r="D156" s="553"/>
      <c r="E156" s="553"/>
      <c r="F156" s="553"/>
    </row>
    <row r="157" spans="1:7" ht="16.5">
      <c r="A157" s="83"/>
      <c r="B157" s="84"/>
      <c r="C157" s="85"/>
      <c r="D157" s="81"/>
      <c r="E157" s="84"/>
      <c r="F157" s="81"/>
    </row>
    <row r="158" spans="1:7" ht="16.5">
      <c r="A158" s="83">
        <v>6.56</v>
      </c>
      <c r="B158" s="84" t="s">
        <v>49</v>
      </c>
      <c r="C158" s="85" t="s">
        <v>172</v>
      </c>
      <c r="D158" s="81" t="e">
        <f>D135</f>
        <v>#REF!</v>
      </c>
      <c r="E158" s="84" t="s">
        <v>49</v>
      </c>
      <c r="F158" s="81" t="e">
        <f>D158*A158</f>
        <v>#REF!</v>
      </c>
    </row>
    <row r="159" spans="1:7" ht="16.5">
      <c r="A159" s="83">
        <v>1.0129999999999999</v>
      </c>
      <c r="B159" s="84" t="s">
        <v>10</v>
      </c>
      <c r="C159" s="85" t="s">
        <v>156</v>
      </c>
      <c r="D159" s="81">
        <f>D136</f>
        <v>208.8</v>
      </c>
      <c r="E159" s="84" t="s">
        <v>10</v>
      </c>
      <c r="F159" s="81">
        <f t="shared" ref="F159:F164" si="7">D159*A159</f>
        <v>211.51</v>
      </c>
    </row>
    <row r="160" spans="1:7" ht="16.5">
      <c r="A160" s="83">
        <v>4.2</v>
      </c>
      <c r="B160" s="84" t="s">
        <v>39</v>
      </c>
      <c r="C160" s="85" t="s">
        <v>155</v>
      </c>
      <c r="D160" s="81">
        <f>D137</f>
        <v>27.1</v>
      </c>
      <c r="E160" s="84" t="s">
        <v>39</v>
      </c>
      <c r="F160" s="81">
        <f t="shared" si="7"/>
        <v>113.82</v>
      </c>
    </row>
    <row r="161" spans="1:7" ht="16.5">
      <c r="A161" s="83">
        <v>1</v>
      </c>
      <c r="B161" s="84" t="s">
        <v>164</v>
      </c>
      <c r="C161" s="85" t="str">
        <f>C138</f>
        <v>10" I Max hinges (304 grade) qtn</v>
      </c>
      <c r="D161" s="81">
        <f>D138</f>
        <v>350</v>
      </c>
      <c r="E161" s="84" t="s">
        <v>37</v>
      </c>
      <c r="F161" s="81">
        <f t="shared" si="7"/>
        <v>350</v>
      </c>
    </row>
    <row r="162" spans="1:7" ht="16.5">
      <c r="A162" s="83">
        <v>1</v>
      </c>
      <c r="B162" s="84" t="s">
        <v>37</v>
      </c>
      <c r="C162" s="85" t="s">
        <v>157</v>
      </c>
      <c r="D162" s="81">
        <f>D139</f>
        <v>48</v>
      </c>
      <c r="E162" s="84" t="s">
        <v>37</v>
      </c>
      <c r="F162" s="81">
        <f t="shared" si="7"/>
        <v>48</v>
      </c>
    </row>
    <row r="163" spans="1:7" ht="16.5">
      <c r="A163" s="83">
        <v>4</v>
      </c>
      <c r="B163" s="84" t="s">
        <v>37</v>
      </c>
      <c r="C163" s="85" t="s">
        <v>159</v>
      </c>
      <c r="D163" s="81">
        <v>15</v>
      </c>
      <c r="E163" s="84" t="s">
        <v>37</v>
      </c>
      <c r="F163" s="81">
        <f>D163*A163</f>
        <v>60</v>
      </c>
    </row>
    <row r="164" spans="1:7" ht="16.5">
      <c r="A164" s="83">
        <v>1.0129999999999999</v>
      </c>
      <c r="B164" s="84" t="s">
        <v>123</v>
      </c>
      <c r="C164" s="85" t="s">
        <v>160</v>
      </c>
      <c r="D164" s="79" t="e">
        <f>D141</f>
        <v>#REF!</v>
      </c>
      <c r="E164" s="84" t="s">
        <v>123</v>
      </c>
      <c r="F164" s="81" t="e">
        <f t="shared" si="7"/>
        <v>#REF!</v>
      </c>
    </row>
    <row r="165" spans="1:7" ht="16.5">
      <c r="A165" s="83"/>
      <c r="B165" s="84"/>
      <c r="C165" s="85" t="s">
        <v>122</v>
      </c>
      <c r="D165" s="79"/>
      <c r="E165" s="80"/>
      <c r="F165" s="81"/>
    </row>
    <row r="166" spans="1:7" ht="23.25" customHeight="1">
      <c r="A166" s="83"/>
      <c r="B166" s="84"/>
      <c r="C166" s="87" t="s">
        <v>139</v>
      </c>
      <c r="D166" s="89"/>
      <c r="E166" s="78"/>
      <c r="F166" s="88" t="e">
        <f>SUM(F158:F165)</f>
        <v>#REF!</v>
      </c>
    </row>
    <row r="167" spans="1:7" ht="13.5" customHeight="1">
      <c r="A167" s="83"/>
      <c r="B167" s="84"/>
      <c r="C167" s="16" t="s">
        <v>185</v>
      </c>
      <c r="D167" s="79"/>
      <c r="E167" s="79"/>
      <c r="F167" s="16" t="e">
        <f>F166/A164</f>
        <v>#REF!</v>
      </c>
      <c r="G167" s="79" t="s">
        <v>123</v>
      </c>
    </row>
    <row r="168" spans="1:7" ht="16.5">
      <c r="A168" s="79"/>
      <c r="B168" s="79"/>
      <c r="C168" s="92"/>
      <c r="D168" s="79"/>
      <c r="E168" s="79"/>
      <c r="F168" s="79"/>
    </row>
    <row r="169" spans="1:7" ht="16.5">
      <c r="A169" s="81">
        <v>1</v>
      </c>
      <c r="B169" s="84" t="s">
        <v>43</v>
      </c>
      <c r="C169" s="85" t="s">
        <v>166</v>
      </c>
      <c r="D169" s="81" t="e">
        <f>D147</f>
        <v>#REF!</v>
      </c>
      <c r="E169" s="85" t="s">
        <v>43</v>
      </c>
      <c r="F169" s="81" t="e">
        <f>D169*A169</f>
        <v>#REF!</v>
      </c>
    </row>
    <row r="170" spans="1:7" ht="16.5">
      <c r="A170" s="81">
        <v>1</v>
      </c>
      <c r="B170" s="84" t="s">
        <v>43</v>
      </c>
      <c r="C170" s="85" t="s">
        <v>167</v>
      </c>
      <c r="D170" s="81" t="e">
        <f>D148</f>
        <v>#REF!</v>
      </c>
      <c r="E170" s="85" t="s">
        <v>43</v>
      </c>
      <c r="F170" s="81" t="e">
        <f>D170*A170</f>
        <v>#REF!</v>
      </c>
    </row>
    <row r="171" spans="1:7" ht="16.5">
      <c r="A171" s="81">
        <v>0.5</v>
      </c>
      <c r="B171" s="84" t="s">
        <v>43</v>
      </c>
      <c r="C171" s="85" t="s">
        <v>168</v>
      </c>
      <c r="D171" s="81" t="e">
        <f>D149</f>
        <v>#REF!</v>
      </c>
      <c r="E171" s="85" t="s">
        <v>43</v>
      </c>
      <c r="F171" s="81" t="e">
        <f>D171*A171</f>
        <v>#REF!</v>
      </c>
    </row>
    <row r="172" spans="1:7" ht="35.25" hidden="1" customHeight="1">
      <c r="A172" s="79"/>
      <c r="B172" s="84"/>
      <c r="C172" s="85"/>
      <c r="D172" s="81"/>
      <c r="E172" s="85"/>
      <c r="F172" s="81"/>
    </row>
    <row r="173" spans="1:7" ht="15.75" hidden="1" customHeight="1">
      <c r="A173" s="79"/>
      <c r="B173" s="86"/>
      <c r="C173" s="79"/>
      <c r="D173" s="79"/>
      <c r="E173" s="93"/>
      <c r="F173" s="94" t="s">
        <v>78</v>
      </c>
    </row>
    <row r="174" spans="1:7" ht="15.75" hidden="1" customHeight="1">
      <c r="A174" s="79"/>
      <c r="B174" s="86"/>
      <c r="C174" s="85" t="s">
        <v>169</v>
      </c>
      <c r="D174" s="79"/>
      <c r="E174" s="93"/>
      <c r="F174" s="88" t="e">
        <f>SUM(F169:F173)</f>
        <v>#REF!</v>
      </c>
    </row>
    <row r="175" spans="1:7" ht="15.75" hidden="1" customHeight="1">
      <c r="A175" s="79"/>
      <c r="B175" s="86"/>
      <c r="C175" s="79"/>
      <c r="D175" s="79"/>
      <c r="E175" s="93"/>
      <c r="F175" s="94" t="s">
        <v>78</v>
      </c>
    </row>
    <row r="176" spans="1:7">
      <c r="F176" s="16" t="e">
        <f>SUM(F174)</f>
        <v>#REF!</v>
      </c>
    </row>
    <row r="178" spans="1:7" ht="19.5">
      <c r="B178" s="3"/>
      <c r="C178" s="58"/>
      <c r="D178" s="554"/>
      <c r="E178" s="554"/>
      <c r="F178" s="554"/>
    </row>
    <row r="179" spans="1:7">
      <c r="A179" s="11"/>
      <c r="B179" s="7"/>
      <c r="C179" s="1"/>
      <c r="D179" s="8"/>
      <c r="E179" s="7"/>
      <c r="F179" s="8"/>
    </row>
    <row r="180" spans="1:7">
      <c r="A180" s="41"/>
      <c r="B180" s="42" t="s">
        <v>120</v>
      </c>
      <c r="C180" s="43" t="s">
        <v>407</v>
      </c>
      <c r="D180" s="36"/>
      <c r="E180" s="38"/>
      <c r="F180" s="36"/>
      <c r="G180" s="19"/>
    </row>
    <row r="181" spans="1:7">
      <c r="A181" s="36"/>
      <c r="B181" s="37"/>
      <c r="C181" s="43" t="s">
        <v>408</v>
      </c>
      <c r="D181" s="36"/>
      <c r="E181" s="38"/>
      <c r="F181" s="36"/>
      <c r="G181" s="19"/>
    </row>
    <row r="182" spans="1:7" ht="18">
      <c r="A182" s="36"/>
      <c r="B182" s="37"/>
      <c r="C182" s="60" t="s">
        <v>409</v>
      </c>
      <c r="D182" s="36"/>
      <c r="E182" s="38"/>
      <c r="F182" s="36"/>
      <c r="G182" s="19"/>
    </row>
    <row r="183" spans="1:7">
      <c r="A183" s="36"/>
      <c r="B183" s="37"/>
      <c r="C183" s="44" t="s">
        <v>78</v>
      </c>
      <c r="D183" s="36"/>
      <c r="E183" s="38"/>
      <c r="F183" s="36"/>
      <c r="G183" s="19"/>
    </row>
    <row r="184" spans="1:7">
      <c r="A184" s="36"/>
      <c r="B184" s="37"/>
      <c r="C184" s="167" t="s">
        <v>410</v>
      </c>
      <c r="D184" s="39"/>
      <c r="E184" s="61"/>
      <c r="F184" s="36"/>
      <c r="G184" s="19"/>
    </row>
    <row r="185" spans="1:7">
      <c r="A185" s="36"/>
      <c r="B185" s="37"/>
      <c r="C185" s="43" t="s">
        <v>411</v>
      </c>
      <c r="D185" s="39"/>
      <c r="E185" s="61"/>
      <c r="F185" s="36"/>
      <c r="G185" s="19"/>
    </row>
    <row r="186" spans="1:7">
      <c r="A186" s="36"/>
      <c r="B186" s="37"/>
      <c r="C186" s="43" t="s">
        <v>412</v>
      </c>
      <c r="G186" s="19"/>
    </row>
    <row r="187" spans="1:7">
      <c r="A187" s="36"/>
      <c r="B187" s="37"/>
      <c r="C187" s="43" t="s">
        <v>426</v>
      </c>
      <c r="D187" s="39" t="s">
        <v>113</v>
      </c>
      <c r="E187" s="62">
        <f>2*2*3*0.15*0.15</f>
        <v>0.27</v>
      </c>
      <c r="F187" s="36" t="s">
        <v>117</v>
      </c>
      <c r="G187" s="19"/>
    </row>
    <row r="188" spans="1:7" ht="39" customHeight="1">
      <c r="A188" s="36"/>
      <c r="B188" s="37"/>
      <c r="C188" s="43" t="s">
        <v>413</v>
      </c>
      <c r="D188" s="39" t="s">
        <v>113</v>
      </c>
      <c r="E188" s="62">
        <f>4*2*0.15*0.15*2.4</f>
        <v>0.432</v>
      </c>
      <c r="F188" s="36" t="s">
        <v>117</v>
      </c>
      <c r="G188" s="19"/>
    </row>
    <row r="189" spans="1:7" ht="22.5" customHeight="1">
      <c r="A189" s="36"/>
      <c r="B189" s="37"/>
      <c r="C189" s="43"/>
      <c r="D189" s="39"/>
      <c r="E189" s="44" t="s">
        <v>78</v>
      </c>
      <c r="F189" s="48"/>
      <c r="G189" s="19"/>
    </row>
    <row r="190" spans="1:7" ht="16.5" customHeight="1">
      <c r="A190" s="36"/>
      <c r="B190" s="37"/>
      <c r="C190" s="36"/>
      <c r="D190" s="36"/>
      <c r="E190" s="68">
        <f>SUM(E187:E189)</f>
        <v>0.70199999999999996</v>
      </c>
      <c r="F190" s="16" t="s">
        <v>117</v>
      </c>
      <c r="G190" s="19"/>
    </row>
    <row r="191" spans="1:7" ht="16.5" customHeight="1">
      <c r="A191" s="36"/>
      <c r="B191" s="37"/>
      <c r="C191" s="43" t="s">
        <v>427</v>
      </c>
      <c r="D191" s="36"/>
      <c r="E191" s="53"/>
      <c r="F191" s="50"/>
      <c r="G191" s="19"/>
    </row>
    <row r="192" spans="1:7" ht="27.75" customHeight="1">
      <c r="A192" s="36"/>
      <c r="B192" s="37"/>
      <c r="C192" s="43" t="s">
        <v>414</v>
      </c>
      <c r="D192" s="36"/>
      <c r="E192" s="64"/>
      <c r="F192" s="50"/>
      <c r="G192" s="19"/>
    </row>
    <row r="193" spans="1:8" ht="14.25" customHeight="1">
      <c r="A193" s="36"/>
      <c r="B193" s="37"/>
      <c r="C193" s="43"/>
      <c r="D193" s="36"/>
      <c r="E193" s="64"/>
      <c r="F193" s="50"/>
      <c r="G193" s="19"/>
    </row>
    <row r="194" spans="1:8" ht="39" customHeight="1">
      <c r="A194" s="51">
        <f>D197</f>
        <v>0.1208</v>
      </c>
      <c r="B194" s="37" t="s">
        <v>44</v>
      </c>
      <c r="C194" s="168" t="s">
        <v>415</v>
      </c>
      <c r="D194" s="59">
        <f>3*1*1.8*0.15*0.05</f>
        <v>4.0500000000000001E-2</v>
      </c>
      <c r="E194" s="36">
        <v>106376</v>
      </c>
      <c r="F194" s="41" t="s">
        <v>44</v>
      </c>
      <c r="G194" s="45">
        <f>E194*A194</f>
        <v>12850.22</v>
      </c>
    </row>
    <row r="195" spans="1:8" ht="39" customHeight="1">
      <c r="A195" s="51"/>
      <c r="B195" s="37"/>
      <c r="C195" s="36" t="s">
        <v>416</v>
      </c>
      <c r="D195" s="51">
        <f>6*1*0.1*0.05*2.15</f>
        <v>6.4500000000000002E-2</v>
      </c>
      <c r="E195" s="41"/>
      <c r="F195" s="45"/>
      <c r="G195" s="19"/>
    </row>
    <row r="196" spans="1:8" ht="39" customHeight="1">
      <c r="A196" s="51"/>
      <c r="B196" s="37"/>
      <c r="C196" s="36" t="s">
        <v>417</v>
      </c>
      <c r="D196" s="51">
        <f>2*3*0.35*0.15*0.05</f>
        <v>1.5800000000000002E-2</v>
      </c>
      <c r="E196" s="41"/>
      <c r="F196" s="45"/>
      <c r="G196" s="19"/>
    </row>
    <row r="197" spans="1:8" ht="39" customHeight="1">
      <c r="A197" s="51"/>
      <c r="B197" s="37"/>
      <c r="C197" s="36"/>
      <c r="D197" s="171">
        <f>SUM(D194:D196)</f>
        <v>0.1208</v>
      </c>
      <c r="E197" s="41"/>
      <c r="F197" s="45"/>
      <c r="G197" s="19"/>
    </row>
    <row r="198" spans="1:8" ht="54.75" customHeight="1">
      <c r="A198" s="48">
        <v>4.5969999999999997E-2</v>
      </c>
      <c r="B198" s="42" t="s">
        <v>44</v>
      </c>
      <c r="C198" s="47" t="s">
        <v>429</v>
      </c>
      <c r="D198" s="54">
        <f>8*1*0.815*0.35*0.01875</f>
        <v>4.2790000000000002E-2</v>
      </c>
      <c r="E198" s="45">
        <v>101921</v>
      </c>
      <c r="F198" s="41" t="s">
        <v>44</v>
      </c>
      <c r="G198" s="45">
        <f>E198*A198</f>
        <v>4685.3100000000004</v>
      </c>
      <c r="H198" s="19"/>
    </row>
    <row r="199" spans="1:8" ht="30.75">
      <c r="A199" s="48">
        <f>D199</f>
        <v>3.98</v>
      </c>
      <c r="B199" s="42" t="s">
        <v>44</v>
      </c>
      <c r="C199" s="47" t="s">
        <v>428</v>
      </c>
      <c r="D199">
        <f>1.85*2.15</f>
        <v>3.98</v>
      </c>
      <c r="E199" s="45" t="e">
        <f>#REF!</f>
        <v>#REF!</v>
      </c>
      <c r="F199" s="41" t="s">
        <v>123</v>
      </c>
      <c r="G199" s="45" t="e">
        <f>E199*A199</f>
        <v>#REF!</v>
      </c>
      <c r="H199" s="19"/>
    </row>
    <row r="200" spans="1:8">
      <c r="A200" s="48">
        <f>D200</f>
        <v>17.399999999999999</v>
      </c>
      <c r="B200" s="42" t="s">
        <v>94</v>
      </c>
      <c r="C200" s="47" t="s">
        <v>430</v>
      </c>
      <c r="D200">
        <f>6*2+3*1.8</f>
        <v>17.399999999999999</v>
      </c>
      <c r="E200" s="45">
        <v>30</v>
      </c>
      <c r="F200" s="41" t="s">
        <v>94</v>
      </c>
      <c r="G200" s="45">
        <f>E200*A200</f>
        <v>522</v>
      </c>
      <c r="H200" s="19"/>
    </row>
    <row r="201" spans="1:8">
      <c r="A201" s="49"/>
      <c r="B201" s="37"/>
      <c r="C201" s="43"/>
      <c r="E201" s="45"/>
      <c r="F201" s="38"/>
      <c r="G201" s="45">
        <f>E201*A201</f>
        <v>0</v>
      </c>
      <c r="H201" s="19"/>
    </row>
    <row r="202" spans="1:8">
      <c r="A202" s="49"/>
      <c r="B202" s="37"/>
      <c r="C202" s="43" t="s">
        <v>431</v>
      </c>
      <c r="E202" s="45"/>
      <c r="F202" s="38"/>
      <c r="G202" s="45"/>
      <c r="H202" s="19"/>
    </row>
    <row r="203" spans="1:8" ht="37.5" customHeight="1">
      <c r="A203" s="49">
        <f>D205</f>
        <v>1.26</v>
      </c>
      <c r="B203" s="42" t="s">
        <v>30</v>
      </c>
      <c r="C203" s="47" t="s">
        <v>434</v>
      </c>
      <c r="D203">
        <f>2*1*0.35*1.4</f>
        <v>0.98</v>
      </c>
      <c r="E203" s="45">
        <v>336</v>
      </c>
      <c r="F203" s="38" t="s">
        <v>30</v>
      </c>
      <c r="G203" s="45">
        <f>E203*A203</f>
        <v>423.36</v>
      </c>
      <c r="H203" s="19"/>
    </row>
    <row r="204" spans="1:8" ht="37.5" customHeight="1">
      <c r="A204" s="49"/>
      <c r="B204" s="42"/>
      <c r="C204" s="47" t="s">
        <v>432</v>
      </c>
      <c r="D204">
        <f>2*1*0.35*0.4</f>
        <v>0.28000000000000003</v>
      </c>
      <c r="E204" s="45"/>
      <c r="F204" s="38"/>
      <c r="G204" s="45"/>
      <c r="H204" s="19"/>
    </row>
    <row r="205" spans="1:8" ht="37.5" customHeight="1">
      <c r="A205" s="49"/>
      <c r="B205" s="42"/>
      <c r="C205" s="47"/>
      <c r="D205" s="16">
        <f>SUM(D203:D204)</f>
        <v>1.26</v>
      </c>
      <c r="E205" s="45"/>
      <c r="F205" s="38"/>
      <c r="G205" s="45"/>
      <c r="H205" s="19"/>
    </row>
    <row r="206" spans="1:8" ht="42.75" customHeight="1">
      <c r="A206" s="49">
        <v>9.8000000000000007</v>
      </c>
      <c r="B206" s="42" t="s">
        <v>94</v>
      </c>
      <c r="C206" s="47" t="s">
        <v>435</v>
      </c>
      <c r="D206">
        <v>9.8000000000000007</v>
      </c>
      <c r="E206" s="45">
        <v>59</v>
      </c>
      <c r="F206" s="38" t="s">
        <v>39</v>
      </c>
      <c r="G206" s="45">
        <f t="shared" ref="G206:G214" si="8">E206*A206</f>
        <v>578.20000000000005</v>
      </c>
      <c r="H206" s="19"/>
    </row>
    <row r="207" spans="1:8" ht="47.25">
      <c r="A207" s="49">
        <f>D207</f>
        <v>1.51</v>
      </c>
      <c r="B207" s="42" t="s">
        <v>30</v>
      </c>
      <c r="C207" s="169" t="s">
        <v>418</v>
      </c>
      <c r="D207">
        <f>2*1*0.35*2.15</f>
        <v>1.51</v>
      </c>
      <c r="E207" s="45" t="e">
        <f>#REF!</f>
        <v>#REF!</v>
      </c>
      <c r="F207" s="41" t="s">
        <v>30</v>
      </c>
      <c r="G207" s="45" t="e">
        <f t="shared" si="8"/>
        <v>#REF!</v>
      </c>
      <c r="H207" s="19"/>
    </row>
    <row r="208" spans="1:8">
      <c r="A208" s="45"/>
      <c r="B208" s="42"/>
      <c r="C208" s="34" t="s">
        <v>128</v>
      </c>
      <c r="E208" s="45"/>
      <c r="F208" s="41"/>
      <c r="G208" s="45">
        <f t="shared" si="8"/>
        <v>0</v>
      </c>
      <c r="H208" s="19"/>
    </row>
    <row r="209" spans="1:8">
      <c r="A209" s="45">
        <v>8</v>
      </c>
      <c r="B209" s="42" t="s">
        <v>43</v>
      </c>
      <c r="C209" s="43" t="s">
        <v>419</v>
      </c>
      <c r="E209" s="45" t="e">
        <f>#REF!</f>
        <v>#REF!</v>
      </c>
      <c r="F209" s="41" t="s">
        <v>43</v>
      </c>
      <c r="G209" s="45" t="e">
        <f t="shared" si="8"/>
        <v>#REF!</v>
      </c>
      <c r="H209" s="19"/>
    </row>
    <row r="210" spans="1:8">
      <c r="A210" s="45">
        <v>3</v>
      </c>
      <c r="B210" s="42" t="s">
        <v>43</v>
      </c>
      <c r="C210" s="43" t="s">
        <v>420</v>
      </c>
      <c r="E210" s="45" t="e">
        <f>#REF!</f>
        <v>#REF!</v>
      </c>
      <c r="F210" s="41" t="s">
        <v>43</v>
      </c>
      <c r="G210" s="45" t="e">
        <f t="shared" si="8"/>
        <v>#REF!</v>
      </c>
      <c r="H210" s="19"/>
    </row>
    <row r="211" spans="1:8">
      <c r="A211" s="45">
        <v>1</v>
      </c>
      <c r="B211" s="42" t="s">
        <v>43</v>
      </c>
      <c r="C211" s="43" t="s">
        <v>421</v>
      </c>
      <c r="E211" s="170">
        <v>320</v>
      </c>
      <c r="F211" s="41" t="s">
        <v>43</v>
      </c>
      <c r="G211" s="45">
        <f t="shared" si="8"/>
        <v>320</v>
      </c>
      <c r="H211" s="19"/>
    </row>
    <row r="212" spans="1:8">
      <c r="A212" s="45">
        <v>2</v>
      </c>
      <c r="B212" s="42" t="s">
        <v>43</v>
      </c>
      <c r="C212" s="43" t="s">
        <v>422</v>
      </c>
      <c r="E212" s="45">
        <v>650</v>
      </c>
      <c r="F212" s="41" t="s">
        <v>43</v>
      </c>
      <c r="G212" s="45">
        <f t="shared" si="8"/>
        <v>1300</v>
      </c>
      <c r="H212" s="19"/>
    </row>
    <row r="213" spans="1:8">
      <c r="A213" s="45">
        <v>2</v>
      </c>
      <c r="B213" s="42" t="s">
        <v>43</v>
      </c>
      <c r="C213" s="43" t="s">
        <v>423</v>
      </c>
      <c r="E213" s="45">
        <v>200</v>
      </c>
      <c r="F213" s="41" t="s">
        <v>43</v>
      </c>
      <c r="G213" s="45">
        <f t="shared" si="8"/>
        <v>400</v>
      </c>
      <c r="H213" s="19"/>
    </row>
    <row r="214" spans="1:8">
      <c r="A214" s="45">
        <v>2</v>
      </c>
      <c r="B214" s="42" t="s">
        <v>43</v>
      </c>
      <c r="C214" s="43" t="s">
        <v>424</v>
      </c>
      <c r="E214" s="45">
        <v>60</v>
      </c>
      <c r="F214" s="41" t="s">
        <v>43</v>
      </c>
      <c r="G214" s="45">
        <f t="shared" si="8"/>
        <v>120</v>
      </c>
      <c r="H214" s="19"/>
    </row>
    <row r="215" spans="1:8" hidden="1">
      <c r="A215" s="36"/>
      <c r="B215" s="37"/>
      <c r="C215" s="36" t="s">
        <v>425</v>
      </c>
      <c r="E215" s="41" t="s">
        <v>32</v>
      </c>
      <c r="F215" s="38"/>
      <c r="G215" s="65">
        <v>400</v>
      </c>
      <c r="H215" s="19"/>
    </row>
    <row r="216" spans="1:8">
      <c r="A216" s="36"/>
      <c r="B216" s="37"/>
      <c r="C216" s="36" t="s">
        <v>433</v>
      </c>
      <c r="E216" s="45"/>
      <c r="F216" s="38" t="s">
        <v>32</v>
      </c>
      <c r="G216" s="46">
        <v>400</v>
      </c>
      <c r="H216" s="19"/>
    </row>
    <row r="217" spans="1:8">
      <c r="A217" s="36"/>
      <c r="B217" s="37"/>
      <c r="E217" s="45"/>
      <c r="F217" s="38"/>
      <c r="G217" s="45"/>
      <c r="H217" s="19"/>
    </row>
    <row r="218" spans="1:8">
      <c r="A218" s="36"/>
      <c r="B218" s="37"/>
      <c r="C218" s="43" t="s">
        <v>152</v>
      </c>
      <c r="E218" s="45"/>
      <c r="F218" s="38"/>
      <c r="G218" s="44" t="e">
        <f>SUM(G194:G217)</f>
        <v>#REF!</v>
      </c>
      <c r="H218" s="19"/>
    </row>
    <row r="219" spans="1:8">
      <c r="A219" s="36"/>
      <c r="B219" s="37"/>
      <c r="C219" s="34" t="s">
        <v>28</v>
      </c>
      <c r="E219" s="36"/>
      <c r="F219" s="40" t="s">
        <v>35</v>
      </c>
      <c r="G219" s="35">
        <v>27750</v>
      </c>
      <c r="H219" s="68" t="s">
        <v>146</v>
      </c>
    </row>
    <row r="220" spans="1:8">
      <c r="G220" s="19"/>
    </row>
    <row r="221" spans="1:8">
      <c r="A221" s="19"/>
      <c r="B221" s="3"/>
      <c r="C221" s="1"/>
      <c r="E221" s="9"/>
    </row>
    <row r="222" spans="1:8">
      <c r="A222" s="19"/>
      <c r="B222" s="3"/>
      <c r="C222" s="1"/>
      <c r="E222" s="9"/>
    </row>
    <row r="223" spans="1:8">
      <c r="A223" s="19"/>
      <c r="B223" s="3"/>
      <c r="C223" s="1"/>
      <c r="E223" s="9"/>
    </row>
    <row r="224" spans="1:8">
      <c r="A224" s="19"/>
      <c r="B224" s="3"/>
      <c r="C224" s="5"/>
      <c r="D224" s="5"/>
      <c r="E224" s="9"/>
    </row>
    <row r="225" spans="1:6" ht="18" customHeight="1">
      <c r="A225" s="19"/>
      <c r="B225" s="7"/>
      <c r="C225" s="1"/>
      <c r="E225" s="9"/>
    </row>
    <row r="226" spans="1:6">
      <c r="A226" s="19"/>
      <c r="B226" s="3"/>
      <c r="C226" s="1"/>
      <c r="E226" s="9"/>
    </row>
    <row r="227" spans="1:6">
      <c r="A227" s="10"/>
      <c r="B227" s="7"/>
      <c r="C227" s="1"/>
      <c r="D227" s="25"/>
      <c r="E227" s="1"/>
      <c r="F227" s="8"/>
    </row>
    <row r="228" spans="1:6">
      <c r="A228" s="10"/>
      <c r="B228" s="7"/>
      <c r="C228" s="1"/>
      <c r="D228" s="25"/>
      <c r="E228" s="1"/>
      <c r="F228" s="8"/>
    </row>
    <row r="229" spans="1:6">
      <c r="A229" s="10"/>
      <c r="B229" s="7"/>
      <c r="C229" s="1"/>
      <c r="D229" s="25"/>
      <c r="E229" s="1"/>
      <c r="F229" s="8"/>
    </row>
    <row r="230" spans="1:6" ht="18" customHeight="1">
      <c r="A230" s="19"/>
      <c r="B230" s="7"/>
      <c r="C230" s="1"/>
      <c r="D230" s="25"/>
      <c r="E230" s="1"/>
      <c r="F230" s="8"/>
    </row>
    <row r="231" spans="1:6">
      <c r="A231" s="19"/>
      <c r="B231" s="3"/>
      <c r="C231" s="1"/>
      <c r="E231" s="9"/>
      <c r="F231" s="5"/>
    </row>
    <row r="232" spans="1:6">
      <c r="A232" s="19"/>
      <c r="B232" s="3"/>
      <c r="C232" s="2"/>
      <c r="E232" s="9"/>
      <c r="F232" s="8"/>
    </row>
    <row r="233" spans="1:6">
      <c r="A233" s="19"/>
      <c r="B233" s="3"/>
      <c r="E233" s="9"/>
      <c r="F233" s="5"/>
    </row>
    <row r="234" spans="1:6">
      <c r="A234" s="19"/>
      <c r="B234" s="3"/>
      <c r="C234" s="2"/>
      <c r="E234" s="9"/>
      <c r="F234" s="8"/>
    </row>
    <row r="235" spans="1:6">
      <c r="A235" s="19"/>
      <c r="B235" s="3"/>
      <c r="C235" s="1"/>
      <c r="D235" s="8"/>
      <c r="E235" s="1"/>
      <c r="F235" s="17"/>
    </row>
    <row r="236" spans="1:6">
      <c r="A236" s="19"/>
      <c r="B236" s="3"/>
      <c r="C236" s="1"/>
      <c r="D236" s="8"/>
      <c r="E236" s="1"/>
      <c r="F236" s="17"/>
    </row>
    <row r="237" spans="1:6">
      <c r="A237" s="19"/>
      <c r="B237" s="3"/>
      <c r="C237" s="1"/>
      <c r="D237" s="8"/>
      <c r="E237" s="1"/>
      <c r="F237" s="17"/>
    </row>
    <row r="238" spans="1:6">
      <c r="A238" s="19"/>
      <c r="B238" s="3"/>
      <c r="C238" s="1"/>
      <c r="D238" s="8"/>
      <c r="E238" s="1"/>
      <c r="F238" s="17"/>
    </row>
    <row r="239" spans="1:6">
      <c r="A239" s="19"/>
      <c r="B239" s="3"/>
      <c r="C239" s="1"/>
      <c r="D239" s="8"/>
      <c r="E239" s="1"/>
      <c r="F239" s="17"/>
    </row>
    <row r="247" spans="1:8" ht="16.5">
      <c r="A247" s="553" t="s">
        <v>231</v>
      </c>
      <c r="B247" s="553"/>
      <c r="C247" s="553"/>
      <c r="D247" s="553"/>
      <c r="E247" s="78"/>
      <c r="F247" s="78"/>
      <c r="G247" s="79"/>
    </row>
    <row r="248" spans="1:8" ht="16.5">
      <c r="A248" s="83"/>
      <c r="B248" s="84"/>
      <c r="C248" s="91"/>
      <c r="D248" s="81"/>
      <c r="E248" s="84"/>
      <c r="F248" s="81"/>
      <c r="G248" s="79"/>
    </row>
    <row r="249" spans="1:8" ht="16.5">
      <c r="A249" s="83"/>
      <c r="B249" s="84"/>
      <c r="C249" s="85"/>
      <c r="D249" s="81"/>
      <c r="E249" s="84"/>
      <c r="F249" s="81"/>
      <c r="G249" s="79"/>
    </row>
    <row r="250" spans="1:8" ht="16.5">
      <c r="A250" s="83">
        <v>28.49</v>
      </c>
      <c r="B250" s="84" t="s">
        <v>49</v>
      </c>
      <c r="C250" s="128" t="s">
        <v>232</v>
      </c>
      <c r="D250" s="81">
        <v>292</v>
      </c>
      <c r="E250" s="84" t="s">
        <v>49</v>
      </c>
      <c r="F250" s="81">
        <f>D250*A250</f>
        <v>8319.08</v>
      </c>
      <c r="G250" s="79"/>
    </row>
    <row r="251" spans="1:8" ht="16.5">
      <c r="A251" s="117">
        <v>3.82</v>
      </c>
      <c r="B251" s="84" t="s">
        <v>39</v>
      </c>
      <c r="C251" s="85" t="s">
        <v>226</v>
      </c>
      <c r="D251" s="81">
        <v>36.299999999999997</v>
      </c>
      <c r="E251" s="84" t="s">
        <v>39</v>
      </c>
      <c r="F251" s="81">
        <v>501.66</v>
      </c>
      <c r="G251" s="79"/>
    </row>
    <row r="252" spans="1:8" ht="16.5">
      <c r="A252" s="83">
        <v>1.52</v>
      </c>
      <c r="B252" s="84" t="s">
        <v>10</v>
      </c>
      <c r="C252" s="85" t="s">
        <v>224</v>
      </c>
      <c r="D252" s="81">
        <v>387.2</v>
      </c>
      <c r="E252" s="84" t="s">
        <v>10</v>
      </c>
      <c r="F252" s="81">
        <f t="shared" ref="F252:F261" si="9">D252*A252</f>
        <v>588.54</v>
      </c>
      <c r="G252" s="79"/>
    </row>
    <row r="253" spans="1:8" ht="16.5">
      <c r="A253" s="83">
        <v>1.52</v>
      </c>
      <c r="B253" s="84" t="s">
        <v>10</v>
      </c>
      <c r="C253" s="85" t="s">
        <v>225</v>
      </c>
      <c r="D253" s="81">
        <v>695</v>
      </c>
      <c r="E253" s="84" t="s">
        <v>37</v>
      </c>
      <c r="F253" s="81">
        <f t="shared" si="9"/>
        <v>1056.4000000000001</v>
      </c>
      <c r="G253" s="79"/>
    </row>
    <row r="254" spans="1:8" ht="16.5">
      <c r="A254" s="83">
        <v>3</v>
      </c>
      <c r="B254" s="84" t="s">
        <v>8</v>
      </c>
      <c r="C254" s="85" t="s">
        <v>227</v>
      </c>
      <c r="D254" s="81">
        <v>9</v>
      </c>
      <c r="E254" s="84" t="s">
        <v>8</v>
      </c>
      <c r="F254" s="81">
        <f t="shared" si="9"/>
        <v>27</v>
      </c>
      <c r="G254" s="79"/>
      <c r="H254" s="116"/>
    </row>
    <row r="255" spans="1:8" ht="16.5">
      <c r="A255" s="83">
        <v>4.2</v>
      </c>
      <c r="B255" s="84" t="s">
        <v>69</v>
      </c>
      <c r="C255" s="85" t="s">
        <v>233</v>
      </c>
      <c r="D255" s="81">
        <v>8.4499999999999993</v>
      </c>
      <c r="E255" s="84" t="s">
        <v>37</v>
      </c>
      <c r="F255" s="81">
        <f t="shared" si="9"/>
        <v>35.49</v>
      </c>
      <c r="G255" s="79"/>
      <c r="H255" s="116"/>
    </row>
    <row r="256" spans="1:8" ht="16.5">
      <c r="A256" s="83">
        <v>3.15</v>
      </c>
      <c r="B256" s="84" t="s">
        <v>123</v>
      </c>
      <c r="C256" s="85" t="s">
        <v>160</v>
      </c>
      <c r="D256" s="79">
        <f>F272</f>
        <v>0</v>
      </c>
      <c r="E256" s="84" t="s">
        <v>123</v>
      </c>
      <c r="F256" s="81">
        <f t="shared" si="9"/>
        <v>0</v>
      </c>
      <c r="G256" s="79"/>
      <c r="H256" s="116"/>
    </row>
    <row r="257" spans="1:8" ht="16.5">
      <c r="A257" s="16">
        <v>1</v>
      </c>
      <c r="B257" s="27" t="s">
        <v>105</v>
      </c>
      <c r="C257" s="16" t="s">
        <v>234</v>
      </c>
      <c r="D257" s="16">
        <v>44.4</v>
      </c>
      <c r="E257" s="33" t="s">
        <v>69</v>
      </c>
      <c r="F257" s="16">
        <f t="shared" si="9"/>
        <v>44.4</v>
      </c>
      <c r="G257" s="79"/>
      <c r="H257" s="116"/>
    </row>
    <row r="258" spans="1:8" ht="16.5">
      <c r="A258" s="16">
        <v>1</v>
      </c>
      <c r="B258" s="27" t="s">
        <v>105</v>
      </c>
      <c r="C258" s="16" t="s">
        <v>235</v>
      </c>
      <c r="D258" s="16">
        <v>867.3</v>
      </c>
      <c r="E258" s="33" t="s">
        <v>69</v>
      </c>
      <c r="F258" s="16">
        <f t="shared" si="9"/>
        <v>867.3</v>
      </c>
      <c r="G258" s="79"/>
      <c r="H258" s="116"/>
    </row>
    <row r="259" spans="1:8" ht="18">
      <c r="A259" s="118">
        <v>45</v>
      </c>
      <c r="B259" s="119" t="s">
        <v>105</v>
      </c>
      <c r="C259" s="118" t="s">
        <v>236</v>
      </c>
      <c r="D259" s="120">
        <v>1.65</v>
      </c>
      <c r="E259" s="121" t="s">
        <v>68</v>
      </c>
      <c r="F259" s="81">
        <f t="shared" si="9"/>
        <v>74.25</v>
      </c>
      <c r="G259" s="79"/>
      <c r="H259" s="116"/>
    </row>
    <row r="260" spans="1:8" ht="18">
      <c r="A260" s="118">
        <v>2</v>
      </c>
      <c r="B260" s="119" t="s">
        <v>105</v>
      </c>
      <c r="C260" s="118" t="s">
        <v>237</v>
      </c>
      <c r="D260" s="120">
        <v>76.2</v>
      </c>
      <c r="E260" s="33" t="s">
        <v>69</v>
      </c>
      <c r="F260" s="81">
        <f t="shared" si="9"/>
        <v>152.4</v>
      </c>
      <c r="G260" s="79"/>
      <c r="H260" s="116"/>
    </row>
    <row r="261" spans="1:8" ht="18">
      <c r="A261" s="118">
        <v>2</v>
      </c>
      <c r="B261" s="119" t="s">
        <v>105</v>
      </c>
      <c r="C261" s="118" t="s">
        <v>238</v>
      </c>
      <c r="D261" s="120">
        <v>50.6</v>
      </c>
      <c r="E261" s="33" t="s">
        <v>69</v>
      </c>
      <c r="F261" s="81">
        <f t="shared" si="9"/>
        <v>101.2</v>
      </c>
      <c r="G261" s="79"/>
      <c r="H261" s="116"/>
    </row>
    <row r="262" spans="1:8" ht="16.5">
      <c r="F262" s="19"/>
      <c r="G262" s="79"/>
      <c r="H262" s="116"/>
    </row>
    <row r="263" spans="1:8" ht="16.5">
      <c r="A263" s="83"/>
      <c r="B263" s="84"/>
      <c r="C263" s="85"/>
      <c r="D263" s="79"/>
      <c r="E263" s="80"/>
      <c r="F263" s="81"/>
      <c r="G263" s="79"/>
      <c r="H263" s="116"/>
    </row>
    <row r="264" spans="1:8" ht="16.5">
      <c r="A264" s="83"/>
      <c r="B264" s="84"/>
      <c r="C264" s="1" t="s">
        <v>239</v>
      </c>
      <c r="E264" s="84"/>
      <c r="F264" s="81">
        <f>SUM(F250:F263)</f>
        <v>11767.72</v>
      </c>
      <c r="G264" s="79"/>
      <c r="H264" s="116"/>
    </row>
    <row r="265" spans="1:8" ht="16.5">
      <c r="A265" s="83"/>
      <c r="B265" s="84"/>
      <c r="C265" s="1" t="s">
        <v>28</v>
      </c>
      <c r="E265" s="78"/>
      <c r="F265" s="88">
        <f>F264/3.15</f>
        <v>3735.78</v>
      </c>
      <c r="G265" s="89" t="s">
        <v>69</v>
      </c>
      <c r="H265" s="116"/>
    </row>
    <row r="266" spans="1:8" ht="16.5">
      <c r="A266" s="79"/>
      <c r="B266" s="79"/>
      <c r="C266" s="92"/>
      <c r="D266" s="79"/>
      <c r="E266" s="79"/>
      <c r="F266" s="79"/>
      <c r="G266" s="79"/>
      <c r="H266" s="116"/>
    </row>
    <row r="267" spans="1:8" ht="16.5">
      <c r="A267" s="81">
        <v>1</v>
      </c>
      <c r="B267" s="84" t="s">
        <v>43</v>
      </c>
      <c r="C267" s="85" t="s">
        <v>166</v>
      </c>
      <c r="D267" s="81">
        <f>E218</f>
        <v>0</v>
      </c>
      <c r="E267" s="85" t="s">
        <v>43</v>
      </c>
      <c r="F267" s="81">
        <f>D267*A267</f>
        <v>0</v>
      </c>
      <c r="G267" s="79"/>
      <c r="H267" s="116"/>
    </row>
    <row r="268" spans="1:8" ht="16.5">
      <c r="A268" s="81">
        <v>1</v>
      </c>
      <c r="B268" s="84" t="s">
        <v>43</v>
      </c>
      <c r="C268" s="85" t="s">
        <v>167</v>
      </c>
      <c r="D268" s="81">
        <f>E219</f>
        <v>0</v>
      </c>
      <c r="E268" s="85" t="s">
        <v>43</v>
      </c>
      <c r="F268" s="81">
        <f>D268*A268</f>
        <v>0</v>
      </c>
      <c r="G268" s="79"/>
      <c r="H268" s="116"/>
    </row>
    <row r="269" spans="1:8" ht="16.5">
      <c r="A269" s="81">
        <v>0.5</v>
      </c>
      <c r="B269" s="84" t="s">
        <v>43</v>
      </c>
      <c r="C269" s="85" t="s">
        <v>168</v>
      </c>
      <c r="D269" s="81">
        <f>D220</f>
        <v>0</v>
      </c>
      <c r="E269" s="85" t="s">
        <v>43</v>
      </c>
      <c r="F269" s="81">
        <f>D269*A269</f>
        <v>0</v>
      </c>
      <c r="G269" s="79"/>
      <c r="H269" s="116"/>
    </row>
    <row r="270" spans="1:8" ht="16.5">
      <c r="A270" s="79"/>
      <c r="B270" s="84" t="s">
        <v>24</v>
      </c>
      <c r="C270" s="85"/>
      <c r="D270" s="81"/>
      <c r="E270" s="85" t="s">
        <v>24</v>
      </c>
      <c r="F270" s="81"/>
      <c r="G270" s="79"/>
      <c r="H270" s="116"/>
    </row>
    <row r="271" spans="1:8" ht="16.5">
      <c r="A271" s="79"/>
      <c r="B271" s="86"/>
      <c r="C271" s="79"/>
      <c r="D271" s="79"/>
      <c r="E271" s="93"/>
      <c r="F271" s="94" t="s">
        <v>78</v>
      </c>
      <c r="G271" s="79"/>
      <c r="H271" s="116"/>
    </row>
    <row r="272" spans="1:8" ht="16.5">
      <c r="A272" s="79"/>
      <c r="B272" s="86"/>
      <c r="C272" s="85" t="s">
        <v>169</v>
      </c>
      <c r="D272" s="79"/>
      <c r="E272" s="93"/>
      <c r="F272" s="88">
        <f>SUM(F267:F271)</f>
        <v>0</v>
      </c>
      <c r="G272" s="79"/>
      <c r="H272" s="116"/>
    </row>
    <row r="273" spans="1:8" ht="16.5">
      <c r="A273" s="79"/>
      <c r="B273" s="86"/>
      <c r="C273" s="79"/>
      <c r="D273" s="79"/>
      <c r="E273" s="93"/>
      <c r="F273" s="94" t="s">
        <v>78</v>
      </c>
      <c r="G273" s="79"/>
      <c r="H273" s="116"/>
    </row>
    <row r="274" spans="1:8">
      <c r="H274" s="116"/>
    </row>
    <row r="275" spans="1:8">
      <c r="H275" s="116"/>
    </row>
    <row r="276" spans="1:8">
      <c r="A276" s="116"/>
      <c r="B276" s="116"/>
      <c r="C276" s="116" t="s">
        <v>240</v>
      </c>
      <c r="D276" s="116"/>
      <c r="E276" s="116"/>
      <c r="F276" s="116"/>
      <c r="H276" s="116"/>
    </row>
    <row r="277" spans="1:8" ht="16.5">
      <c r="A277" s="553" t="s">
        <v>243</v>
      </c>
      <c r="B277" s="553"/>
      <c r="C277" s="553"/>
      <c r="D277" s="553"/>
      <c r="E277" s="78"/>
      <c r="F277" s="78"/>
      <c r="H277" s="116"/>
    </row>
    <row r="278" spans="1:8" ht="16.5">
      <c r="A278" s="83"/>
      <c r="B278" s="84"/>
      <c r="C278" s="91"/>
      <c r="D278" s="81"/>
      <c r="E278" s="84"/>
      <c r="F278" s="81"/>
      <c r="H278" s="116"/>
    </row>
    <row r="279" spans="1:8" ht="16.5">
      <c r="A279" s="83"/>
      <c r="B279" s="84"/>
      <c r="C279" s="85"/>
      <c r="D279" s="81"/>
      <c r="E279" s="84"/>
      <c r="F279" s="81"/>
    </row>
    <row r="280" spans="1:8" ht="16.5">
      <c r="A280" s="83">
        <v>29.06</v>
      </c>
      <c r="B280" s="84" t="s">
        <v>49</v>
      </c>
      <c r="C280" s="128" t="s">
        <v>241</v>
      </c>
      <c r="D280" s="81">
        <v>321</v>
      </c>
      <c r="E280" s="84" t="s">
        <v>49</v>
      </c>
      <c r="F280" s="81">
        <f>D280*A280</f>
        <v>9328.26</v>
      </c>
    </row>
    <row r="281" spans="1:8" ht="16.5">
      <c r="A281" s="117">
        <v>9.24</v>
      </c>
      <c r="B281" s="84" t="s">
        <v>39</v>
      </c>
      <c r="C281" s="85" t="s">
        <v>226</v>
      </c>
      <c r="D281" s="81">
        <v>38.799999999999997</v>
      </c>
      <c r="E281" s="84" t="s">
        <v>39</v>
      </c>
      <c r="F281" s="81">
        <f t="shared" ref="F281:F291" si="10">D281*A281</f>
        <v>358.51</v>
      </c>
    </row>
    <row r="282" spans="1:8" ht="16.5">
      <c r="A282" s="83">
        <v>1.49</v>
      </c>
      <c r="B282" s="84" t="s">
        <v>10</v>
      </c>
      <c r="C282" s="85" t="s">
        <v>224</v>
      </c>
      <c r="D282" s="81">
        <v>394</v>
      </c>
      <c r="E282" s="84" t="s">
        <v>10</v>
      </c>
      <c r="F282" s="81">
        <f t="shared" si="10"/>
        <v>587.05999999999995</v>
      </c>
    </row>
    <row r="283" spans="1:8" ht="16.5">
      <c r="A283" s="83">
        <v>0.75</v>
      </c>
      <c r="B283" s="84" t="s">
        <v>10</v>
      </c>
      <c r="C283" s="85" t="s">
        <v>225</v>
      </c>
      <c r="D283" s="81">
        <v>695</v>
      </c>
      <c r="E283" s="84" t="s">
        <v>37</v>
      </c>
      <c r="F283" s="81">
        <f t="shared" si="10"/>
        <v>521.25</v>
      </c>
    </row>
    <row r="284" spans="1:8" ht="16.5">
      <c r="A284" s="83">
        <v>2</v>
      </c>
      <c r="B284" s="84" t="s">
        <v>8</v>
      </c>
      <c r="C284" s="85" t="s">
        <v>227</v>
      </c>
      <c r="D284" s="81">
        <v>9</v>
      </c>
      <c r="E284" s="84" t="s">
        <v>8</v>
      </c>
      <c r="F284" s="81">
        <f t="shared" si="10"/>
        <v>18</v>
      </c>
    </row>
    <row r="285" spans="1:8" ht="16.5">
      <c r="A285" s="83">
        <v>7.08</v>
      </c>
      <c r="B285" s="84" t="s">
        <v>69</v>
      </c>
      <c r="C285" s="85" t="s">
        <v>233</v>
      </c>
      <c r="D285" s="81">
        <v>8.6</v>
      </c>
      <c r="E285" s="84" t="s">
        <v>37</v>
      </c>
      <c r="F285" s="81">
        <f t="shared" si="10"/>
        <v>60.89</v>
      </c>
    </row>
    <row r="286" spans="1:8" ht="16.5">
      <c r="A286" s="83">
        <v>2.1</v>
      </c>
      <c r="B286" s="84" t="s">
        <v>123</v>
      </c>
      <c r="C286" s="85" t="s">
        <v>160</v>
      </c>
      <c r="D286" s="79">
        <f>D263</f>
        <v>0</v>
      </c>
      <c r="E286" s="84" t="s">
        <v>123</v>
      </c>
      <c r="F286" s="81">
        <f t="shared" si="10"/>
        <v>0</v>
      </c>
    </row>
    <row r="287" spans="1:8" ht="16.5">
      <c r="A287" s="127">
        <v>1</v>
      </c>
      <c r="B287" s="129" t="s">
        <v>105</v>
      </c>
      <c r="C287" s="127" t="s">
        <v>234</v>
      </c>
      <c r="D287" s="127">
        <v>48.9</v>
      </c>
      <c r="E287" s="130" t="s">
        <v>69</v>
      </c>
      <c r="F287" s="81">
        <f t="shared" si="10"/>
        <v>48.9</v>
      </c>
    </row>
    <row r="288" spans="1:8" ht="16.5">
      <c r="A288" s="127">
        <v>1</v>
      </c>
      <c r="B288" s="129" t="s">
        <v>105</v>
      </c>
      <c r="C288" s="127" t="s">
        <v>235</v>
      </c>
      <c r="D288" s="127">
        <v>884</v>
      </c>
      <c r="E288" s="130" t="s">
        <v>69</v>
      </c>
      <c r="F288" s="81">
        <f t="shared" si="10"/>
        <v>884</v>
      </c>
    </row>
    <row r="289" spans="1:7" ht="18">
      <c r="A289" s="118">
        <v>6</v>
      </c>
      <c r="B289" s="119" t="s">
        <v>105</v>
      </c>
      <c r="C289" s="118" t="s">
        <v>242</v>
      </c>
      <c r="D289" s="120">
        <f>D260</f>
        <v>76.2</v>
      </c>
      <c r="E289" s="121" t="s">
        <v>68</v>
      </c>
      <c r="F289" s="81">
        <f t="shared" si="10"/>
        <v>457.2</v>
      </c>
    </row>
    <row r="290" spans="1:7" ht="18">
      <c r="A290" s="118">
        <v>2</v>
      </c>
      <c r="B290" s="119" t="s">
        <v>105</v>
      </c>
      <c r="C290" s="118" t="s">
        <v>237</v>
      </c>
      <c r="D290" s="120">
        <v>108.7</v>
      </c>
      <c r="E290" s="130" t="s">
        <v>69</v>
      </c>
      <c r="F290" s="81">
        <f t="shared" si="10"/>
        <v>217.4</v>
      </c>
    </row>
    <row r="291" spans="1:7" ht="18">
      <c r="A291" s="118">
        <v>2</v>
      </c>
      <c r="B291" s="119" t="s">
        <v>105</v>
      </c>
      <c r="C291" s="118" t="s">
        <v>238</v>
      </c>
      <c r="D291" s="120">
        <v>54.1</v>
      </c>
      <c r="E291" s="130" t="s">
        <v>69</v>
      </c>
      <c r="F291" s="81">
        <f t="shared" si="10"/>
        <v>108.2</v>
      </c>
    </row>
    <row r="292" spans="1:7">
      <c r="A292" s="96"/>
      <c r="B292" s="96"/>
      <c r="C292" s="96"/>
      <c r="D292" s="96"/>
      <c r="E292" s="96"/>
      <c r="F292" s="19">
        <f>SUM(F280:F291)</f>
        <v>12589.67</v>
      </c>
    </row>
    <row r="293" spans="1:7" ht="16.5">
      <c r="A293" s="116"/>
      <c r="B293" s="116"/>
      <c r="C293" s="116"/>
      <c r="D293" s="116"/>
      <c r="E293" s="116"/>
      <c r="F293" s="81">
        <f>F292/A286</f>
        <v>5995.08</v>
      </c>
    </row>
    <row r="294" spans="1:7">
      <c r="A294" s="116"/>
      <c r="B294" s="116"/>
      <c r="C294" s="116"/>
      <c r="D294" s="116"/>
      <c r="E294" s="116"/>
      <c r="F294" s="116"/>
    </row>
    <row r="297" spans="1:7" ht="19.5">
      <c r="A297" s="132"/>
      <c r="B297" s="133"/>
      <c r="C297" s="134" t="s">
        <v>254</v>
      </c>
      <c r="D297" s="135"/>
      <c r="E297" s="136"/>
      <c r="F297" s="135"/>
      <c r="G297" s="137"/>
    </row>
    <row r="298" spans="1:7" ht="18.75">
      <c r="A298" s="138">
        <v>3.488</v>
      </c>
      <c r="B298" s="139" t="s">
        <v>49</v>
      </c>
      <c r="C298" s="140" t="s">
        <v>255</v>
      </c>
      <c r="D298" s="141" t="e">
        <f>D132</f>
        <v>#REF!</v>
      </c>
      <c r="E298" s="139" t="s">
        <v>49</v>
      </c>
      <c r="F298" s="141" t="e">
        <f t="shared" ref="F298:F307" si="11">D298*A298</f>
        <v>#REF!</v>
      </c>
      <c r="G298" s="137"/>
    </row>
    <row r="299" spans="1:7" ht="18.75">
      <c r="A299" s="138">
        <v>4.38</v>
      </c>
      <c r="B299" s="139" t="s">
        <v>49</v>
      </c>
      <c r="C299" s="140" t="s">
        <v>256</v>
      </c>
      <c r="D299" s="141" t="e">
        <f>D133</f>
        <v>#REF!</v>
      </c>
      <c r="E299" s="139" t="s">
        <v>49</v>
      </c>
      <c r="F299" s="141" t="e">
        <f t="shared" si="11"/>
        <v>#REF!</v>
      </c>
      <c r="G299" s="137"/>
    </row>
    <row r="300" spans="1:7" ht="18.75">
      <c r="A300" s="138">
        <v>1.18</v>
      </c>
      <c r="B300" s="139" t="s">
        <v>49</v>
      </c>
      <c r="C300" s="140" t="s">
        <v>257</v>
      </c>
      <c r="D300" s="141" t="e">
        <f>D134</f>
        <v>#REF!</v>
      </c>
      <c r="E300" s="139" t="s">
        <v>49</v>
      </c>
      <c r="F300" s="141" t="e">
        <f t="shared" si="11"/>
        <v>#REF!</v>
      </c>
      <c r="G300" s="137"/>
    </row>
    <row r="301" spans="1:7" ht="18.75">
      <c r="A301" s="138">
        <v>0.82</v>
      </c>
      <c r="B301" s="139" t="s">
        <v>49</v>
      </c>
      <c r="C301" s="140" t="s">
        <v>258</v>
      </c>
      <c r="D301" s="141" t="e">
        <f>D135</f>
        <v>#REF!</v>
      </c>
      <c r="E301" s="139" t="s">
        <v>49</v>
      </c>
      <c r="F301" s="141" t="e">
        <f t="shared" si="11"/>
        <v>#REF!</v>
      </c>
      <c r="G301" s="137"/>
    </row>
    <row r="302" spans="1:7" ht="18.75">
      <c r="A302" s="138">
        <v>1.26</v>
      </c>
      <c r="B302" s="139" t="s">
        <v>10</v>
      </c>
      <c r="C302" s="140" t="s">
        <v>100</v>
      </c>
      <c r="D302" s="141">
        <f t="shared" ref="D302:D307" si="12">D136</f>
        <v>208.8</v>
      </c>
      <c r="E302" s="139" t="s">
        <v>10</v>
      </c>
      <c r="F302" s="141">
        <f t="shared" si="11"/>
        <v>263.08999999999997</v>
      </c>
      <c r="G302" s="137"/>
    </row>
    <row r="303" spans="1:7" ht="18.75">
      <c r="A303" s="138">
        <v>6.6</v>
      </c>
      <c r="B303" s="139" t="s">
        <v>39</v>
      </c>
      <c r="C303" s="140" t="s">
        <v>155</v>
      </c>
      <c r="D303" s="141">
        <f t="shared" si="12"/>
        <v>27.1</v>
      </c>
      <c r="E303" s="139" t="s">
        <v>39</v>
      </c>
      <c r="F303" s="141">
        <f t="shared" si="11"/>
        <v>178.86</v>
      </c>
      <c r="G303" s="137"/>
    </row>
    <row r="304" spans="1:7" ht="18.75">
      <c r="A304" s="138">
        <v>2</v>
      </c>
      <c r="B304" s="139" t="s">
        <v>37</v>
      </c>
      <c r="C304" s="140" t="s">
        <v>259</v>
      </c>
      <c r="D304" s="141">
        <f t="shared" si="12"/>
        <v>350</v>
      </c>
      <c r="E304" s="139" t="s">
        <v>260</v>
      </c>
      <c r="F304" s="141">
        <f t="shared" si="11"/>
        <v>700</v>
      </c>
      <c r="G304" s="137"/>
    </row>
    <row r="305" spans="1:8" ht="18.75">
      <c r="A305" s="138">
        <v>2</v>
      </c>
      <c r="B305" s="139" t="s">
        <v>37</v>
      </c>
      <c r="C305" s="140" t="s">
        <v>181</v>
      </c>
      <c r="D305" s="141">
        <f t="shared" si="12"/>
        <v>48</v>
      </c>
      <c r="E305" s="139" t="s">
        <v>37</v>
      </c>
      <c r="F305" s="141">
        <f t="shared" si="11"/>
        <v>96</v>
      </c>
      <c r="G305" s="137"/>
    </row>
    <row r="306" spans="1:8" ht="18.75">
      <c r="A306" s="138">
        <v>4</v>
      </c>
      <c r="B306" s="139" t="s">
        <v>37</v>
      </c>
      <c r="C306" s="140" t="s">
        <v>102</v>
      </c>
      <c r="D306" s="141">
        <f t="shared" si="12"/>
        <v>15</v>
      </c>
      <c r="E306" s="139" t="s">
        <v>37</v>
      </c>
      <c r="F306" s="141">
        <f t="shared" si="11"/>
        <v>60</v>
      </c>
      <c r="G306" s="137"/>
    </row>
    <row r="307" spans="1:8" ht="18.75">
      <c r="A307" s="138">
        <v>1.26</v>
      </c>
      <c r="B307" s="139" t="s">
        <v>123</v>
      </c>
      <c r="C307" s="140" t="s">
        <v>103</v>
      </c>
      <c r="D307" s="141" t="e">
        <f t="shared" si="12"/>
        <v>#REF!</v>
      </c>
      <c r="E307" s="139" t="s">
        <v>123</v>
      </c>
      <c r="F307" s="141" t="e">
        <f t="shared" si="11"/>
        <v>#REF!</v>
      </c>
      <c r="G307" s="137"/>
    </row>
    <row r="308" spans="1:8" ht="18.75">
      <c r="A308" s="132"/>
      <c r="B308" s="133"/>
      <c r="C308" s="140" t="s">
        <v>104</v>
      </c>
      <c r="D308" s="135"/>
      <c r="E308" s="142"/>
      <c r="F308" s="141">
        <v>9.4</v>
      </c>
      <c r="G308" s="137"/>
    </row>
    <row r="309" spans="1:8" ht="19.5">
      <c r="A309" s="132"/>
      <c r="B309" s="135"/>
      <c r="C309" s="143" t="s">
        <v>141</v>
      </c>
      <c r="D309" s="135"/>
      <c r="E309" s="135"/>
      <c r="F309" s="144" t="e">
        <f>SUM(F298:F308)</f>
        <v>#REF!</v>
      </c>
      <c r="G309" s="137" t="s">
        <v>69</v>
      </c>
    </row>
    <row r="310" spans="1:8">
      <c r="F310" s="16" t="e">
        <f>F309/1.26</f>
        <v>#REF!</v>
      </c>
      <c r="G310" t="s">
        <v>123</v>
      </c>
    </row>
    <row r="315" spans="1:8">
      <c r="A315" s="556" t="s">
        <v>285</v>
      </c>
      <c r="B315" s="556"/>
      <c r="C315" s="556"/>
      <c r="D315" s="556"/>
      <c r="E315" s="556"/>
      <c r="F315" s="556"/>
      <c r="G315" s="556"/>
      <c r="H315" s="556"/>
    </row>
    <row r="316" spans="1:8">
      <c r="A316" s="556" t="s">
        <v>286</v>
      </c>
      <c r="B316" s="556"/>
      <c r="C316" s="556"/>
      <c r="D316" s="556"/>
      <c r="E316" s="556"/>
      <c r="F316" s="556"/>
      <c r="G316" s="556"/>
      <c r="H316" s="556"/>
    </row>
    <row r="317" spans="1:8">
      <c r="A317" s="116"/>
      <c r="B317" s="116" t="s">
        <v>287</v>
      </c>
      <c r="C317" s="116" t="s">
        <v>288</v>
      </c>
      <c r="D317" s="116"/>
      <c r="E317" s="116"/>
      <c r="F317" s="116"/>
      <c r="G317" s="116"/>
      <c r="H317" s="116"/>
    </row>
    <row r="318" spans="1:8">
      <c r="A318" s="116"/>
      <c r="B318" s="116"/>
      <c r="C318" s="116" t="s">
        <v>289</v>
      </c>
      <c r="D318" s="116" t="s">
        <v>113</v>
      </c>
      <c r="E318" s="116" t="s">
        <v>290</v>
      </c>
      <c r="F318" s="116" t="s">
        <v>113</v>
      </c>
      <c r="G318" s="31">
        <f>1*1.2*1.558</f>
        <v>1.87</v>
      </c>
      <c r="H318" s="116" t="s">
        <v>88</v>
      </c>
    </row>
    <row r="319" spans="1:8">
      <c r="A319" s="116"/>
      <c r="B319" s="116" t="s">
        <v>291</v>
      </c>
      <c r="C319" s="116" t="s">
        <v>292</v>
      </c>
      <c r="D319" s="116"/>
      <c r="E319" s="116"/>
      <c r="F319" s="116"/>
      <c r="G319" s="116"/>
      <c r="H319" s="116"/>
    </row>
    <row r="320" spans="1:8">
      <c r="A320" s="116"/>
      <c r="B320" s="116"/>
      <c r="C320" s="116" t="s">
        <v>293</v>
      </c>
      <c r="D320" s="116" t="s">
        <v>113</v>
      </c>
      <c r="E320" s="116" t="s">
        <v>294</v>
      </c>
      <c r="F320" s="116" t="s">
        <v>113</v>
      </c>
      <c r="G320" s="31">
        <f>1*2*1.35*0.695</f>
        <v>1.88</v>
      </c>
      <c r="H320" s="116" t="s">
        <v>88</v>
      </c>
    </row>
    <row r="321" spans="1:8">
      <c r="A321" s="116"/>
      <c r="B321" s="116" t="s">
        <v>295</v>
      </c>
      <c r="C321" s="116" t="s">
        <v>296</v>
      </c>
      <c r="D321" s="116"/>
      <c r="E321" s="116"/>
      <c r="F321" s="116"/>
      <c r="G321" s="31"/>
      <c r="H321" s="116"/>
    </row>
    <row r="322" spans="1:8">
      <c r="A322" s="116"/>
      <c r="B322" s="116"/>
      <c r="C322" s="116" t="s">
        <v>297</v>
      </c>
      <c r="D322" s="116" t="s">
        <v>113</v>
      </c>
      <c r="E322" s="116" t="s">
        <v>298</v>
      </c>
      <c r="F322" s="116" t="s">
        <v>113</v>
      </c>
      <c r="G322" s="31">
        <f>1*1*1.2*1.088</f>
        <v>1.31</v>
      </c>
      <c r="H322" s="116" t="s">
        <v>88</v>
      </c>
    </row>
    <row r="323" spans="1:8">
      <c r="A323" s="116"/>
      <c r="B323" s="116" t="s">
        <v>299</v>
      </c>
      <c r="C323" s="116" t="s">
        <v>300</v>
      </c>
      <c r="D323" s="116"/>
      <c r="E323" s="116"/>
      <c r="F323" s="116"/>
      <c r="G323" s="31"/>
      <c r="H323" s="116"/>
    </row>
    <row r="324" spans="1:8">
      <c r="A324" s="116"/>
      <c r="B324" s="116"/>
      <c r="C324" s="116" t="s">
        <v>301</v>
      </c>
      <c r="D324" s="116" t="s">
        <v>113</v>
      </c>
      <c r="E324" s="116" t="s">
        <v>302</v>
      </c>
      <c r="F324" s="116" t="s">
        <v>113</v>
      </c>
      <c r="G324" s="31">
        <f>1*2*1.25*0.605</f>
        <v>1.51</v>
      </c>
      <c r="H324" s="116" t="s">
        <v>88</v>
      </c>
    </row>
    <row r="325" spans="1:8">
      <c r="A325" s="116"/>
      <c r="B325" s="116" t="s">
        <v>303</v>
      </c>
      <c r="C325" s="116" t="s">
        <v>304</v>
      </c>
      <c r="D325" s="116"/>
      <c r="E325" s="116"/>
      <c r="F325" s="116"/>
      <c r="G325" s="31"/>
      <c r="H325" s="116"/>
    </row>
    <row r="326" spans="1:8">
      <c r="A326" s="116"/>
      <c r="B326" s="116"/>
      <c r="C326" s="116" t="s">
        <v>305</v>
      </c>
      <c r="D326" s="116" t="s">
        <v>113</v>
      </c>
      <c r="E326" s="116" t="s">
        <v>306</v>
      </c>
      <c r="F326" s="116" t="s">
        <v>113</v>
      </c>
      <c r="G326" s="31">
        <f>1*2*1.25*0.488</f>
        <v>1.22</v>
      </c>
      <c r="H326" s="116" t="s">
        <v>88</v>
      </c>
    </row>
    <row r="327" spans="1:8">
      <c r="A327" s="116"/>
      <c r="B327" s="116" t="s">
        <v>303</v>
      </c>
      <c r="C327" s="116" t="s">
        <v>307</v>
      </c>
      <c r="D327" s="116"/>
      <c r="E327" s="116"/>
      <c r="F327" s="116"/>
      <c r="G327" s="31"/>
      <c r="H327" s="116"/>
    </row>
    <row r="328" spans="1:8">
      <c r="A328" s="116"/>
      <c r="B328" s="116"/>
      <c r="C328" s="116" t="s">
        <v>308</v>
      </c>
      <c r="D328" s="116" t="s">
        <v>113</v>
      </c>
      <c r="E328" s="116" t="s">
        <v>309</v>
      </c>
      <c r="F328" s="116" t="s">
        <v>113</v>
      </c>
      <c r="G328" s="31">
        <f>2*2*0.55*0.355</f>
        <v>0.78</v>
      </c>
      <c r="H328" s="116" t="s">
        <v>88</v>
      </c>
    </row>
    <row r="329" spans="1:8">
      <c r="A329" s="116"/>
      <c r="B329" s="116"/>
      <c r="C329" s="116"/>
      <c r="D329" s="116"/>
      <c r="E329" s="116"/>
      <c r="F329" s="116"/>
      <c r="G329" s="31">
        <f>SUM(G318:G328)</f>
        <v>8.57</v>
      </c>
      <c r="H329" s="116" t="s">
        <v>88</v>
      </c>
    </row>
    <row r="330" spans="1:8">
      <c r="A330" s="116"/>
      <c r="B330" s="116"/>
      <c r="C330" s="116"/>
      <c r="D330" s="116"/>
      <c r="E330" s="116" t="s">
        <v>310</v>
      </c>
      <c r="F330" s="116" t="s">
        <v>113</v>
      </c>
      <c r="G330" s="31">
        <f>G329*10%</f>
        <v>0.86</v>
      </c>
      <c r="H330" s="116" t="s">
        <v>88</v>
      </c>
    </row>
    <row r="331" spans="1:8">
      <c r="A331" s="116"/>
      <c r="B331" s="116"/>
      <c r="C331" s="116"/>
      <c r="D331" s="116"/>
      <c r="E331" s="116"/>
      <c r="F331" s="116"/>
      <c r="G331" s="123">
        <f>SUM(G329:G330)</f>
        <v>9.43</v>
      </c>
      <c r="H331" s="116" t="s">
        <v>88</v>
      </c>
    </row>
    <row r="332" spans="1:8">
      <c r="A332" s="116"/>
      <c r="B332" s="116"/>
      <c r="C332" s="116"/>
      <c r="D332" s="116"/>
      <c r="E332" s="116"/>
      <c r="F332" s="116"/>
      <c r="G332" s="116"/>
      <c r="H332" s="116"/>
    </row>
    <row r="333" spans="1:8">
      <c r="A333" s="116"/>
      <c r="B333" s="154" t="s">
        <v>311</v>
      </c>
      <c r="C333" s="116" t="s">
        <v>312</v>
      </c>
      <c r="D333" s="116"/>
      <c r="E333" s="116"/>
      <c r="F333" s="116"/>
      <c r="G333" s="116"/>
      <c r="H333" s="116"/>
    </row>
    <row r="334" spans="1:8" ht="17.25">
      <c r="A334" s="116"/>
      <c r="B334" s="116"/>
      <c r="C334" s="116" t="s">
        <v>313</v>
      </c>
      <c r="D334" s="116" t="s">
        <v>113</v>
      </c>
      <c r="E334" s="116" t="s">
        <v>314</v>
      </c>
      <c r="F334" s="116" t="s">
        <v>113</v>
      </c>
      <c r="G334" s="116">
        <f>1*2*0.55*1.25</f>
        <v>1.375</v>
      </c>
      <c r="H334" s="116" t="s">
        <v>315</v>
      </c>
    </row>
    <row r="335" spans="1:8">
      <c r="A335" s="116"/>
      <c r="B335" s="116"/>
      <c r="C335" s="116"/>
      <c r="D335" s="116"/>
      <c r="E335" s="116"/>
      <c r="F335" s="116"/>
      <c r="G335" s="116"/>
      <c r="H335" s="116"/>
    </row>
    <row r="336" spans="1:8">
      <c r="A336" s="116"/>
      <c r="B336" s="154" t="s">
        <v>316</v>
      </c>
      <c r="C336" s="116" t="s">
        <v>155</v>
      </c>
      <c r="D336" s="116" t="s">
        <v>113</v>
      </c>
      <c r="E336" s="116" t="s">
        <v>317</v>
      </c>
      <c r="F336" s="116" t="s">
        <v>113</v>
      </c>
      <c r="G336" s="116">
        <f>1*2*2*3.6</f>
        <v>14.4</v>
      </c>
      <c r="H336" s="116" t="s">
        <v>39</v>
      </c>
    </row>
    <row r="337" spans="1:8">
      <c r="A337" s="116"/>
      <c r="B337" s="116"/>
      <c r="C337" s="116"/>
      <c r="D337" s="116"/>
      <c r="E337" s="116"/>
      <c r="F337" s="116"/>
      <c r="G337" s="116"/>
      <c r="H337" s="116"/>
    </row>
    <row r="338" spans="1:8" ht="17.25">
      <c r="A338" s="116"/>
      <c r="B338" s="154" t="s">
        <v>318</v>
      </c>
      <c r="C338" s="116" t="s">
        <v>319</v>
      </c>
      <c r="D338" s="116" t="s">
        <v>113</v>
      </c>
      <c r="E338" s="116" t="s">
        <v>320</v>
      </c>
      <c r="F338" s="116" t="s">
        <v>113</v>
      </c>
      <c r="G338" s="116">
        <f>1.2*1.35</f>
        <v>1.62</v>
      </c>
      <c r="H338" s="116" t="s">
        <v>315</v>
      </c>
    </row>
    <row r="339" spans="1:8">
      <c r="A339" s="116"/>
      <c r="B339" s="116"/>
      <c r="C339" s="116"/>
      <c r="D339" s="116"/>
      <c r="E339" s="116"/>
      <c r="F339" s="116"/>
      <c r="G339" s="116"/>
      <c r="H339" s="116"/>
    </row>
    <row r="340" spans="1:8">
      <c r="A340" s="116"/>
      <c r="B340" s="116"/>
      <c r="C340" s="116"/>
      <c r="D340" s="116"/>
      <c r="E340" s="116"/>
      <c r="F340" s="116"/>
      <c r="G340" s="116"/>
      <c r="H340" s="116"/>
    </row>
    <row r="341" spans="1:8">
      <c r="A341" s="116"/>
      <c r="B341" s="116"/>
      <c r="C341" s="116"/>
      <c r="D341" s="116"/>
      <c r="E341" s="116"/>
      <c r="F341" s="116"/>
      <c r="G341" s="116"/>
      <c r="H341" s="116"/>
    </row>
    <row r="342" spans="1:8">
      <c r="A342" s="11">
        <v>9.43</v>
      </c>
      <c r="B342" s="7" t="s">
        <v>49</v>
      </c>
      <c r="C342" s="1" t="s">
        <v>321</v>
      </c>
      <c r="D342" s="8"/>
      <c r="E342" s="8">
        <v>287</v>
      </c>
      <c r="F342" s="7" t="s">
        <v>49</v>
      </c>
      <c r="G342" s="8">
        <f t="shared" ref="G342:G347" si="13">E342*A342</f>
        <v>2706.41</v>
      </c>
      <c r="H342" s="116"/>
    </row>
    <row r="343" spans="1:8">
      <c r="A343" s="11">
        <f>G334</f>
        <v>1.375</v>
      </c>
      <c r="B343" s="7" t="s">
        <v>10</v>
      </c>
      <c r="C343" s="1" t="s">
        <v>322</v>
      </c>
      <c r="D343" s="8"/>
      <c r="E343" s="8">
        <v>336</v>
      </c>
      <c r="F343" s="7" t="s">
        <v>10</v>
      </c>
      <c r="G343" s="8">
        <f t="shared" si="13"/>
        <v>462</v>
      </c>
      <c r="H343" s="116"/>
    </row>
    <row r="344" spans="1:8">
      <c r="A344" s="11">
        <v>14.4</v>
      </c>
      <c r="B344" s="7" t="s">
        <v>39</v>
      </c>
      <c r="C344" s="1" t="s">
        <v>101</v>
      </c>
      <c r="D344" s="8"/>
      <c r="E344" s="8">
        <v>27.1</v>
      </c>
      <c r="F344" s="7" t="s">
        <v>39</v>
      </c>
      <c r="G344" s="8">
        <f t="shared" si="13"/>
        <v>390.24</v>
      </c>
      <c r="H344" s="116"/>
    </row>
    <row r="345" spans="1:8">
      <c r="A345" s="11">
        <v>1</v>
      </c>
      <c r="B345" s="7" t="s">
        <v>37</v>
      </c>
      <c r="C345" s="1" t="s">
        <v>323</v>
      </c>
      <c r="D345" s="8"/>
      <c r="E345" s="8">
        <v>59.4</v>
      </c>
      <c r="F345" s="7" t="s">
        <v>37</v>
      </c>
      <c r="G345" s="8">
        <f t="shared" si="13"/>
        <v>59.4</v>
      </c>
      <c r="H345" s="116"/>
    </row>
    <row r="346" spans="1:8">
      <c r="A346" s="11">
        <v>1</v>
      </c>
      <c r="B346" s="7" t="s">
        <v>37</v>
      </c>
      <c r="C346" s="1" t="s">
        <v>324</v>
      </c>
      <c r="D346" s="8"/>
      <c r="E346" s="8">
        <v>13.1</v>
      </c>
      <c r="F346" s="7" t="s">
        <v>37</v>
      </c>
      <c r="G346" s="8">
        <f t="shared" si="13"/>
        <v>13.1</v>
      </c>
      <c r="H346" s="116"/>
    </row>
    <row r="347" spans="1:8">
      <c r="A347" s="11">
        <v>1.62</v>
      </c>
      <c r="B347" s="7" t="s">
        <v>123</v>
      </c>
      <c r="C347" s="1" t="s">
        <v>103</v>
      </c>
      <c r="D347" s="96"/>
      <c r="E347" s="96">
        <f>G357</f>
        <v>1110</v>
      </c>
      <c r="F347" s="7" t="s">
        <v>123</v>
      </c>
      <c r="G347" s="8">
        <f t="shared" si="13"/>
        <v>1798.2</v>
      </c>
      <c r="H347" s="116"/>
    </row>
    <row r="348" spans="1:8">
      <c r="A348" s="96"/>
      <c r="B348" s="125"/>
      <c r="C348" s="1" t="s">
        <v>122</v>
      </c>
      <c r="D348" s="96"/>
      <c r="E348" s="97"/>
      <c r="F348" s="8" t="s">
        <v>32</v>
      </c>
      <c r="G348" s="116">
        <v>2.56</v>
      </c>
      <c r="H348" s="116"/>
    </row>
    <row r="349" spans="1:8">
      <c r="A349" s="96"/>
      <c r="B349" s="96"/>
      <c r="C349" s="6" t="s">
        <v>325</v>
      </c>
      <c r="D349" s="96"/>
      <c r="E349" s="96"/>
      <c r="F349" s="73"/>
      <c r="G349" s="96">
        <f>SUM(G342:G348)</f>
        <v>5431.91</v>
      </c>
      <c r="H349" s="116"/>
    </row>
    <row r="350" spans="1:8">
      <c r="A350" s="96"/>
      <c r="B350" s="96"/>
      <c r="C350" s="155" t="s">
        <v>326</v>
      </c>
      <c r="D350" s="124" t="s">
        <v>113</v>
      </c>
      <c r="E350" s="124"/>
      <c r="F350" s="127"/>
      <c r="G350" s="123">
        <f>G349/A347</f>
        <v>3353.03</v>
      </c>
      <c r="H350" s="116"/>
    </row>
    <row r="351" spans="1:8">
      <c r="A351" s="116"/>
      <c r="B351" s="116"/>
      <c r="C351" s="116"/>
      <c r="D351" s="116"/>
      <c r="E351" s="116"/>
      <c r="F351" s="116"/>
      <c r="G351" s="116"/>
      <c r="H351" s="116"/>
    </row>
    <row r="352" spans="1:8">
      <c r="A352" s="116"/>
      <c r="B352" s="116"/>
      <c r="C352" s="122" t="s">
        <v>327</v>
      </c>
      <c r="D352" s="116"/>
      <c r="E352" s="116"/>
      <c r="F352" s="116"/>
      <c r="G352" s="116"/>
      <c r="H352" s="116"/>
    </row>
    <row r="353" spans="1:8">
      <c r="A353" s="8">
        <v>1</v>
      </c>
      <c r="B353" s="7" t="s">
        <v>43</v>
      </c>
      <c r="C353" s="1" t="s">
        <v>328</v>
      </c>
      <c r="D353" s="8"/>
      <c r="E353" s="8">
        <v>501</v>
      </c>
      <c r="F353" s="1" t="s">
        <v>43</v>
      </c>
      <c r="G353" s="116">
        <f>E353*A353</f>
        <v>501</v>
      </c>
      <c r="H353" s="116"/>
    </row>
    <row r="354" spans="1:8">
      <c r="A354" s="8">
        <v>1</v>
      </c>
      <c r="B354" s="7" t="s">
        <v>43</v>
      </c>
      <c r="C354" s="1" t="s">
        <v>329</v>
      </c>
      <c r="D354" s="8"/>
      <c r="E354" s="8">
        <v>355</v>
      </c>
      <c r="F354" s="1" t="s">
        <v>43</v>
      </c>
      <c r="G354" s="116">
        <f>E354*A354</f>
        <v>355</v>
      </c>
      <c r="H354" s="116"/>
    </row>
    <row r="355" spans="1:8">
      <c r="A355" s="8">
        <v>0.5</v>
      </c>
      <c r="B355" s="7" t="s">
        <v>43</v>
      </c>
      <c r="C355" s="1" t="s">
        <v>330</v>
      </c>
      <c r="D355" s="8"/>
      <c r="E355" s="8">
        <v>508</v>
      </c>
      <c r="F355" s="1" t="s">
        <v>43</v>
      </c>
      <c r="G355" s="116">
        <f>E355*A355</f>
        <v>254</v>
      </c>
      <c r="H355" s="116"/>
    </row>
    <row r="356" spans="1:8">
      <c r="A356" s="96"/>
      <c r="B356" s="125"/>
      <c r="C356" s="1"/>
      <c r="D356" s="96"/>
      <c r="E356" s="126"/>
      <c r="F356" s="5"/>
      <c r="G356" s="116"/>
      <c r="H356" s="116"/>
    </row>
    <row r="357" spans="1:8">
      <c r="A357" s="96"/>
      <c r="B357" s="125"/>
      <c r="C357" s="1" t="s">
        <v>169</v>
      </c>
      <c r="D357" s="96"/>
      <c r="E357" s="126"/>
      <c r="F357" s="17"/>
      <c r="G357" s="124">
        <f>SUM(G353:G356)</f>
        <v>1110</v>
      </c>
      <c r="H357" s="116"/>
    </row>
    <row r="358" spans="1:8">
      <c r="A358" s="96"/>
      <c r="B358" s="125"/>
      <c r="C358" s="96"/>
      <c r="D358" s="96"/>
      <c r="E358" s="126"/>
      <c r="F358" s="5"/>
      <c r="G358" s="116"/>
      <c r="H358" s="116"/>
    </row>
    <row r="359" spans="1:8">
      <c r="A359" s="156"/>
      <c r="B359" s="157"/>
      <c r="C359" s="145"/>
      <c r="D359" s="156"/>
      <c r="E359" s="158"/>
      <c r="F359" s="159"/>
      <c r="G359" s="160"/>
      <c r="H359" s="160"/>
    </row>
    <row r="360" spans="1:8">
      <c r="A360" s="116"/>
      <c r="B360" s="116"/>
      <c r="C360" s="116"/>
      <c r="D360" s="116"/>
      <c r="E360" s="116"/>
      <c r="F360" s="116"/>
      <c r="G360" s="116"/>
      <c r="H360" s="116"/>
    </row>
    <row r="361" spans="1:8">
      <c r="A361" s="556" t="s">
        <v>331</v>
      </c>
      <c r="B361" s="556"/>
      <c r="C361" s="556"/>
      <c r="D361" s="556"/>
      <c r="E361" s="556"/>
      <c r="F361" s="556"/>
      <c r="G361" s="556"/>
      <c r="H361" s="556"/>
    </row>
    <row r="362" spans="1:8">
      <c r="A362" s="116"/>
      <c r="B362" s="116" t="s">
        <v>287</v>
      </c>
      <c r="C362" s="116" t="s">
        <v>288</v>
      </c>
      <c r="D362" s="116"/>
      <c r="E362" s="116"/>
      <c r="F362" s="116"/>
      <c r="G362" s="116"/>
      <c r="H362" s="116"/>
    </row>
    <row r="363" spans="1:8">
      <c r="A363" s="116"/>
      <c r="B363" s="116"/>
      <c r="C363" s="116" t="s">
        <v>289</v>
      </c>
      <c r="D363" s="116" t="s">
        <v>113</v>
      </c>
      <c r="E363" s="116" t="s">
        <v>332</v>
      </c>
      <c r="F363" s="116" t="s">
        <v>113</v>
      </c>
      <c r="G363" s="31">
        <f>1*2*2.4*1.558</f>
        <v>7.48</v>
      </c>
      <c r="H363" s="116" t="s">
        <v>88</v>
      </c>
    </row>
    <row r="364" spans="1:8">
      <c r="A364" s="116"/>
      <c r="B364" s="116" t="s">
        <v>291</v>
      </c>
      <c r="C364" s="116" t="s">
        <v>292</v>
      </c>
      <c r="D364" s="116"/>
      <c r="E364" s="116"/>
      <c r="F364" s="116"/>
      <c r="G364" s="31"/>
      <c r="H364" s="116"/>
    </row>
    <row r="365" spans="1:8">
      <c r="A365" s="116"/>
      <c r="B365" s="116"/>
      <c r="C365" s="116" t="s">
        <v>293</v>
      </c>
      <c r="D365" s="116" t="s">
        <v>113</v>
      </c>
      <c r="E365" s="116" t="s">
        <v>333</v>
      </c>
      <c r="F365" s="116" t="s">
        <v>113</v>
      </c>
      <c r="G365" s="31">
        <f>1*4*1.05*0.695</f>
        <v>2.92</v>
      </c>
      <c r="H365" s="116" t="s">
        <v>88</v>
      </c>
    </row>
    <row r="366" spans="1:8">
      <c r="A366" s="116"/>
      <c r="B366" s="116" t="s">
        <v>295</v>
      </c>
      <c r="C366" s="116" t="s">
        <v>296</v>
      </c>
      <c r="D366" s="116"/>
      <c r="E366" s="116"/>
      <c r="F366" s="116"/>
      <c r="G366" s="31"/>
      <c r="H366" s="116"/>
    </row>
    <row r="367" spans="1:8">
      <c r="A367" s="116"/>
      <c r="B367" s="116"/>
      <c r="C367" s="116" t="s">
        <v>297</v>
      </c>
      <c r="D367" s="116" t="s">
        <v>113</v>
      </c>
      <c r="E367" s="116" t="s">
        <v>334</v>
      </c>
      <c r="F367" s="116" t="s">
        <v>113</v>
      </c>
      <c r="G367" s="31">
        <f>1*1*2.4*1.088</f>
        <v>2.61</v>
      </c>
      <c r="H367" s="116" t="s">
        <v>88</v>
      </c>
    </row>
    <row r="368" spans="1:8">
      <c r="A368" s="116"/>
      <c r="B368" s="116" t="s">
        <v>299</v>
      </c>
      <c r="C368" s="116" t="s">
        <v>300</v>
      </c>
      <c r="D368" s="116"/>
      <c r="E368" s="116"/>
      <c r="F368" s="116"/>
      <c r="G368" s="31"/>
      <c r="H368" s="116"/>
    </row>
    <row r="369" spans="1:8">
      <c r="A369" s="116"/>
      <c r="B369" s="116"/>
      <c r="C369" s="116" t="s">
        <v>301</v>
      </c>
      <c r="D369" s="116" t="s">
        <v>113</v>
      </c>
      <c r="E369" s="116" t="s">
        <v>335</v>
      </c>
      <c r="F369" s="116" t="s">
        <v>113</v>
      </c>
      <c r="G369" s="31">
        <f>1*4*0.95*0.605</f>
        <v>2.2999999999999998</v>
      </c>
      <c r="H369" s="116" t="s">
        <v>88</v>
      </c>
    </row>
    <row r="370" spans="1:8">
      <c r="A370" s="116"/>
      <c r="B370" s="116" t="s">
        <v>303</v>
      </c>
      <c r="C370" s="116" t="s">
        <v>304</v>
      </c>
      <c r="D370" s="116"/>
      <c r="E370" s="116"/>
      <c r="F370" s="116"/>
      <c r="G370" s="31"/>
      <c r="H370" s="116"/>
    </row>
    <row r="371" spans="1:8">
      <c r="A371" s="116"/>
      <c r="B371" s="116"/>
      <c r="C371" s="116" t="s">
        <v>305</v>
      </c>
      <c r="D371" s="116" t="s">
        <v>113</v>
      </c>
      <c r="E371" s="116" t="s">
        <v>336</v>
      </c>
      <c r="F371" s="116" t="s">
        <v>113</v>
      </c>
      <c r="G371" s="31">
        <f>1*4*0.95*0.488</f>
        <v>1.85</v>
      </c>
      <c r="H371" s="116" t="s">
        <v>88</v>
      </c>
    </row>
    <row r="372" spans="1:8">
      <c r="A372" s="116"/>
      <c r="B372" s="116" t="s">
        <v>303</v>
      </c>
      <c r="C372" s="116" t="s">
        <v>307</v>
      </c>
      <c r="D372" s="116"/>
      <c r="E372" s="116"/>
      <c r="F372" s="116"/>
      <c r="G372" s="31"/>
      <c r="H372" s="116"/>
    </row>
    <row r="373" spans="1:8">
      <c r="A373" s="116"/>
      <c r="B373" s="116"/>
      <c r="C373" s="116" t="s">
        <v>308</v>
      </c>
      <c r="D373" s="116" t="s">
        <v>113</v>
      </c>
      <c r="E373" s="116" t="s">
        <v>337</v>
      </c>
      <c r="F373" s="116" t="s">
        <v>113</v>
      </c>
      <c r="G373" s="31">
        <f>2*4*0.55*0.355</f>
        <v>1.56</v>
      </c>
      <c r="H373" s="116" t="s">
        <v>88</v>
      </c>
    </row>
    <row r="374" spans="1:8">
      <c r="A374" s="116"/>
      <c r="B374" s="116"/>
      <c r="C374" s="116"/>
      <c r="D374" s="116"/>
      <c r="E374" s="116"/>
      <c r="F374" s="116"/>
      <c r="G374" s="31">
        <f>SUM(G363:G373)</f>
        <v>18.72</v>
      </c>
      <c r="H374" s="116" t="s">
        <v>88</v>
      </c>
    </row>
    <row r="375" spans="1:8">
      <c r="A375" s="116"/>
      <c r="B375" s="116"/>
      <c r="C375" s="116"/>
      <c r="D375" s="116"/>
      <c r="E375" s="116" t="s">
        <v>310</v>
      </c>
      <c r="F375" s="116" t="s">
        <v>113</v>
      </c>
      <c r="G375" s="31">
        <f>G374*10%</f>
        <v>1.87</v>
      </c>
      <c r="H375" s="116" t="s">
        <v>88</v>
      </c>
    </row>
    <row r="376" spans="1:8">
      <c r="A376" s="116"/>
      <c r="B376" s="116"/>
      <c r="C376" s="116"/>
      <c r="D376" s="116"/>
      <c r="E376" s="116"/>
      <c r="F376" s="116"/>
      <c r="G376" s="123">
        <f>SUM(G374:G375)</f>
        <v>20.59</v>
      </c>
      <c r="H376" s="116" t="s">
        <v>88</v>
      </c>
    </row>
    <row r="377" spans="1:8">
      <c r="A377" s="116"/>
      <c r="B377" s="116"/>
      <c r="C377" s="116"/>
      <c r="D377" s="116"/>
      <c r="E377" s="116"/>
      <c r="F377" s="116"/>
      <c r="G377" s="116"/>
      <c r="H377" s="116"/>
    </row>
    <row r="378" spans="1:8">
      <c r="A378" s="116"/>
      <c r="B378" s="154" t="s">
        <v>311</v>
      </c>
      <c r="C378" s="116" t="s">
        <v>312</v>
      </c>
      <c r="D378" s="116"/>
      <c r="E378" s="116"/>
      <c r="F378" s="116"/>
      <c r="G378" s="31"/>
      <c r="H378" s="116"/>
    </row>
    <row r="379" spans="1:8" ht="17.25">
      <c r="A379" s="116"/>
      <c r="B379" s="116"/>
      <c r="C379" s="116" t="s">
        <v>313</v>
      </c>
      <c r="D379" s="116" t="s">
        <v>113</v>
      </c>
      <c r="E379" s="116" t="s">
        <v>338</v>
      </c>
      <c r="F379" s="116" t="s">
        <v>113</v>
      </c>
      <c r="G379" s="161">
        <f>1*4*0.55*0.95</f>
        <v>2.09</v>
      </c>
      <c r="H379" s="116" t="s">
        <v>315</v>
      </c>
    </row>
    <row r="380" spans="1:8">
      <c r="A380" s="116"/>
      <c r="B380" s="116"/>
      <c r="C380" s="116"/>
      <c r="D380" s="116"/>
      <c r="E380" s="116"/>
      <c r="F380" s="116"/>
      <c r="G380" s="31"/>
      <c r="H380" s="116"/>
    </row>
    <row r="381" spans="1:8">
      <c r="A381" s="116"/>
      <c r="B381" s="154" t="s">
        <v>316</v>
      </c>
      <c r="C381" s="116" t="s">
        <v>155</v>
      </c>
      <c r="D381" s="116" t="s">
        <v>113</v>
      </c>
      <c r="E381" s="116" t="s">
        <v>339</v>
      </c>
      <c r="F381" s="116" t="s">
        <v>113</v>
      </c>
      <c r="G381" s="31">
        <f>1*2*4*3.3</f>
        <v>26.4</v>
      </c>
      <c r="H381" s="116" t="s">
        <v>39</v>
      </c>
    </row>
    <row r="382" spans="1:8">
      <c r="A382" s="116"/>
      <c r="B382" s="116"/>
      <c r="C382" s="116"/>
      <c r="D382" s="116"/>
      <c r="E382" s="116"/>
      <c r="F382" s="116"/>
      <c r="G382" s="31"/>
      <c r="H382" s="116"/>
    </row>
    <row r="383" spans="1:8" ht="17.25">
      <c r="A383" s="116"/>
      <c r="B383" s="154" t="s">
        <v>318</v>
      </c>
      <c r="C383" s="116" t="s">
        <v>319</v>
      </c>
      <c r="D383" s="116" t="s">
        <v>113</v>
      </c>
      <c r="E383" s="116" t="s">
        <v>340</v>
      </c>
      <c r="F383" s="116" t="s">
        <v>113</v>
      </c>
      <c r="G383" s="31">
        <f>2.4*1.05</f>
        <v>2.52</v>
      </c>
      <c r="H383" s="116" t="s">
        <v>315</v>
      </c>
    </row>
    <row r="384" spans="1:8">
      <c r="A384" s="116"/>
      <c r="B384" s="116"/>
      <c r="C384" s="116"/>
      <c r="D384" s="116"/>
      <c r="E384" s="116"/>
      <c r="F384" s="116"/>
      <c r="G384" s="116"/>
      <c r="H384" s="116"/>
    </row>
    <row r="385" spans="1:8">
      <c r="A385" s="116"/>
      <c r="B385" s="116"/>
      <c r="C385" s="116"/>
      <c r="D385" s="116"/>
      <c r="E385" s="116"/>
      <c r="F385" s="116"/>
      <c r="G385" s="116"/>
      <c r="H385" s="116"/>
    </row>
    <row r="386" spans="1:8">
      <c r="A386" s="116"/>
      <c r="B386" s="116"/>
      <c r="C386" s="116"/>
      <c r="D386" s="116"/>
      <c r="E386" s="116"/>
      <c r="F386" s="116"/>
      <c r="G386" s="116"/>
      <c r="H386" s="116"/>
    </row>
    <row r="387" spans="1:8">
      <c r="A387" s="11">
        <v>20.59</v>
      </c>
      <c r="B387" s="7" t="s">
        <v>49</v>
      </c>
      <c r="C387" s="1" t="s">
        <v>321</v>
      </c>
      <c r="D387" s="8"/>
      <c r="E387" s="8">
        <v>287</v>
      </c>
      <c r="F387" s="7" t="s">
        <v>49</v>
      </c>
      <c r="G387" s="8">
        <f t="shared" ref="G387:G392" si="14">E387*A387</f>
        <v>5909.33</v>
      </c>
      <c r="H387" s="116"/>
    </row>
    <row r="388" spans="1:8">
      <c r="A388" s="11">
        <v>2.09</v>
      </c>
      <c r="B388" s="7" t="s">
        <v>10</v>
      </c>
      <c r="C388" s="1" t="s">
        <v>322</v>
      </c>
      <c r="D388" s="8"/>
      <c r="E388" s="8">
        <v>336</v>
      </c>
      <c r="F388" s="7" t="s">
        <v>10</v>
      </c>
      <c r="G388" s="8">
        <f t="shared" si="14"/>
        <v>702.24</v>
      </c>
      <c r="H388" s="116"/>
    </row>
    <row r="389" spans="1:8">
      <c r="A389" s="11">
        <v>26.4</v>
      </c>
      <c r="B389" s="7" t="s">
        <v>39</v>
      </c>
      <c r="C389" s="1" t="s">
        <v>101</v>
      </c>
      <c r="D389" s="8"/>
      <c r="E389" s="8">
        <v>27.1</v>
      </c>
      <c r="F389" s="7" t="s">
        <v>39</v>
      </c>
      <c r="G389" s="8">
        <f t="shared" si="14"/>
        <v>715.44</v>
      </c>
      <c r="H389" s="116"/>
    </row>
    <row r="390" spans="1:8">
      <c r="A390" s="11">
        <v>1</v>
      </c>
      <c r="B390" s="7" t="s">
        <v>37</v>
      </c>
      <c r="C390" s="1" t="s">
        <v>323</v>
      </c>
      <c r="D390" s="8"/>
      <c r="E390" s="8">
        <v>59.4</v>
      </c>
      <c r="F390" s="7" t="s">
        <v>37</v>
      </c>
      <c r="G390" s="8">
        <f t="shared" si="14"/>
        <v>59.4</v>
      </c>
      <c r="H390" s="116"/>
    </row>
    <row r="391" spans="1:8">
      <c r="A391" s="11">
        <v>1</v>
      </c>
      <c r="B391" s="7" t="s">
        <v>37</v>
      </c>
      <c r="C391" s="1" t="s">
        <v>324</v>
      </c>
      <c r="D391" s="8"/>
      <c r="E391" s="8">
        <v>13.1</v>
      </c>
      <c r="F391" s="7" t="s">
        <v>37</v>
      </c>
      <c r="G391" s="8">
        <f t="shared" si="14"/>
        <v>13.1</v>
      </c>
      <c r="H391" s="116"/>
    </row>
    <row r="392" spans="1:8">
      <c r="A392" s="11">
        <v>2.52</v>
      </c>
      <c r="B392" s="7" t="s">
        <v>123</v>
      </c>
      <c r="C392" s="1" t="s">
        <v>103</v>
      </c>
      <c r="D392" s="96"/>
      <c r="E392" s="96">
        <f>G402</f>
        <v>1110</v>
      </c>
      <c r="F392" s="7" t="s">
        <v>123</v>
      </c>
      <c r="G392" s="8">
        <f t="shared" si="14"/>
        <v>2797.2</v>
      </c>
      <c r="H392" s="116"/>
    </row>
    <row r="393" spans="1:8">
      <c r="A393" s="96"/>
      <c r="B393" s="125"/>
      <c r="C393" s="1" t="s">
        <v>122</v>
      </c>
      <c r="D393" s="96"/>
      <c r="E393" s="97"/>
      <c r="F393" s="8" t="s">
        <v>32</v>
      </c>
      <c r="G393" s="96">
        <v>4.26</v>
      </c>
      <c r="H393" s="116"/>
    </row>
    <row r="394" spans="1:8">
      <c r="A394" s="96"/>
      <c r="B394" s="96"/>
      <c r="C394" s="6" t="s">
        <v>71</v>
      </c>
      <c r="D394" s="96"/>
      <c r="E394" s="96"/>
      <c r="F394" s="73"/>
      <c r="G394" s="125">
        <f>SUM(G387:G393)</f>
        <v>10200.969999999999</v>
      </c>
      <c r="H394" s="116"/>
    </row>
    <row r="395" spans="1:8">
      <c r="A395" s="96"/>
      <c r="B395" s="96"/>
      <c r="C395" s="155" t="s">
        <v>326</v>
      </c>
      <c r="D395" s="124" t="s">
        <v>113</v>
      </c>
      <c r="E395" s="124"/>
      <c r="F395" s="127"/>
      <c r="G395" s="123">
        <f>G394/A392</f>
        <v>4048</v>
      </c>
      <c r="H395" s="116"/>
    </row>
    <row r="396" spans="1:8">
      <c r="A396" s="116"/>
      <c r="B396" s="116"/>
      <c r="C396" s="116"/>
      <c r="D396" s="116"/>
      <c r="E396" s="116"/>
      <c r="F396" s="116"/>
      <c r="G396" s="116"/>
      <c r="H396" s="116"/>
    </row>
    <row r="397" spans="1:8">
      <c r="A397" s="116"/>
      <c r="B397" s="116"/>
      <c r="C397" s="122" t="s">
        <v>327</v>
      </c>
      <c r="D397" s="116"/>
      <c r="E397" s="116"/>
      <c r="F397" s="116"/>
      <c r="G397" s="116"/>
      <c r="H397" s="116"/>
    </row>
    <row r="398" spans="1:8">
      <c r="A398" s="8">
        <v>1</v>
      </c>
      <c r="B398" s="7" t="s">
        <v>43</v>
      </c>
      <c r="C398" s="1" t="s">
        <v>328</v>
      </c>
      <c r="D398" s="8"/>
      <c r="E398" s="8">
        <v>501</v>
      </c>
      <c r="F398" s="1" t="s">
        <v>43</v>
      </c>
      <c r="G398" s="31">
        <f>E398*A398</f>
        <v>501</v>
      </c>
      <c r="H398" s="116"/>
    </row>
    <row r="399" spans="1:8">
      <c r="A399" s="8">
        <v>1</v>
      </c>
      <c r="B399" s="7" t="s">
        <v>43</v>
      </c>
      <c r="C399" s="1" t="s">
        <v>329</v>
      </c>
      <c r="D399" s="8"/>
      <c r="E399" s="8">
        <v>355</v>
      </c>
      <c r="F399" s="1" t="s">
        <v>43</v>
      </c>
      <c r="G399" s="31">
        <f>E399*A399</f>
        <v>355</v>
      </c>
      <c r="H399" s="116"/>
    </row>
    <row r="400" spans="1:8">
      <c r="A400" s="8">
        <v>0.5</v>
      </c>
      <c r="B400" s="7" t="s">
        <v>43</v>
      </c>
      <c r="C400" s="1" t="s">
        <v>330</v>
      </c>
      <c r="D400" s="8"/>
      <c r="E400" s="8">
        <v>508</v>
      </c>
      <c r="F400" s="1" t="s">
        <v>43</v>
      </c>
      <c r="G400" s="31">
        <f>E400*A400</f>
        <v>254</v>
      </c>
      <c r="H400" s="116"/>
    </row>
    <row r="401" spans="1:8">
      <c r="A401" s="96"/>
      <c r="B401" s="125"/>
      <c r="C401" s="1"/>
      <c r="D401" s="96"/>
      <c r="E401" s="126"/>
      <c r="F401" s="5"/>
      <c r="G401" s="116"/>
      <c r="H401" s="116"/>
    </row>
    <row r="402" spans="1:8">
      <c r="A402" s="96"/>
      <c r="B402" s="125"/>
      <c r="C402" s="1" t="s">
        <v>169</v>
      </c>
      <c r="D402" s="96"/>
      <c r="E402" s="126"/>
      <c r="F402" s="17"/>
      <c r="G402" s="124">
        <f>SUM(G398:G401)</f>
        <v>1110</v>
      </c>
      <c r="H402" s="116"/>
    </row>
    <row r="403" spans="1:8">
      <c r="A403" s="96"/>
      <c r="B403" s="125"/>
      <c r="C403" s="96"/>
      <c r="D403" s="96"/>
      <c r="E403" s="126"/>
      <c r="F403" s="5"/>
      <c r="G403" s="116"/>
      <c r="H403" s="116"/>
    </row>
    <row r="404" spans="1:8">
      <c r="A404" s="160"/>
      <c r="B404" s="160"/>
      <c r="C404" s="160"/>
      <c r="D404" s="160"/>
      <c r="E404" s="160"/>
      <c r="F404" s="160"/>
      <c r="G404" s="160"/>
      <c r="H404" s="160"/>
    </row>
    <row r="405" spans="1:8">
      <c r="A405" s="116"/>
      <c r="B405" s="116"/>
      <c r="C405" s="116"/>
      <c r="D405" s="116"/>
      <c r="E405" s="116"/>
      <c r="F405" s="116"/>
      <c r="G405" s="116"/>
      <c r="H405" s="116"/>
    </row>
    <row r="406" spans="1:8">
      <c r="A406" s="556" t="s">
        <v>341</v>
      </c>
      <c r="B406" s="556"/>
      <c r="C406" s="556"/>
      <c r="D406" s="556"/>
      <c r="E406" s="556"/>
      <c r="F406" s="556"/>
      <c r="G406" s="556"/>
      <c r="H406" s="556"/>
    </row>
    <row r="407" spans="1:8">
      <c r="A407" s="116"/>
      <c r="B407" s="116" t="s">
        <v>287</v>
      </c>
      <c r="C407" s="116" t="s">
        <v>288</v>
      </c>
      <c r="D407" s="116"/>
      <c r="E407" s="116"/>
      <c r="F407" s="116"/>
      <c r="G407" s="116"/>
      <c r="H407" s="116"/>
    </row>
    <row r="408" spans="1:8">
      <c r="A408" s="116"/>
      <c r="B408" s="116"/>
      <c r="C408" s="116" t="s">
        <v>289</v>
      </c>
      <c r="D408" s="116" t="s">
        <v>113</v>
      </c>
      <c r="E408" s="116" t="s">
        <v>342</v>
      </c>
      <c r="F408" s="116" t="s">
        <v>113</v>
      </c>
      <c r="G408" s="31">
        <f>1*1*0.9*1.558</f>
        <v>1.4</v>
      </c>
      <c r="H408" s="116" t="s">
        <v>88</v>
      </c>
    </row>
    <row r="409" spans="1:8">
      <c r="A409" s="116"/>
      <c r="B409" s="116" t="s">
        <v>291</v>
      </c>
      <c r="C409" s="116" t="s">
        <v>292</v>
      </c>
      <c r="D409" s="116"/>
      <c r="E409" s="116"/>
      <c r="F409" s="116"/>
      <c r="G409" s="116"/>
      <c r="H409" s="116"/>
    </row>
    <row r="410" spans="1:8">
      <c r="A410" s="116"/>
      <c r="B410" s="116"/>
      <c r="C410" s="116" t="s">
        <v>293</v>
      </c>
      <c r="D410" s="116" t="s">
        <v>113</v>
      </c>
      <c r="E410" s="116" t="s">
        <v>294</v>
      </c>
      <c r="F410" s="116" t="s">
        <v>113</v>
      </c>
      <c r="G410" s="31">
        <f>1*2*1.35*0.695</f>
        <v>1.88</v>
      </c>
      <c r="H410" s="116" t="s">
        <v>88</v>
      </c>
    </row>
    <row r="411" spans="1:8">
      <c r="A411" s="116"/>
      <c r="B411" s="116" t="s">
        <v>295</v>
      </c>
      <c r="C411" s="116" t="s">
        <v>296</v>
      </c>
      <c r="D411" s="116"/>
      <c r="E411" s="116"/>
      <c r="F411" s="116"/>
      <c r="G411" s="31"/>
      <c r="H411" s="116"/>
    </row>
    <row r="412" spans="1:8">
      <c r="A412" s="116"/>
      <c r="B412" s="116"/>
      <c r="C412" s="116" t="s">
        <v>297</v>
      </c>
      <c r="D412" s="116" t="s">
        <v>113</v>
      </c>
      <c r="E412" s="116" t="s">
        <v>343</v>
      </c>
      <c r="F412" s="116" t="s">
        <v>113</v>
      </c>
      <c r="G412" s="31">
        <f>1*1*0.9*1.088</f>
        <v>0.98</v>
      </c>
      <c r="H412" s="116" t="s">
        <v>88</v>
      </c>
    </row>
    <row r="413" spans="1:8">
      <c r="A413" s="116"/>
      <c r="B413" s="116" t="s">
        <v>299</v>
      </c>
      <c r="C413" s="116" t="s">
        <v>300</v>
      </c>
      <c r="D413" s="116"/>
      <c r="E413" s="116"/>
      <c r="F413" s="116"/>
      <c r="G413" s="31"/>
      <c r="H413" s="116"/>
    </row>
    <row r="414" spans="1:8">
      <c r="A414" s="116"/>
      <c r="B414" s="116"/>
      <c r="C414" s="116" t="s">
        <v>301</v>
      </c>
      <c r="D414" s="116" t="s">
        <v>113</v>
      </c>
      <c r="E414" s="116" t="s">
        <v>302</v>
      </c>
      <c r="F414" s="116" t="s">
        <v>113</v>
      </c>
      <c r="G414" s="31">
        <f>1*2*1.25*0.605</f>
        <v>1.51</v>
      </c>
      <c r="H414" s="116" t="s">
        <v>88</v>
      </c>
    </row>
    <row r="415" spans="1:8">
      <c r="A415" s="116"/>
      <c r="B415" s="116" t="s">
        <v>303</v>
      </c>
      <c r="C415" s="116" t="s">
        <v>304</v>
      </c>
      <c r="D415" s="116"/>
      <c r="E415" s="116"/>
      <c r="F415" s="116"/>
      <c r="G415" s="31"/>
      <c r="H415" s="116"/>
    </row>
    <row r="416" spans="1:8">
      <c r="A416" s="116"/>
      <c r="B416" s="116"/>
      <c r="C416" s="116" t="s">
        <v>305</v>
      </c>
      <c r="D416" s="116" t="s">
        <v>113</v>
      </c>
      <c r="E416" s="116" t="s">
        <v>306</v>
      </c>
      <c r="F416" s="116" t="s">
        <v>113</v>
      </c>
      <c r="G416" s="31">
        <f>1*2*1.25*0.488</f>
        <v>1.22</v>
      </c>
      <c r="H416" s="116" t="s">
        <v>88</v>
      </c>
    </row>
    <row r="417" spans="1:8">
      <c r="A417" s="116"/>
      <c r="B417" s="116" t="s">
        <v>303</v>
      </c>
      <c r="C417" s="116" t="s">
        <v>307</v>
      </c>
      <c r="D417" s="116"/>
      <c r="E417" s="116"/>
      <c r="F417" s="116"/>
      <c r="G417" s="31"/>
      <c r="H417" s="116"/>
    </row>
    <row r="418" spans="1:8">
      <c r="A418" s="116"/>
      <c r="B418" s="116"/>
      <c r="C418" s="116" t="s">
        <v>308</v>
      </c>
      <c r="D418" s="116" t="s">
        <v>113</v>
      </c>
      <c r="E418" s="116" t="s">
        <v>344</v>
      </c>
      <c r="F418" s="116" t="s">
        <v>113</v>
      </c>
      <c r="G418" s="31">
        <f>2*2*0.45*0.355</f>
        <v>0.64</v>
      </c>
      <c r="H418" s="116" t="s">
        <v>88</v>
      </c>
    </row>
    <row r="419" spans="1:8">
      <c r="A419" s="116"/>
      <c r="B419" s="116"/>
      <c r="C419" s="116"/>
      <c r="D419" s="116"/>
      <c r="E419" s="116"/>
      <c r="F419" s="116"/>
      <c r="G419" s="31">
        <f>SUM(G408:G418)</f>
        <v>7.63</v>
      </c>
      <c r="H419" s="116" t="s">
        <v>88</v>
      </c>
    </row>
    <row r="420" spans="1:8">
      <c r="A420" s="116"/>
      <c r="B420" s="116"/>
      <c r="C420" s="116"/>
      <c r="D420" s="116"/>
      <c r="E420" s="116" t="s">
        <v>310</v>
      </c>
      <c r="F420" s="116" t="s">
        <v>113</v>
      </c>
      <c r="G420" s="31">
        <f>G419*10%</f>
        <v>0.76</v>
      </c>
      <c r="H420" s="116" t="s">
        <v>88</v>
      </c>
    </row>
    <row r="421" spans="1:8">
      <c r="A421" s="116"/>
      <c r="B421" s="116"/>
      <c r="C421" s="116"/>
      <c r="D421" s="116"/>
      <c r="E421" s="116"/>
      <c r="F421" s="116"/>
      <c r="G421" s="162">
        <f>SUM(G419:G420)</f>
        <v>8.39</v>
      </c>
      <c r="H421" s="116" t="s">
        <v>88</v>
      </c>
    </row>
    <row r="422" spans="1:8">
      <c r="A422" s="116"/>
      <c r="B422" s="116"/>
      <c r="C422" s="116"/>
      <c r="D422" s="116"/>
      <c r="E422" s="116"/>
      <c r="F422" s="116"/>
      <c r="G422" s="116"/>
      <c r="H422" s="116"/>
    </row>
    <row r="423" spans="1:8">
      <c r="A423" s="116"/>
      <c r="B423" s="154" t="s">
        <v>311</v>
      </c>
      <c r="C423" s="116" t="s">
        <v>312</v>
      </c>
      <c r="D423" s="116"/>
      <c r="E423" s="116"/>
      <c r="F423" s="116"/>
      <c r="G423" s="116"/>
      <c r="H423" s="116"/>
    </row>
    <row r="424" spans="1:8" ht="17.25">
      <c r="A424" s="116"/>
      <c r="B424" s="116"/>
      <c r="C424" s="116" t="s">
        <v>313</v>
      </c>
      <c r="D424" s="116" t="s">
        <v>113</v>
      </c>
      <c r="E424" s="116" t="s">
        <v>345</v>
      </c>
      <c r="F424" s="116" t="s">
        <v>113</v>
      </c>
      <c r="G424" s="161">
        <f>1*2*0.45*1.25</f>
        <v>1.125</v>
      </c>
      <c r="H424" s="116" t="s">
        <v>315</v>
      </c>
    </row>
    <row r="425" spans="1:8">
      <c r="A425" s="116"/>
      <c r="B425" s="116"/>
      <c r="C425" s="116"/>
      <c r="D425" s="116"/>
      <c r="E425" s="116"/>
      <c r="F425" s="116"/>
      <c r="G425" s="31"/>
      <c r="H425" s="116"/>
    </row>
    <row r="426" spans="1:8">
      <c r="A426" s="116"/>
      <c r="B426" s="154" t="s">
        <v>316</v>
      </c>
      <c r="C426" s="116" t="s">
        <v>155</v>
      </c>
      <c r="D426" s="116" t="s">
        <v>113</v>
      </c>
      <c r="E426" s="116" t="s">
        <v>346</v>
      </c>
      <c r="F426" s="116" t="s">
        <v>113</v>
      </c>
      <c r="G426" s="31">
        <f>1*2*2*3.4</f>
        <v>13.6</v>
      </c>
      <c r="H426" s="116" t="s">
        <v>39</v>
      </c>
    </row>
    <row r="427" spans="1:8">
      <c r="A427" s="116"/>
      <c r="B427" s="116"/>
      <c r="C427" s="116"/>
      <c r="D427" s="116"/>
      <c r="E427" s="116"/>
      <c r="F427" s="116"/>
      <c r="G427" s="31"/>
      <c r="H427" s="116"/>
    </row>
    <row r="428" spans="1:8" ht="17.25">
      <c r="A428" s="116"/>
      <c r="B428" s="154" t="s">
        <v>318</v>
      </c>
      <c r="C428" s="116" t="s">
        <v>319</v>
      </c>
      <c r="D428" s="116" t="s">
        <v>113</v>
      </c>
      <c r="E428" s="116" t="s">
        <v>347</v>
      </c>
      <c r="F428" s="116" t="s">
        <v>113</v>
      </c>
      <c r="G428" s="31">
        <f>0.9*1.35</f>
        <v>1.22</v>
      </c>
      <c r="H428" s="116" t="s">
        <v>315</v>
      </c>
    </row>
    <row r="429" spans="1:8">
      <c r="A429" s="116"/>
      <c r="B429" s="116"/>
      <c r="C429" s="116"/>
      <c r="D429" s="116"/>
      <c r="E429" s="116"/>
      <c r="F429" s="116"/>
      <c r="G429" s="116"/>
      <c r="H429" s="116"/>
    </row>
    <row r="430" spans="1:8">
      <c r="A430" s="116"/>
      <c r="B430" s="116"/>
      <c r="C430" s="116"/>
      <c r="D430" s="116"/>
      <c r="E430" s="116"/>
      <c r="F430" s="116"/>
      <c r="G430" s="116"/>
      <c r="H430" s="116"/>
    </row>
    <row r="431" spans="1:8">
      <c r="A431" s="116"/>
      <c r="B431" s="116"/>
      <c r="C431" s="116"/>
      <c r="D431" s="116"/>
      <c r="E431" s="116"/>
      <c r="F431" s="116"/>
      <c r="G431" s="116"/>
      <c r="H431" s="116"/>
    </row>
    <row r="432" spans="1:8">
      <c r="A432" s="11">
        <f>G421</f>
        <v>8.39</v>
      </c>
      <c r="B432" s="7" t="s">
        <v>49</v>
      </c>
      <c r="C432" s="1" t="s">
        <v>321</v>
      </c>
      <c r="D432" s="8"/>
      <c r="E432" s="8">
        <v>287</v>
      </c>
      <c r="F432" s="7" t="s">
        <v>49</v>
      </c>
      <c r="G432" s="8">
        <f t="shared" ref="G432:G437" si="15">E432*A432</f>
        <v>2407.9299999999998</v>
      </c>
      <c r="H432" s="116"/>
    </row>
    <row r="433" spans="1:8">
      <c r="A433" s="11">
        <f>G424</f>
        <v>1.125</v>
      </c>
      <c r="B433" s="7" t="s">
        <v>10</v>
      </c>
      <c r="C433" s="1" t="s">
        <v>322</v>
      </c>
      <c r="D433" s="8"/>
      <c r="E433" s="8">
        <v>336</v>
      </c>
      <c r="F433" s="7" t="s">
        <v>10</v>
      </c>
      <c r="G433" s="8">
        <f t="shared" si="15"/>
        <v>378</v>
      </c>
      <c r="H433" s="116"/>
    </row>
    <row r="434" spans="1:8">
      <c r="A434" s="11">
        <v>13.6</v>
      </c>
      <c r="B434" s="7" t="s">
        <v>39</v>
      </c>
      <c r="C434" s="1" t="s">
        <v>101</v>
      </c>
      <c r="D434" s="8"/>
      <c r="E434" s="8">
        <v>27.1</v>
      </c>
      <c r="F434" s="7" t="s">
        <v>39</v>
      </c>
      <c r="G434" s="8">
        <f t="shared" si="15"/>
        <v>368.56</v>
      </c>
      <c r="H434" s="116"/>
    </row>
    <row r="435" spans="1:8">
      <c r="A435" s="11">
        <v>1</v>
      </c>
      <c r="B435" s="7" t="s">
        <v>37</v>
      </c>
      <c r="C435" s="1" t="s">
        <v>323</v>
      </c>
      <c r="D435" s="8"/>
      <c r="E435" s="8">
        <v>59.4</v>
      </c>
      <c r="F435" s="7" t="s">
        <v>37</v>
      </c>
      <c r="G435" s="8">
        <f t="shared" si="15"/>
        <v>59.4</v>
      </c>
      <c r="H435" s="116"/>
    </row>
    <row r="436" spans="1:8">
      <c r="A436" s="11">
        <v>1</v>
      </c>
      <c r="B436" s="7" t="s">
        <v>37</v>
      </c>
      <c r="C436" s="1" t="s">
        <v>324</v>
      </c>
      <c r="D436" s="8"/>
      <c r="E436" s="8">
        <v>13.1</v>
      </c>
      <c r="F436" s="7" t="s">
        <v>37</v>
      </c>
      <c r="G436" s="8">
        <f t="shared" si="15"/>
        <v>13.1</v>
      </c>
      <c r="H436" s="116"/>
    </row>
    <row r="437" spans="1:8">
      <c r="A437" s="11">
        <v>1.22</v>
      </c>
      <c r="B437" s="7" t="s">
        <v>123</v>
      </c>
      <c r="C437" s="1" t="s">
        <v>103</v>
      </c>
      <c r="D437" s="96"/>
      <c r="E437" s="96">
        <f>G447</f>
        <v>1110</v>
      </c>
      <c r="F437" s="7" t="s">
        <v>123</v>
      </c>
      <c r="G437" s="8">
        <f t="shared" si="15"/>
        <v>1354.2</v>
      </c>
      <c r="H437" s="116"/>
    </row>
    <row r="438" spans="1:8">
      <c r="A438" s="96"/>
      <c r="B438" s="125"/>
      <c r="C438" s="1" t="s">
        <v>122</v>
      </c>
      <c r="D438" s="96"/>
      <c r="E438" s="97"/>
      <c r="F438" s="8" t="s">
        <v>32</v>
      </c>
      <c r="G438" s="116">
        <v>4.7</v>
      </c>
      <c r="H438" s="116"/>
    </row>
    <row r="439" spans="1:8">
      <c r="A439" s="96"/>
      <c r="B439" s="96"/>
      <c r="C439" s="6" t="s">
        <v>348</v>
      </c>
      <c r="D439" s="96"/>
      <c r="E439" s="96"/>
      <c r="F439" s="73"/>
      <c r="G439" s="96">
        <f>SUM(G432:G438)</f>
        <v>4585.8900000000003</v>
      </c>
      <c r="H439" s="116"/>
    </row>
    <row r="440" spans="1:8">
      <c r="A440" s="96"/>
      <c r="B440" s="96"/>
      <c r="C440" s="155" t="s">
        <v>326</v>
      </c>
      <c r="D440" s="124" t="s">
        <v>113</v>
      </c>
      <c r="E440" s="124"/>
      <c r="F440" s="127"/>
      <c r="G440" s="123">
        <f>G439/A437</f>
        <v>3758.93</v>
      </c>
      <c r="H440" s="116"/>
    </row>
    <row r="441" spans="1:8">
      <c r="A441" s="116"/>
      <c r="B441" s="116"/>
      <c r="C441" s="116"/>
      <c r="D441" s="116"/>
      <c r="E441" s="116"/>
      <c r="F441" s="116"/>
      <c r="G441" s="116"/>
      <c r="H441" s="116"/>
    </row>
    <row r="442" spans="1:8">
      <c r="A442" s="116"/>
      <c r="B442" s="116"/>
      <c r="C442" s="122" t="s">
        <v>327</v>
      </c>
      <c r="D442" s="116"/>
      <c r="E442" s="116"/>
      <c r="F442" s="116"/>
      <c r="G442" s="116"/>
      <c r="H442" s="116"/>
    </row>
    <row r="443" spans="1:8">
      <c r="A443" s="8">
        <v>1</v>
      </c>
      <c r="B443" s="7" t="s">
        <v>43</v>
      </c>
      <c r="C443" s="1" t="s">
        <v>328</v>
      </c>
      <c r="D443" s="8"/>
      <c r="E443" s="8">
        <v>501</v>
      </c>
      <c r="F443" s="1" t="s">
        <v>43</v>
      </c>
      <c r="G443" s="116">
        <f>E443*A443</f>
        <v>501</v>
      </c>
      <c r="H443" s="116"/>
    </row>
    <row r="444" spans="1:8">
      <c r="A444" s="8">
        <v>1</v>
      </c>
      <c r="B444" s="7" t="s">
        <v>43</v>
      </c>
      <c r="C444" s="1" t="s">
        <v>329</v>
      </c>
      <c r="D444" s="8"/>
      <c r="E444" s="8">
        <v>355</v>
      </c>
      <c r="F444" s="1" t="s">
        <v>43</v>
      </c>
      <c r="G444" s="116">
        <f>E444*A444</f>
        <v>355</v>
      </c>
      <c r="H444" s="116"/>
    </row>
    <row r="445" spans="1:8">
      <c r="A445" s="8">
        <v>0.5</v>
      </c>
      <c r="B445" s="7" t="s">
        <v>43</v>
      </c>
      <c r="C445" s="1" t="s">
        <v>330</v>
      </c>
      <c r="D445" s="8"/>
      <c r="E445" s="8">
        <v>508</v>
      </c>
      <c r="F445" s="1" t="s">
        <v>43</v>
      </c>
      <c r="G445" s="116">
        <f>E445*A445</f>
        <v>254</v>
      </c>
      <c r="H445" s="116"/>
    </row>
    <row r="446" spans="1:8">
      <c r="A446" s="96"/>
      <c r="B446" s="125"/>
      <c r="C446" s="1"/>
      <c r="D446" s="96"/>
      <c r="E446" s="126"/>
      <c r="F446" s="5"/>
      <c r="G446" s="116"/>
      <c r="H446" s="116"/>
    </row>
    <row r="447" spans="1:8">
      <c r="A447" s="96"/>
      <c r="B447" s="125"/>
      <c r="C447" s="1" t="s">
        <v>169</v>
      </c>
      <c r="D447" s="96"/>
      <c r="E447" s="126"/>
      <c r="F447" s="17"/>
      <c r="G447" s="124">
        <f>SUM(G443:G446)</f>
        <v>1110</v>
      </c>
      <c r="H447" s="116"/>
    </row>
    <row r="448" spans="1:8">
      <c r="A448" s="96"/>
      <c r="B448" s="125"/>
      <c r="C448" s="96"/>
      <c r="D448" s="96"/>
      <c r="E448" s="126"/>
      <c r="F448" s="5"/>
      <c r="G448" s="116"/>
      <c r="H448" s="116"/>
    </row>
    <row r="449" spans="1:8">
      <c r="A449" s="160"/>
      <c r="B449" s="160"/>
      <c r="C449" s="160"/>
      <c r="D449" s="160"/>
      <c r="E449" s="160"/>
      <c r="F449" s="160"/>
      <c r="G449" s="160"/>
      <c r="H449" s="160"/>
    </row>
    <row r="450" spans="1:8">
      <c r="A450" s="116"/>
      <c r="B450" s="116"/>
      <c r="C450" s="116"/>
      <c r="D450" s="116"/>
      <c r="E450" s="116"/>
      <c r="F450" s="116"/>
      <c r="G450" s="116"/>
      <c r="H450" s="116"/>
    </row>
    <row r="451" spans="1:8">
      <c r="A451" s="556" t="s">
        <v>349</v>
      </c>
      <c r="B451" s="556"/>
      <c r="C451" s="556"/>
      <c r="D451" s="556"/>
      <c r="E451" s="556"/>
      <c r="F451" s="556"/>
      <c r="G451" s="556"/>
      <c r="H451" s="556"/>
    </row>
    <row r="452" spans="1:8">
      <c r="A452" s="116"/>
      <c r="B452" s="116" t="s">
        <v>287</v>
      </c>
      <c r="C452" s="116" t="s">
        <v>288</v>
      </c>
      <c r="D452" s="116"/>
      <c r="E452" s="116"/>
      <c r="F452" s="116"/>
      <c r="G452" s="116"/>
      <c r="H452" s="116"/>
    </row>
    <row r="453" spans="1:8">
      <c r="A453" s="116"/>
      <c r="B453" s="116"/>
      <c r="C453" s="116" t="s">
        <v>289</v>
      </c>
      <c r="D453" s="116" t="s">
        <v>113</v>
      </c>
      <c r="E453" s="116" t="s">
        <v>332</v>
      </c>
      <c r="F453" s="116" t="s">
        <v>113</v>
      </c>
      <c r="G453" s="31">
        <f>1*2*2.4*1.558</f>
        <v>7.48</v>
      </c>
      <c r="H453" s="116" t="s">
        <v>88</v>
      </c>
    </row>
    <row r="454" spans="1:8">
      <c r="A454" s="116"/>
      <c r="B454" s="116" t="s">
        <v>291</v>
      </c>
      <c r="C454" s="116" t="s">
        <v>292</v>
      </c>
      <c r="D454" s="116"/>
      <c r="E454" s="116"/>
      <c r="F454" s="116"/>
      <c r="G454" s="116"/>
      <c r="H454" s="116"/>
    </row>
    <row r="455" spans="1:8">
      <c r="A455" s="116"/>
      <c r="B455" s="116"/>
      <c r="C455" s="116" t="s">
        <v>293</v>
      </c>
      <c r="D455" s="116" t="s">
        <v>113</v>
      </c>
      <c r="E455" s="116" t="s">
        <v>350</v>
      </c>
      <c r="F455" s="116" t="s">
        <v>113</v>
      </c>
      <c r="G455" s="31">
        <f>1*2*1.8*0.695</f>
        <v>2.5</v>
      </c>
      <c r="H455" s="116" t="s">
        <v>88</v>
      </c>
    </row>
    <row r="456" spans="1:8">
      <c r="A456" s="116"/>
      <c r="B456" s="116" t="s">
        <v>295</v>
      </c>
      <c r="C456" s="116" t="s">
        <v>296</v>
      </c>
      <c r="D456" s="116"/>
      <c r="E456" s="116"/>
      <c r="F456" s="116"/>
      <c r="G456" s="31"/>
      <c r="H456" s="116"/>
    </row>
    <row r="457" spans="1:8">
      <c r="A457" s="116"/>
      <c r="B457" s="116"/>
      <c r="C457" s="116" t="s">
        <v>297</v>
      </c>
      <c r="D457" s="116" t="s">
        <v>113</v>
      </c>
      <c r="E457" s="116" t="s">
        <v>334</v>
      </c>
      <c r="F457" s="116" t="s">
        <v>113</v>
      </c>
      <c r="G457" s="31">
        <f>1*1*2.4*1.088</f>
        <v>2.61</v>
      </c>
      <c r="H457" s="116" t="s">
        <v>88</v>
      </c>
    </row>
    <row r="458" spans="1:8">
      <c r="A458" s="116"/>
      <c r="B458" s="116" t="s">
        <v>291</v>
      </c>
      <c r="C458" s="116" t="s">
        <v>292</v>
      </c>
      <c r="D458" s="116"/>
      <c r="E458" s="116"/>
      <c r="F458" s="116"/>
      <c r="G458" s="116"/>
      <c r="H458" s="116"/>
    </row>
    <row r="459" spans="1:8">
      <c r="A459" s="116"/>
      <c r="B459" s="116"/>
      <c r="C459" s="116" t="s">
        <v>351</v>
      </c>
      <c r="D459" s="116" t="s">
        <v>113</v>
      </c>
      <c r="E459" s="116" t="s">
        <v>352</v>
      </c>
      <c r="F459" s="116" t="s">
        <v>113</v>
      </c>
      <c r="G459" s="31">
        <f>1*2*1.2*0.695</f>
        <v>1.67</v>
      </c>
      <c r="H459" s="116" t="s">
        <v>88</v>
      </c>
    </row>
    <row r="460" spans="1:8">
      <c r="A460" s="116"/>
      <c r="B460" s="116" t="s">
        <v>299</v>
      </c>
      <c r="C460" s="116" t="s">
        <v>300</v>
      </c>
      <c r="D460" s="116"/>
      <c r="E460" s="116"/>
      <c r="F460" s="116"/>
      <c r="G460" s="31"/>
      <c r="H460" s="116"/>
    </row>
    <row r="461" spans="1:8">
      <c r="A461" s="116"/>
      <c r="B461" s="116"/>
      <c r="C461" s="116" t="s">
        <v>301</v>
      </c>
      <c r="D461" s="116" t="s">
        <v>113</v>
      </c>
      <c r="E461" s="116" t="s">
        <v>353</v>
      </c>
      <c r="F461" s="116" t="s">
        <v>113</v>
      </c>
      <c r="G461" s="31">
        <f>1*4*1.1*0.605</f>
        <v>2.66</v>
      </c>
      <c r="H461" s="116" t="s">
        <v>88</v>
      </c>
    </row>
    <row r="462" spans="1:8">
      <c r="A462" s="116"/>
      <c r="B462" s="116" t="s">
        <v>303</v>
      </c>
      <c r="C462" s="116" t="s">
        <v>304</v>
      </c>
      <c r="D462" s="116"/>
      <c r="E462" s="116"/>
      <c r="F462" s="116"/>
      <c r="G462" s="31"/>
      <c r="H462" s="116"/>
    </row>
    <row r="463" spans="1:8">
      <c r="A463" s="116"/>
      <c r="B463" s="116"/>
      <c r="C463" s="116" t="s">
        <v>305</v>
      </c>
      <c r="D463" s="116" t="s">
        <v>113</v>
      </c>
      <c r="E463" s="116" t="s">
        <v>354</v>
      </c>
      <c r="F463" s="116" t="s">
        <v>113</v>
      </c>
      <c r="G463" s="31">
        <f>1*4*1.1*0.488</f>
        <v>2.15</v>
      </c>
      <c r="H463" s="116" t="s">
        <v>88</v>
      </c>
    </row>
    <row r="464" spans="1:8">
      <c r="A464" s="116"/>
      <c r="B464" s="116" t="s">
        <v>355</v>
      </c>
      <c r="C464" s="116" t="s">
        <v>307</v>
      </c>
      <c r="D464" s="116"/>
      <c r="E464" s="116"/>
      <c r="F464" s="116"/>
      <c r="G464" s="31"/>
      <c r="H464" s="116"/>
    </row>
    <row r="465" spans="1:8">
      <c r="A465" s="116"/>
      <c r="B465" s="116"/>
      <c r="C465" s="116" t="s">
        <v>308</v>
      </c>
      <c r="D465" s="116" t="s">
        <v>113</v>
      </c>
      <c r="E465" s="116" t="s">
        <v>337</v>
      </c>
      <c r="F465" s="116" t="s">
        <v>113</v>
      </c>
      <c r="G465" s="31">
        <f>2*4*0.55*0.355</f>
        <v>1.56</v>
      </c>
      <c r="H465" s="116" t="s">
        <v>88</v>
      </c>
    </row>
    <row r="466" spans="1:8">
      <c r="A466" s="116"/>
      <c r="B466" s="116"/>
      <c r="C466" s="116"/>
      <c r="D466" s="116"/>
      <c r="E466" s="116"/>
      <c r="F466" s="116"/>
      <c r="G466" s="31">
        <f>SUM(G453:G465)</f>
        <v>20.63</v>
      </c>
      <c r="H466" s="116" t="s">
        <v>88</v>
      </c>
    </row>
    <row r="467" spans="1:8">
      <c r="A467" s="116"/>
      <c r="B467" s="116"/>
      <c r="C467" s="116"/>
      <c r="D467" s="116"/>
      <c r="E467" s="116" t="s">
        <v>310</v>
      </c>
      <c r="F467" s="116" t="s">
        <v>113</v>
      </c>
      <c r="G467" s="31">
        <f>G466*10%</f>
        <v>2.06</v>
      </c>
      <c r="H467" s="116" t="s">
        <v>88</v>
      </c>
    </row>
    <row r="468" spans="1:8">
      <c r="A468" s="116"/>
      <c r="B468" s="116"/>
      <c r="C468" s="116"/>
      <c r="D468" s="116"/>
      <c r="E468" s="116"/>
      <c r="F468" s="116"/>
      <c r="G468" s="123">
        <f>SUM(G466:G467)</f>
        <v>22.69</v>
      </c>
      <c r="H468" s="116" t="s">
        <v>88</v>
      </c>
    </row>
    <row r="469" spans="1:8">
      <c r="A469" s="116"/>
      <c r="B469" s="116"/>
      <c r="C469" s="116"/>
      <c r="D469" s="116"/>
      <c r="E469" s="116"/>
      <c r="F469" s="116"/>
      <c r="G469" s="116"/>
      <c r="H469" s="116"/>
    </row>
    <row r="470" spans="1:8">
      <c r="A470" s="116"/>
      <c r="B470" s="154" t="s">
        <v>311</v>
      </c>
      <c r="C470" s="116" t="s">
        <v>312</v>
      </c>
      <c r="D470" s="116"/>
      <c r="E470" s="116"/>
      <c r="F470" s="116"/>
      <c r="G470" s="116"/>
      <c r="H470" s="116"/>
    </row>
    <row r="471" spans="1:8" ht="17.25">
      <c r="A471" s="116"/>
      <c r="B471" s="116"/>
      <c r="C471" s="116" t="s">
        <v>313</v>
      </c>
      <c r="D471" s="116" t="s">
        <v>113</v>
      </c>
      <c r="E471" s="116" t="s">
        <v>356</v>
      </c>
      <c r="F471" s="116" t="s">
        <v>113</v>
      </c>
      <c r="G471" s="31">
        <f>1*4*0.55*1.1</f>
        <v>2.42</v>
      </c>
      <c r="H471" s="116" t="s">
        <v>315</v>
      </c>
    </row>
    <row r="472" spans="1:8" ht="17.25">
      <c r="A472" s="116"/>
      <c r="B472" s="116"/>
      <c r="C472" s="116" t="s">
        <v>357</v>
      </c>
      <c r="D472" s="116" t="s">
        <v>113</v>
      </c>
      <c r="E472" s="116" t="s">
        <v>358</v>
      </c>
      <c r="F472" s="116" t="s">
        <v>113</v>
      </c>
      <c r="G472" s="31">
        <f>1*1*2.3*0.6</f>
        <v>1.38</v>
      </c>
      <c r="H472" s="116" t="s">
        <v>315</v>
      </c>
    </row>
    <row r="473" spans="1:8" ht="17.25">
      <c r="A473" s="116"/>
      <c r="B473" s="116"/>
      <c r="C473" s="116"/>
      <c r="D473" s="116"/>
      <c r="E473" s="116"/>
      <c r="F473" s="116"/>
      <c r="G473" s="123">
        <f>SUM(G471:G472)</f>
        <v>3.8</v>
      </c>
      <c r="H473" s="122" t="s">
        <v>359</v>
      </c>
    </row>
    <row r="474" spans="1:8">
      <c r="A474" s="116"/>
      <c r="B474" s="116"/>
      <c r="C474" s="116"/>
      <c r="D474" s="116"/>
      <c r="E474" s="116"/>
      <c r="F474" s="116"/>
      <c r="G474" s="123"/>
      <c r="H474" s="122"/>
    </row>
    <row r="475" spans="1:8">
      <c r="A475" s="116"/>
      <c r="B475" s="154" t="s">
        <v>316</v>
      </c>
      <c r="C475" s="116" t="s">
        <v>155</v>
      </c>
      <c r="D475" s="116" t="s">
        <v>113</v>
      </c>
      <c r="E475" s="116" t="s">
        <v>360</v>
      </c>
      <c r="F475" s="116" t="s">
        <v>113</v>
      </c>
      <c r="G475" s="31">
        <f>1*2*4*3.3</f>
        <v>26.4</v>
      </c>
      <c r="H475" s="116" t="s">
        <v>39</v>
      </c>
    </row>
    <row r="476" spans="1:8">
      <c r="A476" s="116"/>
      <c r="B476" s="154"/>
      <c r="C476" s="116"/>
      <c r="D476" s="116" t="s">
        <v>113</v>
      </c>
      <c r="E476" s="116" t="s">
        <v>361</v>
      </c>
      <c r="F476" s="116" t="s">
        <v>113</v>
      </c>
      <c r="G476" s="31">
        <f>1*2*1*5.8</f>
        <v>11.6</v>
      </c>
      <c r="H476" s="116" t="s">
        <v>39</v>
      </c>
    </row>
    <row r="477" spans="1:8">
      <c r="A477" s="116"/>
      <c r="B477" s="154"/>
      <c r="C477" s="116"/>
      <c r="D477" s="116"/>
      <c r="E477" s="116"/>
      <c r="F477" s="116"/>
      <c r="G477" s="123">
        <f>SUM(G475:G476)</f>
        <v>38</v>
      </c>
      <c r="H477" s="122" t="s">
        <v>39</v>
      </c>
    </row>
    <row r="478" spans="1:8">
      <c r="A478" s="116"/>
      <c r="B478" s="116"/>
      <c r="C478" s="116"/>
      <c r="D478" s="116"/>
      <c r="E478" s="116"/>
      <c r="F478" s="116"/>
      <c r="G478" s="31"/>
      <c r="H478" s="116"/>
    </row>
    <row r="479" spans="1:8" ht="17.25">
      <c r="A479" s="116"/>
      <c r="B479" s="154" t="s">
        <v>318</v>
      </c>
      <c r="C479" s="116" t="s">
        <v>319</v>
      </c>
      <c r="D479" s="116" t="s">
        <v>113</v>
      </c>
      <c r="E479" s="116" t="s">
        <v>362</v>
      </c>
      <c r="F479" s="116" t="s">
        <v>113</v>
      </c>
      <c r="G479" s="31">
        <f>2.4*1.8</f>
        <v>4.32</v>
      </c>
      <c r="H479" s="116" t="s">
        <v>315</v>
      </c>
    </row>
    <row r="480" spans="1:8">
      <c r="A480" s="116"/>
      <c r="B480" s="116"/>
      <c r="C480" s="116"/>
      <c r="D480" s="116"/>
      <c r="E480" s="116"/>
      <c r="F480" s="116"/>
      <c r="G480" s="116"/>
      <c r="H480" s="116"/>
    </row>
    <row r="481" spans="1:8">
      <c r="A481" s="116"/>
      <c r="B481" s="116"/>
      <c r="C481" s="116"/>
      <c r="D481" s="116"/>
      <c r="E481" s="116"/>
      <c r="F481" s="116"/>
      <c r="G481" s="116"/>
      <c r="H481" s="116"/>
    </row>
    <row r="482" spans="1:8">
      <c r="A482" s="116"/>
      <c r="B482" s="116"/>
      <c r="C482" s="116"/>
      <c r="D482" s="116"/>
      <c r="E482" s="116"/>
      <c r="F482" s="116"/>
      <c r="G482" s="116"/>
      <c r="H482" s="116"/>
    </row>
    <row r="483" spans="1:8">
      <c r="A483" s="11">
        <f>G468</f>
        <v>22.69</v>
      </c>
      <c r="B483" s="7" t="s">
        <v>49</v>
      </c>
      <c r="C483" s="1" t="s">
        <v>321</v>
      </c>
      <c r="D483" s="8"/>
      <c r="E483" s="8">
        <v>287</v>
      </c>
      <c r="F483" s="7" t="s">
        <v>49</v>
      </c>
      <c r="G483" s="8">
        <f t="shared" ref="G483:G488" si="16">E483*A483</f>
        <v>6512.03</v>
      </c>
      <c r="H483" s="116"/>
    </row>
    <row r="484" spans="1:8">
      <c r="A484" s="11">
        <f>G473</f>
        <v>3.8</v>
      </c>
      <c r="B484" s="7" t="s">
        <v>10</v>
      </c>
      <c r="C484" s="1" t="s">
        <v>322</v>
      </c>
      <c r="D484" s="8"/>
      <c r="E484" s="8">
        <v>336</v>
      </c>
      <c r="F484" s="7" t="s">
        <v>10</v>
      </c>
      <c r="G484" s="8">
        <f t="shared" si="16"/>
        <v>1276.8</v>
      </c>
      <c r="H484" s="116"/>
    </row>
    <row r="485" spans="1:8">
      <c r="A485" s="11">
        <v>38</v>
      </c>
      <c r="B485" s="7" t="s">
        <v>39</v>
      </c>
      <c r="C485" s="1" t="s">
        <v>101</v>
      </c>
      <c r="D485" s="8"/>
      <c r="E485" s="8">
        <v>27.1</v>
      </c>
      <c r="F485" s="7" t="s">
        <v>39</v>
      </c>
      <c r="G485" s="8">
        <f t="shared" si="16"/>
        <v>1029.8</v>
      </c>
      <c r="H485" s="116"/>
    </row>
    <row r="486" spans="1:8">
      <c r="A486" s="11">
        <v>1</v>
      </c>
      <c r="B486" s="7" t="s">
        <v>37</v>
      </c>
      <c r="C486" s="1" t="s">
        <v>323</v>
      </c>
      <c r="D486" s="8"/>
      <c r="E486" s="8">
        <v>59.4</v>
      </c>
      <c r="F486" s="7" t="s">
        <v>37</v>
      </c>
      <c r="G486" s="8">
        <f t="shared" si="16"/>
        <v>59.4</v>
      </c>
      <c r="H486" s="116"/>
    </row>
    <row r="487" spans="1:8">
      <c r="A487" s="11">
        <v>1</v>
      </c>
      <c r="B487" s="7" t="s">
        <v>37</v>
      </c>
      <c r="C487" s="1" t="s">
        <v>324</v>
      </c>
      <c r="D487" s="8"/>
      <c r="E487" s="8">
        <v>13.1</v>
      </c>
      <c r="F487" s="7" t="s">
        <v>37</v>
      </c>
      <c r="G487" s="8">
        <f t="shared" si="16"/>
        <v>13.1</v>
      </c>
      <c r="H487" s="116"/>
    </row>
    <row r="488" spans="1:8">
      <c r="A488" s="11">
        <v>4.32</v>
      </c>
      <c r="B488" s="7" t="s">
        <v>123</v>
      </c>
      <c r="C488" s="1" t="s">
        <v>103</v>
      </c>
      <c r="D488" s="96"/>
      <c r="E488" s="96">
        <f>G498</f>
        <v>1110</v>
      </c>
      <c r="F488" s="7" t="s">
        <v>123</v>
      </c>
      <c r="G488" s="8">
        <f t="shared" si="16"/>
        <v>4795.2</v>
      </c>
      <c r="H488" s="116"/>
    </row>
    <row r="489" spans="1:8">
      <c r="A489" s="96"/>
      <c r="B489" s="125"/>
      <c r="C489" s="1" t="s">
        <v>122</v>
      </c>
      <c r="D489" s="96"/>
      <c r="E489" s="97"/>
      <c r="F489" s="8" t="s">
        <v>32</v>
      </c>
      <c r="G489" s="116">
        <v>4.7</v>
      </c>
      <c r="H489" s="116"/>
    </row>
    <row r="490" spans="1:8">
      <c r="A490" s="96"/>
      <c r="B490" s="96"/>
      <c r="C490" s="6" t="s">
        <v>363</v>
      </c>
      <c r="D490" s="96"/>
      <c r="E490" s="96"/>
      <c r="F490" s="73"/>
      <c r="G490" s="96">
        <f>SUM(G483:G489)</f>
        <v>13691.03</v>
      </c>
      <c r="H490" s="116"/>
    </row>
    <row r="491" spans="1:8">
      <c r="A491" s="96"/>
      <c r="B491" s="96"/>
      <c r="C491" s="155" t="s">
        <v>326</v>
      </c>
      <c r="D491" s="124" t="s">
        <v>113</v>
      </c>
      <c r="E491" s="124"/>
      <c r="F491" s="127"/>
      <c r="G491" s="123">
        <f>G490/A488</f>
        <v>3169.22</v>
      </c>
      <c r="H491" s="116"/>
    </row>
    <row r="492" spans="1:8">
      <c r="A492" s="116"/>
      <c r="B492" s="116"/>
      <c r="C492" s="116"/>
      <c r="D492" s="116"/>
      <c r="E492" s="116"/>
      <c r="F492" s="116"/>
      <c r="G492" s="116"/>
      <c r="H492" s="116"/>
    </row>
    <row r="493" spans="1:8">
      <c r="A493" s="116"/>
      <c r="B493" s="116"/>
      <c r="C493" s="122" t="s">
        <v>327</v>
      </c>
      <c r="D493" s="116"/>
      <c r="E493" s="116"/>
      <c r="F493" s="116"/>
      <c r="G493" s="116"/>
      <c r="H493" s="116"/>
    </row>
    <row r="494" spans="1:8">
      <c r="A494" s="8">
        <v>1</v>
      </c>
      <c r="B494" s="7" t="s">
        <v>43</v>
      </c>
      <c r="C494" s="1" t="s">
        <v>328</v>
      </c>
      <c r="D494" s="8"/>
      <c r="E494" s="8">
        <v>501</v>
      </c>
      <c r="F494" s="1" t="s">
        <v>43</v>
      </c>
      <c r="G494" s="116">
        <f>E494*A494</f>
        <v>501</v>
      </c>
      <c r="H494" s="116"/>
    </row>
    <row r="495" spans="1:8">
      <c r="A495" s="8">
        <v>1</v>
      </c>
      <c r="B495" s="7" t="s">
        <v>43</v>
      </c>
      <c r="C495" s="1" t="s">
        <v>329</v>
      </c>
      <c r="D495" s="8"/>
      <c r="E495" s="8">
        <v>355</v>
      </c>
      <c r="F495" s="1" t="s">
        <v>43</v>
      </c>
      <c r="G495" s="116">
        <f>E495*A495</f>
        <v>355</v>
      </c>
      <c r="H495" s="116"/>
    </row>
    <row r="496" spans="1:8">
      <c r="A496" s="8">
        <v>0.5</v>
      </c>
      <c r="B496" s="7" t="s">
        <v>43</v>
      </c>
      <c r="C496" s="1" t="s">
        <v>330</v>
      </c>
      <c r="D496" s="8"/>
      <c r="E496" s="8">
        <v>508</v>
      </c>
      <c r="F496" s="1" t="s">
        <v>43</v>
      </c>
      <c r="G496" s="116">
        <f>E496*A496</f>
        <v>254</v>
      </c>
      <c r="H496" s="116"/>
    </row>
    <row r="497" spans="1:8">
      <c r="A497" s="96"/>
      <c r="B497" s="125"/>
      <c r="C497" s="1"/>
      <c r="D497" s="96"/>
      <c r="E497" s="126"/>
      <c r="F497" s="5"/>
      <c r="G497" s="116"/>
      <c r="H497" s="116"/>
    </row>
    <row r="498" spans="1:8">
      <c r="A498" s="96"/>
      <c r="B498" s="125"/>
      <c r="C498" s="1" t="s">
        <v>169</v>
      </c>
      <c r="D498" s="96"/>
      <c r="E498" s="126"/>
      <c r="F498" s="17"/>
      <c r="G498" s="124">
        <f>SUM(G494:G497)</f>
        <v>1110</v>
      </c>
      <c r="H498" s="116"/>
    </row>
    <row r="499" spans="1:8">
      <c r="A499" s="96"/>
      <c r="B499" s="125"/>
      <c r="C499" s="96"/>
      <c r="D499" s="96"/>
      <c r="E499" s="126"/>
      <c r="F499" s="5"/>
      <c r="G499" s="116"/>
      <c r="H499" s="116"/>
    </row>
    <row r="500" spans="1:8">
      <c r="A500" s="160"/>
      <c r="B500" s="160"/>
      <c r="C500" s="160"/>
      <c r="D500" s="160"/>
      <c r="E500" s="160"/>
      <c r="F500" s="160"/>
      <c r="G500" s="160"/>
      <c r="H500" s="160"/>
    </row>
    <row r="501" spans="1:8" ht="30" customHeight="1">
      <c r="A501" s="116"/>
      <c r="B501" s="116"/>
      <c r="C501" s="95" t="s">
        <v>373</v>
      </c>
      <c r="D501" s="116"/>
      <c r="E501" s="116"/>
      <c r="F501" s="116"/>
      <c r="G501" s="116"/>
      <c r="H501" s="116"/>
    </row>
    <row r="502" spans="1:8">
      <c r="A502" s="116"/>
      <c r="B502" s="116" t="s">
        <v>287</v>
      </c>
      <c r="C502" s="116" t="s">
        <v>288</v>
      </c>
      <c r="D502" s="116"/>
      <c r="E502" s="116"/>
      <c r="F502" s="116"/>
      <c r="G502" s="116"/>
      <c r="H502" s="116"/>
    </row>
    <row r="503" spans="1:8">
      <c r="A503" s="116"/>
      <c r="B503" s="116"/>
      <c r="C503" s="116" t="s">
        <v>364</v>
      </c>
      <c r="D503" s="116" t="s">
        <v>113</v>
      </c>
      <c r="E503" s="116" t="s">
        <v>365</v>
      </c>
      <c r="F503" s="116" t="s">
        <v>113</v>
      </c>
      <c r="G503" s="31">
        <f>1*2*0.6</f>
        <v>1.2</v>
      </c>
      <c r="H503" s="116" t="s">
        <v>88</v>
      </c>
    </row>
    <row r="504" spans="1:8">
      <c r="A504" s="116"/>
      <c r="B504" s="116"/>
      <c r="C504" s="116" t="s">
        <v>366</v>
      </c>
      <c r="D504" s="116" t="s">
        <v>113</v>
      </c>
      <c r="E504" s="116" t="s">
        <v>367</v>
      </c>
      <c r="F504" s="116" t="s">
        <v>113</v>
      </c>
      <c r="G504" s="31">
        <f>1*2*0.9</f>
        <v>1.8</v>
      </c>
      <c r="H504" s="116" t="s">
        <v>88</v>
      </c>
    </row>
    <row r="505" spans="1:8">
      <c r="A505" s="116"/>
      <c r="B505" s="116"/>
      <c r="C505" s="116"/>
      <c r="D505" s="116"/>
      <c r="E505" s="116"/>
      <c r="F505" s="116"/>
      <c r="G505" s="31">
        <f>SUM(G503:G504)</f>
        <v>3</v>
      </c>
      <c r="H505" s="116" t="s">
        <v>88</v>
      </c>
    </row>
    <row r="506" spans="1:8">
      <c r="A506" s="116"/>
      <c r="B506" s="116"/>
      <c r="C506" s="116"/>
      <c r="D506" s="116" t="s">
        <v>113</v>
      </c>
      <c r="E506" s="116" t="s">
        <v>368</v>
      </c>
      <c r="F506" s="116" t="s">
        <v>113</v>
      </c>
      <c r="G506" s="32">
        <f>3*1.558</f>
        <v>4.67</v>
      </c>
      <c r="H506" s="116" t="s">
        <v>88</v>
      </c>
    </row>
    <row r="507" spans="1:8">
      <c r="A507" s="116"/>
      <c r="B507" s="116"/>
      <c r="C507" s="116"/>
      <c r="D507" s="116"/>
      <c r="E507" s="116"/>
      <c r="F507" s="116"/>
      <c r="G507" s="31"/>
      <c r="H507" s="116"/>
    </row>
    <row r="508" spans="1:8">
      <c r="A508" s="116"/>
      <c r="B508" s="116"/>
      <c r="C508" s="116" t="s">
        <v>369</v>
      </c>
      <c r="D508" s="116" t="s">
        <v>113</v>
      </c>
      <c r="E508" s="116" t="s">
        <v>370</v>
      </c>
      <c r="F508" s="116" t="s">
        <v>113</v>
      </c>
      <c r="G508" s="32">
        <f>0.9*0.6</f>
        <v>0.54</v>
      </c>
      <c r="H508" s="116" t="s">
        <v>371</v>
      </c>
    </row>
    <row r="509" spans="1:8">
      <c r="A509" s="116"/>
      <c r="B509" s="116"/>
      <c r="C509" s="116"/>
      <c r="D509" s="116"/>
      <c r="E509" s="116"/>
      <c r="F509" s="116"/>
      <c r="G509" s="32"/>
      <c r="H509" s="116"/>
    </row>
    <row r="510" spans="1:8">
      <c r="A510" s="116"/>
      <c r="B510" s="116"/>
      <c r="C510" s="116" t="s">
        <v>50</v>
      </c>
      <c r="D510" s="116" t="s">
        <v>113</v>
      </c>
      <c r="E510" s="116" t="s">
        <v>372</v>
      </c>
      <c r="F510" s="116" t="s">
        <v>113</v>
      </c>
      <c r="G510" s="32">
        <f>0.9*0.6</f>
        <v>0.54</v>
      </c>
      <c r="H510" s="116" t="s">
        <v>371</v>
      </c>
    </row>
    <row r="511" spans="1:8">
      <c r="A511" s="116"/>
      <c r="B511" s="116"/>
      <c r="C511" s="116"/>
      <c r="D511" s="116"/>
      <c r="E511" s="116"/>
      <c r="F511" s="116"/>
      <c r="G511" s="116"/>
      <c r="H511" s="116"/>
    </row>
    <row r="512" spans="1:8">
      <c r="A512" s="116"/>
      <c r="B512" s="116"/>
      <c r="C512" s="116"/>
      <c r="D512" s="116"/>
      <c r="E512" s="116"/>
      <c r="F512" s="116"/>
      <c r="G512" s="116"/>
      <c r="H512" s="116"/>
    </row>
    <row r="513" spans="1:8">
      <c r="A513" s="116"/>
      <c r="B513" s="116"/>
      <c r="C513" s="116"/>
      <c r="D513" s="116"/>
      <c r="E513" s="116"/>
      <c r="F513" s="116"/>
      <c r="G513" s="116"/>
      <c r="H513" s="116"/>
    </row>
    <row r="514" spans="1:8" ht="19.5">
      <c r="A514" s="96"/>
      <c r="B514" s="125"/>
      <c r="D514" s="95"/>
      <c r="E514" s="95"/>
      <c r="F514" s="95"/>
      <c r="G514" s="116"/>
      <c r="H514" s="116"/>
    </row>
    <row r="515" spans="1:8">
      <c r="A515" s="11">
        <f>G506</f>
        <v>4.67</v>
      </c>
      <c r="B515" s="7" t="s">
        <v>49</v>
      </c>
      <c r="C515" s="1" t="s">
        <v>99</v>
      </c>
      <c r="D515" s="8"/>
      <c r="E515" s="8">
        <v>287</v>
      </c>
      <c r="F515" s="7" t="s">
        <v>49</v>
      </c>
      <c r="G515" s="8">
        <f>E515*A515</f>
        <v>1340.29</v>
      </c>
      <c r="H515" s="116"/>
    </row>
    <row r="516" spans="1:8">
      <c r="A516" s="11">
        <f>G508</f>
        <v>0.54</v>
      </c>
      <c r="B516" s="7" t="s">
        <v>10</v>
      </c>
      <c r="C516" s="1" t="s">
        <v>100</v>
      </c>
      <c r="D516" s="8"/>
      <c r="E516" s="8">
        <v>208.8</v>
      </c>
      <c r="F516" s="7" t="s">
        <v>10</v>
      </c>
      <c r="G516" s="8">
        <f>E516*A516</f>
        <v>112.75</v>
      </c>
      <c r="H516" s="116"/>
    </row>
    <row r="517" spans="1:8">
      <c r="A517" s="11">
        <f>G510</f>
        <v>0.54</v>
      </c>
      <c r="B517" s="7" t="s">
        <v>10</v>
      </c>
      <c r="C517" s="1" t="s">
        <v>103</v>
      </c>
      <c r="D517" s="8"/>
      <c r="E517" s="8">
        <f>E488</f>
        <v>1110</v>
      </c>
      <c r="F517" s="7" t="s">
        <v>49</v>
      </c>
      <c r="G517" s="8">
        <f>E517*A517</f>
        <v>599.4</v>
      </c>
      <c r="H517" s="116"/>
    </row>
    <row r="518" spans="1:8">
      <c r="A518" s="11"/>
      <c r="B518" s="7"/>
      <c r="C518" s="1" t="s">
        <v>104</v>
      </c>
      <c r="D518" s="96"/>
      <c r="E518" s="97"/>
      <c r="F518" s="8"/>
      <c r="G518" s="116"/>
      <c r="H518" s="116"/>
    </row>
    <row r="519" spans="1:8">
      <c r="A519" s="11"/>
      <c r="B519" s="7"/>
      <c r="C519" s="6" t="s">
        <v>374</v>
      </c>
      <c r="D519" s="8"/>
      <c r="E519" s="7"/>
      <c r="F519" s="8"/>
      <c r="G519" s="124">
        <f>SUM(G515:G518)</f>
        <v>2052.44</v>
      </c>
      <c r="H519" s="116"/>
    </row>
    <row r="520" spans="1:8">
      <c r="A520" s="11"/>
      <c r="B520" s="7"/>
      <c r="C520" s="155" t="s">
        <v>326</v>
      </c>
      <c r="D520" s="8"/>
      <c r="E520" s="7"/>
      <c r="F520" s="17"/>
      <c r="G520" s="123">
        <f>G519/A517</f>
        <v>3800.81</v>
      </c>
      <c r="H520" s="116"/>
    </row>
    <row r="521" spans="1:8">
      <c r="A521" s="116"/>
      <c r="B521" s="116"/>
      <c r="C521" s="116"/>
      <c r="D521" s="116"/>
      <c r="E521" s="116"/>
      <c r="F521" s="116"/>
      <c r="G521" s="116"/>
      <c r="H521" s="116"/>
    </row>
    <row r="522" spans="1:8">
      <c r="A522" s="116"/>
      <c r="B522" s="116"/>
      <c r="C522" s="116"/>
      <c r="D522" s="116"/>
      <c r="E522" s="116"/>
      <c r="F522" s="116"/>
      <c r="G522" s="116"/>
      <c r="H522" s="116"/>
    </row>
    <row r="523" spans="1:8">
      <c r="A523" s="116"/>
      <c r="B523" s="116"/>
      <c r="C523" s="116"/>
      <c r="D523" s="116"/>
      <c r="E523" s="116"/>
      <c r="F523" s="116"/>
      <c r="G523" s="116"/>
      <c r="H523" s="116"/>
    </row>
    <row r="524" spans="1:8">
      <c r="A524" s="116"/>
      <c r="B524" s="116"/>
      <c r="C524" s="116"/>
      <c r="D524" s="116"/>
      <c r="E524" s="116"/>
      <c r="F524" s="116"/>
      <c r="G524" s="116"/>
      <c r="H524" s="116"/>
    </row>
    <row r="525" spans="1:8">
      <c r="A525" s="116"/>
      <c r="B525" s="116"/>
      <c r="C525" s="116"/>
      <c r="D525" s="116"/>
      <c r="E525" s="116"/>
      <c r="F525" s="116"/>
      <c r="G525" s="116"/>
      <c r="H525" s="116"/>
    </row>
    <row r="526" spans="1:8">
      <c r="A526" s="166">
        <v>2</v>
      </c>
      <c r="B526" s="42" t="s">
        <v>120</v>
      </c>
      <c r="C526" s="34" t="s">
        <v>376</v>
      </c>
      <c r="D526" s="146"/>
      <c r="E526" s="148"/>
      <c r="F526" s="146"/>
      <c r="G526" s="19"/>
      <c r="H526" s="19"/>
    </row>
    <row r="527" spans="1:8">
      <c r="A527" s="146"/>
      <c r="B527" s="147"/>
      <c r="C527" s="43" t="s">
        <v>269</v>
      </c>
      <c r="D527" s="146"/>
      <c r="E527" s="148"/>
      <c r="F527" s="146"/>
      <c r="G527" s="19"/>
      <c r="H527" s="19"/>
    </row>
    <row r="528" spans="1:8" ht="18">
      <c r="A528" s="146"/>
      <c r="B528" s="147"/>
      <c r="C528" s="60" t="s">
        <v>270</v>
      </c>
      <c r="D528" s="146"/>
      <c r="E528" s="148"/>
      <c r="F528" s="146"/>
      <c r="G528" s="19"/>
      <c r="H528" s="19"/>
    </row>
    <row r="529" spans="1:8">
      <c r="A529" s="146"/>
      <c r="B529" s="147"/>
      <c r="C529" s="44" t="s">
        <v>78</v>
      </c>
      <c r="D529" s="146"/>
      <c r="E529" s="148"/>
      <c r="F529" s="146"/>
      <c r="G529" s="19"/>
      <c r="H529" s="19"/>
    </row>
    <row r="530" spans="1:8">
      <c r="A530" s="146"/>
      <c r="B530" s="147"/>
      <c r="C530" s="34" t="s">
        <v>271</v>
      </c>
      <c r="D530" s="96"/>
      <c r="E530" s="96"/>
      <c r="F530" s="96"/>
      <c r="G530" s="19"/>
      <c r="H530" s="19"/>
    </row>
    <row r="531" spans="1:8">
      <c r="A531" s="146"/>
      <c r="B531" s="147"/>
      <c r="C531" s="50" t="s">
        <v>272</v>
      </c>
      <c r="D531" s="116"/>
      <c r="E531" s="62">
        <f>3*2*1.9*0.075*0.0375</f>
        <v>3.2099999999999997E-2</v>
      </c>
      <c r="F531" s="146" t="s">
        <v>117</v>
      </c>
      <c r="G531" s="19"/>
      <c r="H531" s="19"/>
    </row>
    <row r="532" spans="1:8">
      <c r="A532" s="146"/>
      <c r="B532" s="147"/>
      <c r="C532" s="43" t="s">
        <v>273</v>
      </c>
      <c r="D532" s="116"/>
      <c r="E532" s="62">
        <f>3*2*0.5*0.075*0.0375</f>
        <v>8.3999999999999995E-3</v>
      </c>
      <c r="F532" s="146" t="s">
        <v>117</v>
      </c>
      <c r="G532" s="19"/>
      <c r="H532" s="19"/>
    </row>
    <row r="533" spans="1:8">
      <c r="A533" s="146"/>
      <c r="B533" s="147"/>
      <c r="C533" s="43"/>
      <c r="D533" s="149"/>
      <c r="E533" s="44" t="s">
        <v>78</v>
      </c>
      <c r="F533" s="48"/>
      <c r="G533" s="19"/>
      <c r="H533" s="19"/>
    </row>
    <row r="534" spans="1:8">
      <c r="A534" s="146"/>
      <c r="B534" s="147"/>
      <c r="C534" s="146"/>
      <c r="D534" s="146"/>
      <c r="E534" s="150">
        <f>SUM(E531:E533)</f>
        <v>4.0500000000000001E-2</v>
      </c>
      <c r="F534" s="96" t="s">
        <v>117</v>
      </c>
      <c r="G534" s="19"/>
      <c r="H534" s="19"/>
    </row>
    <row r="535" spans="1:8">
      <c r="A535" s="146"/>
      <c r="B535" s="147"/>
      <c r="C535" s="146"/>
      <c r="D535" s="146"/>
      <c r="E535" s="44" t="s">
        <v>78</v>
      </c>
      <c r="F535" s="96"/>
      <c r="G535" s="19"/>
      <c r="H535" s="19"/>
    </row>
    <row r="536" spans="1:8">
      <c r="A536" s="146"/>
      <c r="B536" s="147"/>
      <c r="C536" s="43" t="s">
        <v>23</v>
      </c>
      <c r="D536" s="116"/>
      <c r="E536" s="116"/>
      <c r="F536" s="116"/>
      <c r="G536" s="19"/>
      <c r="H536" s="19"/>
    </row>
    <row r="537" spans="1:8">
      <c r="A537" s="146"/>
      <c r="B537" s="147"/>
      <c r="C537" s="43" t="s">
        <v>274</v>
      </c>
      <c r="D537" s="63"/>
      <c r="E537" s="61">
        <f>3*1.9*0.5</f>
        <v>2.85</v>
      </c>
      <c r="F537" s="7" t="s">
        <v>30</v>
      </c>
      <c r="G537" s="19"/>
      <c r="H537" s="19"/>
    </row>
    <row r="538" spans="1:8">
      <c r="A538" s="146"/>
      <c r="B538" s="147"/>
      <c r="C538" s="43"/>
      <c r="D538" s="63"/>
      <c r="E538" s="61"/>
      <c r="F538" s="48"/>
      <c r="G538" s="19"/>
      <c r="H538" s="19"/>
    </row>
    <row r="539" spans="1:8">
      <c r="A539" s="146"/>
      <c r="B539" s="147"/>
      <c r="C539" s="43" t="s">
        <v>275</v>
      </c>
      <c r="D539" s="63"/>
      <c r="E539" s="61"/>
      <c r="F539" s="48"/>
      <c r="G539" s="19"/>
      <c r="H539" s="19"/>
    </row>
    <row r="540" spans="1:8">
      <c r="A540" s="146"/>
      <c r="B540" s="147"/>
      <c r="C540" s="43" t="s">
        <v>276</v>
      </c>
      <c r="D540" s="63"/>
      <c r="E540" s="62">
        <f>3*1.775*0.375</f>
        <v>1.9968999999999999</v>
      </c>
      <c r="F540" s="48" t="str">
        <f>F537</f>
        <v>SQM</v>
      </c>
      <c r="G540" s="19"/>
      <c r="H540" s="19"/>
    </row>
    <row r="541" spans="1:8">
      <c r="A541" s="146"/>
      <c r="B541" s="147"/>
      <c r="C541" s="43" t="s">
        <v>277</v>
      </c>
      <c r="D541" s="146"/>
      <c r="E541" s="64"/>
      <c r="F541" s="50"/>
      <c r="G541" s="19"/>
      <c r="H541" s="19"/>
    </row>
    <row r="542" spans="1:8">
      <c r="A542" s="51"/>
      <c r="B542" s="147"/>
      <c r="C542" s="43" t="s">
        <v>278</v>
      </c>
      <c r="D542" s="63"/>
      <c r="E542" s="151">
        <f>1.775+0.375</f>
        <v>2.15</v>
      </c>
      <c r="F542" s="48"/>
      <c r="G542" s="45"/>
      <c r="H542" s="19"/>
    </row>
    <row r="543" spans="1:8">
      <c r="A543" s="51"/>
      <c r="B543" s="147"/>
      <c r="C543" s="146"/>
      <c r="D543" s="152"/>
      <c r="E543" s="52">
        <f>E542*6</f>
        <v>12.9</v>
      </c>
      <c r="F543" s="45" t="s">
        <v>39</v>
      </c>
      <c r="G543" s="45"/>
      <c r="H543" s="19"/>
    </row>
    <row r="544" spans="1:8">
      <c r="A544" s="51"/>
      <c r="B544" s="147"/>
      <c r="C544" s="153" t="s">
        <v>279</v>
      </c>
      <c r="D544" s="152"/>
      <c r="E544" s="41"/>
      <c r="F544" s="45"/>
      <c r="G544" s="45"/>
      <c r="H544" s="19"/>
    </row>
    <row r="545" spans="1:8">
      <c r="A545" s="49"/>
      <c r="B545" s="147"/>
      <c r="C545" s="34" t="s">
        <v>280</v>
      </c>
      <c r="D545" s="116"/>
      <c r="E545" s="45"/>
      <c r="F545" s="148"/>
      <c r="G545" s="45"/>
      <c r="H545" s="19"/>
    </row>
    <row r="546" spans="1:8">
      <c r="A546" s="48">
        <f>E534</f>
        <v>4.0500000000000001E-2</v>
      </c>
      <c r="B546" s="41" t="s">
        <v>44</v>
      </c>
      <c r="C546" s="43" t="s">
        <v>405</v>
      </c>
      <c r="D546" s="45" t="e">
        <f>#REF!</f>
        <v>#REF!</v>
      </c>
      <c r="E546" s="43" t="s">
        <v>44</v>
      </c>
      <c r="F546" s="45" t="e">
        <f>(A546*D546)</f>
        <v>#REF!</v>
      </c>
      <c r="G546" s="45"/>
      <c r="H546" s="19"/>
    </row>
    <row r="547" spans="1:8">
      <c r="A547" s="48">
        <f>E537</f>
        <v>2.85</v>
      </c>
      <c r="B547" s="7" t="s">
        <v>30</v>
      </c>
      <c r="C547" s="43" t="s">
        <v>406</v>
      </c>
      <c r="D547" s="45" t="e">
        <f>#REF!</f>
        <v>#REF!</v>
      </c>
      <c r="E547" s="7" t="s">
        <v>30</v>
      </c>
      <c r="F547" s="45" t="e">
        <f>(A547*D547)</f>
        <v>#REF!</v>
      </c>
      <c r="G547" s="45"/>
      <c r="H547" s="19"/>
    </row>
    <row r="548" spans="1:8">
      <c r="A548" s="48">
        <f>E540</f>
        <v>1.9968999999999999</v>
      </c>
      <c r="B548" s="7" t="s">
        <v>30</v>
      </c>
      <c r="C548" s="43" t="s">
        <v>275</v>
      </c>
      <c r="D548" s="45" t="e">
        <f>#REF!</f>
        <v>#REF!</v>
      </c>
      <c r="E548" s="7" t="s">
        <v>30</v>
      </c>
      <c r="F548" s="45" t="e">
        <f t="shared" ref="F548:F554" si="17">(A548*D548)</f>
        <v>#REF!</v>
      </c>
      <c r="G548" s="45"/>
      <c r="H548" s="19"/>
    </row>
    <row r="549" spans="1:8">
      <c r="A549" s="45">
        <f>E543</f>
        <v>12.9</v>
      </c>
      <c r="B549" s="45" t="s">
        <v>39</v>
      </c>
      <c r="C549" s="34" t="s">
        <v>282</v>
      </c>
      <c r="D549" s="45" t="e">
        <f>#REF!</f>
        <v>#REF!</v>
      </c>
      <c r="E549" s="45" t="s">
        <v>39</v>
      </c>
      <c r="F549" s="45" t="e">
        <f t="shared" si="17"/>
        <v>#REF!</v>
      </c>
      <c r="G549" s="45"/>
      <c r="H549" s="19"/>
    </row>
    <row r="550" spans="1:8">
      <c r="A550" s="45">
        <v>9</v>
      </c>
      <c r="B550" s="7" t="s">
        <v>43</v>
      </c>
      <c r="C550" s="1" t="s">
        <v>74</v>
      </c>
      <c r="D550" s="45" t="e">
        <f>#REF!</f>
        <v>#REF!</v>
      </c>
      <c r="E550" s="1" t="s">
        <v>43</v>
      </c>
      <c r="F550" s="45" t="e">
        <f t="shared" si="17"/>
        <v>#REF!</v>
      </c>
      <c r="G550" s="45"/>
      <c r="H550" s="19"/>
    </row>
    <row r="551" spans="1:8">
      <c r="A551" s="45">
        <v>6</v>
      </c>
      <c r="B551" s="7" t="s">
        <v>43</v>
      </c>
      <c r="C551" s="1" t="s">
        <v>142</v>
      </c>
      <c r="D551" s="45" t="e">
        <f>#REF!</f>
        <v>#REF!</v>
      </c>
      <c r="E551" s="1" t="s">
        <v>43</v>
      </c>
      <c r="F551" s="45" t="e">
        <f t="shared" si="17"/>
        <v>#REF!</v>
      </c>
      <c r="G551" s="45"/>
      <c r="H551" s="19"/>
    </row>
    <row r="552" spans="1:8">
      <c r="A552" s="45">
        <v>3</v>
      </c>
      <c r="B552" s="7" t="s">
        <v>43</v>
      </c>
      <c r="C552" s="1" t="s">
        <v>143</v>
      </c>
      <c r="D552" s="45" t="e">
        <f>#REF!</f>
        <v>#REF!</v>
      </c>
      <c r="E552" s="1" t="s">
        <v>43</v>
      </c>
      <c r="F552" s="45" t="e">
        <f t="shared" si="17"/>
        <v>#REF!</v>
      </c>
      <c r="G552" s="45"/>
      <c r="H552" s="19"/>
    </row>
    <row r="553" spans="1:8">
      <c r="A553" s="45">
        <v>3</v>
      </c>
      <c r="B553" s="7" t="s">
        <v>43</v>
      </c>
      <c r="C553" s="1" t="s">
        <v>108</v>
      </c>
      <c r="D553" s="45" t="e">
        <f>#REF!</f>
        <v>#REF!</v>
      </c>
      <c r="E553" s="1" t="s">
        <v>43</v>
      </c>
      <c r="F553" s="45" t="e">
        <f t="shared" si="17"/>
        <v>#REF!</v>
      </c>
      <c r="G553" s="45"/>
      <c r="H553" s="19"/>
    </row>
    <row r="554" spans="1:8">
      <c r="A554" s="45">
        <v>120</v>
      </c>
      <c r="B554" s="7" t="s">
        <v>43</v>
      </c>
      <c r="C554" s="1" t="s">
        <v>283</v>
      </c>
      <c r="D554" s="45" t="e">
        <f>#REF!</f>
        <v>#REF!</v>
      </c>
      <c r="E554" s="1" t="s">
        <v>43</v>
      </c>
      <c r="F554" s="45" t="e">
        <f t="shared" si="17"/>
        <v>#REF!</v>
      </c>
      <c r="G554" s="45"/>
      <c r="H554" s="19"/>
    </row>
    <row r="555" spans="1:8">
      <c r="A555" s="45"/>
      <c r="B555" s="42"/>
      <c r="C555" s="43"/>
      <c r="D555" s="116"/>
      <c r="E555" s="45"/>
      <c r="F555" s="44" t="s">
        <v>78</v>
      </c>
      <c r="G555" s="45"/>
      <c r="H555" s="19"/>
    </row>
    <row r="556" spans="1:8">
      <c r="A556" s="146"/>
      <c r="B556" s="147"/>
      <c r="C556" s="43" t="s">
        <v>284</v>
      </c>
      <c r="D556" s="116"/>
      <c r="E556" s="41"/>
      <c r="F556" s="149" t="e">
        <f>SUM(F546:F555)</f>
        <v>#REF!</v>
      </c>
      <c r="G556" s="65"/>
      <c r="H556" s="19"/>
    </row>
    <row r="557" spans="1:8">
      <c r="A557" s="146"/>
      <c r="B557" s="147"/>
      <c r="C557" s="116"/>
      <c r="D557" s="45"/>
      <c r="E557" s="148"/>
      <c r="F557" s="44" t="s">
        <v>78</v>
      </c>
      <c r="G557" s="116"/>
      <c r="H557" s="19"/>
    </row>
    <row r="558" spans="1:8">
      <c r="A558" s="146"/>
      <c r="B558" s="147"/>
      <c r="C558" s="149" t="s">
        <v>228</v>
      </c>
      <c r="D558" s="45"/>
      <c r="E558" s="148"/>
      <c r="F558" s="123" t="e">
        <f>F556/A547</f>
        <v>#REF!</v>
      </c>
      <c r="G558" s="45">
        <f>SUM(G542:G557)</f>
        <v>0</v>
      </c>
      <c r="H558" s="19"/>
    </row>
    <row r="559" spans="1:8">
      <c r="A559" s="146"/>
      <c r="B559" s="147"/>
      <c r="C559" s="146"/>
      <c r="D559" s="45"/>
      <c r="E559" s="148"/>
      <c r="F559" s="116"/>
      <c r="G559" s="116"/>
      <c r="H559" s="19"/>
    </row>
    <row r="560" spans="1:8">
      <c r="A560" s="146"/>
      <c r="B560" s="147"/>
      <c r="C560" s="34"/>
      <c r="D560" s="146"/>
      <c r="E560" s="552"/>
      <c r="F560" s="552"/>
      <c r="G560" s="552"/>
      <c r="H560" s="552"/>
    </row>
    <row r="561" spans="1:8">
      <c r="A561" s="96"/>
      <c r="B561" s="96"/>
      <c r="C561" s="96"/>
      <c r="D561" s="96"/>
      <c r="E561" s="96"/>
      <c r="F561" s="96"/>
      <c r="G561" s="19"/>
      <c r="H561" s="19"/>
    </row>
    <row r="562" spans="1:8">
      <c r="A562" s="116"/>
      <c r="B562" s="116"/>
      <c r="C562" s="116"/>
      <c r="D562" s="116"/>
      <c r="E562" s="116"/>
      <c r="F562" s="116"/>
      <c r="G562" s="116"/>
      <c r="H562" s="116"/>
    </row>
    <row r="563" spans="1:8">
      <c r="A563" s="165">
        <v>1</v>
      </c>
      <c r="B563" s="147"/>
      <c r="C563" s="43" t="s">
        <v>269</v>
      </c>
      <c r="D563" s="146"/>
      <c r="E563" s="148"/>
      <c r="F563" s="146"/>
      <c r="G563" s="116"/>
      <c r="H563" s="116"/>
    </row>
    <row r="564" spans="1:8" ht="18">
      <c r="A564" s="146"/>
      <c r="B564" s="147"/>
      <c r="C564" s="60" t="s">
        <v>377</v>
      </c>
      <c r="D564" s="146"/>
      <c r="E564" s="148"/>
      <c r="F564" s="146"/>
      <c r="G564" s="116"/>
      <c r="H564" s="116"/>
    </row>
    <row r="565" spans="1:8">
      <c r="A565" s="146"/>
      <c r="B565" s="147"/>
      <c r="C565" s="44" t="s">
        <v>78</v>
      </c>
      <c r="D565" s="146"/>
      <c r="E565" s="148"/>
      <c r="F565" s="146"/>
      <c r="G565" s="116"/>
      <c r="H565" s="116"/>
    </row>
    <row r="566" spans="1:8">
      <c r="A566" s="146"/>
      <c r="B566" s="147"/>
      <c r="C566" s="34" t="s">
        <v>271</v>
      </c>
      <c r="D566" s="96"/>
      <c r="E566" s="96"/>
      <c r="F566" s="96" t="s">
        <v>117</v>
      </c>
      <c r="G566" s="116"/>
      <c r="H566" s="116"/>
    </row>
    <row r="567" spans="1:8">
      <c r="A567" s="146"/>
      <c r="B567" s="147"/>
      <c r="C567" s="50" t="s">
        <v>378</v>
      </c>
      <c r="D567" s="116"/>
      <c r="E567" s="62">
        <f>3*2*1.9*0.075*0.0375</f>
        <v>3.2099999999999997E-2</v>
      </c>
      <c r="F567" s="146" t="s">
        <v>117</v>
      </c>
      <c r="G567" s="116"/>
      <c r="H567" s="116"/>
    </row>
    <row r="568" spans="1:8">
      <c r="A568" s="146"/>
      <c r="B568" s="147"/>
      <c r="C568" s="43" t="s">
        <v>379</v>
      </c>
      <c r="D568" s="116"/>
      <c r="E568" s="62">
        <f>3*2*0.6*0.075*0.0375</f>
        <v>1.01E-2</v>
      </c>
      <c r="F568" s="146" t="s">
        <v>117</v>
      </c>
      <c r="G568" s="116"/>
      <c r="H568" s="116"/>
    </row>
    <row r="569" spans="1:8">
      <c r="A569" s="146"/>
      <c r="B569" s="147"/>
      <c r="C569" s="43"/>
      <c r="D569" s="149"/>
      <c r="E569" s="44" t="s">
        <v>78</v>
      </c>
      <c r="F569" s="48"/>
      <c r="G569" s="116"/>
      <c r="H569" s="116"/>
    </row>
    <row r="570" spans="1:8">
      <c r="A570" s="146"/>
      <c r="B570" s="147"/>
      <c r="C570" s="146"/>
      <c r="D570" s="146"/>
      <c r="E570" s="150">
        <f>SUM(E567:E569)</f>
        <v>4.2200000000000001E-2</v>
      </c>
      <c r="F570" s="96" t="s">
        <v>117</v>
      </c>
      <c r="G570" s="116"/>
      <c r="H570" s="116"/>
    </row>
    <row r="571" spans="1:8">
      <c r="A571" s="146"/>
      <c r="B571" s="147"/>
      <c r="C571" s="146"/>
      <c r="D571" s="146"/>
      <c r="E571" s="44" t="s">
        <v>78</v>
      </c>
      <c r="F571" s="96"/>
      <c r="G571" s="116"/>
      <c r="H571" s="116"/>
    </row>
    <row r="572" spans="1:8">
      <c r="A572" s="146"/>
      <c r="B572" s="147"/>
      <c r="C572" s="43" t="s">
        <v>23</v>
      </c>
      <c r="D572" s="116"/>
      <c r="E572" s="116"/>
      <c r="F572" s="116"/>
      <c r="G572" s="116"/>
      <c r="H572" s="116"/>
    </row>
    <row r="573" spans="1:8">
      <c r="A573" s="146"/>
      <c r="B573" s="147"/>
      <c r="C573" s="43" t="s">
        <v>380</v>
      </c>
      <c r="D573" s="63"/>
      <c r="E573" s="61">
        <f>3*1.9*0.6</f>
        <v>3.42</v>
      </c>
      <c r="F573" s="7" t="s">
        <v>30</v>
      </c>
      <c r="G573" s="116"/>
      <c r="H573" s="116"/>
    </row>
    <row r="574" spans="1:8">
      <c r="A574" s="146"/>
      <c r="B574" s="147"/>
      <c r="C574" s="43"/>
      <c r="D574" s="63"/>
      <c r="E574" s="61"/>
      <c r="F574" s="48"/>
      <c r="G574" s="116"/>
      <c r="H574" s="116"/>
    </row>
    <row r="575" spans="1:8">
      <c r="A575" s="146"/>
      <c r="B575" s="147"/>
      <c r="C575" s="43" t="s">
        <v>275</v>
      </c>
      <c r="D575" s="63"/>
      <c r="E575" s="61"/>
      <c r="F575" s="48"/>
      <c r="G575" s="116"/>
      <c r="H575" s="116"/>
    </row>
    <row r="576" spans="1:8">
      <c r="A576" s="146"/>
      <c r="B576" s="147"/>
      <c r="C576" s="43" t="s">
        <v>381</v>
      </c>
      <c r="D576" s="63"/>
      <c r="E576" s="62">
        <f>3*1.775*0.475</f>
        <v>2.5293999999999999</v>
      </c>
      <c r="F576" s="48" t="str">
        <f>F573</f>
        <v>SQM</v>
      </c>
      <c r="G576" s="116"/>
      <c r="H576" s="116"/>
    </row>
    <row r="577" spans="1:8">
      <c r="A577" s="146"/>
      <c r="B577" s="147"/>
      <c r="C577" s="43" t="s">
        <v>277</v>
      </c>
      <c r="D577" s="146"/>
      <c r="E577" s="64"/>
      <c r="F577" s="50"/>
      <c r="G577" s="116"/>
      <c r="H577" s="116"/>
    </row>
    <row r="578" spans="1:8">
      <c r="A578" s="51"/>
      <c r="B578" s="147"/>
      <c r="C578" s="43" t="s">
        <v>382</v>
      </c>
      <c r="D578" s="63"/>
      <c r="E578" s="151">
        <f>1.775+0.475</f>
        <v>2.25</v>
      </c>
      <c r="F578" s="48"/>
      <c r="G578" s="116"/>
      <c r="H578" s="116"/>
    </row>
    <row r="579" spans="1:8">
      <c r="A579" s="51"/>
      <c r="B579" s="147"/>
      <c r="C579" s="146"/>
      <c r="D579" s="152"/>
      <c r="E579" s="52">
        <f>E578*6</f>
        <v>13.5</v>
      </c>
      <c r="F579" s="45" t="s">
        <v>39</v>
      </c>
      <c r="G579" s="116"/>
      <c r="H579" s="116"/>
    </row>
    <row r="580" spans="1:8">
      <c r="A580" s="51"/>
      <c r="B580" s="147"/>
      <c r="C580" s="164" t="s">
        <v>279</v>
      </c>
      <c r="D580" s="152"/>
      <c r="E580" s="41"/>
      <c r="F580" s="45"/>
      <c r="G580" s="116"/>
      <c r="H580" s="116"/>
    </row>
    <row r="581" spans="1:8">
      <c r="A581" s="48"/>
      <c r="B581" s="42"/>
      <c r="C581" s="47"/>
      <c r="D581" s="116"/>
      <c r="E581" s="45"/>
      <c r="F581" s="41"/>
      <c r="G581" s="116"/>
      <c r="H581" s="116"/>
    </row>
    <row r="582" spans="1:8">
      <c r="A582" s="49"/>
      <c r="B582" s="147"/>
      <c r="C582" s="34" t="s">
        <v>280</v>
      </c>
      <c r="D582" s="116"/>
      <c r="E582" s="45"/>
      <c r="F582" s="148"/>
      <c r="G582" s="116"/>
      <c r="H582" s="116"/>
    </row>
    <row r="583" spans="1:8">
      <c r="A583" s="48">
        <f>E570</f>
        <v>4.2200000000000001E-2</v>
      </c>
      <c r="B583" s="41" t="s">
        <v>44</v>
      </c>
      <c r="C583" s="43" t="s">
        <v>281</v>
      </c>
      <c r="D583" s="45" t="e">
        <f>D546</f>
        <v>#REF!</v>
      </c>
      <c r="E583" s="41" t="s">
        <v>44</v>
      </c>
      <c r="F583" s="45" t="e">
        <f>(A583*D583)</f>
        <v>#REF!</v>
      </c>
      <c r="G583" s="116"/>
      <c r="H583" s="116"/>
    </row>
    <row r="584" spans="1:8">
      <c r="A584" s="48">
        <f>E573</f>
        <v>3.42</v>
      </c>
      <c r="B584" s="7" t="s">
        <v>30</v>
      </c>
      <c r="C584" s="43" t="s">
        <v>23</v>
      </c>
      <c r="D584" s="45" t="e">
        <f t="shared" ref="D584:D591" si="18">D547</f>
        <v>#REF!</v>
      </c>
      <c r="E584" s="7" t="s">
        <v>30</v>
      </c>
      <c r="F584" s="45" t="e">
        <f t="shared" ref="F584:F591" si="19">(A584*D584)</f>
        <v>#REF!</v>
      </c>
      <c r="G584" s="116"/>
      <c r="H584" s="116"/>
    </row>
    <row r="585" spans="1:8">
      <c r="A585" s="49">
        <f>E576</f>
        <v>2.5293999999999999</v>
      </c>
      <c r="B585" s="7" t="s">
        <v>30</v>
      </c>
      <c r="C585" s="43" t="s">
        <v>275</v>
      </c>
      <c r="D585" s="45" t="e">
        <f t="shared" si="18"/>
        <v>#REF!</v>
      </c>
      <c r="E585" s="7" t="s">
        <v>30</v>
      </c>
      <c r="F585" s="45" t="e">
        <f t="shared" si="19"/>
        <v>#REF!</v>
      </c>
      <c r="G585" s="116"/>
      <c r="H585" s="116"/>
    </row>
    <row r="586" spans="1:8">
      <c r="A586" s="45">
        <f>E579</f>
        <v>13.5</v>
      </c>
      <c r="B586" s="45" t="s">
        <v>39</v>
      </c>
      <c r="C586" s="34" t="s">
        <v>282</v>
      </c>
      <c r="D586" s="45" t="e">
        <f t="shared" si="18"/>
        <v>#REF!</v>
      </c>
      <c r="E586" s="45" t="s">
        <v>39</v>
      </c>
      <c r="F586" s="45" t="e">
        <f t="shared" si="19"/>
        <v>#REF!</v>
      </c>
      <c r="G586" s="116"/>
      <c r="H586" s="116"/>
    </row>
    <row r="587" spans="1:8">
      <c r="A587" s="45">
        <v>9</v>
      </c>
      <c r="B587" s="7" t="s">
        <v>43</v>
      </c>
      <c r="C587" s="1" t="s">
        <v>74</v>
      </c>
      <c r="D587" s="45" t="e">
        <f t="shared" si="18"/>
        <v>#REF!</v>
      </c>
      <c r="E587" s="1" t="s">
        <v>43</v>
      </c>
      <c r="F587" s="45" t="e">
        <f t="shared" si="19"/>
        <v>#REF!</v>
      </c>
      <c r="G587" s="116"/>
      <c r="H587" s="116"/>
    </row>
    <row r="588" spans="1:8">
      <c r="A588" s="45">
        <v>6</v>
      </c>
      <c r="B588" s="7" t="s">
        <v>43</v>
      </c>
      <c r="C588" s="1" t="s">
        <v>142</v>
      </c>
      <c r="D588" s="45" t="e">
        <f t="shared" si="18"/>
        <v>#REF!</v>
      </c>
      <c r="E588" s="1" t="s">
        <v>43</v>
      </c>
      <c r="F588" s="45" t="e">
        <f t="shared" si="19"/>
        <v>#REF!</v>
      </c>
      <c r="G588" s="116"/>
      <c r="H588" s="116"/>
    </row>
    <row r="589" spans="1:8">
      <c r="A589" s="45">
        <v>3</v>
      </c>
      <c r="B589" s="7" t="s">
        <v>43</v>
      </c>
      <c r="C589" s="1" t="s">
        <v>143</v>
      </c>
      <c r="D589" s="45" t="e">
        <f t="shared" si="18"/>
        <v>#REF!</v>
      </c>
      <c r="E589" s="1" t="s">
        <v>43</v>
      </c>
      <c r="F589" s="45" t="e">
        <f t="shared" si="19"/>
        <v>#REF!</v>
      </c>
      <c r="G589" s="116"/>
      <c r="H589" s="116"/>
    </row>
    <row r="590" spans="1:8">
      <c r="A590" s="45">
        <v>3</v>
      </c>
      <c r="B590" s="7" t="s">
        <v>43</v>
      </c>
      <c r="C590" s="1" t="s">
        <v>108</v>
      </c>
      <c r="D590" s="45" t="e">
        <f t="shared" si="18"/>
        <v>#REF!</v>
      </c>
      <c r="E590" s="1" t="s">
        <v>43</v>
      </c>
      <c r="F590" s="45" t="e">
        <f t="shared" si="19"/>
        <v>#REF!</v>
      </c>
      <c r="G590" s="116"/>
      <c r="H590" s="116"/>
    </row>
    <row r="591" spans="1:8">
      <c r="A591" s="45">
        <v>120</v>
      </c>
      <c r="B591" s="7" t="s">
        <v>43</v>
      </c>
      <c r="C591" s="1" t="s">
        <v>283</v>
      </c>
      <c r="D591" s="45" t="e">
        <f t="shared" si="18"/>
        <v>#REF!</v>
      </c>
      <c r="E591" s="1" t="s">
        <v>43</v>
      </c>
      <c r="F591" s="45" t="e">
        <f t="shared" si="19"/>
        <v>#REF!</v>
      </c>
      <c r="G591" s="116"/>
      <c r="H591" s="116"/>
    </row>
    <row r="592" spans="1:8">
      <c r="A592" s="45"/>
      <c r="B592" s="42"/>
      <c r="C592" s="43"/>
      <c r="D592" s="116"/>
      <c r="E592" s="45"/>
      <c r="F592" s="44" t="s">
        <v>78</v>
      </c>
      <c r="G592" s="116"/>
      <c r="H592" s="116"/>
    </row>
    <row r="593" spans="1:8">
      <c r="A593" s="146"/>
      <c r="B593" s="147"/>
      <c r="C593" s="43" t="s">
        <v>383</v>
      </c>
      <c r="D593" s="116"/>
      <c r="E593" s="41"/>
      <c r="F593" s="149" t="e">
        <f>SUM(F583:F592)</f>
        <v>#REF!</v>
      </c>
      <c r="G593" s="116"/>
      <c r="H593" s="116"/>
    </row>
    <row r="594" spans="1:8">
      <c r="A594" s="146"/>
      <c r="B594" s="147"/>
      <c r="C594" s="116"/>
      <c r="D594" s="45"/>
      <c r="E594" s="148"/>
      <c r="F594" s="44" t="s">
        <v>78</v>
      </c>
      <c r="G594" s="116"/>
      <c r="H594" s="116"/>
    </row>
    <row r="595" spans="1:8">
      <c r="A595" s="146"/>
      <c r="B595" s="147"/>
      <c r="C595" s="149" t="s">
        <v>228</v>
      </c>
      <c r="D595" s="45"/>
      <c r="E595" s="148"/>
      <c r="F595" s="123" t="e">
        <f>F593/A584</f>
        <v>#REF!</v>
      </c>
      <c r="G595" s="116"/>
      <c r="H595" s="116"/>
    </row>
    <row r="596" spans="1:8">
      <c r="A596" s="146"/>
      <c r="B596" s="147"/>
      <c r="C596" s="146"/>
      <c r="D596" s="45"/>
      <c r="E596" s="148"/>
      <c r="F596" s="116"/>
      <c r="G596" s="116"/>
      <c r="H596" s="116"/>
    </row>
    <row r="597" spans="1:8">
      <c r="A597" s="116"/>
      <c r="B597" s="116"/>
      <c r="C597" s="116"/>
      <c r="D597" s="116"/>
      <c r="E597" s="116"/>
      <c r="F597" s="116"/>
      <c r="G597" s="116"/>
      <c r="H597" s="116"/>
    </row>
    <row r="598" spans="1:8">
      <c r="A598" s="146">
        <v>3</v>
      </c>
      <c r="B598" s="147"/>
      <c r="C598" s="43" t="s">
        <v>269</v>
      </c>
      <c r="D598" s="146"/>
      <c r="E598" s="148"/>
      <c r="F598" s="146"/>
      <c r="G598" s="116"/>
      <c r="H598" s="116"/>
    </row>
    <row r="599" spans="1:8" ht="18">
      <c r="A599" s="146"/>
      <c r="B599" s="147"/>
      <c r="C599" s="60" t="s">
        <v>384</v>
      </c>
      <c r="D599" s="146"/>
      <c r="E599" s="148"/>
      <c r="F599" s="146"/>
      <c r="G599" s="116"/>
      <c r="H599" s="116"/>
    </row>
    <row r="600" spans="1:8">
      <c r="A600" s="146"/>
      <c r="B600" s="147"/>
      <c r="C600" s="44" t="s">
        <v>78</v>
      </c>
      <c r="D600" s="146"/>
      <c r="E600" s="148"/>
      <c r="F600" s="146"/>
      <c r="G600" s="116"/>
      <c r="H600" s="116"/>
    </row>
    <row r="601" spans="1:8">
      <c r="A601" s="146"/>
      <c r="B601" s="147"/>
      <c r="C601" s="34" t="s">
        <v>271</v>
      </c>
      <c r="D601" s="96"/>
      <c r="E601" s="96"/>
      <c r="F601" s="96" t="s">
        <v>117</v>
      </c>
      <c r="G601" s="116"/>
      <c r="H601" s="116"/>
    </row>
    <row r="602" spans="1:8">
      <c r="A602" s="146"/>
      <c r="B602" s="147"/>
      <c r="C602" s="50" t="s">
        <v>385</v>
      </c>
      <c r="D602" s="116"/>
      <c r="E602" s="62">
        <f>2*2*1.9*0.075*0.0375</f>
        <v>2.1399999999999999E-2</v>
      </c>
      <c r="F602" s="146" t="s">
        <v>117</v>
      </c>
      <c r="G602" s="116"/>
      <c r="H602" s="116"/>
    </row>
    <row r="603" spans="1:8">
      <c r="A603" s="146"/>
      <c r="B603" s="147"/>
      <c r="C603" s="43" t="s">
        <v>386</v>
      </c>
      <c r="D603" s="116"/>
      <c r="E603" s="62">
        <f>2*2*0.5*0.075*0.0375</f>
        <v>5.5999999999999999E-3</v>
      </c>
      <c r="F603" s="146" t="s">
        <v>117</v>
      </c>
      <c r="G603" s="116"/>
      <c r="H603" s="116"/>
    </row>
    <row r="604" spans="1:8">
      <c r="A604" s="146"/>
      <c r="B604" s="147"/>
      <c r="C604" s="43"/>
      <c r="D604" s="149"/>
      <c r="E604" s="44" t="s">
        <v>78</v>
      </c>
      <c r="F604" s="48"/>
      <c r="G604" s="116"/>
      <c r="H604" s="116"/>
    </row>
    <row r="605" spans="1:8">
      <c r="A605" s="146"/>
      <c r="B605" s="147"/>
      <c r="C605" s="146"/>
      <c r="D605" s="146"/>
      <c r="E605" s="150">
        <f>SUM(E602:E604)</f>
        <v>2.7E-2</v>
      </c>
      <c r="F605" s="96" t="s">
        <v>117</v>
      </c>
      <c r="G605" s="116"/>
      <c r="H605" s="116"/>
    </row>
    <row r="606" spans="1:8">
      <c r="A606" s="146"/>
      <c r="B606" s="147"/>
      <c r="C606" s="146"/>
      <c r="D606" s="146"/>
      <c r="E606" s="44" t="s">
        <v>78</v>
      </c>
      <c r="F606" s="96"/>
      <c r="G606" s="116"/>
      <c r="H606" s="116"/>
    </row>
    <row r="607" spans="1:8">
      <c r="A607" s="146"/>
      <c r="B607" s="147"/>
      <c r="C607" s="43" t="s">
        <v>23</v>
      </c>
      <c r="D607" s="116"/>
      <c r="E607" s="116"/>
      <c r="F607" s="116"/>
      <c r="G607" s="116"/>
      <c r="H607" s="116"/>
    </row>
    <row r="608" spans="1:8">
      <c r="A608" s="146"/>
      <c r="B608" s="147"/>
      <c r="C608" s="43" t="s">
        <v>387</v>
      </c>
      <c r="D608" s="63"/>
      <c r="E608" s="61">
        <f>2*1.9*0.5</f>
        <v>1.9</v>
      </c>
      <c r="F608" s="7" t="s">
        <v>30</v>
      </c>
      <c r="G608" s="116"/>
      <c r="H608" s="116"/>
    </row>
    <row r="609" spans="1:8">
      <c r="A609" s="146"/>
      <c r="B609" s="147"/>
      <c r="C609" s="43"/>
      <c r="D609" s="63"/>
      <c r="E609" s="61"/>
      <c r="F609" s="48"/>
      <c r="G609" s="116"/>
      <c r="H609" s="116"/>
    </row>
    <row r="610" spans="1:8">
      <c r="A610" s="146"/>
      <c r="B610" s="147"/>
      <c r="C610" s="43" t="s">
        <v>275</v>
      </c>
      <c r="D610" s="63"/>
      <c r="E610" s="61"/>
      <c r="F610" s="48"/>
      <c r="G610" s="116"/>
      <c r="H610" s="116"/>
    </row>
    <row r="611" spans="1:8">
      <c r="A611" s="146"/>
      <c r="B611" s="147"/>
      <c r="C611" s="43" t="s">
        <v>388</v>
      </c>
      <c r="D611" s="63"/>
      <c r="E611" s="62">
        <f>2*1.775*0.375</f>
        <v>1.3312999999999999</v>
      </c>
      <c r="F611" s="48" t="str">
        <f>F608</f>
        <v>SQM</v>
      </c>
      <c r="G611" s="116"/>
      <c r="H611" s="116"/>
    </row>
    <row r="612" spans="1:8">
      <c r="A612" s="146"/>
      <c r="B612" s="147"/>
      <c r="C612" s="43" t="s">
        <v>389</v>
      </c>
      <c r="D612" s="146"/>
      <c r="E612" s="64"/>
      <c r="F612" s="50"/>
      <c r="G612" s="116"/>
      <c r="H612" s="116"/>
    </row>
    <row r="613" spans="1:8">
      <c r="A613" s="51"/>
      <c r="B613" s="147"/>
      <c r="C613" s="43" t="s">
        <v>390</v>
      </c>
      <c r="D613" s="63"/>
      <c r="E613" s="151">
        <f>1.775+0.375</f>
        <v>2.15</v>
      </c>
      <c r="F613" s="48"/>
      <c r="G613" s="116"/>
      <c r="H613" s="116"/>
    </row>
    <row r="614" spans="1:8">
      <c r="A614" s="51"/>
      <c r="B614" s="147"/>
      <c r="C614" s="146"/>
      <c r="D614" s="152"/>
      <c r="E614" s="52">
        <f>E613*4</f>
        <v>8.6</v>
      </c>
      <c r="F614" s="45" t="s">
        <v>39</v>
      </c>
      <c r="G614" s="116"/>
      <c r="H614" s="116"/>
    </row>
    <row r="615" spans="1:8">
      <c r="A615" s="51"/>
      <c r="B615" s="147"/>
      <c r="C615" s="164" t="s">
        <v>279</v>
      </c>
      <c r="D615" s="152"/>
      <c r="E615" s="41"/>
      <c r="F615" s="45"/>
      <c r="G615" s="116"/>
      <c r="H615" s="116"/>
    </row>
    <row r="616" spans="1:8">
      <c r="A616" s="48"/>
      <c r="B616" s="42"/>
      <c r="C616" s="47"/>
      <c r="D616" s="116"/>
      <c r="E616" s="45"/>
      <c r="F616" s="41"/>
      <c r="G616" s="116"/>
      <c r="H616" s="116"/>
    </row>
    <row r="617" spans="1:8">
      <c r="A617" s="49"/>
      <c r="B617" s="147"/>
      <c r="C617" s="34" t="s">
        <v>280</v>
      </c>
      <c r="D617" s="116"/>
      <c r="E617" s="45"/>
      <c r="F617" s="148"/>
      <c r="G617" s="116"/>
      <c r="H617" s="116"/>
    </row>
    <row r="618" spans="1:8">
      <c r="A618" s="48">
        <f>E605</f>
        <v>2.7E-2</v>
      </c>
      <c r="B618" s="41" t="s">
        <v>44</v>
      </c>
      <c r="C618" s="43" t="s">
        <v>281</v>
      </c>
      <c r="D618" s="45" t="e">
        <f>D583</f>
        <v>#REF!</v>
      </c>
      <c r="E618" s="41" t="s">
        <v>44</v>
      </c>
      <c r="F618" s="45" t="e">
        <f>(A618*D618)</f>
        <v>#REF!</v>
      </c>
      <c r="G618" s="116"/>
      <c r="H618" s="116"/>
    </row>
    <row r="619" spans="1:8">
      <c r="A619" s="48">
        <f>E608</f>
        <v>1.9</v>
      </c>
      <c r="B619" s="7" t="s">
        <v>30</v>
      </c>
      <c r="C619" s="43" t="s">
        <v>23</v>
      </c>
      <c r="D619" s="45" t="e">
        <f t="shared" ref="D619:D626" si="20">D584</f>
        <v>#REF!</v>
      </c>
      <c r="E619" s="7" t="s">
        <v>30</v>
      </c>
      <c r="F619" s="45" t="e">
        <f t="shared" ref="F619:F626" si="21">(A619*D619)</f>
        <v>#REF!</v>
      </c>
      <c r="G619" s="116"/>
      <c r="H619" s="116"/>
    </row>
    <row r="620" spans="1:8">
      <c r="A620" s="49">
        <f>E611</f>
        <v>1.3312999999999999</v>
      </c>
      <c r="B620" s="7" t="s">
        <v>30</v>
      </c>
      <c r="C620" s="43" t="s">
        <v>275</v>
      </c>
      <c r="D620" s="45" t="e">
        <f t="shared" si="20"/>
        <v>#REF!</v>
      </c>
      <c r="E620" s="7" t="s">
        <v>30</v>
      </c>
      <c r="F620" s="45" t="e">
        <f t="shared" si="21"/>
        <v>#REF!</v>
      </c>
      <c r="G620" s="116"/>
      <c r="H620" s="116"/>
    </row>
    <row r="621" spans="1:8">
      <c r="A621" s="45">
        <f>E614</f>
        <v>8.6</v>
      </c>
      <c r="B621" s="45" t="s">
        <v>39</v>
      </c>
      <c r="C621" s="34" t="s">
        <v>282</v>
      </c>
      <c r="D621" s="45" t="e">
        <f t="shared" si="20"/>
        <v>#REF!</v>
      </c>
      <c r="E621" s="45" t="s">
        <v>39</v>
      </c>
      <c r="F621" s="45" t="e">
        <f t="shared" si="21"/>
        <v>#REF!</v>
      </c>
      <c r="G621" s="116"/>
      <c r="H621" s="116"/>
    </row>
    <row r="622" spans="1:8">
      <c r="A622" s="45">
        <v>6</v>
      </c>
      <c r="B622" s="7" t="s">
        <v>43</v>
      </c>
      <c r="C622" s="1" t="s">
        <v>74</v>
      </c>
      <c r="D622" s="45" t="e">
        <f t="shared" si="20"/>
        <v>#REF!</v>
      </c>
      <c r="E622" s="1" t="s">
        <v>43</v>
      </c>
      <c r="F622" s="45" t="e">
        <f t="shared" si="21"/>
        <v>#REF!</v>
      </c>
      <c r="G622" s="116"/>
      <c r="H622" s="116"/>
    </row>
    <row r="623" spans="1:8">
      <c r="A623" s="45">
        <v>4</v>
      </c>
      <c r="B623" s="7" t="s">
        <v>43</v>
      </c>
      <c r="C623" s="1" t="s">
        <v>142</v>
      </c>
      <c r="D623" s="45" t="e">
        <f t="shared" si="20"/>
        <v>#REF!</v>
      </c>
      <c r="E623" s="1" t="s">
        <v>43</v>
      </c>
      <c r="F623" s="45" t="e">
        <f t="shared" si="21"/>
        <v>#REF!</v>
      </c>
      <c r="G623" s="116"/>
      <c r="H623" s="116"/>
    </row>
    <row r="624" spans="1:8">
      <c r="A624" s="45">
        <v>2</v>
      </c>
      <c r="B624" s="7" t="s">
        <v>43</v>
      </c>
      <c r="C624" s="1" t="s">
        <v>143</v>
      </c>
      <c r="D624" s="45" t="e">
        <f t="shared" si="20"/>
        <v>#REF!</v>
      </c>
      <c r="E624" s="1" t="s">
        <v>43</v>
      </c>
      <c r="F624" s="45" t="e">
        <f t="shared" si="21"/>
        <v>#REF!</v>
      </c>
      <c r="G624" s="116"/>
      <c r="H624" s="116"/>
    </row>
    <row r="625" spans="1:8">
      <c r="A625" s="45">
        <v>2</v>
      </c>
      <c r="B625" s="7" t="s">
        <v>43</v>
      </c>
      <c r="C625" s="1" t="s">
        <v>108</v>
      </c>
      <c r="D625" s="45" t="e">
        <f t="shared" si="20"/>
        <v>#REF!</v>
      </c>
      <c r="E625" s="1" t="s">
        <v>43</v>
      </c>
      <c r="F625" s="45" t="e">
        <f t="shared" si="21"/>
        <v>#REF!</v>
      </c>
      <c r="G625" s="116"/>
      <c r="H625" s="116"/>
    </row>
    <row r="626" spans="1:8">
      <c r="A626" s="45">
        <v>80</v>
      </c>
      <c r="B626" s="7" t="s">
        <v>43</v>
      </c>
      <c r="C626" s="1" t="s">
        <v>283</v>
      </c>
      <c r="D626" s="45" t="e">
        <f t="shared" si="20"/>
        <v>#REF!</v>
      </c>
      <c r="E626" s="1" t="s">
        <v>43</v>
      </c>
      <c r="F626" s="45" t="e">
        <f t="shared" si="21"/>
        <v>#REF!</v>
      </c>
      <c r="G626" s="116"/>
      <c r="H626" s="116"/>
    </row>
    <row r="627" spans="1:8">
      <c r="A627" s="45"/>
      <c r="B627" s="42"/>
      <c r="C627" s="43"/>
      <c r="D627" s="116"/>
      <c r="E627" s="45"/>
      <c r="F627" s="44" t="s">
        <v>78</v>
      </c>
      <c r="G627" s="116"/>
      <c r="H627" s="116"/>
    </row>
    <row r="628" spans="1:8">
      <c r="A628" s="146"/>
      <c r="B628" s="147"/>
      <c r="C628" s="43" t="s">
        <v>391</v>
      </c>
      <c r="D628" s="116"/>
      <c r="E628" s="41"/>
      <c r="F628" s="149" t="e">
        <f>SUM(F618:F627)</f>
        <v>#REF!</v>
      </c>
      <c r="G628" s="116"/>
      <c r="H628" s="116"/>
    </row>
    <row r="629" spans="1:8">
      <c r="A629" s="146"/>
      <c r="B629" s="147"/>
      <c r="C629" s="116"/>
      <c r="D629" s="45"/>
      <c r="E629" s="148"/>
      <c r="F629" s="44" t="s">
        <v>78</v>
      </c>
      <c r="G629" s="116"/>
      <c r="H629" s="116"/>
    </row>
    <row r="630" spans="1:8">
      <c r="A630" s="146"/>
      <c r="B630" s="147"/>
      <c r="C630" s="149" t="s">
        <v>228</v>
      </c>
      <c r="D630" s="45"/>
      <c r="E630" s="148"/>
      <c r="F630" s="123" t="e">
        <f>F628/A619</f>
        <v>#REF!</v>
      </c>
      <c r="G630" s="116"/>
      <c r="H630" s="116"/>
    </row>
    <row r="631" spans="1:8">
      <c r="A631" s="146"/>
      <c r="B631" s="147"/>
      <c r="C631" s="146"/>
      <c r="D631" s="45"/>
      <c r="E631" s="148"/>
      <c r="F631" s="116"/>
      <c r="G631" s="116"/>
      <c r="H631" s="116"/>
    </row>
    <row r="632" spans="1:8">
      <c r="A632" s="116"/>
      <c r="B632" s="116"/>
      <c r="C632" s="116"/>
      <c r="D632" s="116"/>
      <c r="E632" s="116"/>
      <c r="F632" s="116"/>
      <c r="G632" s="116"/>
      <c r="H632" s="116"/>
    </row>
    <row r="633" spans="1:8">
      <c r="A633" s="116"/>
      <c r="B633" s="116"/>
      <c r="C633" s="116"/>
      <c r="D633" s="116"/>
      <c r="E633" s="116"/>
      <c r="F633" s="116"/>
      <c r="G633" s="116"/>
      <c r="H633" s="116"/>
    </row>
    <row r="634" spans="1:8">
      <c r="A634" s="165">
        <v>4</v>
      </c>
      <c r="B634" s="147"/>
      <c r="C634" s="43" t="s">
        <v>269</v>
      </c>
      <c r="D634" s="146"/>
      <c r="E634" s="148"/>
      <c r="F634" s="146"/>
      <c r="G634" s="116"/>
      <c r="H634" s="116"/>
    </row>
    <row r="635" spans="1:8" ht="18">
      <c r="A635" s="146"/>
      <c r="B635" s="147"/>
      <c r="C635" s="60" t="s">
        <v>392</v>
      </c>
      <c r="D635" s="146"/>
      <c r="E635" s="148"/>
      <c r="F635" s="146"/>
      <c r="G635" s="116"/>
      <c r="H635" s="116"/>
    </row>
    <row r="636" spans="1:8">
      <c r="A636" s="146"/>
      <c r="B636" s="147"/>
      <c r="C636" s="44" t="s">
        <v>78</v>
      </c>
      <c r="D636" s="146"/>
      <c r="E636" s="148"/>
      <c r="F636" s="146"/>
      <c r="G636" s="116"/>
      <c r="H636" s="116"/>
    </row>
    <row r="637" spans="1:8">
      <c r="A637" s="146"/>
      <c r="B637" s="147"/>
      <c r="C637" s="34" t="s">
        <v>271</v>
      </c>
      <c r="D637" s="96"/>
      <c r="E637" s="96"/>
      <c r="F637" s="96" t="s">
        <v>117</v>
      </c>
      <c r="G637" s="116"/>
      <c r="H637" s="116"/>
    </row>
    <row r="638" spans="1:8">
      <c r="A638" s="146"/>
      <c r="B638" s="147"/>
      <c r="C638" s="50" t="s">
        <v>393</v>
      </c>
      <c r="D638" s="116"/>
      <c r="E638" s="62">
        <f>2*2*1.9*0.075*0.0375</f>
        <v>2.1399999999999999E-2</v>
      </c>
      <c r="F638" s="146" t="s">
        <v>117</v>
      </c>
      <c r="G638" s="116"/>
      <c r="H638" s="116"/>
    </row>
    <row r="639" spans="1:8">
      <c r="A639" s="146"/>
      <c r="B639" s="147"/>
      <c r="C639" s="43" t="s">
        <v>394</v>
      </c>
      <c r="D639" s="116"/>
      <c r="E639" s="62">
        <f>2*0.65*0.075*0.0375</f>
        <v>3.7000000000000002E-3</v>
      </c>
      <c r="F639" s="146" t="s">
        <v>117</v>
      </c>
      <c r="G639" s="116"/>
      <c r="H639" s="116"/>
    </row>
    <row r="640" spans="1:8">
      <c r="A640" s="146"/>
      <c r="B640" s="147"/>
      <c r="C640" s="43"/>
      <c r="D640" s="149"/>
      <c r="E640" s="44" t="s">
        <v>78</v>
      </c>
      <c r="F640" s="48"/>
      <c r="G640" s="116"/>
      <c r="H640" s="116"/>
    </row>
    <row r="641" spans="1:8">
      <c r="A641" s="146"/>
      <c r="B641" s="147"/>
      <c r="C641" s="146"/>
      <c r="D641" s="146"/>
      <c r="E641" s="150">
        <f>SUM(E638:E640)</f>
        <v>2.5100000000000001E-2</v>
      </c>
      <c r="F641" s="96" t="s">
        <v>117</v>
      </c>
      <c r="G641" s="116"/>
      <c r="H641" s="116"/>
    </row>
    <row r="642" spans="1:8">
      <c r="A642" s="146"/>
      <c r="B642" s="147"/>
      <c r="C642" s="146"/>
      <c r="D642" s="146"/>
      <c r="E642" s="44" t="s">
        <v>78</v>
      </c>
      <c r="F642" s="96"/>
      <c r="G642" s="116"/>
      <c r="H642" s="116"/>
    </row>
    <row r="643" spans="1:8">
      <c r="A643" s="146"/>
      <c r="B643" s="147"/>
      <c r="C643" s="43" t="s">
        <v>23</v>
      </c>
      <c r="D643" s="116"/>
      <c r="E643" s="116"/>
      <c r="F643" s="116"/>
      <c r="G643" s="116"/>
      <c r="H643" s="116"/>
    </row>
    <row r="644" spans="1:8">
      <c r="A644" s="146"/>
      <c r="B644" s="147"/>
      <c r="C644" s="43" t="s">
        <v>395</v>
      </c>
      <c r="D644" s="63"/>
      <c r="E644" s="61">
        <f>1*1.9*0.65</f>
        <v>1.2350000000000001</v>
      </c>
      <c r="F644" s="7" t="s">
        <v>30</v>
      </c>
      <c r="G644" s="116"/>
      <c r="H644" s="116"/>
    </row>
    <row r="645" spans="1:8">
      <c r="A645" s="146"/>
      <c r="B645" s="147"/>
      <c r="C645" s="43"/>
      <c r="D645" s="63"/>
      <c r="E645" s="61"/>
      <c r="F645" s="48"/>
      <c r="G645" s="116"/>
      <c r="H645" s="116"/>
    </row>
    <row r="646" spans="1:8">
      <c r="A646" s="146"/>
      <c r="B646" s="147"/>
      <c r="C646" s="43" t="s">
        <v>275</v>
      </c>
      <c r="D646" s="63"/>
      <c r="E646" s="61"/>
      <c r="F646" s="48"/>
      <c r="G646" s="116"/>
      <c r="H646" s="116"/>
    </row>
    <row r="647" spans="1:8">
      <c r="A647" s="146"/>
      <c r="B647" s="147"/>
      <c r="C647" s="43" t="s">
        <v>396</v>
      </c>
      <c r="D647" s="63"/>
      <c r="E647" s="62">
        <f>1*1.775*0.525</f>
        <v>0.93189999999999995</v>
      </c>
      <c r="F647" s="48" t="str">
        <f>F644</f>
        <v>SQM</v>
      </c>
      <c r="G647" s="116"/>
      <c r="H647" s="116"/>
    </row>
    <row r="648" spans="1:8">
      <c r="A648" s="146"/>
      <c r="B648" s="147"/>
      <c r="C648" s="43" t="s">
        <v>277</v>
      </c>
      <c r="D648" s="146"/>
      <c r="E648" s="64"/>
      <c r="F648" s="50"/>
      <c r="G648" s="116"/>
      <c r="H648" s="116"/>
    </row>
    <row r="649" spans="1:8">
      <c r="A649" s="51"/>
      <c r="B649" s="147"/>
      <c r="C649" s="43" t="s">
        <v>397</v>
      </c>
      <c r="D649" s="63"/>
      <c r="E649" s="151">
        <f>1.775+0.525</f>
        <v>2.2999999999999998</v>
      </c>
      <c r="F649" s="48"/>
      <c r="G649" s="116"/>
      <c r="H649" s="116"/>
    </row>
    <row r="650" spans="1:8">
      <c r="A650" s="51"/>
      <c r="B650" s="147"/>
      <c r="C650" s="146"/>
      <c r="D650" s="152"/>
      <c r="E650" s="52">
        <f>E649*2</f>
        <v>4.5999999999999996</v>
      </c>
      <c r="F650" s="45" t="s">
        <v>39</v>
      </c>
      <c r="G650" s="116"/>
      <c r="H650" s="116"/>
    </row>
    <row r="651" spans="1:8">
      <c r="A651" s="51"/>
      <c r="B651" s="147"/>
      <c r="C651" s="164" t="s">
        <v>279</v>
      </c>
      <c r="D651" s="152"/>
      <c r="E651" s="41"/>
      <c r="F651" s="45"/>
      <c r="G651" s="116"/>
      <c r="H651" s="116"/>
    </row>
    <row r="652" spans="1:8">
      <c r="A652" s="48"/>
      <c r="B652" s="42"/>
      <c r="C652" s="47"/>
      <c r="D652" s="116"/>
      <c r="E652" s="45"/>
      <c r="F652" s="41"/>
      <c r="G652" s="116"/>
      <c r="H652" s="116"/>
    </row>
    <row r="653" spans="1:8">
      <c r="A653" s="49"/>
      <c r="B653" s="147"/>
      <c r="C653" s="34" t="s">
        <v>280</v>
      </c>
      <c r="D653" s="116"/>
      <c r="E653" s="45"/>
      <c r="F653" s="148"/>
      <c r="G653" s="116"/>
      <c r="H653" s="116"/>
    </row>
    <row r="654" spans="1:8">
      <c r="A654" s="48">
        <f>E641</f>
        <v>2.5100000000000001E-2</v>
      </c>
      <c r="B654" s="41" t="s">
        <v>44</v>
      </c>
      <c r="C654" s="43" t="s">
        <v>281</v>
      </c>
      <c r="D654" s="45" t="e">
        <f>D618</f>
        <v>#REF!</v>
      </c>
      <c r="E654" s="41" t="s">
        <v>44</v>
      </c>
      <c r="F654" s="45" t="e">
        <f>(A654*D654)</f>
        <v>#REF!</v>
      </c>
      <c r="G654" s="116"/>
      <c r="H654" s="116"/>
    </row>
    <row r="655" spans="1:8">
      <c r="A655" s="48">
        <f>E644</f>
        <v>1.2350000000000001</v>
      </c>
      <c r="B655" s="7" t="s">
        <v>30</v>
      </c>
      <c r="C655" s="43" t="s">
        <v>23</v>
      </c>
      <c r="D655" s="45" t="e">
        <f t="shared" ref="D655:D662" si="22">D619</f>
        <v>#REF!</v>
      </c>
      <c r="E655" s="7" t="s">
        <v>30</v>
      </c>
      <c r="F655" s="45" t="e">
        <f t="shared" ref="F655:F662" si="23">(A655*D655)</f>
        <v>#REF!</v>
      </c>
      <c r="G655" s="116"/>
      <c r="H655" s="116"/>
    </row>
    <row r="656" spans="1:8">
      <c r="A656" s="49">
        <f>E647</f>
        <v>0.93189999999999995</v>
      </c>
      <c r="B656" s="7" t="s">
        <v>30</v>
      </c>
      <c r="C656" s="43" t="s">
        <v>275</v>
      </c>
      <c r="D656" s="45" t="e">
        <f t="shared" si="22"/>
        <v>#REF!</v>
      </c>
      <c r="E656" s="7" t="s">
        <v>30</v>
      </c>
      <c r="F656" s="45" t="e">
        <f t="shared" si="23"/>
        <v>#REF!</v>
      </c>
      <c r="G656" s="116"/>
      <c r="H656" s="116"/>
    </row>
    <row r="657" spans="1:8">
      <c r="A657" s="45">
        <f>E650</f>
        <v>4.5999999999999996</v>
      </c>
      <c r="B657" s="45" t="s">
        <v>39</v>
      </c>
      <c r="C657" s="34" t="s">
        <v>282</v>
      </c>
      <c r="D657" s="45" t="e">
        <f t="shared" si="22"/>
        <v>#REF!</v>
      </c>
      <c r="E657" s="45" t="s">
        <v>39</v>
      </c>
      <c r="F657" s="45" t="e">
        <f t="shared" si="23"/>
        <v>#REF!</v>
      </c>
      <c r="G657" s="116"/>
      <c r="H657" s="116"/>
    </row>
    <row r="658" spans="1:8">
      <c r="A658" s="45">
        <v>3</v>
      </c>
      <c r="B658" s="7" t="s">
        <v>43</v>
      </c>
      <c r="C658" s="1" t="s">
        <v>74</v>
      </c>
      <c r="D658" s="45" t="e">
        <f t="shared" si="22"/>
        <v>#REF!</v>
      </c>
      <c r="E658" s="1" t="s">
        <v>43</v>
      </c>
      <c r="F658" s="45" t="e">
        <f t="shared" si="23"/>
        <v>#REF!</v>
      </c>
      <c r="G658" s="116"/>
      <c r="H658" s="116"/>
    </row>
    <row r="659" spans="1:8">
      <c r="A659" s="45">
        <v>2</v>
      </c>
      <c r="B659" s="7" t="s">
        <v>43</v>
      </c>
      <c r="C659" s="1" t="s">
        <v>142</v>
      </c>
      <c r="D659" s="45" t="e">
        <f t="shared" si="22"/>
        <v>#REF!</v>
      </c>
      <c r="E659" s="1" t="s">
        <v>43</v>
      </c>
      <c r="F659" s="45" t="e">
        <f t="shared" si="23"/>
        <v>#REF!</v>
      </c>
      <c r="G659" s="116"/>
      <c r="H659" s="116"/>
    </row>
    <row r="660" spans="1:8">
      <c r="A660" s="45">
        <v>1</v>
      </c>
      <c r="B660" s="7" t="s">
        <v>43</v>
      </c>
      <c r="C660" s="1" t="s">
        <v>143</v>
      </c>
      <c r="D660" s="45" t="e">
        <f t="shared" si="22"/>
        <v>#REF!</v>
      </c>
      <c r="E660" s="1" t="s">
        <v>43</v>
      </c>
      <c r="F660" s="45" t="e">
        <f t="shared" si="23"/>
        <v>#REF!</v>
      </c>
      <c r="G660" s="116"/>
      <c r="H660" s="116"/>
    </row>
    <row r="661" spans="1:8">
      <c r="A661" s="45">
        <v>1</v>
      </c>
      <c r="B661" s="7" t="s">
        <v>43</v>
      </c>
      <c r="C661" s="1" t="s">
        <v>108</v>
      </c>
      <c r="D661" s="45" t="e">
        <f t="shared" si="22"/>
        <v>#REF!</v>
      </c>
      <c r="E661" s="1" t="s">
        <v>43</v>
      </c>
      <c r="F661" s="45" t="e">
        <f t="shared" si="23"/>
        <v>#REF!</v>
      </c>
      <c r="G661" s="116"/>
      <c r="H661" s="116"/>
    </row>
    <row r="662" spans="1:8">
      <c r="A662" s="45">
        <v>40</v>
      </c>
      <c r="B662" s="7" t="s">
        <v>43</v>
      </c>
      <c r="C662" s="1" t="s">
        <v>283</v>
      </c>
      <c r="D662" s="45" t="e">
        <f t="shared" si="22"/>
        <v>#REF!</v>
      </c>
      <c r="E662" s="1" t="s">
        <v>43</v>
      </c>
      <c r="F662" s="45" t="e">
        <f t="shared" si="23"/>
        <v>#REF!</v>
      </c>
      <c r="G662" s="116"/>
      <c r="H662" s="116"/>
    </row>
    <row r="663" spans="1:8">
      <c r="A663" s="45"/>
      <c r="B663" s="42"/>
      <c r="C663" s="43"/>
      <c r="D663" s="116"/>
      <c r="E663" s="45"/>
      <c r="F663" s="44" t="s">
        <v>78</v>
      </c>
      <c r="G663" s="116"/>
      <c r="H663" s="116"/>
    </row>
    <row r="664" spans="1:8">
      <c r="A664" s="146"/>
      <c r="B664" s="147"/>
      <c r="C664" s="43" t="s">
        <v>398</v>
      </c>
      <c r="D664" s="116"/>
      <c r="E664" s="41"/>
      <c r="F664" s="149" t="e">
        <f>SUM(F654:F663)</f>
        <v>#REF!</v>
      </c>
      <c r="G664" s="116"/>
      <c r="H664" s="116"/>
    </row>
    <row r="665" spans="1:8">
      <c r="A665" s="146"/>
      <c r="B665" s="147"/>
      <c r="C665" s="116"/>
      <c r="D665" s="45"/>
      <c r="E665" s="148"/>
      <c r="F665" s="44" t="s">
        <v>78</v>
      </c>
      <c r="G665" s="116"/>
      <c r="H665" s="116"/>
    </row>
    <row r="666" spans="1:8">
      <c r="A666" s="146"/>
      <c r="B666" s="147"/>
      <c r="C666" s="149" t="s">
        <v>228</v>
      </c>
      <c r="D666" s="45"/>
      <c r="E666" s="148"/>
      <c r="F666" s="123" t="e">
        <f>F664/A655</f>
        <v>#REF!</v>
      </c>
      <c r="G666" s="116"/>
      <c r="H666" s="116"/>
    </row>
    <row r="667" spans="1:8">
      <c r="A667" s="146"/>
      <c r="B667" s="147"/>
      <c r="C667" s="146"/>
      <c r="D667" s="45"/>
      <c r="E667" s="148"/>
      <c r="F667" s="116"/>
      <c r="G667" s="116"/>
      <c r="H667" s="116"/>
    </row>
    <row r="668" spans="1:8">
      <c r="A668" s="116"/>
      <c r="B668" s="116"/>
      <c r="C668" s="116"/>
      <c r="D668" s="116"/>
      <c r="E668" s="116"/>
      <c r="F668" s="116"/>
      <c r="G668" s="116"/>
      <c r="H668" s="116"/>
    </row>
    <row r="669" spans="1:8">
      <c r="A669" s="116"/>
      <c r="B669" s="116"/>
      <c r="C669" s="116"/>
      <c r="D669" s="116"/>
      <c r="E669" s="116"/>
      <c r="F669" s="116"/>
      <c r="G669" s="116"/>
      <c r="H669" s="116"/>
    </row>
    <row r="670" spans="1:8">
      <c r="A670" s="146"/>
      <c r="B670" s="147"/>
      <c r="C670" s="43" t="s">
        <v>269</v>
      </c>
      <c r="D670" s="146"/>
      <c r="E670" s="148"/>
      <c r="F670" s="146"/>
      <c r="G670" s="116"/>
      <c r="H670" s="116"/>
    </row>
    <row r="671" spans="1:8" ht="18">
      <c r="A671" s="146"/>
      <c r="B671" s="147"/>
      <c r="C671" s="60" t="s">
        <v>399</v>
      </c>
      <c r="D671" s="146"/>
      <c r="E671" s="148"/>
      <c r="F671" s="146"/>
      <c r="G671" s="116"/>
      <c r="H671" s="116"/>
    </row>
    <row r="672" spans="1:8">
      <c r="A672" s="146"/>
      <c r="B672" s="147"/>
      <c r="C672" s="44" t="s">
        <v>78</v>
      </c>
      <c r="D672" s="146"/>
      <c r="E672" s="148"/>
      <c r="F672" s="146"/>
      <c r="G672" s="116"/>
      <c r="H672" s="116"/>
    </row>
    <row r="673" spans="1:8">
      <c r="A673" s="146"/>
      <c r="B673" s="147"/>
      <c r="C673" s="34" t="s">
        <v>271</v>
      </c>
      <c r="D673" s="96"/>
      <c r="E673" s="96"/>
      <c r="F673" s="96" t="s">
        <v>117</v>
      </c>
      <c r="G673" s="116"/>
      <c r="H673" s="116"/>
    </row>
    <row r="674" spans="1:8">
      <c r="A674" s="146"/>
      <c r="B674" s="147"/>
      <c r="C674" s="50" t="s">
        <v>393</v>
      </c>
      <c r="D674" s="116"/>
      <c r="E674" s="62">
        <f>2*2*1.9*0.075*0.0375</f>
        <v>2.1399999999999999E-2</v>
      </c>
      <c r="F674" s="146" t="s">
        <v>117</v>
      </c>
      <c r="G674" s="116"/>
      <c r="H674" s="116"/>
    </row>
    <row r="675" spans="1:8">
      <c r="A675" s="146"/>
      <c r="B675" s="147"/>
      <c r="C675" s="43" t="s">
        <v>400</v>
      </c>
      <c r="D675" s="116"/>
      <c r="E675" s="62">
        <f>1*2*0.47*0.075*0.0375</f>
        <v>2.5999999999999999E-3</v>
      </c>
      <c r="F675" s="146" t="s">
        <v>117</v>
      </c>
      <c r="G675" s="116"/>
      <c r="H675" s="116"/>
    </row>
    <row r="676" spans="1:8">
      <c r="A676" s="146"/>
      <c r="B676" s="147"/>
      <c r="C676" s="43"/>
      <c r="D676" s="149"/>
      <c r="E676" s="44" t="s">
        <v>78</v>
      </c>
      <c r="F676" s="48"/>
      <c r="G676" s="116"/>
      <c r="H676" s="116"/>
    </row>
    <row r="677" spans="1:8">
      <c r="A677" s="146"/>
      <c r="B677" s="147"/>
      <c r="C677" s="146"/>
      <c r="D677" s="146"/>
      <c r="E677" s="150">
        <f>SUM(E674:E676)</f>
        <v>2.4E-2</v>
      </c>
      <c r="F677" s="96" t="s">
        <v>117</v>
      </c>
      <c r="G677" s="116"/>
      <c r="H677" s="116"/>
    </row>
    <row r="678" spans="1:8">
      <c r="A678" s="146"/>
      <c r="B678" s="147"/>
      <c r="C678" s="146"/>
      <c r="D678" s="146"/>
      <c r="E678" s="44" t="s">
        <v>78</v>
      </c>
      <c r="F678" s="96"/>
      <c r="G678" s="116"/>
      <c r="H678" s="116"/>
    </row>
    <row r="679" spans="1:8">
      <c r="A679" s="146"/>
      <c r="B679" s="147"/>
      <c r="C679" s="43" t="s">
        <v>23</v>
      </c>
      <c r="D679" s="116"/>
      <c r="E679" s="116"/>
      <c r="F679" s="116"/>
      <c r="G679" s="116"/>
      <c r="H679" s="116"/>
    </row>
    <row r="680" spans="1:8">
      <c r="A680" s="146"/>
      <c r="B680" s="147"/>
      <c r="C680" s="43" t="s">
        <v>401</v>
      </c>
      <c r="D680" s="63"/>
      <c r="E680" s="61">
        <f>1*1.9*0.47</f>
        <v>0.89300000000000002</v>
      </c>
      <c r="F680" s="7" t="s">
        <v>30</v>
      </c>
      <c r="G680" s="116"/>
      <c r="H680" s="116"/>
    </row>
    <row r="681" spans="1:8">
      <c r="A681" s="146"/>
      <c r="B681" s="147"/>
      <c r="C681" s="43"/>
      <c r="D681" s="63"/>
      <c r="E681" s="61"/>
      <c r="F681" s="48"/>
      <c r="G681" s="116"/>
      <c r="H681" s="116"/>
    </row>
    <row r="682" spans="1:8">
      <c r="A682" s="146"/>
      <c r="B682" s="147"/>
      <c r="C682" s="43" t="s">
        <v>275</v>
      </c>
      <c r="D682" s="63"/>
      <c r="E682" s="61"/>
      <c r="F682" s="48"/>
      <c r="G682" s="116"/>
      <c r="H682" s="116"/>
    </row>
    <row r="683" spans="1:8">
      <c r="A683" s="146"/>
      <c r="B683" s="147"/>
      <c r="C683" s="43" t="s">
        <v>402</v>
      </c>
      <c r="D683" s="63"/>
      <c r="E683" s="62">
        <f>1*1.775*0.345</f>
        <v>0.61240000000000006</v>
      </c>
      <c r="F683" s="48" t="str">
        <f>F680</f>
        <v>SQM</v>
      </c>
      <c r="G683" s="96"/>
      <c r="H683" s="116"/>
    </row>
    <row r="684" spans="1:8">
      <c r="A684" s="146"/>
      <c r="B684" s="147"/>
      <c r="C684" s="43" t="s">
        <v>277</v>
      </c>
      <c r="D684" s="146"/>
      <c r="E684" s="64"/>
      <c r="F684" s="50"/>
      <c r="G684" s="96"/>
      <c r="H684" s="116"/>
    </row>
    <row r="685" spans="1:8">
      <c r="A685" s="51"/>
      <c r="B685" s="147"/>
      <c r="C685" s="43" t="s">
        <v>403</v>
      </c>
      <c r="D685" s="63"/>
      <c r="E685" s="151">
        <f>1.775+0.345</f>
        <v>2.12</v>
      </c>
      <c r="F685" s="48"/>
      <c r="G685" s="96"/>
      <c r="H685" s="116"/>
    </row>
    <row r="686" spans="1:8">
      <c r="A686" s="51"/>
      <c r="B686" s="147"/>
      <c r="C686" s="146"/>
      <c r="D686" s="152"/>
      <c r="E686" s="52">
        <f>E685*2</f>
        <v>4.24</v>
      </c>
      <c r="F686" s="45" t="s">
        <v>39</v>
      </c>
      <c r="G686" s="96"/>
      <c r="H686" s="116"/>
    </row>
    <row r="687" spans="1:8">
      <c r="A687" s="51"/>
      <c r="B687" s="147"/>
      <c r="C687" s="164" t="s">
        <v>279</v>
      </c>
      <c r="D687" s="152"/>
      <c r="E687" s="41"/>
      <c r="F687" s="45"/>
      <c r="G687" s="96"/>
      <c r="H687" s="116"/>
    </row>
    <row r="688" spans="1:8">
      <c r="A688" s="48"/>
      <c r="B688" s="42"/>
      <c r="C688" s="47"/>
      <c r="D688" s="116"/>
      <c r="E688" s="45"/>
      <c r="F688" s="41"/>
      <c r="G688" s="96"/>
      <c r="H688" s="116"/>
    </row>
    <row r="689" spans="1:8">
      <c r="A689" s="49"/>
      <c r="B689" s="147"/>
      <c r="C689" s="34" t="s">
        <v>280</v>
      </c>
      <c r="D689" s="116"/>
      <c r="E689" s="45"/>
      <c r="F689" s="148"/>
      <c r="G689" s="96"/>
      <c r="H689" s="116"/>
    </row>
    <row r="690" spans="1:8">
      <c r="A690" s="48">
        <f>E677</f>
        <v>2.4E-2</v>
      </c>
      <c r="B690" s="41" t="s">
        <v>44</v>
      </c>
      <c r="C690" s="43" t="s">
        <v>281</v>
      </c>
      <c r="D690" s="45" t="e">
        <f>D654</f>
        <v>#REF!</v>
      </c>
      <c r="E690" s="41" t="s">
        <v>44</v>
      </c>
      <c r="F690" s="45" t="e">
        <f>(A690*D690)</f>
        <v>#REF!</v>
      </c>
      <c r="G690" s="96"/>
      <c r="H690" s="116"/>
    </row>
    <row r="691" spans="1:8">
      <c r="A691" s="48">
        <f>E680</f>
        <v>0.89300000000000002</v>
      </c>
      <c r="B691" s="7" t="s">
        <v>30</v>
      </c>
      <c r="C691" s="43" t="s">
        <v>23</v>
      </c>
      <c r="D691" s="45" t="e">
        <f t="shared" ref="D691:D698" si="24">D655</f>
        <v>#REF!</v>
      </c>
      <c r="E691" s="7" t="s">
        <v>30</v>
      </c>
      <c r="F691" s="45" t="e">
        <f t="shared" ref="F691:F698" si="25">(A691*D691)</f>
        <v>#REF!</v>
      </c>
      <c r="G691" s="96"/>
      <c r="H691" s="116"/>
    </row>
    <row r="692" spans="1:8">
      <c r="A692" s="49">
        <f>E683</f>
        <v>0.61240000000000006</v>
      </c>
      <c r="B692" s="7" t="s">
        <v>30</v>
      </c>
      <c r="C692" s="43" t="s">
        <v>275</v>
      </c>
      <c r="D692" s="45" t="e">
        <f t="shared" si="24"/>
        <v>#REF!</v>
      </c>
      <c r="E692" s="7" t="s">
        <v>30</v>
      </c>
      <c r="F692" s="45" t="e">
        <f t="shared" si="25"/>
        <v>#REF!</v>
      </c>
      <c r="G692" s="96"/>
      <c r="H692" s="116"/>
    </row>
    <row r="693" spans="1:8">
      <c r="A693" s="45">
        <f>E686</f>
        <v>4.24</v>
      </c>
      <c r="B693" s="45" t="s">
        <v>39</v>
      </c>
      <c r="C693" s="34" t="s">
        <v>282</v>
      </c>
      <c r="D693" s="45" t="e">
        <f t="shared" si="24"/>
        <v>#REF!</v>
      </c>
      <c r="E693" s="45" t="s">
        <v>39</v>
      </c>
      <c r="F693" s="45" t="e">
        <f t="shared" si="25"/>
        <v>#REF!</v>
      </c>
      <c r="G693" s="96"/>
      <c r="H693" s="116"/>
    </row>
    <row r="694" spans="1:8">
      <c r="A694" s="45">
        <v>3</v>
      </c>
      <c r="B694" s="7" t="s">
        <v>43</v>
      </c>
      <c r="C694" s="1" t="s">
        <v>74</v>
      </c>
      <c r="D694" s="45" t="e">
        <f t="shared" si="24"/>
        <v>#REF!</v>
      </c>
      <c r="E694" s="1" t="s">
        <v>43</v>
      </c>
      <c r="F694" s="45" t="e">
        <f t="shared" si="25"/>
        <v>#REF!</v>
      </c>
      <c r="G694" s="96"/>
      <c r="H694" s="116"/>
    </row>
    <row r="695" spans="1:8">
      <c r="A695" s="45">
        <v>2</v>
      </c>
      <c r="B695" s="7" t="s">
        <v>43</v>
      </c>
      <c r="C695" s="1" t="s">
        <v>142</v>
      </c>
      <c r="D695" s="45" t="e">
        <f t="shared" si="24"/>
        <v>#REF!</v>
      </c>
      <c r="E695" s="1" t="s">
        <v>43</v>
      </c>
      <c r="F695" s="45" t="e">
        <f t="shared" si="25"/>
        <v>#REF!</v>
      </c>
      <c r="G695" s="96"/>
      <c r="H695" s="116"/>
    </row>
    <row r="696" spans="1:8">
      <c r="A696" s="45">
        <v>1</v>
      </c>
      <c r="B696" s="7" t="s">
        <v>43</v>
      </c>
      <c r="C696" s="1" t="s">
        <v>143</v>
      </c>
      <c r="D696" s="45" t="e">
        <f t="shared" si="24"/>
        <v>#REF!</v>
      </c>
      <c r="E696" s="1" t="s">
        <v>43</v>
      </c>
      <c r="F696" s="45" t="e">
        <f t="shared" si="25"/>
        <v>#REF!</v>
      </c>
      <c r="G696" s="96"/>
      <c r="H696" s="116"/>
    </row>
    <row r="697" spans="1:8">
      <c r="A697" s="45">
        <v>1</v>
      </c>
      <c r="B697" s="7" t="s">
        <v>43</v>
      </c>
      <c r="C697" s="1" t="s">
        <v>108</v>
      </c>
      <c r="D697" s="45" t="e">
        <f t="shared" si="24"/>
        <v>#REF!</v>
      </c>
      <c r="E697" s="1" t="s">
        <v>43</v>
      </c>
      <c r="F697" s="45" t="e">
        <f t="shared" si="25"/>
        <v>#REF!</v>
      </c>
      <c r="G697" s="96"/>
      <c r="H697" s="116"/>
    </row>
    <row r="698" spans="1:8">
      <c r="A698" s="45">
        <v>40</v>
      </c>
      <c r="B698" s="7" t="s">
        <v>43</v>
      </c>
      <c r="C698" s="1" t="s">
        <v>283</v>
      </c>
      <c r="D698" s="45" t="e">
        <f t="shared" si="24"/>
        <v>#REF!</v>
      </c>
      <c r="E698" s="1" t="s">
        <v>43</v>
      </c>
      <c r="F698" s="45" t="e">
        <f t="shared" si="25"/>
        <v>#REF!</v>
      </c>
      <c r="G698" s="96"/>
      <c r="H698" s="116"/>
    </row>
    <row r="699" spans="1:8">
      <c r="A699" s="45"/>
      <c r="B699" s="42"/>
      <c r="C699" s="43"/>
      <c r="D699" s="116"/>
      <c r="E699" s="45"/>
      <c r="F699" s="44" t="s">
        <v>78</v>
      </c>
      <c r="G699" s="96"/>
      <c r="H699" s="116"/>
    </row>
    <row r="700" spans="1:8">
      <c r="A700" s="146"/>
      <c r="B700" s="147"/>
      <c r="C700" s="43" t="s">
        <v>404</v>
      </c>
      <c r="D700" s="116"/>
      <c r="E700" s="41"/>
      <c r="F700" s="149" t="e">
        <f>SUM(F690:F699)</f>
        <v>#REF!</v>
      </c>
      <c r="G700" s="96"/>
      <c r="H700" s="116"/>
    </row>
    <row r="701" spans="1:8">
      <c r="A701" s="146"/>
      <c r="B701" s="147"/>
      <c r="C701" s="116"/>
      <c r="D701" s="45"/>
      <c r="E701" s="148"/>
      <c r="F701" s="44" t="s">
        <v>78</v>
      </c>
      <c r="G701" s="96"/>
      <c r="H701" s="116"/>
    </row>
    <row r="702" spans="1:8">
      <c r="A702" s="146"/>
      <c r="B702" s="147"/>
      <c r="C702" s="149" t="s">
        <v>228</v>
      </c>
      <c r="D702" s="45"/>
      <c r="E702" s="148"/>
      <c r="F702" s="123" t="e">
        <f>F700/A691</f>
        <v>#REF!</v>
      </c>
      <c r="G702" s="96"/>
      <c r="H702" s="116"/>
    </row>
    <row r="703" spans="1:8">
      <c r="A703" s="146"/>
      <c r="B703" s="147"/>
      <c r="C703" s="146"/>
      <c r="D703" s="45"/>
      <c r="E703" s="148"/>
      <c r="F703" s="116"/>
      <c r="G703" s="96"/>
      <c r="H703" s="116"/>
    </row>
    <row r="704" spans="1:8">
      <c r="A704" s="116"/>
      <c r="B704" s="116"/>
      <c r="C704" s="116"/>
      <c r="D704" s="116"/>
      <c r="E704" s="116"/>
      <c r="F704" s="116"/>
      <c r="G704" s="96"/>
      <c r="H704" s="116"/>
    </row>
  </sheetData>
  <mergeCells count="16">
    <mergeCell ref="E560:H560"/>
    <mergeCell ref="A155:F156"/>
    <mergeCell ref="D178:F178"/>
    <mergeCell ref="A21:C22"/>
    <mergeCell ref="D22:G22"/>
    <mergeCell ref="B55:F55"/>
    <mergeCell ref="B80:D80"/>
    <mergeCell ref="A106:F107"/>
    <mergeCell ref="B128:D128"/>
    <mergeCell ref="A315:H315"/>
    <mergeCell ref="A316:H316"/>
    <mergeCell ref="A361:H361"/>
    <mergeCell ref="A406:H406"/>
    <mergeCell ref="A451:H451"/>
    <mergeCell ref="A247:D247"/>
    <mergeCell ref="A277:D277"/>
  </mergeCells>
  <pageMargins left="1.56" right="0.7" top="0.75" bottom="0.59" header="0.3" footer="0.3"/>
  <pageSetup paperSize="9" scale="85" orientation="portrait" r:id="rId1"/>
  <headerFooter>
    <oddHeader>&amp;C&amp;P</oddHeader>
  </headerFooter>
</worksheet>
</file>

<file path=xl/worksheets/sheet3.xml><?xml version="1.0" encoding="utf-8"?>
<worksheet xmlns="http://schemas.openxmlformats.org/spreadsheetml/2006/main" xmlns:r="http://schemas.openxmlformats.org/officeDocument/2006/relationships">
  <sheetPr>
    <tabColor rgb="FFFFFF00"/>
  </sheetPr>
  <dimension ref="A1:F123"/>
  <sheetViews>
    <sheetView view="pageBreakPreview" topLeftCell="A112" zoomScale="85" zoomScaleSheetLayoutView="85" workbookViewId="0">
      <selection activeCell="F107" sqref="F107:F111"/>
    </sheetView>
  </sheetViews>
  <sheetFormatPr defaultRowHeight="15.75"/>
  <cols>
    <col min="1" max="1" width="9" style="172" bestFit="1" customWidth="1"/>
    <col min="2" max="2" width="8.88671875" style="172"/>
    <col min="3" max="3" width="29.88671875" style="172" customWidth="1"/>
    <col min="4" max="4" width="12.109375" style="172" customWidth="1"/>
    <col min="5" max="5" width="8.88671875" style="172"/>
    <col min="6" max="6" width="10.109375" style="172" bestFit="1" customWidth="1"/>
  </cols>
  <sheetData>
    <row r="1" spans="1:6">
      <c r="C1" s="172" t="s">
        <v>11</v>
      </c>
    </row>
    <row r="2" spans="1:6">
      <c r="C2" s="172" t="s">
        <v>31</v>
      </c>
    </row>
    <row r="3" spans="1:6">
      <c r="A3" s="174" t="s">
        <v>77</v>
      </c>
      <c r="B3" s="174" t="s">
        <v>52</v>
      </c>
      <c r="C3" s="174" t="s">
        <v>450</v>
      </c>
      <c r="D3" s="174"/>
      <c r="E3" s="174" t="s">
        <v>436</v>
      </c>
      <c r="F3" s="174"/>
    </row>
    <row r="4" spans="1:6">
      <c r="A4" s="172" t="s">
        <v>78</v>
      </c>
      <c r="B4" s="172" t="s">
        <v>78</v>
      </c>
      <c r="C4" s="172" t="s">
        <v>78</v>
      </c>
      <c r="D4" s="172" t="s">
        <v>78</v>
      </c>
      <c r="E4" s="172" t="s">
        <v>78</v>
      </c>
      <c r="F4" s="172" t="s">
        <v>78</v>
      </c>
    </row>
    <row r="5" spans="1:6">
      <c r="A5" s="172" t="s">
        <v>79</v>
      </c>
      <c r="B5" s="172" t="s">
        <v>52</v>
      </c>
      <c r="C5" s="172" t="s">
        <v>80</v>
      </c>
      <c r="D5" s="172" t="s">
        <v>81</v>
      </c>
      <c r="E5" s="172" t="s">
        <v>82</v>
      </c>
      <c r="F5" s="172" t="s">
        <v>83</v>
      </c>
    </row>
    <row r="6" spans="1:6">
      <c r="A6" s="177"/>
      <c r="B6" s="177"/>
      <c r="C6" s="180"/>
      <c r="D6" s="177"/>
      <c r="E6" s="177"/>
      <c r="F6" s="177"/>
    </row>
    <row r="7" spans="1:6">
      <c r="A7" s="177"/>
      <c r="B7" s="177" t="s">
        <v>120</v>
      </c>
      <c r="C7" s="177" t="s">
        <v>121</v>
      </c>
      <c r="D7" s="177"/>
      <c r="E7" s="177"/>
      <c r="F7" s="177"/>
    </row>
    <row r="8" spans="1:6">
      <c r="A8" s="177">
        <v>0.96</v>
      </c>
      <c r="B8" s="177" t="s">
        <v>41</v>
      </c>
      <c r="C8" s="177" t="s">
        <v>42</v>
      </c>
      <c r="D8" s="177">
        <v>5960</v>
      </c>
      <c r="E8" s="177" t="s">
        <v>41</v>
      </c>
      <c r="F8" s="177">
        <v>5721.6</v>
      </c>
    </row>
    <row r="9" spans="1:6">
      <c r="A9" s="177">
        <v>1</v>
      </c>
      <c r="B9" s="177" t="s">
        <v>44</v>
      </c>
      <c r="C9" s="177" t="s">
        <v>438</v>
      </c>
      <c r="D9" s="177">
        <v>1511.1</v>
      </c>
      <c r="E9" s="177" t="s">
        <v>44</v>
      </c>
      <c r="F9" s="177">
        <v>1511.1</v>
      </c>
    </row>
    <row r="10" spans="1:6">
      <c r="A10" s="177">
        <v>1</v>
      </c>
      <c r="B10" s="177" t="s">
        <v>44</v>
      </c>
      <c r="C10" s="177" t="s">
        <v>45</v>
      </c>
      <c r="D10" s="177">
        <v>100</v>
      </c>
      <c r="E10" s="177" t="s">
        <v>44</v>
      </c>
      <c r="F10" s="177">
        <v>100</v>
      </c>
    </row>
    <row r="11" spans="1:6">
      <c r="A11" s="177"/>
      <c r="B11" s="177" t="s">
        <v>24</v>
      </c>
      <c r="C11" s="177" t="s">
        <v>25</v>
      </c>
      <c r="D11" s="177" t="s">
        <v>52</v>
      </c>
      <c r="E11" s="177" t="s">
        <v>24</v>
      </c>
      <c r="F11" s="177">
        <v>0</v>
      </c>
    </row>
    <row r="12" spans="1:6">
      <c r="A12" s="177"/>
      <c r="B12" s="177"/>
      <c r="C12" s="177" t="s">
        <v>73</v>
      </c>
      <c r="D12" s="177"/>
      <c r="E12" s="177"/>
      <c r="F12" s="173">
        <v>7332.7</v>
      </c>
    </row>
    <row r="13" spans="1:6">
      <c r="A13" s="177"/>
      <c r="B13" s="177"/>
      <c r="C13" s="177"/>
      <c r="D13" s="177"/>
      <c r="E13" s="177"/>
      <c r="F13" s="177" t="s">
        <v>78</v>
      </c>
    </row>
    <row r="14" spans="1:6">
      <c r="A14" s="177"/>
      <c r="B14" s="177" t="s">
        <v>120</v>
      </c>
      <c r="C14" s="177" t="s">
        <v>4</v>
      </c>
      <c r="D14" s="177"/>
      <c r="E14" s="177"/>
      <c r="F14" s="177"/>
    </row>
    <row r="15" spans="1:6">
      <c r="A15" s="177">
        <v>0.72</v>
      </c>
      <c r="B15" s="177" t="s">
        <v>41</v>
      </c>
      <c r="C15" s="177" t="s">
        <v>42</v>
      </c>
      <c r="D15" s="177">
        <v>5960</v>
      </c>
      <c r="E15" s="177" t="s">
        <v>41</v>
      </c>
      <c r="F15" s="177">
        <v>4291.2</v>
      </c>
    </row>
    <row r="16" spans="1:6">
      <c r="A16" s="177">
        <v>1</v>
      </c>
      <c r="B16" s="177" t="s">
        <v>44</v>
      </c>
      <c r="C16" s="177" t="s">
        <v>438</v>
      </c>
      <c r="D16" s="177">
        <v>1511.1</v>
      </c>
      <c r="E16" s="177" t="s">
        <v>44</v>
      </c>
      <c r="F16" s="177">
        <v>1511.1</v>
      </c>
    </row>
    <row r="17" spans="1:6">
      <c r="A17" s="177">
        <v>1</v>
      </c>
      <c r="B17" s="177" t="s">
        <v>44</v>
      </c>
      <c r="C17" s="177" t="s">
        <v>45</v>
      </c>
      <c r="D17" s="177">
        <v>100</v>
      </c>
      <c r="E17" s="177" t="s">
        <v>44</v>
      </c>
      <c r="F17" s="177">
        <v>100</v>
      </c>
    </row>
    <row r="18" spans="1:6">
      <c r="A18" s="177"/>
      <c r="B18" s="177" t="s">
        <v>24</v>
      </c>
      <c r="C18" s="177" t="s">
        <v>25</v>
      </c>
      <c r="D18" s="177" t="s">
        <v>52</v>
      </c>
      <c r="E18" s="177" t="s">
        <v>24</v>
      </c>
      <c r="F18" s="177">
        <v>0</v>
      </c>
    </row>
    <row r="19" spans="1:6">
      <c r="A19" s="177"/>
      <c r="B19" s="177"/>
      <c r="C19" s="177" t="s">
        <v>73</v>
      </c>
      <c r="D19" s="177"/>
      <c r="E19" s="177"/>
      <c r="F19" s="173">
        <v>5902.3</v>
      </c>
    </row>
    <row r="20" spans="1:6">
      <c r="A20" s="177"/>
      <c r="B20" s="177"/>
      <c r="C20" s="177"/>
      <c r="D20" s="177"/>
      <c r="E20" s="177"/>
      <c r="F20" s="177" t="s">
        <v>78</v>
      </c>
    </row>
    <row r="21" spans="1:6">
      <c r="A21" s="177"/>
      <c r="B21" s="177" t="s">
        <v>120</v>
      </c>
      <c r="C21" s="177" t="s">
        <v>66</v>
      </c>
      <c r="D21" s="177"/>
      <c r="E21" s="177"/>
      <c r="F21" s="177"/>
    </row>
    <row r="22" spans="1:6">
      <c r="A22" s="177">
        <v>0.48</v>
      </c>
      <c r="B22" s="177" t="s">
        <v>41</v>
      </c>
      <c r="C22" s="177" t="s">
        <v>42</v>
      </c>
      <c r="D22" s="177">
        <v>5960</v>
      </c>
      <c r="E22" s="177" t="s">
        <v>41</v>
      </c>
      <c r="F22" s="177">
        <v>2860.8</v>
      </c>
    </row>
    <row r="23" spans="1:6">
      <c r="A23" s="177">
        <v>1</v>
      </c>
      <c r="B23" s="177" t="s">
        <v>44</v>
      </c>
      <c r="C23" s="180" t="s">
        <v>438</v>
      </c>
      <c r="D23" s="177">
        <v>1511.1</v>
      </c>
      <c r="E23" s="177" t="s">
        <v>44</v>
      </c>
      <c r="F23" s="177">
        <v>1511.1</v>
      </c>
    </row>
    <row r="24" spans="1:6">
      <c r="A24" s="177">
        <v>1</v>
      </c>
      <c r="B24" s="177" t="s">
        <v>44</v>
      </c>
      <c r="C24" s="177" t="s">
        <v>45</v>
      </c>
      <c r="D24" s="177">
        <v>100</v>
      </c>
      <c r="E24" s="177" t="s">
        <v>44</v>
      </c>
      <c r="F24" s="177">
        <v>100</v>
      </c>
    </row>
    <row r="25" spans="1:6">
      <c r="A25" s="177"/>
      <c r="B25" s="177" t="s">
        <v>24</v>
      </c>
      <c r="C25" s="177" t="s">
        <v>25</v>
      </c>
      <c r="D25" s="177" t="s">
        <v>52</v>
      </c>
      <c r="E25" s="177" t="s">
        <v>24</v>
      </c>
      <c r="F25" s="177">
        <v>0</v>
      </c>
    </row>
    <row r="26" spans="1:6">
      <c r="A26" s="177"/>
      <c r="B26" s="177"/>
      <c r="C26" s="177" t="s">
        <v>73</v>
      </c>
      <c r="D26" s="177"/>
      <c r="E26" s="177"/>
      <c r="F26" s="173">
        <v>4471.8999999999996</v>
      </c>
    </row>
    <row r="27" spans="1:6">
      <c r="A27" s="177"/>
      <c r="B27" s="177"/>
      <c r="C27" s="177"/>
      <c r="D27" s="177"/>
      <c r="E27" s="177"/>
      <c r="F27" s="177" t="s">
        <v>78</v>
      </c>
    </row>
    <row r="28" spans="1:6">
      <c r="A28" s="177"/>
      <c r="B28" s="177" t="s">
        <v>120</v>
      </c>
      <c r="C28" s="177" t="s">
        <v>64</v>
      </c>
      <c r="D28" s="177"/>
      <c r="E28" s="177"/>
      <c r="F28" s="177"/>
    </row>
    <row r="29" spans="1:6">
      <c r="A29" s="177">
        <v>0.36</v>
      </c>
      <c r="B29" s="177" t="s">
        <v>41</v>
      </c>
      <c r="C29" s="180" t="s">
        <v>42</v>
      </c>
      <c r="D29" s="177">
        <v>5960</v>
      </c>
      <c r="E29" s="177" t="s">
        <v>41</v>
      </c>
      <c r="F29" s="177">
        <v>2145.6</v>
      </c>
    </row>
    <row r="30" spans="1:6">
      <c r="A30" s="177">
        <v>1</v>
      </c>
      <c r="B30" s="177" t="s">
        <v>44</v>
      </c>
      <c r="C30" s="177" t="s">
        <v>438</v>
      </c>
      <c r="D30" s="177">
        <v>1511.1</v>
      </c>
      <c r="E30" s="177" t="s">
        <v>44</v>
      </c>
      <c r="F30" s="177">
        <v>1511.1</v>
      </c>
    </row>
    <row r="31" spans="1:6">
      <c r="A31" s="177">
        <v>1</v>
      </c>
      <c r="B31" s="177" t="s">
        <v>44</v>
      </c>
      <c r="C31" s="177" t="s">
        <v>45</v>
      </c>
      <c r="D31" s="177">
        <v>100</v>
      </c>
      <c r="E31" s="177" t="s">
        <v>44</v>
      </c>
      <c r="F31" s="177">
        <v>100</v>
      </c>
    </row>
    <row r="32" spans="1:6">
      <c r="A32" s="177"/>
      <c r="B32" s="177" t="s">
        <v>24</v>
      </c>
      <c r="C32" s="177" t="s">
        <v>25</v>
      </c>
      <c r="D32" s="177" t="s">
        <v>52</v>
      </c>
      <c r="E32" s="177" t="s">
        <v>24</v>
      </c>
      <c r="F32" s="177">
        <v>0</v>
      </c>
    </row>
    <row r="33" spans="1:6">
      <c r="A33" s="177"/>
      <c r="B33" s="177"/>
      <c r="C33" s="177" t="s">
        <v>73</v>
      </c>
      <c r="D33" s="177"/>
      <c r="E33" s="177"/>
      <c r="F33" s="173">
        <v>3756.7</v>
      </c>
    </row>
    <row r="34" spans="1:6">
      <c r="A34" s="177"/>
      <c r="B34" s="177"/>
      <c r="C34" s="177"/>
      <c r="D34" s="177"/>
      <c r="E34" s="177"/>
      <c r="F34" s="177" t="s">
        <v>78</v>
      </c>
    </row>
    <row r="35" spans="1:6">
      <c r="A35" s="177"/>
      <c r="B35" s="177" t="s">
        <v>120</v>
      </c>
      <c r="C35" s="177" t="s">
        <v>84</v>
      </c>
      <c r="D35" s="177"/>
      <c r="E35" s="177"/>
      <c r="F35" s="177"/>
    </row>
    <row r="36" spans="1:6">
      <c r="A36" s="177">
        <v>0.28799999999999998</v>
      </c>
      <c r="B36" s="177" t="s">
        <v>41</v>
      </c>
      <c r="C36" s="177" t="s">
        <v>42</v>
      </c>
      <c r="D36" s="177">
        <v>5960</v>
      </c>
      <c r="E36" s="177" t="s">
        <v>41</v>
      </c>
      <c r="F36" s="177">
        <v>1716.48</v>
      </c>
    </row>
    <row r="37" spans="1:6">
      <c r="A37" s="177">
        <v>1</v>
      </c>
      <c r="B37" s="177" t="s">
        <v>44</v>
      </c>
      <c r="C37" s="177" t="s">
        <v>438</v>
      </c>
      <c r="D37" s="177">
        <v>1511.1</v>
      </c>
      <c r="E37" s="177" t="s">
        <v>44</v>
      </c>
      <c r="F37" s="177">
        <v>1511.1</v>
      </c>
    </row>
    <row r="38" spans="1:6">
      <c r="A38" s="177">
        <v>1</v>
      </c>
      <c r="B38" s="177" t="s">
        <v>44</v>
      </c>
      <c r="C38" s="177" t="s">
        <v>45</v>
      </c>
      <c r="D38" s="177">
        <v>100</v>
      </c>
      <c r="E38" s="177" t="s">
        <v>44</v>
      </c>
      <c r="F38" s="177">
        <v>100</v>
      </c>
    </row>
    <row r="39" spans="1:6">
      <c r="A39" s="177"/>
      <c r="B39" s="177" t="s">
        <v>24</v>
      </c>
      <c r="C39" s="177" t="s">
        <v>25</v>
      </c>
      <c r="D39" s="177" t="s">
        <v>52</v>
      </c>
      <c r="E39" s="177" t="s">
        <v>24</v>
      </c>
      <c r="F39" s="177">
        <v>0</v>
      </c>
    </row>
    <row r="40" spans="1:6">
      <c r="A40" s="177"/>
      <c r="B40" s="177"/>
      <c r="C40" s="177" t="s">
        <v>73</v>
      </c>
      <c r="D40" s="177"/>
      <c r="E40" s="177"/>
      <c r="F40" s="173">
        <v>3327.58</v>
      </c>
    </row>
    <row r="41" spans="1:6">
      <c r="A41" s="177"/>
      <c r="B41" s="177"/>
      <c r="C41" s="177"/>
      <c r="D41" s="177"/>
      <c r="E41" s="177"/>
      <c r="F41" s="177" t="s">
        <v>78</v>
      </c>
    </row>
    <row r="42" spans="1:6">
      <c r="A42" s="177"/>
      <c r="B42" s="177" t="s">
        <v>120</v>
      </c>
      <c r="C42" s="180" t="s">
        <v>85</v>
      </c>
      <c r="D42" s="177"/>
      <c r="E42" s="177"/>
      <c r="F42" s="177"/>
    </row>
    <row r="43" spans="1:6">
      <c r="A43" s="177">
        <v>0.24</v>
      </c>
      <c r="B43" s="177" t="s">
        <v>41</v>
      </c>
      <c r="C43" s="177" t="s">
        <v>42</v>
      </c>
      <c r="D43" s="177">
        <v>5960</v>
      </c>
      <c r="E43" s="177" t="s">
        <v>41</v>
      </c>
      <c r="F43" s="177">
        <v>1430.4</v>
      </c>
    </row>
    <row r="44" spans="1:6">
      <c r="A44" s="177">
        <v>1</v>
      </c>
      <c r="B44" s="177" t="s">
        <v>44</v>
      </c>
      <c r="C44" s="177" t="s">
        <v>438</v>
      </c>
      <c r="D44" s="177">
        <v>1511.1</v>
      </c>
      <c r="E44" s="177" t="s">
        <v>44</v>
      </c>
      <c r="F44" s="177">
        <v>1511.1</v>
      </c>
    </row>
    <row r="45" spans="1:6">
      <c r="A45" s="177">
        <v>1</v>
      </c>
      <c r="B45" s="177" t="s">
        <v>44</v>
      </c>
      <c r="C45" s="177" t="s">
        <v>45</v>
      </c>
      <c r="D45" s="177">
        <v>100</v>
      </c>
      <c r="E45" s="177" t="s">
        <v>44</v>
      </c>
      <c r="F45" s="177">
        <v>100</v>
      </c>
    </row>
    <row r="46" spans="1:6">
      <c r="A46" s="177"/>
      <c r="B46" s="177" t="s">
        <v>24</v>
      </c>
      <c r="C46" s="177" t="s">
        <v>25</v>
      </c>
      <c r="D46" s="177" t="s">
        <v>52</v>
      </c>
      <c r="E46" s="177" t="s">
        <v>24</v>
      </c>
      <c r="F46" s="177">
        <v>0</v>
      </c>
    </row>
    <row r="47" spans="1:6">
      <c r="A47" s="177"/>
      <c r="B47" s="177"/>
      <c r="C47" s="177" t="s">
        <v>73</v>
      </c>
      <c r="D47" s="177"/>
      <c r="E47" s="177"/>
      <c r="F47" s="173">
        <v>3041.5</v>
      </c>
    </row>
    <row r="48" spans="1:6">
      <c r="A48" s="177" t="s">
        <v>52</v>
      </c>
      <c r="B48" s="177"/>
      <c r="C48" s="177"/>
      <c r="D48" s="177"/>
      <c r="E48" s="177"/>
      <c r="F48" s="177"/>
    </row>
    <row r="49" spans="1:6">
      <c r="A49" s="177"/>
      <c r="B49" s="177" t="s">
        <v>120</v>
      </c>
      <c r="C49" s="177" t="s">
        <v>114</v>
      </c>
      <c r="D49" s="177"/>
      <c r="E49" s="177"/>
      <c r="F49" s="177"/>
    </row>
    <row r="50" spans="1:6">
      <c r="A50" s="177">
        <v>0.20599999999999999</v>
      </c>
      <c r="B50" s="177" t="s">
        <v>41</v>
      </c>
      <c r="C50" s="177" t="s">
        <v>42</v>
      </c>
      <c r="D50" s="177">
        <v>5960</v>
      </c>
      <c r="E50" s="177" t="s">
        <v>41</v>
      </c>
      <c r="F50" s="177">
        <v>1227.76</v>
      </c>
    </row>
    <row r="51" spans="1:6">
      <c r="A51" s="177">
        <v>1</v>
      </c>
      <c r="B51" s="177" t="s">
        <v>44</v>
      </c>
      <c r="C51" s="177" t="s">
        <v>438</v>
      </c>
      <c r="D51" s="177">
        <v>1511.1</v>
      </c>
      <c r="E51" s="177" t="s">
        <v>44</v>
      </c>
      <c r="F51" s="177">
        <v>1511.1</v>
      </c>
    </row>
    <row r="52" spans="1:6">
      <c r="A52" s="177">
        <v>1</v>
      </c>
      <c r="B52" s="177" t="s">
        <v>44</v>
      </c>
      <c r="C52" s="177" t="s">
        <v>45</v>
      </c>
      <c r="D52" s="177">
        <v>100</v>
      </c>
      <c r="E52" s="177" t="s">
        <v>44</v>
      </c>
      <c r="F52" s="177">
        <v>100</v>
      </c>
    </row>
    <row r="53" spans="1:6">
      <c r="A53" s="177"/>
      <c r="B53" s="177" t="s">
        <v>24</v>
      </c>
      <c r="C53" s="177" t="s">
        <v>25</v>
      </c>
      <c r="D53" s="177" t="s">
        <v>52</v>
      </c>
      <c r="E53" s="177" t="s">
        <v>24</v>
      </c>
      <c r="F53" s="177">
        <v>0</v>
      </c>
    </row>
    <row r="54" spans="1:6">
      <c r="A54" s="177"/>
      <c r="B54" s="177"/>
      <c r="C54" s="177"/>
      <c r="D54" s="177"/>
      <c r="E54" s="177"/>
      <c r="F54" s="177" t="s">
        <v>78</v>
      </c>
    </row>
    <row r="55" spans="1:6">
      <c r="A55" s="177"/>
      <c r="B55" s="177"/>
      <c r="C55" s="177" t="s">
        <v>73</v>
      </c>
      <c r="D55" s="177"/>
      <c r="E55" s="177"/>
      <c r="F55" s="173">
        <v>2838.86</v>
      </c>
    </row>
    <row r="56" spans="1:6">
      <c r="A56" s="177"/>
      <c r="B56" s="177"/>
      <c r="C56" s="177"/>
      <c r="D56" s="177"/>
      <c r="E56" s="177"/>
      <c r="F56" s="177" t="s">
        <v>78</v>
      </c>
    </row>
    <row r="57" spans="1:6">
      <c r="A57" s="177"/>
      <c r="B57" s="177" t="s">
        <v>120</v>
      </c>
      <c r="C57" s="177" t="s">
        <v>86</v>
      </c>
      <c r="D57" s="177"/>
      <c r="E57" s="177"/>
      <c r="F57" s="177"/>
    </row>
    <row r="58" spans="1:6">
      <c r="A58" s="177">
        <v>0.18</v>
      </c>
      <c r="B58" s="177" t="s">
        <v>41</v>
      </c>
      <c r="C58" s="177" t="s">
        <v>42</v>
      </c>
      <c r="D58" s="177">
        <v>5960</v>
      </c>
      <c r="E58" s="177" t="s">
        <v>41</v>
      </c>
      <c r="F58" s="177">
        <v>1072.8</v>
      </c>
    </row>
    <row r="59" spans="1:6">
      <c r="A59" s="177">
        <v>1</v>
      </c>
      <c r="B59" s="177" t="s">
        <v>44</v>
      </c>
      <c r="C59" s="180" t="s">
        <v>438</v>
      </c>
      <c r="D59" s="177">
        <v>1511.1</v>
      </c>
      <c r="E59" s="177" t="s">
        <v>44</v>
      </c>
      <c r="F59" s="177">
        <v>1511.1</v>
      </c>
    </row>
    <row r="60" spans="1:6">
      <c r="A60" s="177">
        <v>1</v>
      </c>
      <c r="B60" s="177" t="s">
        <v>44</v>
      </c>
      <c r="C60" s="177" t="s">
        <v>45</v>
      </c>
      <c r="D60" s="177">
        <v>100</v>
      </c>
      <c r="E60" s="177" t="s">
        <v>44</v>
      </c>
      <c r="F60" s="177">
        <v>100</v>
      </c>
    </row>
    <row r="61" spans="1:6">
      <c r="A61" s="177"/>
      <c r="B61" s="177" t="s">
        <v>24</v>
      </c>
      <c r="C61" s="177" t="s">
        <v>25</v>
      </c>
      <c r="D61" s="177" t="s">
        <v>52</v>
      </c>
      <c r="E61" s="177" t="s">
        <v>24</v>
      </c>
      <c r="F61" s="177">
        <v>0</v>
      </c>
    </row>
    <row r="62" spans="1:6">
      <c r="A62" s="177"/>
      <c r="B62" s="177"/>
      <c r="C62" s="177" t="s">
        <v>73</v>
      </c>
      <c r="D62" s="177"/>
      <c r="E62" s="177"/>
      <c r="F62" s="173">
        <v>2683.9</v>
      </c>
    </row>
    <row r="63" spans="1:6">
      <c r="A63" s="177"/>
      <c r="B63" s="177"/>
      <c r="C63" s="177"/>
      <c r="D63" s="177"/>
      <c r="E63" s="177"/>
      <c r="F63" s="177" t="s">
        <v>78</v>
      </c>
    </row>
    <row r="64" spans="1:6" ht="31.5">
      <c r="A64" s="177">
        <v>1.5</v>
      </c>
      <c r="B64" s="177"/>
      <c r="C64" s="182" t="s">
        <v>112</v>
      </c>
      <c r="D64" s="177" t="s">
        <v>70</v>
      </c>
      <c r="E64" s="177"/>
      <c r="F64" s="173">
        <v>96.6</v>
      </c>
    </row>
    <row r="65" spans="1:6">
      <c r="A65" s="177"/>
      <c r="B65" s="177"/>
      <c r="C65" s="180"/>
      <c r="D65" s="177"/>
      <c r="E65" s="177"/>
      <c r="F65" s="177"/>
    </row>
    <row r="66" spans="1:6">
      <c r="A66" s="177" t="s">
        <v>16</v>
      </c>
      <c r="B66" s="177" t="s">
        <v>120</v>
      </c>
      <c r="C66" s="177" t="s">
        <v>17</v>
      </c>
      <c r="D66" s="177"/>
      <c r="E66" s="177"/>
      <c r="F66" s="177"/>
    </row>
    <row r="67" spans="1:6">
      <c r="A67" s="177"/>
      <c r="B67" s="177"/>
      <c r="C67" s="177" t="s">
        <v>439</v>
      </c>
      <c r="D67" s="177"/>
      <c r="E67" s="177"/>
      <c r="F67" s="177"/>
    </row>
    <row r="68" spans="1:6">
      <c r="A68" s="177">
        <v>1</v>
      </c>
      <c r="B68" s="177" t="s">
        <v>44</v>
      </c>
      <c r="C68" s="177" t="s">
        <v>440</v>
      </c>
      <c r="D68" s="177">
        <v>1511.1</v>
      </c>
      <c r="E68" s="177" t="s">
        <v>44</v>
      </c>
      <c r="F68" s="177">
        <v>1511.1</v>
      </c>
    </row>
    <row r="69" spans="1:6">
      <c r="A69" s="177">
        <v>1</v>
      </c>
      <c r="B69" s="177" t="s">
        <v>44</v>
      </c>
      <c r="C69" s="177" t="s">
        <v>67</v>
      </c>
      <c r="D69" s="177">
        <v>29.5</v>
      </c>
      <c r="E69" s="177" t="s">
        <v>44</v>
      </c>
      <c r="F69" s="177">
        <v>29.5</v>
      </c>
    </row>
    <row r="70" spans="1:6">
      <c r="A70" s="177"/>
      <c r="B70" s="177" t="s">
        <v>24</v>
      </c>
      <c r="C70" s="177" t="s">
        <v>25</v>
      </c>
      <c r="D70" s="177" t="s">
        <v>52</v>
      </c>
      <c r="E70" s="177" t="s">
        <v>24</v>
      </c>
      <c r="F70" s="177">
        <v>0</v>
      </c>
    </row>
    <row r="71" spans="1:6">
      <c r="A71" s="177"/>
      <c r="B71" s="177"/>
      <c r="C71" s="177" t="s">
        <v>6</v>
      </c>
      <c r="D71" s="177"/>
      <c r="E71" s="177"/>
      <c r="F71" s="173">
        <v>1540.6</v>
      </c>
    </row>
    <row r="72" spans="1:6">
      <c r="A72" s="177"/>
      <c r="B72" s="177"/>
      <c r="C72" s="177"/>
      <c r="D72" s="177"/>
      <c r="E72" s="177"/>
      <c r="F72" s="177"/>
    </row>
    <row r="73" spans="1:6">
      <c r="A73" s="177"/>
      <c r="B73" s="177">
        <v>4.2</v>
      </c>
      <c r="C73" s="177" t="s">
        <v>209</v>
      </c>
      <c r="D73" s="177"/>
      <c r="E73" s="177"/>
      <c r="F73" s="177"/>
    </row>
    <row r="74" spans="1:6">
      <c r="A74" s="177">
        <v>5</v>
      </c>
      <c r="B74" s="177" t="s">
        <v>65</v>
      </c>
      <c r="C74" s="177" t="s">
        <v>442</v>
      </c>
      <c r="D74" s="177">
        <v>1679.5</v>
      </c>
      <c r="E74" s="177"/>
      <c r="F74" s="177">
        <v>8397.5</v>
      </c>
    </row>
    <row r="75" spans="1:6">
      <c r="A75" s="177">
        <v>3.3</v>
      </c>
      <c r="B75" s="177" t="s">
        <v>65</v>
      </c>
      <c r="C75" s="177" t="s">
        <v>443</v>
      </c>
      <c r="D75" s="177">
        <v>1400.5</v>
      </c>
      <c r="E75" s="177"/>
      <c r="F75" s="177">
        <v>4621.6499999999996</v>
      </c>
    </row>
    <row r="76" spans="1:6">
      <c r="A76" s="177">
        <v>4.79</v>
      </c>
      <c r="B76" s="177" t="s">
        <v>65</v>
      </c>
      <c r="C76" s="177" t="s">
        <v>441</v>
      </c>
      <c r="D76" s="177">
        <v>1511.1</v>
      </c>
      <c r="E76" s="177"/>
      <c r="F76" s="177">
        <v>7238.17</v>
      </c>
    </row>
    <row r="77" spans="1:6">
      <c r="A77" s="177">
        <v>4</v>
      </c>
      <c r="B77" s="177" t="s">
        <v>27</v>
      </c>
      <c r="C77" s="183" t="s">
        <v>20</v>
      </c>
      <c r="D77" s="177">
        <v>5960</v>
      </c>
      <c r="E77" s="177"/>
      <c r="F77" s="177">
        <v>23840</v>
      </c>
    </row>
    <row r="78" spans="1:6">
      <c r="A78" s="177">
        <v>40</v>
      </c>
      <c r="B78" s="177" t="s">
        <v>88</v>
      </c>
      <c r="C78" s="177" t="s">
        <v>218</v>
      </c>
      <c r="D78" s="177">
        <v>42.8</v>
      </c>
      <c r="E78" s="177"/>
      <c r="F78" s="177">
        <v>1712</v>
      </c>
    </row>
    <row r="79" spans="1:6">
      <c r="A79" s="177">
        <v>3.5</v>
      </c>
      <c r="B79" s="177" t="s">
        <v>72</v>
      </c>
      <c r="C79" s="177" t="s">
        <v>26</v>
      </c>
      <c r="D79" s="177">
        <v>804</v>
      </c>
      <c r="E79" s="177"/>
      <c r="F79" s="177">
        <v>2814</v>
      </c>
    </row>
    <row r="80" spans="1:6">
      <c r="A80" s="177">
        <v>21.2</v>
      </c>
      <c r="B80" s="177" t="s">
        <v>72</v>
      </c>
      <c r="C80" s="177" t="s">
        <v>135</v>
      </c>
      <c r="D80" s="177">
        <v>562</v>
      </c>
      <c r="E80" s="177"/>
      <c r="F80" s="177">
        <v>11914.4</v>
      </c>
    </row>
    <row r="81" spans="1:6">
      <c r="A81" s="177">
        <v>35.299999999999997</v>
      </c>
      <c r="B81" s="177" t="s">
        <v>72</v>
      </c>
      <c r="C81" s="177" t="s">
        <v>136</v>
      </c>
      <c r="D81" s="177">
        <v>461</v>
      </c>
      <c r="E81" s="177"/>
      <c r="F81" s="177">
        <v>16273.3</v>
      </c>
    </row>
    <row r="82" spans="1:6" ht="18" customHeight="1">
      <c r="A82" s="177"/>
      <c r="B82" s="177"/>
      <c r="C82" s="182" t="s">
        <v>214</v>
      </c>
      <c r="D82" s="177"/>
      <c r="E82" s="177"/>
      <c r="F82" s="177">
        <v>76811.02</v>
      </c>
    </row>
    <row r="83" spans="1:6">
      <c r="A83" s="177"/>
      <c r="B83" s="177"/>
      <c r="C83" s="177" t="s">
        <v>215</v>
      </c>
      <c r="D83" s="177"/>
      <c r="E83" s="177"/>
      <c r="F83" s="177">
        <v>7681.1</v>
      </c>
    </row>
    <row r="84" spans="1:6">
      <c r="A84" s="177">
        <v>1</v>
      </c>
      <c r="B84" s="177" t="s">
        <v>65</v>
      </c>
      <c r="C84" s="177" t="s">
        <v>222</v>
      </c>
      <c r="D84" s="177">
        <v>81.3</v>
      </c>
      <c r="E84" s="177"/>
      <c r="F84" s="177">
        <v>81.3</v>
      </c>
    </row>
    <row r="85" spans="1:6">
      <c r="A85" s="177"/>
      <c r="B85" s="177"/>
      <c r="C85" s="177" t="s">
        <v>216</v>
      </c>
      <c r="D85" s="177"/>
      <c r="E85" s="177"/>
      <c r="F85" s="177">
        <v>7762.4</v>
      </c>
    </row>
    <row r="86" spans="1:6">
      <c r="A86" s="177" t="s">
        <v>32</v>
      </c>
      <c r="B86" s="177"/>
      <c r="C86" s="180" t="s">
        <v>217</v>
      </c>
      <c r="D86" s="177" t="s">
        <v>32</v>
      </c>
      <c r="E86" s="177"/>
      <c r="F86" s="177">
        <v>38.81</v>
      </c>
    </row>
    <row r="87" spans="1:6">
      <c r="A87" s="177"/>
      <c r="B87" s="177"/>
      <c r="C87" s="177" t="s">
        <v>145</v>
      </c>
      <c r="D87" s="177"/>
      <c r="E87" s="177"/>
      <c r="F87" s="173">
        <v>7801.21</v>
      </c>
    </row>
    <row r="88" spans="1:6" ht="11.25" customHeight="1">
      <c r="A88" s="177"/>
      <c r="B88" s="177"/>
      <c r="C88" s="177"/>
      <c r="D88" s="177"/>
      <c r="E88" s="177"/>
      <c r="F88" s="177"/>
    </row>
    <row r="89" spans="1:6">
      <c r="A89" s="177"/>
      <c r="B89" s="177"/>
      <c r="C89" s="177" t="s">
        <v>445</v>
      </c>
      <c r="D89" s="177"/>
      <c r="E89" s="177"/>
      <c r="F89" s="177"/>
    </row>
    <row r="90" spans="1:6">
      <c r="A90" s="177"/>
      <c r="B90" s="177"/>
      <c r="C90" s="177" t="s">
        <v>446</v>
      </c>
      <c r="D90" s="177"/>
      <c r="E90" s="177"/>
      <c r="F90" s="177"/>
    </row>
    <row r="91" spans="1:6">
      <c r="A91" s="177"/>
      <c r="B91" s="177"/>
      <c r="C91" s="177" t="s">
        <v>447</v>
      </c>
      <c r="D91" s="177"/>
      <c r="E91" s="177"/>
      <c r="F91" s="177"/>
    </row>
    <row r="92" spans="1:6">
      <c r="C92" s="172" t="s">
        <v>69</v>
      </c>
      <c r="F92" s="173">
        <v>7230</v>
      </c>
    </row>
    <row r="93" spans="1:6">
      <c r="A93" s="177"/>
      <c r="B93" s="177"/>
      <c r="C93" s="177" t="s">
        <v>448</v>
      </c>
      <c r="D93" s="177"/>
      <c r="E93" s="177"/>
      <c r="F93" s="177"/>
    </row>
    <row r="94" spans="1:6" ht="11.25" customHeight="1"/>
    <row r="95" spans="1:6">
      <c r="C95" s="172" t="s">
        <v>449</v>
      </c>
      <c r="F95" s="173">
        <v>2991</v>
      </c>
    </row>
    <row r="96" spans="1:6" ht="9" customHeight="1"/>
    <row r="97" spans="1:6">
      <c r="C97" s="172" t="s">
        <v>223</v>
      </c>
    </row>
    <row r="98" spans="1:6" ht="141.75">
      <c r="C98" s="176" t="s">
        <v>451</v>
      </c>
    </row>
    <row r="99" spans="1:6">
      <c r="C99" s="172" t="s">
        <v>132</v>
      </c>
      <c r="F99" s="172">
        <v>10730.71</v>
      </c>
    </row>
    <row r="100" spans="1:6">
      <c r="A100" s="172">
        <v>180</v>
      </c>
      <c r="B100" s="172" t="s">
        <v>39</v>
      </c>
      <c r="C100" s="172" t="s">
        <v>263</v>
      </c>
      <c r="D100" s="172">
        <v>38.299999999999997</v>
      </c>
      <c r="E100" s="172" t="s">
        <v>39</v>
      </c>
      <c r="F100" s="172">
        <v>6894</v>
      </c>
    </row>
    <row r="101" spans="1:6">
      <c r="A101" s="172">
        <v>180</v>
      </c>
      <c r="B101" s="172" t="s">
        <v>39</v>
      </c>
      <c r="C101" s="172" t="s">
        <v>129</v>
      </c>
      <c r="D101" s="172">
        <v>15.5</v>
      </c>
      <c r="E101" s="172" t="s">
        <v>126</v>
      </c>
      <c r="F101" s="172">
        <v>2790</v>
      </c>
    </row>
    <row r="102" spans="1:6">
      <c r="C102" s="172" t="s">
        <v>122</v>
      </c>
    </row>
    <row r="103" spans="1:6">
      <c r="C103" s="172" t="s">
        <v>130</v>
      </c>
      <c r="F103" s="172">
        <v>14834.71</v>
      </c>
    </row>
    <row r="104" spans="1:6">
      <c r="C104" s="172" t="s">
        <v>124</v>
      </c>
      <c r="F104" s="173">
        <v>164.83</v>
      </c>
    </row>
    <row r="105" spans="1:6">
      <c r="A105">
        <v>2.7</v>
      </c>
      <c r="B105" t="s">
        <v>120</v>
      </c>
      <c r="C105" t="s">
        <v>1382</v>
      </c>
      <c r="D105"/>
      <c r="E105"/>
      <c r="F105"/>
    </row>
    <row r="106" spans="1:6">
      <c r="A106"/>
      <c r="B106"/>
      <c r="C106" t="s">
        <v>78</v>
      </c>
      <c r="D106"/>
      <c r="E106"/>
      <c r="F106"/>
    </row>
    <row r="107" spans="1:6">
      <c r="A107">
        <v>1</v>
      </c>
      <c r="B107" t="s">
        <v>44</v>
      </c>
      <c r="C107" t="s">
        <v>40</v>
      </c>
      <c r="D107" t="e">
        <f>#REF!</f>
        <v>#REF!</v>
      </c>
      <c r="E107" t="s">
        <v>44</v>
      </c>
      <c r="F107" s="8" t="e">
        <f>D107*A107</f>
        <v>#REF!</v>
      </c>
    </row>
    <row r="108" spans="1:6">
      <c r="A108">
        <v>1</v>
      </c>
      <c r="B108" t="s">
        <v>44</v>
      </c>
      <c r="C108" t="s">
        <v>67</v>
      </c>
      <c r="D108">
        <v>33.6</v>
      </c>
      <c r="E108" t="s">
        <v>44</v>
      </c>
      <c r="F108">
        <v>33.6</v>
      </c>
    </row>
    <row r="109" spans="1:6">
      <c r="A109"/>
      <c r="B109" t="s">
        <v>24</v>
      </c>
      <c r="C109" t="s">
        <v>25</v>
      </c>
      <c r="D109" t="s">
        <v>52</v>
      </c>
      <c r="E109" t="s">
        <v>24</v>
      </c>
      <c r="F109">
        <v>0</v>
      </c>
    </row>
    <row r="110" spans="1:6">
      <c r="A110"/>
      <c r="B110"/>
      <c r="C110"/>
      <c r="D110"/>
      <c r="E110"/>
      <c r="F110" t="s">
        <v>78</v>
      </c>
    </row>
    <row r="111" spans="1:6">
      <c r="A111"/>
      <c r="B111"/>
      <c r="C111" t="s">
        <v>6</v>
      </c>
      <c r="D111"/>
      <c r="E111"/>
      <c r="F111" t="e">
        <f>SUM(F107:F110)</f>
        <v>#REF!</v>
      </c>
    </row>
    <row r="112" spans="1:6">
      <c r="A112"/>
      <c r="B112"/>
      <c r="C112"/>
      <c r="D112"/>
      <c r="E112"/>
      <c r="F112" t="s">
        <v>78</v>
      </c>
    </row>
    <row r="113" spans="1:6" ht="78.75">
      <c r="A113" s="96"/>
      <c r="B113" s="125"/>
      <c r="C113" s="498" t="s">
        <v>1260</v>
      </c>
      <c r="D113" s="96"/>
      <c r="E113" s="97"/>
      <c r="F113" s="96"/>
    </row>
    <row r="114" spans="1:6">
      <c r="A114" s="96"/>
      <c r="B114" s="125"/>
      <c r="C114" s="96"/>
      <c r="D114" s="96"/>
      <c r="E114" s="97"/>
      <c r="F114" s="96"/>
    </row>
    <row r="115" spans="1:6" ht="31.5">
      <c r="A115" s="8">
        <v>10</v>
      </c>
      <c r="B115" s="7" t="s">
        <v>123</v>
      </c>
      <c r="C115" s="13" t="s">
        <v>1386</v>
      </c>
      <c r="D115" s="499">
        <v>547</v>
      </c>
      <c r="E115" s="2" t="s">
        <v>123</v>
      </c>
      <c r="F115" s="8">
        <f>D115*A115</f>
        <v>5470</v>
      </c>
    </row>
    <row r="116" spans="1:6">
      <c r="A116" s="8"/>
      <c r="B116" s="7"/>
      <c r="C116" s="1"/>
      <c r="D116" s="8"/>
      <c r="E116" s="2"/>
      <c r="F116" s="8"/>
    </row>
    <row r="117" spans="1:6">
      <c r="A117" s="8">
        <v>1.8</v>
      </c>
      <c r="B117" s="7" t="s">
        <v>54</v>
      </c>
      <c r="C117" s="1" t="s">
        <v>111</v>
      </c>
      <c r="D117" s="8">
        <v>861</v>
      </c>
      <c r="E117" s="2" t="s">
        <v>37</v>
      </c>
      <c r="F117" s="8">
        <f>D117*A117</f>
        <v>1549.8</v>
      </c>
    </row>
    <row r="118" spans="1:6">
      <c r="A118" s="8">
        <v>3.6</v>
      </c>
      <c r="B118" s="7" t="s">
        <v>54</v>
      </c>
      <c r="C118" s="1" t="s">
        <v>91</v>
      </c>
      <c r="D118" s="8">
        <v>804</v>
      </c>
      <c r="E118" s="2" t="s">
        <v>37</v>
      </c>
      <c r="F118" s="8">
        <f>D118*A118</f>
        <v>2894.4</v>
      </c>
    </row>
    <row r="119" spans="1:6">
      <c r="A119" s="8">
        <v>2.2000000000000002</v>
      </c>
      <c r="B119" s="7" t="s">
        <v>54</v>
      </c>
      <c r="C119" s="1" t="s">
        <v>106</v>
      </c>
      <c r="D119" s="8">
        <v>562</v>
      </c>
      <c r="E119" s="2" t="s">
        <v>37</v>
      </c>
      <c r="F119" s="8">
        <f>D119*A119</f>
        <v>1236.4000000000001</v>
      </c>
    </row>
    <row r="120" spans="1:6">
      <c r="A120" s="8">
        <v>0.5</v>
      </c>
      <c r="B120" s="7" t="s">
        <v>54</v>
      </c>
      <c r="C120" s="1" t="s">
        <v>1383</v>
      </c>
      <c r="D120" s="8">
        <v>661</v>
      </c>
      <c r="E120" s="2" t="s">
        <v>37</v>
      </c>
      <c r="F120" s="8">
        <f>D120*A120</f>
        <v>330.5</v>
      </c>
    </row>
    <row r="121" spans="1:6">
      <c r="A121" s="8">
        <v>0.08</v>
      </c>
      <c r="B121" s="7" t="s">
        <v>65</v>
      </c>
      <c r="C121" s="1" t="s">
        <v>1384</v>
      </c>
      <c r="D121" s="70" t="e">
        <f>#REF!</f>
        <v>#REF!</v>
      </c>
      <c r="E121" s="2" t="s">
        <v>65</v>
      </c>
      <c r="F121" s="8" t="e">
        <f>D121*A121</f>
        <v>#REF!</v>
      </c>
    </row>
    <row r="122" spans="1:6">
      <c r="A122" s="96"/>
      <c r="B122" s="96"/>
      <c r="C122" s="24" t="s">
        <v>22</v>
      </c>
      <c r="D122" s="96"/>
      <c r="E122" s="96"/>
      <c r="F122" s="17" t="e">
        <f>SUM(F115:F121)</f>
        <v>#REF!</v>
      </c>
    </row>
    <row r="123" spans="1:6">
      <c r="A123" s="8"/>
      <c r="B123" s="7"/>
      <c r="C123" s="24" t="s">
        <v>1385</v>
      </c>
      <c r="D123" s="8"/>
      <c r="E123" s="2"/>
      <c r="F123" s="500" t="e">
        <f>F122/10</f>
        <v>#REF!</v>
      </c>
    </row>
  </sheetData>
  <pageMargins left="0.7" right="0.7" top="0.75" bottom="0.75" header="0.3" footer="0.3"/>
  <pageSetup paperSize="9" scale="88" orientation="portrait" horizontalDpi="300" verticalDpi="0" r:id="rId1"/>
</worksheet>
</file>

<file path=xl/worksheets/sheet4.xml><?xml version="1.0" encoding="utf-8"?>
<worksheet xmlns="http://schemas.openxmlformats.org/spreadsheetml/2006/main" xmlns:r="http://schemas.openxmlformats.org/officeDocument/2006/relationships">
  <sheetPr>
    <tabColor rgb="FFFFFF00"/>
  </sheetPr>
  <dimension ref="A1:IG1536"/>
  <sheetViews>
    <sheetView view="pageBreakPreview" zoomScale="80" zoomScaleSheetLayoutView="80" workbookViewId="0">
      <selection activeCell="G1222" sqref="G1222"/>
    </sheetView>
  </sheetViews>
  <sheetFormatPr defaultRowHeight="24.95" customHeight="1"/>
  <cols>
    <col min="1" max="1" width="7.44140625" style="263" customWidth="1"/>
    <col min="2" max="2" width="40.5546875" style="264" customWidth="1"/>
    <col min="3" max="3" width="5.88671875" style="262" customWidth="1"/>
    <col min="4" max="4" width="5.5546875" style="262" customWidth="1"/>
    <col min="5" max="5" width="6.44140625" style="262" customWidth="1"/>
    <col min="6" max="8" width="8.6640625" style="265" customWidth="1"/>
    <col min="9" max="9" width="10.5546875" style="265" customWidth="1"/>
    <col min="10" max="10" width="6.44140625" style="266" customWidth="1"/>
    <col min="11" max="12" width="8.88671875" style="185" customWidth="1"/>
    <col min="13" max="13" width="10.77734375" style="185" customWidth="1"/>
    <col min="14" max="16" width="8.88671875" style="185" customWidth="1"/>
    <col min="17" max="17" width="9.109375" style="185" customWidth="1"/>
    <col min="18" max="256" width="8.88671875" style="185"/>
    <col min="257" max="257" width="7.44140625" style="185" customWidth="1"/>
    <col min="258" max="258" width="40.5546875" style="185" customWidth="1"/>
    <col min="259" max="259" width="5.88671875" style="185" customWidth="1"/>
    <col min="260" max="260" width="5.5546875" style="185" customWidth="1"/>
    <col min="261" max="261" width="6.44140625" style="185" customWidth="1"/>
    <col min="262" max="264" width="8.6640625" style="185" customWidth="1"/>
    <col min="265" max="265" width="10.5546875" style="185" customWidth="1"/>
    <col min="266" max="266" width="6.44140625" style="185" customWidth="1"/>
    <col min="267" max="268" width="8.88671875" style="185" customWidth="1"/>
    <col min="269" max="269" width="10.77734375" style="185" customWidth="1"/>
    <col min="270" max="272" width="8.88671875" style="185" customWidth="1"/>
    <col min="273" max="273" width="9.109375" style="185" customWidth="1"/>
    <col min="274" max="512" width="8.88671875" style="185"/>
    <col min="513" max="513" width="7.44140625" style="185" customWidth="1"/>
    <col min="514" max="514" width="40.5546875" style="185" customWidth="1"/>
    <col min="515" max="515" width="5.88671875" style="185" customWidth="1"/>
    <col min="516" max="516" width="5.5546875" style="185" customWidth="1"/>
    <col min="517" max="517" width="6.44140625" style="185" customWidth="1"/>
    <col min="518" max="520" width="8.6640625" style="185" customWidth="1"/>
    <col min="521" max="521" width="10.5546875" style="185" customWidth="1"/>
    <col min="522" max="522" width="6.44140625" style="185" customWidth="1"/>
    <col min="523" max="524" width="8.88671875" style="185" customWidth="1"/>
    <col min="525" max="525" width="10.77734375" style="185" customWidth="1"/>
    <col min="526" max="528" width="8.88671875" style="185" customWidth="1"/>
    <col min="529" max="529" width="9.109375" style="185" customWidth="1"/>
    <col min="530" max="768" width="8.88671875" style="185"/>
    <col min="769" max="769" width="7.44140625" style="185" customWidth="1"/>
    <col min="770" max="770" width="40.5546875" style="185" customWidth="1"/>
    <col min="771" max="771" width="5.88671875" style="185" customWidth="1"/>
    <col min="772" max="772" width="5.5546875" style="185" customWidth="1"/>
    <col min="773" max="773" width="6.44140625" style="185" customWidth="1"/>
    <col min="774" max="776" width="8.6640625" style="185" customWidth="1"/>
    <col min="777" max="777" width="10.5546875" style="185" customWidth="1"/>
    <col min="778" max="778" width="6.44140625" style="185" customWidth="1"/>
    <col min="779" max="780" width="8.88671875" style="185" customWidth="1"/>
    <col min="781" max="781" width="10.77734375" style="185" customWidth="1"/>
    <col min="782" max="784" width="8.88671875" style="185" customWidth="1"/>
    <col min="785" max="785" width="9.109375" style="185" customWidth="1"/>
    <col min="786" max="1024" width="8.88671875" style="185"/>
    <col min="1025" max="1025" width="7.44140625" style="185" customWidth="1"/>
    <col min="1026" max="1026" width="40.5546875" style="185" customWidth="1"/>
    <col min="1027" max="1027" width="5.88671875" style="185" customWidth="1"/>
    <col min="1028" max="1028" width="5.5546875" style="185" customWidth="1"/>
    <col min="1029" max="1029" width="6.44140625" style="185" customWidth="1"/>
    <col min="1030" max="1032" width="8.6640625" style="185" customWidth="1"/>
    <col min="1033" max="1033" width="10.5546875" style="185" customWidth="1"/>
    <col min="1034" max="1034" width="6.44140625" style="185" customWidth="1"/>
    <col min="1035" max="1036" width="8.88671875" style="185" customWidth="1"/>
    <col min="1037" max="1037" width="10.77734375" style="185" customWidth="1"/>
    <col min="1038" max="1040" width="8.88671875" style="185" customWidth="1"/>
    <col min="1041" max="1041" width="9.109375" style="185" customWidth="1"/>
    <col min="1042" max="1280" width="8.88671875" style="185"/>
    <col min="1281" max="1281" width="7.44140625" style="185" customWidth="1"/>
    <col min="1282" max="1282" width="40.5546875" style="185" customWidth="1"/>
    <col min="1283" max="1283" width="5.88671875" style="185" customWidth="1"/>
    <col min="1284" max="1284" width="5.5546875" style="185" customWidth="1"/>
    <col min="1285" max="1285" width="6.44140625" style="185" customWidth="1"/>
    <col min="1286" max="1288" width="8.6640625" style="185" customWidth="1"/>
    <col min="1289" max="1289" width="10.5546875" style="185" customWidth="1"/>
    <col min="1290" max="1290" width="6.44140625" style="185" customWidth="1"/>
    <col min="1291" max="1292" width="8.88671875" style="185" customWidth="1"/>
    <col min="1293" max="1293" width="10.77734375" style="185" customWidth="1"/>
    <col min="1294" max="1296" width="8.88671875" style="185" customWidth="1"/>
    <col min="1297" max="1297" width="9.109375" style="185" customWidth="1"/>
    <col min="1298" max="1536" width="8.88671875" style="185"/>
    <col min="1537" max="1537" width="7.44140625" style="185" customWidth="1"/>
    <col min="1538" max="1538" width="40.5546875" style="185" customWidth="1"/>
    <col min="1539" max="1539" width="5.88671875" style="185" customWidth="1"/>
    <col min="1540" max="1540" width="5.5546875" style="185" customWidth="1"/>
    <col min="1541" max="1541" width="6.44140625" style="185" customWidth="1"/>
    <col min="1542" max="1544" width="8.6640625" style="185" customWidth="1"/>
    <col min="1545" max="1545" width="10.5546875" style="185" customWidth="1"/>
    <col min="1546" max="1546" width="6.44140625" style="185" customWidth="1"/>
    <col min="1547" max="1548" width="8.88671875" style="185" customWidth="1"/>
    <col min="1549" max="1549" width="10.77734375" style="185" customWidth="1"/>
    <col min="1550" max="1552" width="8.88671875" style="185" customWidth="1"/>
    <col min="1553" max="1553" width="9.109375" style="185" customWidth="1"/>
    <col min="1554" max="1792" width="8.88671875" style="185"/>
    <col min="1793" max="1793" width="7.44140625" style="185" customWidth="1"/>
    <col min="1794" max="1794" width="40.5546875" style="185" customWidth="1"/>
    <col min="1795" max="1795" width="5.88671875" style="185" customWidth="1"/>
    <col min="1796" max="1796" width="5.5546875" style="185" customWidth="1"/>
    <col min="1797" max="1797" width="6.44140625" style="185" customWidth="1"/>
    <col min="1798" max="1800" width="8.6640625" style="185" customWidth="1"/>
    <col min="1801" max="1801" width="10.5546875" style="185" customWidth="1"/>
    <col min="1802" max="1802" width="6.44140625" style="185" customWidth="1"/>
    <col min="1803" max="1804" width="8.88671875" style="185" customWidth="1"/>
    <col min="1805" max="1805" width="10.77734375" style="185" customWidth="1"/>
    <col min="1806" max="1808" width="8.88671875" style="185" customWidth="1"/>
    <col min="1809" max="1809" width="9.109375" style="185" customWidth="1"/>
    <col min="1810" max="2048" width="8.88671875" style="185"/>
    <col min="2049" max="2049" width="7.44140625" style="185" customWidth="1"/>
    <col min="2050" max="2050" width="40.5546875" style="185" customWidth="1"/>
    <col min="2051" max="2051" width="5.88671875" style="185" customWidth="1"/>
    <col min="2052" max="2052" width="5.5546875" style="185" customWidth="1"/>
    <col min="2053" max="2053" width="6.44140625" style="185" customWidth="1"/>
    <col min="2054" max="2056" width="8.6640625" style="185" customWidth="1"/>
    <col min="2057" max="2057" width="10.5546875" style="185" customWidth="1"/>
    <col min="2058" max="2058" width="6.44140625" style="185" customWidth="1"/>
    <col min="2059" max="2060" width="8.88671875" style="185" customWidth="1"/>
    <col min="2061" max="2061" width="10.77734375" style="185" customWidth="1"/>
    <col min="2062" max="2064" width="8.88671875" style="185" customWidth="1"/>
    <col min="2065" max="2065" width="9.109375" style="185" customWidth="1"/>
    <col min="2066" max="2304" width="8.88671875" style="185"/>
    <col min="2305" max="2305" width="7.44140625" style="185" customWidth="1"/>
    <col min="2306" max="2306" width="40.5546875" style="185" customWidth="1"/>
    <col min="2307" max="2307" width="5.88671875" style="185" customWidth="1"/>
    <col min="2308" max="2308" width="5.5546875" style="185" customWidth="1"/>
    <col min="2309" max="2309" width="6.44140625" style="185" customWidth="1"/>
    <col min="2310" max="2312" width="8.6640625" style="185" customWidth="1"/>
    <col min="2313" max="2313" width="10.5546875" style="185" customWidth="1"/>
    <col min="2314" max="2314" width="6.44140625" style="185" customWidth="1"/>
    <col min="2315" max="2316" width="8.88671875" style="185" customWidth="1"/>
    <col min="2317" max="2317" width="10.77734375" style="185" customWidth="1"/>
    <col min="2318" max="2320" width="8.88671875" style="185" customWidth="1"/>
    <col min="2321" max="2321" width="9.109375" style="185" customWidth="1"/>
    <col min="2322" max="2560" width="8.88671875" style="185"/>
    <col min="2561" max="2561" width="7.44140625" style="185" customWidth="1"/>
    <col min="2562" max="2562" width="40.5546875" style="185" customWidth="1"/>
    <col min="2563" max="2563" width="5.88671875" style="185" customWidth="1"/>
    <col min="2564" max="2564" width="5.5546875" style="185" customWidth="1"/>
    <col min="2565" max="2565" width="6.44140625" style="185" customWidth="1"/>
    <col min="2566" max="2568" width="8.6640625" style="185" customWidth="1"/>
    <col min="2569" max="2569" width="10.5546875" style="185" customWidth="1"/>
    <col min="2570" max="2570" width="6.44140625" style="185" customWidth="1"/>
    <col min="2571" max="2572" width="8.88671875" style="185" customWidth="1"/>
    <col min="2573" max="2573" width="10.77734375" style="185" customWidth="1"/>
    <col min="2574" max="2576" width="8.88671875" style="185" customWidth="1"/>
    <col min="2577" max="2577" width="9.109375" style="185" customWidth="1"/>
    <col min="2578" max="2816" width="8.88671875" style="185"/>
    <col min="2817" max="2817" width="7.44140625" style="185" customWidth="1"/>
    <col min="2818" max="2818" width="40.5546875" style="185" customWidth="1"/>
    <col min="2819" max="2819" width="5.88671875" style="185" customWidth="1"/>
    <col min="2820" max="2820" width="5.5546875" style="185" customWidth="1"/>
    <col min="2821" max="2821" width="6.44140625" style="185" customWidth="1"/>
    <col min="2822" max="2824" width="8.6640625" style="185" customWidth="1"/>
    <col min="2825" max="2825" width="10.5546875" style="185" customWidth="1"/>
    <col min="2826" max="2826" width="6.44140625" style="185" customWidth="1"/>
    <col min="2827" max="2828" width="8.88671875" style="185" customWidth="1"/>
    <col min="2829" max="2829" width="10.77734375" style="185" customWidth="1"/>
    <col min="2830" max="2832" width="8.88671875" style="185" customWidth="1"/>
    <col min="2833" max="2833" width="9.109375" style="185" customWidth="1"/>
    <col min="2834" max="3072" width="8.88671875" style="185"/>
    <col min="3073" max="3073" width="7.44140625" style="185" customWidth="1"/>
    <col min="3074" max="3074" width="40.5546875" style="185" customWidth="1"/>
    <col min="3075" max="3075" width="5.88671875" style="185" customWidth="1"/>
    <col min="3076" max="3076" width="5.5546875" style="185" customWidth="1"/>
    <col min="3077" max="3077" width="6.44140625" style="185" customWidth="1"/>
    <col min="3078" max="3080" width="8.6640625" style="185" customWidth="1"/>
    <col min="3081" max="3081" width="10.5546875" style="185" customWidth="1"/>
    <col min="3082" max="3082" width="6.44140625" style="185" customWidth="1"/>
    <col min="3083" max="3084" width="8.88671875" style="185" customWidth="1"/>
    <col min="3085" max="3085" width="10.77734375" style="185" customWidth="1"/>
    <col min="3086" max="3088" width="8.88671875" style="185" customWidth="1"/>
    <col min="3089" max="3089" width="9.109375" style="185" customWidth="1"/>
    <col min="3090" max="3328" width="8.88671875" style="185"/>
    <col min="3329" max="3329" width="7.44140625" style="185" customWidth="1"/>
    <col min="3330" max="3330" width="40.5546875" style="185" customWidth="1"/>
    <col min="3331" max="3331" width="5.88671875" style="185" customWidth="1"/>
    <col min="3332" max="3332" width="5.5546875" style="185" customWidth="1"/>
    <col min="3333" max="3333" width="6.44140625" style="185" customWidth="1"/>
    <col min="3334" max="3336" width="8.6640625" style="185" customWidth="1"/>
    <col min="3337" max="3337" width="10.5546875" style="185" customWidth="1"/>
    <col min="3338" max="3338" width="6.44140625" style="185" customWidth="1"/>
    <col min="3339" max="3340" width="8.88671875" style="185" customWidth="1"/>
    <col min="3341" max="3341" width="10.77734375" style="185" customWidth="1"/>
    <col min="3342" max="3344" width="8.88671875" style="185" customWidth="1"/>
    <col min="3345" max="3345" width="9.109375" style="185" customWidth="1"/>
    <col min="3346" max="3584" width="8.88671875" style="185"/>
    <col min="3585" max="3585" width="7.44140625" style="185" customWidth="1"/>
    <col min="3586" max="3586" width="40.5546875" style="185" customWidth="1"/>
    <col min="3587" max="3587" width="5.88671875" style="185" customWidth="1"/>
    <col min="3588" max="3588" width="5.5546875" style="185" customWidth="1"/>
    <col min="3589" max="3589" width="6.44140625" style="185" customWidth="1"/>
    <col min="3590" max="3592" width="8.6640625" style="185" customWidth="1"/>
    <col min="3593" max="3593" width="10.5546875" style="185" customWidth="1"/>
    <col min="3594" max="3594" width="6.44140625" style="185" customWidth="1"/>
    <col min="3595" max="3596" width="8.88671875" style="185" customWidth="1"/>
    <col min="3597" max="3597" width="10.77734375" style="185" customWidth="1"/>
    <col min="3598" max="3600" width="8.88671875" style="185" customWidth="1"/>
    <col min="3601" max="3601" width="9.109375" style="185" customWidth="1"/>
    <col min="3602" max="3840" width="8.88671875" style="185"/>
    <col min="3841" max="3841" width="7.44140625" style="185" customWidth="1"/>
    <col min="3842" max="3842" width="40.5546875" style="185" customWidth="1"/>
    <col min="3843" max="3843" width="5.88671875" style="185" customWidth="1"/>
    <col min="3844" max="3844" width="5.5546875" style="185" customWidth="1"/>
    <col min="3845" max="3845" width="6.44140625" style="185" customWidth="1"/>
    <col min="3846" max="3848" width="8.6640625" style="185" customWidth="1"/>
    <col min="3849" max="3849" width="10.5546875" style="185" customWidth="1"/>
    <col min="3850" max="3850" width="6.44140625" style="185" customWidth="1"/>
    <col min="3851" max="3852" width="8.88671875" style="185" customWidth="1"/>
    <col min="3853" max="3853" width="10.77734375" style="185" customWidth="1"/>
    <col min="3854" max="3856" width="8.88671875" style="185" customWidth="1"/>
    <col min="3857" max="3857" width="9.109375" style="185" customWidth="1"/>
    <col min="3858" max="4096" width="8.88671875" style="185"/>
    <col min="4097" max="4097" width="7.44140625" style="185" customWidth="1"/>
    <col min="4098" max="4098" width="40.5546875" style="185" customWidth="1"/>
    <col min="4099" max="4099" width="5.88671875" style="185" customWidth="1"/>
    <col min="4100" max="4100" width="5.5546875" style="185" customWidth="1"/>
    <col min="4101" max="4101" width="6.44140625" style="185" customWidth="1"/>
    <col min="4102" max="4104" width="8.6640625" style="185" customWidth="1"/>
    <col min="4105" max="4105" width="10.5546875" style="185" customWidth="1"/>
    <col min="4106" max="4106" width="6.44140625" style="185" customWidth="1"/>
    <col min="4107" max="4108" width="8.88671875" style="185" customWidth="1"/>
    <col min="4109" max="4109" width="10.77734375" style="185" customWidth="1"/>
    <col min="4110" max="4112" width="8.88671875" style="185" customWidth="1"/>
    <col min="4113" max="4113" width="9.109375" style="185" customWidth="1"/>
    <col min="4114" max="4352" width="8.88671875" style="185"/>
    <col min="4353" max="4353" width="7.44140625" style="185" customWidth="1"/>
    <col min="4354" max="4354" width="40.5546875" style="185" customWidth="1"/>
    <col min="4355" max="4355" width="5.88671875" style="185" customWidth="1"/>
    <col min="4356" max="4356" width="5.5546875" style="185" customWidth="1"/>
    <col min="4357" max="4357" width="6.44140625" style="185" customWidth="1"/>
    <col min="4358" max="4360" width="8.6640625" style="185" customWidth="1"/>
    <col min="4361" max="4361" width="10.5546875" style="185" customWidth="1"/>
    <col min="4362" max="4362" width="6.44140625" style="185" customWidth="1"/>
    <col min="4363" max="4364" width="8.88671875" style="185" customWidth="1"/>
    <col min="4365" max="4365" width="10.77734375" style="185" customWidth="1"/>
    <col min="4366" max="4368" width="8.88671875" style="185" customWidth="1"/>
    <col min="4369" max="4369" width="9.109375" style="185" customWidth="1"/>
    <col min="4370" max="4608" width="8.88671875" style="185"/>
    <col min="4609" max="4609" width="7.44140625" style="185" customWidth="1"/>
    <col min="4610" max="4610" width="40.5546875" style="185" customWidth="1"/>
    <col min="4611" max="4611" width="5.88671875" style="185" customWidth="1"/>
    <col min="4612" max="4612" width="5.5546875" style="185" customWidth="1"/>
    <col min="4613" max="4613" width="6.44140625" style="185" customWidth="1"/>
    <col min="4614" max="4616" width="8.6640625" style="185" customWidth="1"/>
    <col min="4617" max="4617" width="10.5546875" style="185" customWidth="1"/>
    <col min="4618" max="4618" width="6.44140625" style="185" customWidth="1"/>
    <col min="4619" max="4620" width="8.88671875" style="185" customWidth="1"/>
    <col min="4621" max="4621" width="10.77734375" style="185" customWidth="1"/>
    <col min="4622" max="4624" width="8.88671875" style="185" customWidth="1"/>
    <col min="4625" max="4625" width="9.109375" style="185" customWidth="1"/>
    <col min="4626" max="4864" width="8.88671875" style="185"/>
    <col min="4865" max="4865" width="7.44140625" style="185" customWidth="1"/>
    <col min="4866" max="4866" width="40.5546875" style="185" customWidth="1"/>
    <col min="4867" max="4867" width="5.88671875" style="185" customWidth="1"/>
    <col min="4868" max="4868" width="5.5546875" style="185" customWidth="1"/>
    <col min="4869" max="4869" width="6.44140625" style="185" customWidth="1"/>
    <col min="4870" max="4872" width="8.6640625" style="185" customWidth="1"/>
    <col min="4873" max="4873" width="10.5546875" style="185" customWidth="1"/>
    <col min="4874" max="4874" width="6.44140625" style="185" customWidth="1"/>
    <col min="4875" max="4876" width="8.88671875" style="185" customWidth="1"/>
    <col min="4877" max="4877" width="10.77734375" style="185" customWidth="1"/>
    <col min="4878" max="4880" width="8.88671875" style="185" customWidth="1"/>
    <col min="4881" max="4881" width="9.109375" style="185" customWidth="1"/>
    <col min="4882" max="5120" width="8.88671875" style="185"/>
    <col min="5121" max="5121" width="7.44140625" style="185" customWidth="1"/>
    <col min="5122" max="5122" width="40.5546875" style="185" customWidth="1"/>
    <col min="5123" max="5123" width="5.88671875" style="185" customWidth="1"/>
    <col min="5124" max="5124" width="5.5546875" style="185" customWidth="1"/>
    <col min="5125" max="5125" width="6.44140625" style="185" customWidth="1"/>
    <col min="5126" max="5128" width="8.6640625" style="185" customWidth="1"/>
    <col min="5129" max="5129" width="10.5546875" style="185" customWidth="1"/>
    <col min="5130" max="5130" width="6.44140625" style="185" customWidth="1"/>
    <col min="5131" max="5132" width="8.88671875" style="185" customWidth="1"/>
    <col min="5133" max="5133" width="10.77734375" style="185" customWidth="1"/>
    <col min="5134" max="5136" width="8.88671875" style="185" customWidth="1"/>
    <col min="5137" max="5137" width="9.109375" style="185" customWidth="1"/>
    <col min="5138" max="5376" width="8.88671875" style="185"/>
    <col min="5377" max="5377" width="7.44140625" style="185" customWidth="1"/>
    <col min="5378" max="5378" width="40.5546875" style="185" customWidth="1"/>
    <col min="5379" max="5379" width="5.88671875" style="185" customWidth="1"/>
    <col min="5380" max="5380" width="5.5546875" style="185" customWidth="1"/>
    <col min="5381" max="5381" width="6.44140625" style="185" customWidth="1"/>
    <col min="5382" max="5384" width="8.6640625" style="185" customWidth="1"/>
    <col min="5385" max="5385" width="10.5546875" style="185" customWidth="1"/>
    <col min="5386" max="5386" width="6.44140625" style="185" customWidth="1"/>
    <col min="5387" max="5388" width="8.88671875" style="185" customWidth="1"/>
    <col min="5389" max="5389" width="10.77734375" style="185" customWidth="1"/>
    <col min="5390" max="5392" width="8.88671875" style="185" customWidth="1"/>
    <col min="5393" max="5393" width="9.109375" style="185" customWidth="1"/>
    <col min="5394" max="5632" width="8.88671875" style="185"/>
    <col min="5633" max="5633" width="7.44140625" style="185" customWidth="1"/>
    <col min="5634" max="5634" width="40.5546875" style="185" customWidth="1"/>
    <col min="5635" max="5635" width="5.88671875" style="185" customWidth="1"/>
    <col min="5636" max="5636" width="5.5546875" style="185" customWidth="1"/>
    <col min="5637" max="5637" width="6.44140625" style="185" customWidth="1"/>
    <col min="5638" max="5640" width="8.6640625" style="185" customWidth="1"/>
    <col min="5641" max="5641" width="10.5546875" style="185" customWidth="1"/>
    <col min="5642" max="5642" width="6.44140625" style="185" customWidth="1"/>
    <col min="5643" max="5644" width="8.88671875" style="185" customWidth="1"/>
    <col min="5645" max="5645" width="10.77734375" style="185" customWidth="1"/>
    <col min="5646" max="5648" width="8.88671875" style="185" customWidth="1"/>
    <col min="5649" max="5649" width="9.109375" style="185" customWidth="1"/>
    <col min="5650" max="5888" width="8.88671875" style="185"/>
    <col min="5889" max="5889" width="7.44140625" style="185" customWidth="1"/>
    <col min="5890" max="5890" width="40.5546875" style="185" customWidth="1"/>
    <col min="5891" max="5891" width="5.88671875" style="185" customWidth="1"/>
    <col min="5892" max="5892" width="5.5546875" style="185" customWidth="1"/>
    <col min="5893" max="5893" width="6.44140625" style="185" customWidth="1"/>
    <col min="5894" max="5896" width="8.6640625" style="185" customWidth="1"/>
    <col min="5897" max="5897" width="10.5546875" style="185" customWidth="1"/>
    <col min="5898" max="5898" width="6.44140625" style="185" customWidth="1"/>
    <col min="5899" max="5900" width="8.88671875" style="185" customWidth="1"/>
    <col min="5901" max="5901" width="10.77734375" style="185" customWidth="1"/>
    <col min="5902" max="5904" width="8.88671875" style="185" customWidth="1"/>
    <col min="5905" max="5905" width="9.109375" style="185" customWidth="1"/>
    <col min="5906" max="6144" width="8.88671875" style="185"/>
    <col min="6145" max="6145" width="7.44140625" style="185" customWidth="1"/>
    <col min="6146" max="6146" width="40.5546875" style="185" customWidth="1"/>
    <col min="6147" max="6147" width="5.88671875" style="185" customWidth="1"/>
    <col min="6148" max="6148" width="5.5546875" style="185" customWidth="1"/>
    <col min="6149" max="6149" width="6.44140625" style="185" customWidth="1"/>
    <col min="6150" max="6152" width="8.6640625" style="185" customWidth="1"/>
    <col min="6153" max="6153" width="10.5546875" style="185" customWidth="1"/>
    <col min="6154" max="6154" width="6.44140625" style="185" customWidth="1"/>
    <col min="6155" max="6156" width="8.88671875" style="185" customWidth="1"/>
    <col min="6157" max="6157" width="10.77734375" style="185" customWidth="1"/>
    <col min="6158" max="6160" width="8.88671875" style="185" customWidth="1"/>
    <col min="6161" max="6161" width="9.109375" style="185" customWidth="1"/>
    <col min="6162" max="6400" width="8.88671875" style="185"/>
    <col min="6401" max="6401" width="7.44140625" style="185" customWidth="1"/>
    <col min="6402" max="6402" width="40.5546875" style="185" customWidth="1"/>
    <col min="6403" max="6403" width="5.88671875" style="185" customWidth="1"/>
    <col min="6404" max="6404" width="5.5546875" style="185" customWidth="1"/>
    <col min="6405" max="6405" width="6.44140625" style="185" customWidth="1"/>
    <col min="6406" max="6408" width="8.6640625" style="185" customWidth="1"/>
    <col min="6409" max="6409" width="10.5546875" style="185" customWidth="1"/>
    <col min="6410" max="6410" width="6.44140625" style="185" customWidth="1"/>
    <col min="6411" max="6412" width="8.88671875" style="185" customWidth="1"/>
    <col min="6413" max="6413" width="10.77734375" style="185" customWidth="1"/>
    <col min="6414" max="6416" width="8.88671875" style="185" customWidth="1"/>
    <col min="6417" max="6417" width="9.109375" style="185" customWidth="1"/>
    <col min="6418" max="6656" width="8.88671875" style="185"/>
    <col min="6657" max="6657" width="7.44140625" style="185" customWidth="1"/>
    <col min="6658" max="6658" width="40.5546875" style="185" customWidth="1"/>
    <col min="6659" max="6659" width="5.88671875" style="185" customWidth="1"/>
    <col min="6660" max="6660" width="5.5546875" style="185" customWidth="1"/>
    <col min="6661" max="6661" width="6.44140625" style="185" customWidth="1"/>
    <col min="6662" max="6664" width="8.6640625" style="185" customWidth="1"/>
    <col min="6665" max="6665" width="10.5546875" style="185" customWidth="1"/>
    <col min="6666" max="6666" width="6.44140625" style="185" customWidth="1"/>
    <col min="6667" max="6668" width="8.88671875" style="185" customWidth="1"/>
    <col min="6669" max="6669" width="10.77734375" style="185" customWidth="1"/>
    <col min="6670" max="6672" width="8.88671875" style="185" customWidth="1"/>
    <col min="6673" max="6673" width="9.109375" style="185" customWidth="1"/>
    <col min="6674" max="6912" width="8.88671875" style="185"/>
    <col min="6913" max="6913" width="7.44140625" style="185" customWidth="1"/>
    <col min="6914" max="6914" width="40.5546875" style="185" customWidth="1"/>
    <col min="6915" max="6915" width="5.88671875" style="185" customWidth="1"/>
    <col min="6916" max="6916" width="5.5546875" style="185" customWidth="1"/>
    <col min="6917" max="6917" width="6.44140625" style="185" customWidth="1"/>
    <col min="6918" max="6920" width="8.6640625" style="185" customWidth="1"/>
    <col min="6921" max="6921" width="10.5546875" style="185" customWidth="1"/>
    <col min="6922" max="6922" width="6.44140625" style="185" customWidth="1"/>
    <col min="6923" max="6924" width="8.88671875" style="185" customWidth="1"/>
    <col min="6925" max="6925" width="10.77734375" style="185" customWidth="1"/>
    <col min="6926" max="6928" width="8.88671875" style="185" customWidth="1"/>
    <col min="6929" max="6929" width="9.109375" style="185" customWidth="1"/>
    <col min="6930" max="7168" width="8.88671875" style="185"/>
    <col min="7169" max="7169" width="7.44140625" style="185" customWidth="1"/>
    <col min="7170" max="7170" width="40.5546875" style="185" customWidth="1"/>
    <col min="7171" max="7171" width="5.88671875" style="185" customWidth="1"/>
    <col min="7172" max="7172" width="5.5546875" style="185" customWidth="1"/>
    <col min="7173" max="7173" width="6.44140625" style="185" customWidth="1"/>
    <col min="7174" max="7176" width="8.6640625" style="185" customWidth="1"/>
    <col min="7177" max="7177" width="10.5546875" style="185" customWidth="1"/>
    <col min="7178" max="7178" width="6.44140625" style="185" customWidth="1"/>
    <col min="7179" max="7180" width="8.88671875" style="185" customWidth="1"/>
    <col min="7181" max="7181" width="10.77734375" style="185" customWidth="1"/>
    <col min="7182" max="7184" width="8.88671875" style="185" customWidth="1"/>
    <col min="7185" max="7185" width="9.109375" style="185" customWidth="1"/>
    <col min="7186" max="7424" width="8.88671875" style="185"/>
    <col min="7425" max="7425" width="7.44140625" style="185" customWidth="1"/>
    <col min="7426" max="7426" width="40.5546875" style="185" customWidth="1"/>
    <col min="7427" max="7427" width="5.88671875" style="185" customWidth="1"/>
    <col min="7428" max="7428" width="5.5546875" style="185" customWidth="1"/>
    <col min="7429" max="7429" width="6.44140625" style="185" customWidth="1"/>
    <col min="7430" max="7432" width="8.6640625" style="185" customWidth="1"/>
    <col min="7433" max="7433" width="10.5546875" style="185" customWidth="1"/>
    <col min="7434" max="7434" width="6.44140625" style="185" customWidth="1"/>
    <col min="7435" max="7436" width="8.88671875" style="185" customWidth="1"/>
    <col min="7437" max="7437" width="10.77734375" style="185" customWidth="1"/>
    <col min="7438" max="7440" width="8.88671875" style="185" customWidth="1"/>
    <col min="7441" max="7441" width="9.109375" style="185" customWidth="1"/>
    <col min="7442" max="7680" width="8.88671875" style="185"/>
    <col min="7681" max="7681" width="7.44140625" style="185" customWidth="1"/>
    <col min="7682" max="7682" width="40.5546875" style="185" customWidth="1"/>
    <col min="7683" max="7683" width="5.88671875" style="185" customWidth="1"/>
    <col min="7684" max="7684" width="5.5546875" style="185" customWidth="1"/>
    <col min="7685" max="7685" width="6.44140625" style="185" customWidth="1"/>
    <col min="7686" max="7688" width="8.6640625" style="185" customWidth="1"/>
    <col min="7689" max="7689" width="10.5546875" style="185" customWidth="1"/>
    <col min="7690" max="7690" width="6.44140625" style="185" customWidth="1"/>
    <col min="7691" max="7692" width="8.88671875" style="185" customWidth="1"/>
    <col min="7693" max="7693" width="10.77734375" style="185" customWidth="1"/>
    <col min="7694" max="7696" width="8.88671875" style="185" customWidth="1"/>
    <col min="7697" max="7697" width="9.109375" style="185" customWidth="1"/>
    <col min="7698" max="7936" width="8.88671875" style="185"/>
    <col min="7937" max="7937" width="7.44140625" style="185" customWidth="1"/>
    <col min="7938" max="7938" width="40.5546875" style="185" customWidth="1"/>
    <col min="7939" max="7939" width="5.88671875" style="185" customWidth="1"/>
    <col min="7940" max="7940" width="5.5546875" style="185" customWidth="1"/>
    <col min="7941" max="7941" width="6.44140625" style="185" customWidth="1"/>
    <col min="7942" max="7944" width="8.6640625" style="185" customWidth="1"/>
    <col min="7945" max="7945" width="10.5546875" style="185" customWidth="1"/>
    <col min="7946" max="7946" width="6.44140625" style="185" customWidth="1"/>
    <col min="7947" max="7948" width="8.88671875" style="185" customWidth="1"/>
    <col min="7949" max="7949" width="10.77734375" style="185" customWidth="1"/>
    <col min="7950" max="7952" width="8.88671875" style="185" customWidth="1"/>
    <col min="7953" max="7953" width="9.109375" style="185" customWidth="1"/>
    <col min="7954" max="8192" width="8.88671875" style="185"/>
    <col min="8193" max="8193" width="7.44140625" style="185" customWidth="1"/>
    <col min="8194" max="8194" width="40.5546875" style="185" customWidth="1"/>
    <col min="8195" max="8195" width="5.88671875" style="185" customWidth="1"/>
    <col min="8196" max="8196" width="5.5546875" style="185" customWidth="1"/>
    <col min="8197" max="8197" width="6.44140625" style="185" customWidth="1"/>
    <col min="8198" max="8200" width="8.6640625" style="185" customWidth="1"/>
    <col min="8201" max="8201" width="10.5546875" style="185" customWidth="1"/>
    <col min="8202" max="8202" width="6.44140625" style="185" customWidth="1"/>
    <col min="8203" max="8204" width="8.88671875" style="185" customWidth="1"/>
    <col min="8205" max="8205" width="10.77734375" style="185" customWidth="1"/>
    <col min="8206" max="8208" width="8.88671875" style="185" customWidth="1"/>
    <col min="8209" max="8209" width="9.109375" style="185" customWidth="1"/>
    <col min="8210" max="8448" width="8.88671875" style="185"/>
    <col min="8449" max="8449" width="7.44140625" style="185" customWidth="1"/>
    <col min="8450" max="8450" width="40.5546875" style="185" customWidth="1"/>
    <col min="8451" max="8451" width="5.88671875" style="185" customWidth="1"/>
    <col min="8452" max="8452" width="5.5546875" style="185" customWidth="1"/>
    <col min="8453" max="8453" width="6.44140625" style="185" customWidth="1"/>
    <col min="8454" max="8456" width="8.6640625" style="185" customWidth="1"/>
    <col min="8457" max="8457" width="10.5546875" style="185" customWidth="1"/>
    <col min="8458" max="8458" width="6.44140625" style="185" customWidth="1"/>
    <col min="8459" max="8460" width="8.88671875" style="185" customWidth="1"/>
    <col min="8461" max="8461" width="10.77734375" style="185" customWidth="1"/>
    <col min="8462" max="8464" width="8.88671875" style="185" customWidth="1"/>
    <col min="8465" max="8465" width="9.109375" style="185" customWidth="1"/>
    <col min="8466" max="8704" width="8.88671875" style="185"/>
    <col min="8705" max="8705" width="7.44140625" style="185" customWidth="1"/>
    <col min="8706" max="8706" width="40.5546875" style="185" customWidth="1"/>
    <col min="8707" max="8707" width="5.88671875" style="185" customWidth="1"/>
    <col min="8708" max="8708" width="5.5546875" style="185" customWidth="1"/>
    <col min="8709" max="8709" width="6.44140625" style="185" customWidth="1"/>
    <col min="8710" max="8712" width="8.6640625" style="185" customWidth="1"/>
    <col min="8713" max="8713" width="10.5546875" style="185" customWidth="1"/>
    <col min="8714" max="8714" width="6.44140625" style="185" customWidth="1"/>
    <col min="8715" max="8716" width="8.88671875" style="185" customWidth="1"/>
    <col min="8717" max="8717" width="10.77734375" style="185" customWidth="1"/>
    <col min="8718" max="8720" width="8.88671875" style="185" customWidth="1"/>
    <col min="8721" max="8721" width="9.109375" style="185" customWidth="1"/>
    <col min="8722" max="8960" width="8.88671875" style="185"/>
    <col min="8961" max="8961" width="7.44140625" style="185" customWidth="1"/>
    <col min="8962" max="8962" width="40.5546875" style="185" customWidth="1"/>
    <col min="8963" max="8963" width="5.88671875" style="185" customWidth="1"/>
    <col min="8964" max="8964" width="5.5546875" style="185" customWidth="1"/>
    <col min="8965" max="8965" width="6.44140625" style="185" customWidth="1"/>
    <col min="8966" max="8968" width="8.6640625" style="185" customWidth="1"/>
    <col min="8969" max="8969" width="10.5546875" style="185" customWidth="1"/>
    <col min="8970" max="8970" width="6.44140625" style="185" customWidth="1"/>
    <col min="8971" max="8972" width="8.88671875" style="185" customWidth="1"/>
    <col min="8973" max="8973" width="10.77734375" style="185" customWidth="1"/>
    <col min="8974" max="8976" width="8.88671875" style="185" customWidth="1"/>
    <col min="8977" max="8977" width="9.109375" style="185" customWidth="1"/>
    <col min="8978" max="9216" width="8.88671875" style="185"/>
    <col min="9217" max="9217" width="7.44140625" style="185" customWidth="1"/>
    <col min="9218" max="9218" width="40.5546875" style="185" customWidth="1"/>
    <col min="9219" max="9219" width="5.88671875" style="185" customWidth="1"/>
    <col min="9220" max="9220" width="5.5546875" style="185" customWidth="1"/>
    <col min="9221" max="9221" width="6.44140625" style="185" customWidth="1"/>
    <col min="9222" max="9224" width="8.6640625" style="185" customWidth="1"/>
    <col min="9225" max="9225" width="10.5546875" style="185" customWidth="1"/>
    <col min="9226" max="9226" width="6.44140625" style="185" customWidth="1"/>
    <col min="9227" max="9228" width="8.88671875" style="185" customWidth="1"/>
    <col min="9229" max="9229" width="10.77734375" style="185" customWidth="1"/>
    <col min="9230" max="9232" width="8.88671875" style="185" customWidth="1"/>
    <col min="9233" max="9233" width="9.109375" style="185" customWidth="1"/>
    <col min="9234" max="9472" width="8.88671875" style="185"/>
    <col min="9473" max="9473" width="7.44140625" style="185" customWidth="1"/>
    <col min="9474" max="9474" width="40.5546875" style="185" customWidth="1"/>
    <col min="9475" max="9475" width="5.88671875" style="185" customWidth="1"/>
    <col min="9476" max="9476" width="5.5546875" style="185" customWidth="1"/>
    <col min="9477" max="9477" width="6.44140625" style="185" customWidth="1"/>
    <col min="9478" max="9480" width="8.6640625" style="185" customWidth="1"/>
    <col min="9481" max="9481" width="10.5546875" style="185" customWidth="1"/>
    <col min="9482" max="9482" width="6.44140625" style="185" customWidth="1"/>
    <col min="9483" max="9484" width="8.88671875" style="185" customWidth="1"/>
    <col min="9485" max="9485" width="10.77734375" style="185" customWidth="1"/>
    <col min="9486" max="9488" width="8.88671875" style="185" customWidth="1"/>
    <col min="9489" max="9489" width="9.109375" style="185" customWidth="1"/>
    <col min="9490" max="9728" width="8.88671875" style="185"/>
    <col min="9729" max="9729" width="7.44140625" style="185" customWidth="1"/>
    <col min="9730" max="9730" width="40.5546875" style="185" customWidth="1"/>
    <col min="9731" max="9731" width="5.88671875" style="185" customWidth="1"/>
    <col min="9732" max="9732" width="5.5546875" style="185" customWidth="1"/>
    <col min="9733" max="9733" width="6.44140625" style="185" customWidth="1"/>
    <col min="9734" max="9736" width="8.6640625" style="185" customWidth="1"/>
    <col min="9737" max="9737" width="10.5546875" style="185" customWidth="1"/>
    <col min="9738" max="9738" width="6.44140625" style="185" customWidth="1"/>
    <col min="9739" max="9740" width="8.88671875" style="185" customWidth="1"/>
    <col min="9741" max="9741" width="10.77734375" style="185" customWidth="1"/>
    <col min="9742" max="9744" width="8.88671875" style="185" customWidth="1"/>
    <col min="9745" max="9745" width="9.109375" style="185" customWidth="1"/>
    <col min="9746" max="9984" width="8.88671875" style="185"/>
    <col min="9985" max="9985" width="7.44140625" style="185" customWidth="1"/>
    <col min="9986" max="9986" width="40.5546875" style="185" customWidth="1"/>
    <col min="9987" max="9987" width="5.88671875" style="185" customWidth="1"/>
    <col min="9988" max="9988" width="5.5546875" style="185" customWidth="1"/>
    <col min="9989" max="9989" width="6.44140625" style="185" customWidth="1"/>
    <col min="9990" max="9992" width="8.6640625" style="185" customWidth="1"/>
    <col min="9993" max="9993" width="10.5546875" style="185" customWidth="1"/>
    <col min="9994" max="9994" width="6.44140625" style="185" customWidth="1"/>
    <col min="9995" max="9996" width="8.88671875" style="185" customWidth="1"/>
    <col min="9997" max="9997" width="10.77734375" style="185" customWidth="1"/>
    <col min="9998" max="10000" width="8.88671875" style="185" customWidth="1"/>
    <col min="10001" max="10001" width="9.109375" style="185" customWidth="1"/>
    <col min="10002" max="10240" width="8.88671875" style="185"/>
    <col min="10241" max="10241" width="7.44140625" style="185" customWidth="1"/>
    <col min="10242" max="10242" width="40.5546875" style="185" customWidth="1"/>
    <col min="10243" max="10243" width="5.88671875" style="185" customWidth="1"/>
    <col min="10244" max="10244" width="5.5546875" style="185" customWidth="1"/>
    <col min="10245" max="10245" width="6.44140625" style="185" customWidth="1"/>
    <col min="10246" max="10248" width="8.6640625" style="185" customWidth="1"/>
    <col min="10249" max="10249" width="10.5546875" style="185" customWidth="1"/>
    <col min="10250" max="10250" width="6.44140625" style="185" customWidth="1"/>
    <col min="10251" max="10252" width="8.88671875" style="185" customWidth="1"/>
    <col min="10253" max="10253" width="10.77734375" style="185" customWidth="1"/>
    <col min="10254" max="10256" width="8.88671875" style="185" customWidth="1"/>
    <col min="10257" max="10257" width="9.109375" style="185" customWidth="1"/>
    <col min="10258" max="10496" width="8.88671875" style="185"/>
    <col min="10497" max="10497" width="7.44140625" style="185" customWidth="1"/>
    <col min="10498" max="10498" width="40.5546875" style="185" customWidth="1"/>
    <col min="10499" max="10499" width="5.88671875" style="185" customWidth="1"/>
    <col min="10500" max="10500" width="5.5546875" style="185" customWidth="1"/>
    <col min="10501" max="10501" width="6.44140625" style="185" customWidth="1"/>
    <col min="10502" max="10504" width="8.6640625" style="185" customWidth="1"/>
    <col min="10505" max="10505" width="10.5546875" style="185" customWidth="1"/>
    <col min="10506" max="10506" width="6.44140625" style="185" customWidth="1"/>
    <col min="10507" max="10508" width="8.88671875" style="185" customWidth="1"/>
    <col min="10509" max="10509" width="10.77734375" style="185" customWidth="1"/>
    <col min="10510" max="10512" width="8.88671875" style="185" customWidth="1"/>
    <col min="10513" max="10513" width="9.109375" style="185" customWidth="1"/>
    <col min="10514" max="10752" width="8.88671875" style="185"/>
    <col min="10753" max="10753" width="7.44140625" style="185" customWidth="1"/>
    <col min="10754" max="10754" width="40.5546875" style="185" customWidth="1"/>
    <col min="10755" max="10755" width="5.88671875" style="185" customWidth="1"/>
    <col min="10756" max="10756" width="5.5546875" style="185" customWidth="1"/>
    <col min="10757" max="10757" width="6.44140625" style="185" customWidth="1"/>
    <col min="10758" max="10760" width="8.6640625" style="185" customWidth="1"/>
    <col min="10761" max="10761" width="10.5546875" style="185" customWidth="1"/>
    <col min="10762" max="10762" width="6.44140625" style="185" customWidth="1"/>
    <col min="10763" max="10764" width="8.88671875" style="185" customWidth="1"/>
    <col min="10765" max="10765" width="10.77734375" style="185" customWidth="1"/>
    <col min="10766" max="10768" width="8.88671875" style="185" customWidth="1"/>
    <col min="10769" max="10769" width="9.109375" style="185" customWidth="1"/>
    <col min="10770" max="11008" width="8.88671875" style="185"/>
    <col min="11009" max="11009" width="7.44140625" style="185" customWidth="1"/>
    <col min="11010" max="11010" width="40.5546875" style="185" customWidth="1"/>
    <col min="11011" max="11011" width="5.88671875" style="185" customWidth="1"/>
    <col min="11012" max="11012" width="5.5546875" style="185" customWidth="1"/>
    <col min="11013" max="11013" width="6.44140625" style="185" customWidth="1"/>
    <col min="11014" max="11016" width="8.6640625" style="185" customWidth="1"/>
    <col min="11017" max="11017" width="10.5546875" style="185" customWidth="1"/>
    <col min="11018" max="11018" width="6.44140625" style="185" customWidth="1"/>
    <col min="11019" max="11020" width="8.88671875" style="185" customWidth="1"/>
    <col min="11021" max="11021" width="10.77734375" style="185" customWidth="1"/>
    <col min="11022" max="11024" width="8.88671875" style="185" customWidth="1"/>
    <col min="11025" max="11025" width="9.109375" style="185" customWidth="1"/>
    <col min="11026" max="11264" width="8.88671875" style="185"/>
    <col min="11265" max="11265" width="7.44140625" style="185" customWidth="1"/>
    <col min="11266" max="11266" width="40.5546875" style="185" customWidth="1"/>
    <col min="11267" max="11267" width="5.88671875" style="185" customWidth="1"/>
    <col min="11268" max="11268" width="5.5546875" style="185" customWidth="1"/>
    <col min="11269" max="11269" width="6.44140625" style="185" customWidth="1"/>
    <col min="11270" max="11272" width="8.6640625" style="185" customWidth="1"/>
    <col min="11273" max="11273" width="10.5546875" style="185" customWidth="1"/>
    <col min="11274" max="11274" width="6.44140625" style="185" customWidth="1"/>
    <col min="11275" max="11276" width="8.88671875" style="185" customWidth="1"/>
    <col min="11277" max="11277" width="10.77734375" style="185" customWidth="1"/>
    <col min="11278" max="11280" width="8.88671875" style="185" customWidth="1"/>
    <col min="11281" max="11281" width="9.109375" style="185" customWidth="1"/>
    <col min="11282" max="11520" width="8.88671875" style="185"/>
    <col min="11521" max="11521" width="7.44140625" style="185" customWidth="1"/>
    <col min="11522" max="11522" width="40.5546875" style="185" customWidth="1"/>
    <col min="11523" max="11523" width="5.88671875" style="185" customWidth="1"/>
    <col min="11524" max="11524" width="5.5546875" style="185" customWidth="1"/>
    <col min="11525" max="11525" width="6.44140625" style="185" customWidth="1"/>
    <col min="11526" max="11528" width="8.6640625" style="185" customWidth="1"/>
    <col min="11529" max="11529" width="10.5546875" style="185" customWidth="1"/>
    <col min="11530" max="11530" width="6.44140625" style="185" customWidth="1"/>
    <col min="11531" max="11532" width="8.88671875" style="185" customWidth="1"/>
    <col min="11533" max="11533" width="10.77734375" style="185" customWidth="1"/>
    <col min="11534" max="11536" width="8.88671875" style="185" customWidth="1"/>
    <col min="11537" max="11537" width="9.109375" style="185" customWidth="1"/>
    <col min="11538" max="11776" width="8.88671875" style="185"/>
    <col min="11777" max="11777" width="7.44140625" style="185" customWidth="1"/>
    <col min="11778" max="11778" width="40.5546875" style="185" customWidth="1"/>
    <col min="11779" max="11779" width="5.88671875" style="185" customWidth="1"/>
    <col min="11780" max="11780" width="5.5546875" style="185" customWidth="1"/>
    <col min="11781" max="11781" width="6.44140625" style="185" customWidth="1"/>
    <col min="11782" max="11784" width="8.6640625" style="185" customWidth="1"/>
    <col min="11785" max="11785" width="10.5546875" style="185" customWidth="1"/>
    <col min="11786" max="11786" width="6.44140625" style="185" customWidth="1"/>
    <col min="11787" max="11788" width="8.88671875" style="185" customWidth="1"/>
    <col min="11789" max="11789" width="10.77734375" style="185" customWidth="1"/>
    <col min="11790" max="11792" width="8.88671875" style="185" customWidth="1"/>
    <col min="11793" max="11793" width="9.109375" style="185" customWidth="1"/>
    <col min="11794" max="12032" width="8.88671875" style="185"/>
    <col min="12033" max="12033" width="7.44140625" style="185" customWidth="1"/>
    <col min="12034" max="12034" width="40.5546875" style="185" customWidth="1"/>
    <col min="12035" max="12035" width="5.88671875" style="185" customWidth="1"/>
    <col min="12036" max="12036" width="5.5546875" style="185" customWidth="1"/>
    <col min="12037" max="12037" width="6.44140625" style="185" customWidth="1"/>
    <col min="12038" max="12040" width="8.6640625" style="185" customWidth="1"/>
    <col min="12041" max="12041" width="10.5546875" style="185" customWidth="1"/>
    <col min="12042" max="12042" width="6.44140625" style="185" customWidth="1"/>
    <col min="12043" max="12044" width="8.88671875" style="185" customWidth="1"/>
    <col min="12045" max="12045" width="10.77734375" style="185" customWidth="1"/>
    <col min="12046" max="12048" width="8.88671875" style="185" customWidth="1"/>
    <col min="12049" max="12049" width="9.109375" style="185" customWidth="1"/>
    <col min="12050" max="12288" width="8.88671875" style="185"/>
    <col min="12289" max="12289" width="7.44140625" style="185" customWidth="1"/>
    <col min="12290" max="12290" width="40.5546875" style="185" customWidth="1"/>
    <col min="12291" max="12291" width="5.88671875" style="185" customWidth="1"/>
    <col min="12292" max="12292" width="5.5546875" style="185" customWidth="1"/>
    <col min="12293" max="12293" width="6.44140625" style="185" customWidth="1"/>
    <col min="12294" max="12296" width="8.6640625" style="185" customWidth="1"/>
    <col min="12297" max="12297" width="10.5546875" style="185" customWidth="1"/>
    <col min="12298" max="12298" width="6.44140625" style="185" customWidth="1"/>
    <col min="12299" max="12300" width="8.88671875" style="185" customWidth="1"/>
    <col min="12301" max="12301" width="10.77734375" style="185" customWidth="1"/>
    <col min="12302" max="12304" width="8.88671875" style="185" customWidth="1"/>
    <col min="12305" max="12305" width="9.109375" style="185" customWidth="1"/>
    <col min="12306" max="12544" width="8.88671875" style="185"/>
    <col min="12545" max="12545" width="7.44140625" style="185" customWidth="1"/>
    <col min="12546" max="12546" width="40.5546875" style="185" customWidth="1"/>
    <col min="12547" max="12547" width="5.88671875" style="185" customWidth="1"/>
    <col min="12548" max="12548" width="5.5546875" style="185" customWidth="1"/>
    <col min="12549" max="12549" width="6.44140625" style="185" customWidth="1"/>
    <col min="12550" max="12552" width="8.6640625" style="185" customWidth="1"/>
    <col min="12553" max="12553" width="10.5546875" style="185" customWidth="1"/>
    <col min="12554" max="12554" width="6.44140625" style="185" customWidth="1"/>
    <col min="12555" max="12556" width="8.88671875" style="185" customWidth="1"/>
    <col min="12557" max="12557" width="10.77734375" style="185" customWidth="1"/>
    <col min="12558" max="12560" width="8.88671875" style="185" customWidth="1"/>
    <col min="12561" max="12561" width="9.109375" style="185" customWidth="1"/>
    <col min="12562" max="12800" width="8.88671875" style="185"/>
    <col min="12801" max="12801" width="7.44140625" style="185" customWidth="1"/>
    <col min="12802" max="12802" width="40.5546875" style="185" customWidth="1"/>
    <col min="12803" max="12803" width="5.88671875" style="185" customWidth="1"/>
    <col min="12804" max="12804" width="5.5546875" style="185" customWidth="1"/>
    <col min="12805" max="12805" width="6.44140625" style="185" customWidth="1"/>
    <col min="12806" max="12808" width="8.6640625" style="185" customWidth="1"/>
    <col min="12809" max="12809" width="10.5546875" style="185" customWidth="1"/>
    <col min="12810" max="12810" width="6.44140625" style="185" customWidth="1"/>
    <col min="12811" max="12812" width="8.88671875" style="185" customWidth="1"/>
    <col min="12813" max="12813" width="10.77734375" style="185" customWidth="1"/>
    <col min="12814" max="12816" width="8.88671875" style="185" customWidth="1"/>
    <col min="12817" max="12817" width="9.109375" style="185" customWidth="1"/>
    <col min="12818" max="13056" width="8.88671875" style="185"/>
    <col min="13057" max="13057" width="7.44140625" style="185" customWidth="1"/>
    <col min="13058" max="13058" width="40.5546875" style="185" customWidth="1"/>
    <col min="13059" max="13059" width="5.88671875" style="185" customWidth="1"/>
    <col min="13060" max="13060" width="5.5546875" style="185" customWidth="1"/>
    <col min="13061" max="13061" width="6.44140625" style="185" customWidth="1"/>
    <col min="13062" max="13064" width="8.6640625" style="185" customWidth="1"/>
    <col min="13065" max="13065" width="10.5546875" style="185" customWidth="1"/>
    <col min="13066" max="13066" width="6.44140625" style="185" customWidth="1"/>
    <col min="13067" max="13068" width="8.88671875" style="185" customWidth="1"/>
    <col min="13069" max="13069" width="10.77734375" style="185" customWidth="1"/>
    <col min="13070" max="13072" width="8.88671875" style="185" customWidth="1"/>
    <col min="13073" max="13073" width="9.109375" style="185" customWidth="1"/>
    <col min="13074" max="13312" width="8.88671875" style="185"/>
    <col min="13313" max="13313" width="7.44140625" style="185" customWidth="1"/>
    <col min="13314" max="13314" width="40.5546875" style="185" customWidth="1"/>
    <col min="13315" max="13315" width="5.88671875" style="185" customWidth="1"/>
    <col min="13316" max="13316" width="5.5546875" style="185" customWidth="1"/>
    <col min="13317" max="13317" width="6.44140625" style="185" customWidth="1"/>
    <col min="13318" max="13320" width="8.6640625" style="185" customWidth="1"/>
    <col min="13321" max="13321" width="10.5546875" style="185" customWidth="1"/>
    <col min="13322" max="13322" width="6.44140625" style="185" customWidth="1"/>
    <col min="13323" max="13324" width="8.88671875" style="185" customWidth="1"/>
    <col min="13325" max="13325" width="10.77734375" style="185" customWidth="1"/>
    <col min="13326" max="13328" width="8.88671875" style="185" customWidth="1"/>
    <col min="13329" max="13329" width="9.109375" style="185" customWidth="1"/>
    <col min="13330" max="13568" width="8.88671875" style="185"/>
    <col min="13569" max="13569" width="7.44140625" style="185" customWidth="1"/>
    <col min="13570" max="13570" width="40.5546875" style="185" customWidth="1"/>
    <col min="13571" max="13571" width="5.88671875" style="185" customWidth="1"/>
    <col min="13572" max="13572" width="5.5546875" style="185" customWidth="1"/>
    <col min="13573" max="13573" width="6.44140625" style="185" customWidth="1"/>
    <col min="13574" max="13576" width="8.6640625" style="185" customWidth="1"/>
    <col min="13577" max="13577" width="10.5546875" style="185" customWidth="1"/>
    <col min="13578" max="13578" width="6.44140625" style="185" customWidth="1"/>
    <col min="13579" max="13580" width="8.88671875" style="185" customWidth="1"/>
    <col min="13581" max="13581" width="10.77734375" style="185" customWidth="1"/>
    <col min="13582" max="13584" width="8.88671875" style="185" customWidth="1"/>
    <col min="13585" max="13585" width="9.109375" style="185" customWidth="1"/>
    <col min="13586" max="13824" width="8.88671875" style="185"/>
    <col min="13825" max="13825" width="7.44140625" style="185" customWidth="1"/>
    <col min="13826" max="13826" width="40.5546875" style="185" customWidth="1"/>
    <col min="13827" max="13827" width="5.88671875" style="185" customWidth="1"/>
    <col min="13828" max="13828" width="5.5546875" style="185" customWidth="1"/>
    <col min="13829" max="13829" width="6.44140625" style="185" customWidth="1"/>
    <col min="13830" max="13832" width="8.6640625" style="185" customWidth="1"/>
    <col min="13833" max="13833" width="10.5546875" style="185" customWidth="1"/>
    <col min="13834" max="13834" width="6.44140625" style="185" customWidth="1"/>
    <col min="13835" max="13836" width="8.88671875" style="185" customWidth="1"/>
    <col min="13837" max="13837" width="10.77734375" style="185" customWidth="1"/>
    <col min="13838" max="13840" width="8.88671875" style="185" customWidth="1"/>
    <col min="13841" max="13841" width="9.109375" style="185" customWidth="1"/>
    <col min="13842" max="14080" width="8.88671875" style="185"/>
    <col min="14081" max="14081" width="7.44140625" style="185" customWidth="1"/>
    <col min="14082" max="14082" width="40.5546875" style="185" customWidth="1"/>
    <col min="14083" max="14083" width="5.88671875" style="185" customWidth="1"/>
    <col min="14084" max="14084" width="5.5546875" style="185" customWidth="1"/>
    <col min="14085" max="14085" width="6.44140625" style="185" customWidth="1"/>
    <col min="14086" max="14088" width="8.6640625" style="185" customWidth="1"/>
    <col min="14089" max="14089" width="10.5546875" style="185" customWidth="1"/>
    <col min="14090" max="14090" width="6.44140625" style="185" customWidth="1"/>
    <col min="14091" max="14092" width="8.88671875" style="185" customWidth="1"/>
    <col min="14093" max="14093" width="10.77734375" style="185" customWidth="1"/>
    <col min="14094" max="14096" width="8.88671875" style="185" customWidth="1"/>
    <col min="14097" max="14097" width="9.109375" style="185" customWidth="1"/>
    <col min="14098" max="14336" width="8.88671875" style="185"/>
    <col min="14337" max="14337" width="7.44140625" style="185" customWidth="1"/>
    <col min="14338" max="14338" width="40.5546875" style="185" customWidth="1"/>
    <col min="14339" max="14339" width="5.88671875" style="185" customWidth="1"/>
    <col min="14340" max="14340" width="5.5546875" style="185" customWidth="1"/>
    <col min="14341" max="14341" width="6.44140625" style="185" customWidth="1"/>
    <col min="14342" max="14344" width="8.6640625" style="185" customWidth="1"/>
    <col min="14345" max="14345" width="10.5546875" style="185" customWidth="1"/>
    <col min="14346" max="14346" width="6.44140625" style="185" customWidth="1"/>
    <col min="14347" max="14348" width="8.88671875" style="185" customWidth="1"/>
    <col min="14349" max="14349" width="10.77734375" style="185" customWidth="1"/>
    <col min="14350" max="14352" width="8.88671875" style="185" customWidth="1"/>
    <col min="14353" max="14353" width="9.109375" style="185" customWidth="1"/>
    <col min="14354" max="14592" width="8.88671875" style="185"/>
    <col min="14593" max="14593" width="7.44140625" style="185" customWidth="1"/>
    <col min="14594" max="14594" width="40.5546875" style="185" customWidth="1"/>
    <col min="14595" max="14595" width="5.88671875" style="185" customWidth="1"/>
    <col min="14596" max="14596" width="5.5546875" style="185" customWidth="1"/>
    <col min="14597" max="14597" width="6.44140625" style="185" customWidth="1"/>
    <col min="14598" max="14600" width="8.6640625" style="185" customWidth="1"/>
    <col min="14601" max="14601" width="10.5546875" style="185" customWidth="1"/>
    <col min="14602" max="14602" width="6.44140625" style="185" customWidth="1"/>
    <col min="14603" max="14604" width="8.88671875" style="185" customWidth="1"/>
    <col min="14605" max="14605" width="10.77734375" style="185" customWidth="1"/>
    <col min="14606" max="14608" width="8.88671875" style="185" customWidth="1"/>
    <col min="14609" max="14609" width="9.109375" style="185" customWidth="1"/>
    <col min="14610" max="14848" width="8.88671875" style="185"/>
    <col min="14849" max="14849" width="7.44140625" style="185" customWidth="1"/>
    <col min="14850" max="14850" width="40.5546875" style="185" customWidth="1"/>
    <col min="14851" max="14851" width="5.88671875" style="185" customWidth="1"/>
    <col min="14852" max="14852" width="5.5546875" style="185" customWidth="1"/>
    <col min="14853" max="14853" width="6.44140625" style="185" customWidth="1"/>
    <col min="14854" max="14856" width="8.6640625" style="185" customWidth="1"/>
    <col min="14857" max="14857" width="10.5546875" style="185" customWidth="1"/>
    <col min="14858" max="14858" width="6.44140625" style="185" customWidth="1"/>
    <col min="14859" max="14860" width="8.88671875" style="185" customWidth="1"/>
    <col min="14861" max="14861" width="10.77734375" style="185" customWidth="1"/>
    <col min="14862" max="14864" width="8.88671875" style="185" customWidth="1"/>
    <col min="14865" max="14865" width="9.109375" style="185" customWidth="1"/>
    <col min="14866" max="15104" width="8.88671875" style="185"/>
    <col min="15105" max="15105" width="7.44140625" style="185" customWidth="1"/>
    <col min="15106" max="15106" width="40.5546875" style="185" customWidth="1"/>
    <col min="15107" max="15107" width="5.88671875" style="185" customWidth="1"/>
    <col min="15108" max="15108" width="5.5546875" style="185" customWidth="1"/>
    <col min="15109" max="15109" width="6.44140625" style="185" customWidth="1"/>
    <col min="15110" max="15112" width="8.6640625" style="185" customWidth="1"/>
    <col min="15113" max="15113" width="10.5546875" style="185" customWidth="1"/>
    <col min="15114" max="15114" width="6.44140625" style="185" customWidth="1"/>
    <col min="15115" max="15116" width="8.88671875" style="185" customWidth="1"/>
    <col min="15117" max="15117" width="10.77734375" style="185" customWidth="1"/>
    <col min="15118" max="15120" width="8.88671875" style="185" customWidth="1"/>
    <col min="15121" max="15121" width="9.109375" style="185" customWidth="1"/>
    <col min="15122" max="15360" width="8.88671875" style="185"/>
    <col min="15361" max="15361" width="7.44140625" style="185" customWidth="1"/>
    <col min="15362" max="15362" width="40.5546875" style="185" customWidth="1"/>
    <col min="15363" max="15363" width="5.88671875" style="185" customWidth="1"/>
    <col min="15364" max="15364" width="5.5546875" style="185" customWidth="1"/>
    <col min="15365" max="15365" width="6.44140625" style="185" customWidth="1"/>
    <col min="15366" max="15368" width="8.6640625" style="185" customWidth="1"/>
    <col min="15369" max="15369" width="10.5546875" style="185" customWidth="1"/>
    <col min="15370" max="15370" width="6.44140625" style="185" customWidth="1"/>
    <col min="15371" max="15372" width="8.88671875" style="185" customWidth="1"/>
    <col min="15373" max="15373" width="10.77734375" style="185" customWidth="1"/>
    <col min="15374" max="15376" width="8.88671875" style="185" customWidth="1"/>
    <col min="15377" max="15377" width="9.109375" style="185" customWidth="1"/>
    <col min="15378" max="15616" width="8.88671875" style="185"/>
    <col min="15617" max="15617" width="7.44140625" style="185" customWidth="1"/>
    <col min="15618" max="15618" width="40.5546875" style="185" customWidth="1"/>
    <col min="15619" max="15619" width="5.88671875" style="185" customWidth="1"/>
    <col min="15620" max="15620" width="5.5546875" style="185" customWidth="1"/>
    <col min="15621" max="15621" width="6.44140625" style="185" customWidth="1"/>
    <col min="15622" max="15624" width="8.6640625" style="185" customWidth="1"/>
    <col min="15625" max="15625" width="10.5546875" style="185" customWidth="1"/>
    <col min="15626" max="15626" width="6.44140625" style="185" customWidth="1"/>
    <col min="15627" max="15628" width="8.88671875" style="185" customWidth="1"/>
    <col min="15629" max="15629" width="10.77734375" style="185" customWidth="1"/>
    <col min="15630" max="15632" width="8.88671875" style="185" customWidth="1"/>
    <col min="15633" max="15633" width="9.109375" style="185" customWidth="1"/>
    <col min="15634" max="15872" width="8.88671875" style="185"/>
    <col min="15873" max="15873" width="7.44140625" style="185" customWidth="1"/>
    <col min="15874" max="15874" width="40.5546875" style="185" customWidth="1"/>
    <col min="15875" max="15875" width="5.88671875" style="185" customWidth="1"/>
    <col min="15876" max="15876" width="5.5546875" style="185" customWidth="1"/>
    <col min="15877" max="15877" width="6.44140625" style="185" customWidth="1"/>
    <col min="15878" max="15880" width="8.6640625" style="185" customWidth="1"/>
    <col min="15881" max="15881" width="10.5546875" style="185" customWidth="1"/>
    <col min="15882" max="15882" width="6.44140625" style="185" customWidth="1"/>
    <col min="15883" max="15884" width="8.88671875" style="185" customWidth="1"/>
    <col min="15885" max="15885" width="10.77734375" style="185" customWidth="1"/>
    <col min="15886" max="15888" width="8.88671875" style="185" customWidth="1"/>
    <col min="15889" max="15889" width="9.109375" style="185" customWidth="1"/>
    <col min="15890" max="16128" width="8.88671875" style="185"/>
    <col min="16129" max="16129" width="7.44140625" style="185" customWidth="1"/>
    <col min="16130" max="16130" width="40.5546875" style="185" customWidth="1"/>
    <col min="16131" max="16131" width="5.88671875" style="185" customWidth="1"/>
    <col min="16132" max="16132" width="5.5546875" style="185" customWidth="1"/>
    <col min="16133" max="16133" width="6.44140625" style="185" customWidth="1"/>
    <col min="16134" max="16136" width="8.6640625" style="185" customWidth="1"/>
    <col min="16137" max="16137" width="10.5546875" style="185" customWidth="1"/>
    <col min="16138" max="16138" width="6.44140625" style="185" customWidth="1"/>
    <col min="16139" max="16140" width="8.88671875" style="185" customWidth="1"/>
    <col min="16141" max="16141" width="10.77734375" style="185" customWidth="1"/>
    <col min="16142" max="16144" width="8.88671875" style="185" customWidth="1"/>
    <col min="16145" max="16145" width="9.109375" style="185" customWidth="1"/>
    <col min="16146" max="16384" width="8.88671875" style="185"/>
  </cols>
  <sheetData>
    <row r="1" spans="1:13" s="184" customFormat="1" ht="72" customHeight="1">
      <c r="A1" s="564" t="s">
        <v>452</v>
      </c>
      <c r="B1" s="564"/>
      <c r="C1" s="564"/>
      <c r="D1" s="564"/>
      <c r="E1" s="564"/>
      <c r="F1" s="564"/>
      <c r="G1" s="564"/>
      <c r="H1" s="564"/>
      <c r="I1" s="564"/>
      <c r="J1" s="564"/>
    </row>
    <row r="2" spans="1:13" s="184" customFormat="1" ht="27" customHeight="1">
      <c r="A2" s="565" t="s">
        <v>453</v>
      </c>
      <c r="B2" s="565"/>
      <c r="C2" s="565"/>
      <c r="D2" s="565"/>
      <c r="E2" s="565"/>
      <c r="F2" s="565"/>
      <c r="G2" s="565"/>
      <c r="H2" s="565"/>
      <c r="I2" s="565"/>
      <c r="J2" s="565"/>
    </row>
    <row r="3" spans="1:13" ht="24.95" customHeight="1">
      <c r="A3" s="566" t="s">
        <v>9</v>
      </c>
      <c r="B3" s="568" t="s">
        <v>454</v>
      </c>
      <c r="C3" s="570" t="s">
        <v>54</v>
      </c>
      <c r="D3" s="571"/>
      <c r="E3" s="572"/>
      <c r="F3" s="576" t="s">
        <v>455</v>
      </c>
      <c r="G3" s="577"/>
      <c r="H3" s="578"/>
      <c r="I3" s="579" t="s">
        <v>116</v>
      </c>
      <c r="J3" s="579" t="s">
        <v>8</v>
      </c>
    </row>
    <row r="4" spans="1:13" ht="24.95" customHeight="1">
      <c r="A4" s="567"/>
      <c r="B4" s="569"/>
      <c r="C4" s="573"/>
      <c r="D4" s="574"/>
      <c r="E4" s="575"/>
      <c r="F4" s="186" t="s">
        <v>456</v>
      </c>
      <c r="G4" s="186" t="s">
        <v>76</v>
      </c>
      <c r="H4" s="186" t="s">
        <v>444</v>
      </c>
      <c r="I4" s="580"/>
      <c r="J4" s="580"/>
    </row>
    <row r="5" spans="1:13" ht="47.45" customHeight="1">
      <c r="A5" s="187">
        <v>1.1000000000000001</v>
      </c>
      <c r="B5" s="188" t="s">
        <v>457</v>
      </c>
      <c r="C5" s="189"/>
      <c r="D5" s="189"/>
      <c r="E5" s="189"/>
      <c r="F5" s="190"/>
      <c r="G5" s="190"/>
      <c r="H5" s="190"/>
      <c r="I5" s="190"/>
      <c r="J5" s="191"/>
      <c r="L5" s="185">
        <v>64.88</v>
      </c>
    </row>
    <row r="6" spans="1:13" ht="22.5" customHeight="1">
      <c r="A6" s="192"/>
      <c r="B6" s="188" t="s">
        <v>458</v>
      </c>
      <c r="C6" s="189"/>
      <c r="D6" s="189"/>
      <c r="E6" s="189"/>
      <c r="F6" s="190"/>
      <c r="G6" s="190"/>
      <c r="H6" s="190"/>
      <c r="I6" s="190"/>
      <c r="J6" s="191"/>
    </row>
    <row r="7" spans="1:13" ht="24.95" customHeight="1">
      <c r="A7" s="192"/>
      <c r="B7" s="188" t="s">
        <v>459</v>
      </c>
      <c r="C7" s="189"/>
      <c r="D7" s="189"/>
      <c r="E7" s="189"/>
      <c r="F7" s="190"/>
      <c r="G7" s="190"/>
      <c r="H7" s="190"/>
      <c r="I7" s="190"/>
      <c r="J7" s="191"/>
    </row>
    <row r="8" spans="1:13" ht="24.95" customHeight="1">
      <c r="A8" s="192"/>
      <c r="B8" s="193" t="s">
        <v>460</v>
      </c>
      <c r="C8" s="194">
        <v>1</v>
      </c>
      <c r="D8" s="194" t="s">
        <v>461</v>
      </c>
      <c r="E8" s="194">
        <v>14</v>
      </c>
      <c r="F8" s="195">
        <v>1.7</v>
      </c>
      <c r="G8" s="195">
        <v>1.7</v>
      </c>
      <c r="H8" s="195">
        <v>2</v>
      </c>
      <c r="I8" s="195">
        <f>PRODUCT(C8:H8)</f>
        <v>80.92</v>
      </c>
      <c r="J8" s="191"/>
      <c r="L8" s="185">
        <v>2.1</v>
      </c>
      <c r="M8" s="185">
        <f>2.1-1.8</f>
        <v>0.3</v>
      </c>
    </row>
    <row r="9" spans="1:13" ht="24.95" customHeight="1">
      <c r="A9" s="192"/>
      <c r="B9" s="193" t="s">
        <v>462</v>
      </c>
      <c r="C9" s="194">
        <v>1</v>
      </c>
      <c r="D9" s="194" t="s">
        <v>461</v>
      </c>
      <c r="E9" s="194">
        <v>4</v>
      </c>
      <c r="F9" s="195">
        <v>2.1</v>
      </c>
      <c r="G9" s="195">
        <v>2.1</v>
      </c>
      <c r="H9" s="195">
        <v>2</v>
      </c>
      <c r="I9" s="195">
        <f>PRODUCT(C9:H9)</f>
        <v>35.28</v>
      </c>
      <c r="J9" s="191"/>
      <c r="M9" s="185">
        <f>0.075+0.075</f>
        <v>0.15</v>
      </c>
    </row>
    <row r="10" spans="1:13" ht="24.95" customHeight="1">
      <c r="A10" s="192"/>
      <c r="B10" s="193" t="s">
        <v>463</v>
      </c>
      <c r="C10" s="194">
        <v>1</v>
      </c>
      <c r="D10" s="194" t="s">
        <v>461</v>
      </c>
      <c r="E10" s="194">
        <v>9</v>
      </c>
      <c r="F10" s="195">
        <v>2.2999999999999998</v>
      </c>
      <c r="G10" s="195">
        <v>2.2999999999999998</v>
      </c>
      <c r="H10" s="195">
        <v>2</v>
      </c>
      <c r="I10" s="195">
        <f>PRODUCT(C10:H10)</f>
        <v>95.22</v>
      </c>
      <c r="J10" s="191"/>
    </row>
    <row r="11" spans="1:13" ht="24.95" customHeight="1">
      <c r="A11" s="192"/>
      <c r="B11" s="196" t="s">
        <v>464</v>
      </c>
      <c r="C11" s="194"/>
      <c r="D11" s="194"/>
      <c r="E11" s="194"/>
      <c r="F11" s="195"/>
      <c r="G11" s="195"/>
      <c r="H11" s="195"/>
      <c r="I11" s="197"/>
      <c r="J11" s="191"/>
    </row>
    <row r="12" spans="1:13" ht="30" customHeight="1">
      <c r="A12" s="192"/>
      <c r="B12" s="193" t="s">
        <v>934</v>
      </c>
      <c r="C12" s="194">
        <v>1</v>
      </c>
      <c r="D12" s="194" t="s">
        <v>461</v>
      </c>
      <c r="E12" s="194">
        <v>1</v>
      </c>
      <c r="F12" s="195">
        <v>64.88</v>
      </c>
      <c r="G12" s="195">
        <v>0.38</v>
      </c>
      <c r="H12" s="195">
        <v>0.4</v>
      </c>
      <c r="I12" s="195">
        <f t="shared" ref="I12:I23" si="0">PRODUCT(C12:H12)</f>
        <v>9.86</v>
      </c>
      <c r="J12" s="198"/>
    </row>
    <row r="13" spans="1:13" ht="24.95" customHeight="1">
      <c r="A13" s="192"/>
      <c r="B13" s="193" t="s">
        <v>935</v>
      </c>
      <c r="C13" s="194">
        <v>1</v>
      </c>
      <c r="D13" s="194" t="s">
        <v>461</v>
      </c>
      <c r="E13" s="194">
        <v>1</v>
      </c>
      <c r="F13" s="195">
        <v>19.97</v>
      </c>
      <c r="G13" s="195">
        <v>0.38</v>
      </c>
      <c r="H13" s="195">
        <v>0.4</v>
      </c>
      <c r="I13" s="195">
        <f t="shared" si="0"/>
        <v>3.04</v>
      </c>
      <c r="J13" s="198"/>
    </row>
    <row r="14" spans="1:13" ht="24.95" customHeight="1">
      <c r="A14" s="192"/>
      <c r="B14" s="193"/>
      <c r="C14" s="194">
        <v>1</v>
      </c>
      <c r="D14" s="194" t="s">
        <v>461</v>
      </c>
      <c r="E14" s="194">
        <v>1</v>
      </c>
      <c r="F14" s="195">
        <v>16.440000000000001</v>
      </c>
      <c r="G14" s="195">
        <v>0.38</v>
      </c>
      <c r="H14" s="195">
        <v>0.4</v>
      </c>
      <c r="I14" s="195">
        <f t="shared" si="0"/>
        <v>2.5</v>
      </c>
      <c r="J14" s="198"/>
    </row>
    <row r="15" spans="1:13" ht="24.95" customHeight="1">
      <c r="A15" s="192"/>
      <c r="B15" s="193" t="s">
        <v>936</v>
      </c>
      <c r="C15" s="194">
        <v>1</v>
      </c>
      <c r="D15" s="194" t="s">
        <v>461</v>
      </c>
      <c r="E15" s="194">
        <v>1</v>
      </c>
      <c r="F15" s="195">
        <v>3.15</v>
      </c>
      <c r="G15" s="195">
        <v>0.38</v>
      </c>
      <c r="H15" s="195">
        <v>0.4</v>
      </c>
      <c r="I15" s="195">
        <f t="shared" si="0"/>
        <v>0.48</v>
      </c>
      <c r="J15" s="198"/>
    </row>
    <row r="16" spans="1:13" ht="24.95" customHeight="1">
      <c r="A16" s="192"/>
      <c r="B16" s="193" t="s">
        <v>937</v>
      </c>
      <c r="C16" s="194">
        <v>1</v>
      </c>
      <c r="D16" s="194" t="s">
        <v>461</v>
      </c>
      <c r="E16" s="194">
        <v>3</v>
      </c>
      <c r="F16" s="195">
        <v>3.45</v>
      </c>
      <c r="G16" s="195">
        <v>0.38</v>
      </c>
      <c r="H16" s="195">
        <v>0.4</v>
      </c>
      <c r="I16" s="195">
        <f t="shared" si="0"/>
        <v>1.57</v>
      </c>
      <c r="J16" s="198"/>
    </row>
    <row r="17" spans="1:16" ht="24.95" customHeight="1">
      <c r="A17" s="192"/>
      <c r="B17" s="193" t="s">
        <v>938</v>
      </c>
      <c r="C17" s="194">
        <v>1</v>
      </c>
      <c r="D17" s="194" t="s">
        <v>461</v>
      </c>
      <c r="E17" s="194">
        <v>2</v>
      </c>
      <c r="F17" s="195">
        <v>5.85</v>
      </c>
      <c r="G17" s="195">
        <v>0.38</v>
      </c>
      <c r="H17" s="195">
        <v>0.4</v>
      </c>
      <c r="I17" s="195">
        <f t="shared" si="0"/>
        <v>1.78</v>
      </c>
      <c r="J17" s="198"/>
    </row>
    <row r="18" spans="1:16" ht="24.95" customHeight="1">
      <c r="A18" s="192"/>
      <c r="B18" s="193" t="s">
        <v>939</v>
      </c>
      <c r="C18" s="194">
        <v>1</v>
      </c>
      <c r="D18" s="194" t="s">
        <v>461</v>
      </c>
      <c r="E18" s="194">
        <v>1</v>
      </c>
      <c r="F18" s="195">
        <v>7.88</v>
      </c>
      <c r="G18" s="195">
        <v>0.38</v>
      </c>
      <c r="H18" s="195">
        <v>0.4</v>
      </c>
      <c r="I18" s="195">
        <f t="shared" si="0"/>
        <v>1.2</v>
      </c>
      <c r="J18" s="198"/>
    </row>
    <row r="19" spans="1:16" ht="24.95" customHeight="1">
      <c r="A19" s="192"/>
      <c r="B19" s="193" t="s">
        <v>940</v>
      </c>
      <c r="C19" s="199">
        <v>1</v>
      </c>
      <c r="D19" s="199" t="s">
        <v>461</v>
      </c>
      <c r="E19" s="199">
        <v>2</v>
      </c>
      <c r="F19" s="197">
        <v>17</v>
      </c>
      <c r="G19" s="197">
        <v>0.38</v>
      </c>
      <c r="H19" s="195">
        <v>0.4</v>
      </c>
      <c r="I19" s="197">
        <f t="shared" si="0"/>
        <v>5.17</v>
      </c>
      <c r="J19" s="191"/>
      <c r="M19" s="190">
        <v>4.87</v>
      </c>
      <c r="N19" s="190">
        <v>1.5</v>
      </c>
      <c r="O19" s="190">
        <v>1.8</v>
      </c>
      <c r="P19" s="190">
        <f>PRODUCT(K19:O19)</f>
        <v>13.15</v>
      </c>
    </row>
    <row r="20" spans="1:16" ht="24.95" customHeight="1">
      <c r="A20" s="192"/>
      <c r="B20" s="193" t="s">
        <v>941</v>
      </c>
      <c r="C20" s="199">
        <v>1</v>
      </c>
      <c r="D20" s="199" t="s">
        <v>461</v>
      </c>
      <c r="E20" s="199">
        <v>4</v>
      </c>
      <c r="F20" s="197">
        <v>4.8099999999999996</v>
      </c>
      <c r="G20" s="197">
        <v>0.38</v>
      </c>
      <c r="H20" s="195">
        <v>0.4</v>
      </c>
      <c r="I20" s="197">
        <f t="shared" si="0"/>
        <v>2.92</v>
      </c>
      <c r="J20" s="191"/>
    </row>
    <row r="21" spans="1:16" ht="24.95" customHeight="1">
      <c r="A21" s="192"/>
      <c r="B21" s="193" t="s">
        <v>941</v>
      </c>
      <c r="C21" s="199">
        <v>1</v>
      </c>
      <c r="D21" s="199" t="s">
        <v>461</v>
      </c>
      <c r="E21" s="199">
        <v>4</v>
      </c>
      <c r="F21" s="197">
        <v>5.63</v>
      </c>
      <c r="G21" s="197">
        <v>0.38</v>
      </c>
      <c r="H21" s="195">
        <v>0.4</v>
      </c>
      <c r="I21" s="197">
        <f t="shared" ref="I21" si="1">PRODUCT(C21:H21)</f>
        <v>3.42</v>
      </c>
      <c r="J21" s="191"/>
    </row>
    <row r="22" spans="1:16" ht="24.95" customHeight="1">
      <c r="A22" s="192"/>
      <c r="B22" s="193" t="s">
        <v>1387</v>
      </c>
      <c r="C22" s="199">
        <v>1</v>
      </c>
      <c r="D22" s="199" t="s">
        <v>461</v>
      </c>
      <c r="E22" s="199">
        <v>9</v>
      </c>
      <c r="F22" s="197">
        <v>1.5</v>
      </c>
      <c r="G22" s="197">
        <v>1.5</v>
      </c>
      <c r="H22" s="195">
        <v>0.9</v>
      </c>
      <c r="I22" s="197">
        <f t="shared" si="0"/>
        <v>18.23</v>
      </c>
      <c r="J22" s="191"/>
    </row>
    <row r="23" spans="1:16" ht="24.95" customHeight="1">
      <c r="A23" s="192"/>
      <c r="B23" s="193" t="s">
        <v>1388</v>
      </c>
      <c r="C23" s="199">
        <v>1</v>
      </c>
      <c r="D23" s="199" t="s">
        <v>461</v>
      </c>
      <c r="E23" s="199">
        <v>4</v>
      </c>
      <c r="F23" s="197">
        <v>1.5</v>
      </c>
      <c r="G23" s="197">
        <v>1.5</v>
      </c>
      <c r="H23" s="195">
        <v>0.9</v>
      </c>
      <c r="I23" s="197">
        <f t="shared" si="0"/>
        <v>8.1</v>
      </c>
      <c r="J23" s="191"/>
    </row>
    <row r="24" spans="1:16" ht="24.95" customHeight="1">
      <c r="A24" s="192"/>
      <c r="B24" s="193" t="s">
        <v>466</v>
      </c>
      <c r="C24" s="199"/>
      <c r="D24" s="199"/>
      <c r="E24" s="199"/>
      <c r="F24" s="197"/>
      <c r="G24" s="197"/>
      <c r="H24" s="195"/>
      <c r="I24" s="197"/>
      <c r="J24" s="191"/>
    </row>
    <row r="25" spans="1:16" ht="24.95" customHeight="1">
      <c r="A25" s="192"/>
      <c r="B25" s="193" t="s">
        <v>467</v>
      </c>
      <c r="C25" s="194">
        <v>-1</v>
      </c>
      <c r="D25" s="194" t="s">
        <v>461</v>
      </c>
      <c r="E25" s="194">
        <v>14</v>
      </c>
      <c r="F25" s="195">
        <v>1.7</v>
      </c>
      <c r="G25" s="197">
        <v>0.38</v>
      </c>
      <c r="H25" s="195">
        <v>0.4</v>
      </c>
      <c r="I25" s="195">
        <f>PRODUCT(C25:H25)</f>
        <v>-3.62</v>
      </c>
      <c r="J25" s="191"/>
    </row>
    <row r="26" spans="1:16" ht="24.95" customHeight="1">
      <c r="A26" s="192"/>
      <c r="B26" s="193" t="s">
        <v>462</v>
      </c>
      <c r="C26" s="194">
        <v>-1</v>
      </c>
      <c r="D26" s="194" t="s">
        <v>461</v>
      </c>
      <c r="E26" s="194">
        <v>4</v>
      </c>
      <c r="F26" s="195">
        <v>2.1</v>
      </c>
      <c r="G26" s="197">
        <v>0.38</v>
      </c>
      <c r="H26" s="195">
        <v>0.4</v>
      </c>
      <c r="I26" s="195">
        <f>PRODUCT(C26:H26)</f>
        <v>-1.28</v>
      </c>
      <c r="J26" s="191"/>
    </row>
    <row r="27" spans="1:16" ht="24.95" customHeight="1">
      <c r="A27" s="192"/>
      <c r="B27" s="193" t="s">
        <v>468</v>
      </c>
      <c r="C27" s="194">
        <v>-1</v>
      </c>
      <c r="D27" s="194" t="s">
        <v>461</v>
      </c>
      <c r="E27" s="194">
        <v>9</v>
      </c>
      <c r="F27" s="195">
        <v>2.2999999999999998</v>
      </c>
      <c r="G27" s="197">
        <v>0.38</v>
      </c>
      <c r="H27" s="195">
        <v>0.4</v>
      </c>
      <c r="I27" s="195">
        <f>PRODUCT(C27:H27)</f>
        <v>-3.15</v>
      </c>
      <c r="J27" s="191"/>
    </row>
    <row r="28" spans="1:16" ht="24.95" customHeight="1">
      <c r="A28" s="192"/>
      <c r="B28" s="193"/>
      <c r="C28" s="199"/>
      <c r="D28" s="199"/>
      <c r="E28" s="199"/>
      <c r="F28" s="197"/>
      <c r="G28" s="197"/>
      <c r="H28" s="195"/>
      <c r="I28" s="197">
        <f>SUM(I8:I27)</f>
        <v>261.64</v>
      </c>
      <c r="J28" s="191"/>
    </row>
    <row r="29" spans="1:16" ht="24.95" customHeight="1">
      <c r="A29" s="192"/>
      <c r="B29" s="193"/>
      <c r="C29" s="194"/>
      <c r="D29" s="194"/>
      <c r="E29" s="194"/>
      <c r="F29" s="195"/>
      <c r="G29" s="195"/>
      <c r="H29" s="200" t="s">
        <v>261</v>
      </c>
      <c r="I29" s="181">
        <f>ROUNDUP(I28,1)</f>
        <v>261.7</v>
      </c>
      <c r="J29" s="201" t="s">
        <v>117</v>
      </c>
    </row>
    <row r="30" spans="1:16" ht="24.95" customHeight="1">
      <c r="A30" s="192"/>
      <c r="B30" s="193"/>
      <c r="C30" s="194"/>
      <c r="D30" s="194"/>
      <c r="E30" s="194"/>
      <c r="F30" s="195"/>
      <c r="G30" s="195"/>
      <c r="H30" s="195"/>
      <c r="I30" s="197"/>
      <c r="J30" s="191"/>
    </row>
    <row r="31" spans="1:16" ht="45.75" customHeight="1">
      <c r="A31" s="187">
        <v>2.1</v>
      </c>
      <c r="B31" s="188" t="s">
        <v>470</v>
      </c>
      <c r="C31" s="189"/>
      <c r="D31" s="189"/>
      <c r="E31" s="189"/>
      <c r="F31" s="190"/>
      <c r="G31" s="190"/>
      <c r="H31" s="190"/>
      <c r="I31" s="190"/>
      <c r="J31" s="191"/>
    </row>
    <row r="32" spans="1:16" ht="24" customHeight="1">
      <c r="A32" s="192"/>
      <c r="B32" s="202" t="s">
        <v>665</v>
      </c>
      <c r="C32" s="189">
        <v>1</v>
      </c>
      <c r="D32" s="189" t="s">
        <v>461</v>
      </c>
      <c r="E32" s="189">
        <v>1</v>
      </c>
      <c r="F32" s="203">
        <v>3.6</v>
      </c>
      <c r="G32" s="203">
        <v>5</v>
      </c>
      <c r="H32" s="203">
        <v>0.15</v>
      </c>
      <c r="I32" s="195">
        <f t="shared" ref="I32:I44" si="2">PRODUCT(C32:H32)</f>
        <v>2.7</v>
      </c>
      <c r="J32" s="191"/>
    </row>
    <row r="33" spans="1:10" ht="24" customHeight="1">
      <c r="A33" s="192"/>
      <c r="B33" s="202" t="s">
        <v>942</v>
      </c>
      <c r="C33" s="189">
        <v>1</v>
      </c>
      <c r="D33" s="189" t="s">
        <v>461</v>
      </c>
      <c r="E33" s="189">
        <v>1</v>
      </c>
      <c r="F33" s="203">
        <v>3.6</v>
      </c>
      <c r="G33" s="203">
        <v>2</v>
      </c>
      <c r="H33" s="203">
        <v>0.15</v>
      </c>
      <c r="I33" s="195">
        <f t="shared" si="2"/>
        <v>1.08</v>
      </c>
      <c r="J33" s="191"/>
    </row>
    <row r="34" spans="1:10" ht="24" customHeight="1">
      <c r="A34" s="192"/>
      <c r="B34" s="202" t="s">
        <v>471</v>
      </c>
      <c r="C34" s="189">
        <v>1</v>
      </c>
      <c r="D34" s="189" t="s">
        <v>461</v>
      </c>
      <c r="E34" s="189">
        <v>1</v>
      </c>
      <c r="F34" s="203">
        <v>3.6</v>
      </c>
      <c r="G34" s="203">
        <v>7.55</v>
      </c>
      <c r="H34" s="203">
        <v>0.15</v>
      </c>
      <c r="I34" s="195">
        <f t="shared" si="2"/>
        <v>4.08</v>
      </c>
      <c r="J34" s="191"/>
    </row>
    <row r="35" spans="1:10" ht="24" customHeight="1">
      <c r="A35" s="192"/>
      <c r="B35" s="202" t="s">
        <v>943</v>
      </c>
      <c r="C35" s="189">
        <v>1</v>
      </c>
      <c r="D35" s="189" t="s">
        <v>461</v>
      </c>
      <c r="E35" s="189">
        <v>1</v>
      </c>
      <c r="F35" s="206">
        <v>3.72</v>
      </c>
      <c r="G35" s="203">
        <v>5.94</v>
      </c>
      <c r="H35" s="203">
        <v>0.15</v>
      </c>
      <c r="I35" s="195">
        <f t="shared" si="2"/>
        <v>3.31</v>
      </c>
      <c r="J35" s="191"/>
    </row>
    <row r="36" spans="1:10" ht="24" customHeight="1">
      <c r="A36" s="192"/>
      <c r="B36" s="202" t="s">
        <v>635</v>
      </c>
      <c r="C36" s="189">
        <v>1</v>
      </c>
      <c r="D36" s="189" t="s">
        <v>461</v>
      </c>
      <c r="E36" s="189">
        <v>1</v>
      </c>
      <c r="F36" s="203">
        <v>1.65</v>
      </c>
      <c r="G36" s="203">
        <v>2.66</v>
      </c>
      <c r="H36" s="203">
        <v>0.15</v>
      </c>
      <c r="I36" s="195">
        <f t="shared" si="2"/>
        <v>0.66</v>
      </c>
      <c r="J36" s="191"/>
    </row>
    <row r="37" spans="1:10" ht="24" customHeight="1">
      <c r="A37" s="192"/>
      <c r="B37" s="202" t="s">
        <v>474</v>
      </c>
      <c r="C37" s="189">
        <v>1</v>
      </c>
      <c r="D37" s="189" t="s">
        <v>461</v>
      </c>
      <c r="E37" s="189">
        <v>1</v>
      </c>
      <c r="F37" s="203">
        <v>1.8</v>
      </c>
      <c r="G37" s="203">
        <v>14.04</v>
      </c>
      <c r="H37" s="203">
        <v>0.15</v>
      </c>
      <c r="I37" s="195">
        <f t="shared" si="2"/>
        <v>3.79</v>
      </c>
      <c r="J37" s="191"/>
    </row>
    <row r="38" spans="1:10" ht="24" customHeight="1">
      <c r="A38" s="192"/>
      <c r="B38" s="202" t="s">
        <v>473</v>
      </c>
      <c r="C38" s="189">
        <v>1</v>
      </c>
      <c r="D38" s="189" t="s">
        <v>461</v>
      </c>
      <c r="E38" s="189">
        <v>1</v>
      </c>
      <c r="F38" s="203">
        <v>3.3</v>
      </c>
      <c r="G38" s="203">
        <v>3.3</v>
      </c>
      <c r="H38" s="203">
        <v>0.15</v>
      </c>
      <c r="I38" s="195">
        <f t="shared" si="2"/>
        <v>1.63</v>
      </c>
      <c r="J38" s="191"/>
    </row>
    <row r="39" spans="1:10" ht="24" customHeight="1">
      <c r="A39" s="192"/>
      <c r="B39" s="202" t="s">
        <v>475</v>
      </c>
      <c r="C39" s="189">
        <v>1</v>
      </c>
      <c r="D39" s="189" t="s">
        <v>461</v>
      </c>
      <c r="E39" s="189">
        <v>1</v>
      </c>
      <c r="F39" s="203">
        <v>4.5</v>
      </c>
      <c r="G39" s="203">
        <v>3.3</v>
      </c>
      <c r="H39" s="203">
        <v>0.15</v>
      </c>
      <c r="I39" s="195">
        <f t="shared" si="2"/>
        <v>2.23</v>
      </c>
      <c r="J39" s="191"/>
    </row>
    <row r="40" spans="1:10" ht="24" customHeight="1">
      <c r="A40" s="192"/>
      <c r="B40" s="202" t="s">
        <v>476</v>
      </c>
      <c r="C40" s="189">
        <v>1</v>
      </c>
      <c r="D40" s="189" t="s">
        <v>461</v>
      </c>
      <c r="E40" s="189">
        <v>1</v>
      </c>
      <c r="F40" s="203">
        <v>6</v>
      </c>
      <c r="G40" s="203">
        <v>6</v>
      </c>
      <c r="H40" s="203">
        <v>0.15</v>
      </c>
      <c r="I40" s="195">
        <f t="shared" si="2"/>
        <v>5.4</v>
      </c>
      <c r="J40" s="191"/>
    </row>
    <row r="41" spans="1:10" ht="24" customHeight="1">
      <c r="A41" s="192"/>
      <c r="B41" s="202" t="s">
        <v>944</v>
      </c>
      <c r="C41" s="189">
        <v>1</v>
      </c>
      <c r="D41" s="189" t="s">
        <v>461</v>
      </c>
      <c r="E41" s="189">
        <v>1</v>
      </c>
      <c r="F41" s="203">
        <v>5.03</v>
      </c>
      <c r="G41" s="203">
        <v>2</v>
      </c>
      <c r="H41" s="203">
        <v>0.15</v>
      </c>
      <c r="I41" s="195">
        <f t="shared" si="2"/>
        <v>1.51</v>
      </c>
      <c r="J41" s="191"/>
    </row>
    <row r="42" spans="1:10" ht="24" customHeight="1">
      <c r="A42" s="192"/>
      <c r="B42" s="202" t="s">
        <v>945</v>
      </c>
      <c r="C42" s="189">
        <v>1</v>
      </c>
      <c r="D42" s="189" t="s">
        <v>461</v>
      </c>
      <c r="E42" s="189">
        <v>1</v>
      </c>
      <c r="F42" s="203">
        <v>1.2</v>
      </c>
      <c r="G42" s="203">
        <v>2</v>
      </c>
      <c r="H42" s="203">
        <v>0.15</v>
      </c>
      <c r="I42" s="195">
        <f t="shared" si="2"/>
        <v>0.36</v>
      </c>
      <c r="J42" s="191"/>
    </row>
    <row r="43" spans="1:10" ht="24" customHeight="1">
      <c r="A43" s="192"/>
      <c r="B43" s="202" t="s">
        <v>472</v>
      </c>
      <c r="C43" s="189">
        <v>1</v>
      </c>
      <c r="D43" s="189" t="s">
        <v>461</v>
      </c>
      <c r="E43" s="189">
        <v>1</v>
      </c>
      <c r="F43" s="203">
        <v>6</v>
      </c>
      <c r="G43" s="203">
        <v>8.0299999999999994</v>
      </c>
      <c r="H43" s="203">
        <v>0.15</v>
      </c>
      <c r="I43" s="195">
        <f t="shared" si="2"/>
        <v>7.23</v>
      </c>
      <c r="J43" s="191"/>
    </row>
    <row r="44" spans="1:10" ht="24" customHeight="1">
      <c r="A44" s="192"/>
      <c r="B44" s="202" t="s">
        <v>534</v>
      </c>
      <c r="C44" s="189">
        <v>1</v>
      </c>
      <c r="D44" s="189" t="s">
        <v>461</v>
      </c>
      <c r="E44" s="189">
        <v>1</v>
      </c>
      <c r="F44" s="203">
        <v>10.97</v>
      </c>
      <c r="G44" s="203">
        <f>17-0.46</f>
        <v>16.54</v>
      </c>
      <c r="H44" s="203">
        <v>0.15</v>
      </c>
      <c r="I44" s="195">
        <f t="shared" si="2"/>
        <v>27.22</v>
      </c>
      <c r="J44" s="191"/>
    </row>
    <row r="45" spans="1:10" ht="29.25" customHeight="1">
      <c r="A45" s="192"/>
      <c r="B45" s="202"/>
      <c r="C45" s="189"/>
      <c r="D45" s="189"/>
      <c r="E45" s="189"/>
      <c r="F45" s="203"/>
      <c r="G45" s="203"/>
      <c r="H45" s="203"/>
      <c r="I45" s="195">
        <f>SUM(I32:I44)</f>
        <v>61.2</v>
      </c>
      <c r="J45" s="191"/>
    </row>
    <row r="46" spans="1:10" ht="24.95" customHeight="1">
      <c r="A46" s="192"/>
      <c r="B46" s="188"/>
      <c r="C46" s="189"/>
      <c r="D46" s="189"/>
      <c r="E46" s="189"/>
      <c r="F46" s="203"/>
      <c r="G46" s="203"/>
      <c r="H46" s="204" t="s">
        <v>261</v>
      </c>
      <c r="I46" s="181">
        <f>ROUNDUP(I45,1)</f>
        <v>61.2</v>
      </c>
      <c r="J46" s="201" t="s">
        <v>117</v>
      </c>
    </row>
    <row r="47" spans="1:10" ht="38.25" customHeight="1">
      <c r="A47" s="205" t="s">
        <v>477</v>
      </c>
      <c r="B47" s="188" t="s">
        <v>478</v>
      </c>
      <c r="C47" s="189"/>
      <c r="D47" s="189"/>
      <c r="E47" s="189"/>
      <c r="F47" s="190"/>
      <c r="G47" s="190"/>
      <c r="H47" s="190"/>
      <c r="I47" s="190"/>
      <c r="J47" s="191"/>
    </row>
    <row r="48" spans="1:10" ht="24.95" customHeight="1">
      <c r="A48" s="192"/>
      <c r="B48" s="202" t="s">
        <v>665</v>
      </c>
      <c r="C48" s="189">
        <v>1</v>
      </c>
      <c r="D48" s="189" t="s">
        <v>461</v>
      </c>
      <c r="E48" s="189">
        <v>1</v>
      </c>
      <c r="F48" s="203">
        <v>3.6</v>
      </c>
      <c r="G48" s="203">
        <v>5</v>
      </c>
      <c r="H48" s="521">
        <v>1.3</v>
      </c>
      <c r="I48" s="195">
        <f t="shared" ref="I48:I61" si="3">PRODUCT(C48:H48)</f>
        <v>23.4</v>
      </c>
      <c r="J48" s="191"/>
    </row>
    <row r="49" spans="1:12" ht="24.95" customHeight="1">
      <c r="A49" s="192"/>
      <c r="B49" s="202" t="s">
        <v>942</v>
      </c>
      <c r="C49" s="189">
        <v>1</v>
      </c>
      <c r="D49" s="189" t="s">
        <v>461</v>
      </c>
      <c r="E49" s="189">
        <v>1</v>
      </c>
      <c r="F49" s="203">
        <v>3.6</v>
      </c>
      <c r="G49" s="203">
        <v>2</v>
      </c>
      <c r="H49" s="521">
        <v>1.3</v>
      </c>
      <c r="I49" s="195">
        <f t="shared" si="3"/>
        <v>9.36</v>
      </c>
      <c r="J49" s="191"/>
    </row>
    <row r="50" spans="1:12" ht="24.95" customHeight="1">
      <c r="A50" s="192"/>
      <c r="B50" s="202" t="s">
        <v>471</v>
      </c>
      <c r="C50" s="189">
        <v>1</v>
      </c>
      <c r="D50" s="189" t="s">
        <v>461</v>
      </c>
      <c r="E50" s="189">
        <v>1</v>
      </c>
      <c r="F50" s="203">
        <v>3.6</v>
      </c>
      <c r="G50" s="203">
        <v>7.55</v>
      </c>
      <c r="H50" s="521">
        <v>1.3</v>
      </c>
      <c r="I50" s="195">
        <f t="shared" si="3"/>
        <v>35.33</v>
      </c>
      <c r="J50" s="191"/>
    </row>
    <row r="51" spans="1:12" ht="24.95" customHeight="1">
      <c r="A51" s="192"/>
      <c r="B51" s="202" t="s">
        <v>943</v>
      </c>
      <c r="C51" s="189">
        <v>1</v>
      </c>
      <c r="D51" s="189" t="s">
        <v>461</v>
      </c>
      <c r="E51" s="189">
        <v>1</v>
      </c>
      <c r="F51" s="206">
        <v>3.72</v>
      </c>
      <c r="G51" s="203">
        <v>5.94</v>
      </c>
      <c r="H51" s="521">
        <v>1.3</v>
      </c>
      <c r="I51" s="195">
        <f t="shared" si="3"/>
        <v>28.73</v>
      </c>
      <c r="J51" s="191"/>
      <c r="L51" s="185">
        <f>1.45-0.15-0.075</f>
        <v>1.23</v>
      </c>
    </row>
    <row r="52" spans="1:12" ht="24.95" customHeight="1">
      <c r="A52" s="192"/>
      <c r="B52" s="202" t="s">
        <v>635</v>
      </c>
      <c r="C52" s="189">
        <v>1</v>
      </c>
      <c r="D52" s="189" t="s">
        <v>461</v>
      </c>
      <c r="E52" s="189">
        <v>1</v>
      </c>
      <c r="F52" s="203">
        <v>1.65</v>
      </c>
      <c r="G52" s="203">
        <v>2.66</v>
      </c>
      <c r="H52" s="521">
        <v>1.3</v>
      </c>
      <c r="I52" s="195">
        <f t="shared" si="3"/>
        <v>5.71</v>
      </c>
      <c r="J52" s="191"/>
    </row>
    <row r="53" spans="1:12" ht="24.95" customHeight="1">
      <c r="A53" s="192"/>
      <c r="B53" s="202" t="s">
        <v>474</v>
      </c>
      <c r="C53" s="189">
        <v>1</v>
      </c>
      <c r="D53" s="189" t="s">
        <v>461</v>
      </c>
      <c r="E53" s="189">
        <v>1</v>
      </c>
      <c r="F53" s="203">
        <v>1.8</v>
      </c>
      <c r="G53" s="203">
        <v>14.04</v>
      </c>
      <c r="H53" s="521">
        <v>1.3</v>
      </c>
      <c r="I53" s="195">
        <f t="shared" si="3"/>
        <v>32.85</v>
      </c>
      <c r="J53" s="191"/>
    </row>
    <row r="54" spans="1:12" ht="24.95" customHeight="1">
      <c r="A54" s="192"/>
      <c r="B54" s="202" t="s">
        <v>473</v>
      </c>
      <c r="C54" s="189">
        <v>1</v>
      </c>
      <c r="D54" s="189" t="s">
        <v>461</v>
      </c>
      <c r="E54" s="189">
        <v>1</v>
      </c>
      <c r="F54" s="203">
        <v>3.3</v>
      </c>
      <c r="G54" s="203">
        <v>3.3</v>
      </c>
      <c r="H54" s="521">
        <v>1.3</v>
      </c>
      <c r="I54" s="195">
        <f t="shared" si="3"/>
        <v>14.16</v>
      </c>
      <c r="J54" s="191"/>
    </row>
    <row r="55" spans="1:12" ht="24.95" customHeight="1">
      <c r="A55" s="192"/>
      <c r="B55" s="202" t="s">
        <v>475</v>
      </c>
      <c r="C55" s="189">
        <v>1</v>
      </c>
      <c r="D55" s="189" t="s">
        <v>461</v>
      </c>
      <c r="E55" s="189">
        <v>1</v>
      </c>
      <c r="F55" s="203">
        <v>4.5</v>
      </c>
      <c r="G55" s="203">
        <v>3.3</v>
      </c>
      <c r="H55" s="521">
        <v>1.3</v>
      </c>
      <c r="I55" s="195">
        <f t="shared" si="3"/>
        <v>19.309999999999999</v>
      </c>
      <c r="J55" s="191"/>
    </row>
    <row r="56" spans="1:12" ht="24.95" customHeight="1">
      <c r="A56" s="192"/>
      <c r="B56" s="202" t="s">
        <v>476</v>
      </c>
      <c r="C56" s="189">
        <v>1</v>
      </c>
      <c r="D56" s="189" t="s">
        <v>461</v>
      </c>
      <c r="E56" s="189">
        <v>1</v>
      </c>
      <c r="F56" s="203">
        <v>6</v>
      </c>
      <c r="G56" s="203">
        <v>6</v>
      </c>
      <c r="H56" s="521">
        <v>1.3</v>
      </c>
      <c r="I56" s="195">
        <f t="shared" si="3"/>
        <v>46.8</v>
      </c>
      <c r="J56" s="191"/>
    </row>
    <row r="57" spans="1:12" ht="24.95" customHeight="1">
      <c r="A57" s="192"/>
      <c r="B57" s="202" t="s">
        <v>944</v>
      </c>
      <c r="C57" s="189">
        <v>1</v>
      </c>
      <c r="D57" s="189" t="s">
        <v>461</v>
      </c>
      <c r="E57" s="189">
        <v>1</v>
      </c>
      <c r="F57" s="203">
        <v>5.03</v>
      </c>
      <c r="G57" s="203">
        <v>2</v>
      </c>
      <c r="H57" s="521">
        <v>1.3</v>
      </c>
      <c r="I57" s="195">
        <f t="shared" si="3"/>
        <v>13.08</v>
      </c>
      <c r="J57" s="191"/>
    </row>
    <row r="58" spans="1:12" ht="24.95" customHeight="1">
      <c r="A58" s="192"/>
      <c r="B58" s="202" t="s">
        <v>945</v>
      </c>
      <c r="C58" s="189">
        <v>1</v>
      </c>
      <c r="D58" s="189" t="s">
        <v>461</v>
      </c>
      <c r="E58" s="189">
        <v>1</v>
      </c>
      <c r="F58" s="203">
        <v>1.2</v>
      </c>
      <c r="G58" s="203">
        <v>2</v>
      </c>
      <c r="H58" s="521">
        <v>1.3</v>
      </c>
      <c r="I58" s="195">
        <f t="shared" si="3"/>
        <v>3.12</v>
      </c>
      <c r="J58" s="191"/>
    </row>
    <row r="59" spans="1:12" ht="24.95" customHeight="1">
      <c r="A59" s="192"/>
      <c r="B59" s="202" t="s">
        <v>472</v>
      </c>
      <c r="C59" s="189">
        <v>1</v>
      </c>
      <c r="D59" s="189" t="s">
        <v>461</v>
      </c>
      <c r="E59" s="189">
        <v>1</v>
      </c>
      <c r="F59" s="203">
        <v>6</v>
      </c>
      <c r="G59" s="203">
        <v>8.0299999999999994</v>
      </c>
      <c r="H59" s="521">
        <v>1.3</v>
      </c>
      <c r="I59" s="195">
        <f t="shared" si="3"/>
        <v>62.63</v>
      </c>
      <c r="J59" s="191"/>
    </row>
    <row r="60" spans="1:12" ht="24.95" customHeight="1">
      <c r="A60" s="192"/>
      <c r="B60" s="202" t="s">
        <v>534</v>
      </c>
      <c r="C60" s="189">
        <v>1</v>
      </c>
      <c r="D60" s="189" t="s">
        <v>461</v>
      </c>
      <c r="E60" s="189">
        <v>1</v>
      </c>
      <c r="F60" s="203">
        <v>10.97</v>
      </c>
      <c r="G60" s="203">
        <f>17-0.46</f>
        <v>16.54</v>
      </c>
      <c r="H60" s="203">
        <v>0.95</v>
      </c>
      <c r="I60" s="195">
        <f t="shared" si="3"/>
        <v>172.37</v>
      </c>
      <c r="J60" s="191"/>
    </row>
    <row r="61" spans="1:12" ht="24.95" customHeight="1">
      <c r="A61" s="192"/>
      <c r="B61" s="202" t="s">
        <v>479</v>
      </c>
      <c r="C61" s="189">
        <v>1</v>
      </c>
      <c r="D61" s="189" t="s">
        <v>461</v>
      </c>
      <c r="E61" s="189">
        <v>-1</v>
      </c>
      <c r="F61" s="203">
        <v>4.96</v>
      </c>
      <c r="G61" s="203">
        <v>1.66</v>
      </c>
      <c r="H61" s="203">
        <v>0.95</v>
      </c>
      <c r="I61" s="195">
        <f t="shared" si="3"/>
        <v>-7.82</v>
      </c>
      <c r="J61" s="191"/>
    </row>
    <row r="62" spans="1:12" ht="24.95" customHeight="1">
      <c r="A62" s="192"/>
      <c r="B62" s="202" t="s">
        <v>1389</v>
      </c>
      <c r="C62" s="189"/>
      <c r="D62" s="189"/>
      <c r="E62" s="189"/>
      <c r="F62" s="203"/>
      <c r="G62" s="203"/>
      <c r="H62" s="203"/>
      <c r="I62" s="195">
        <f>-I91</f>
        <v>-21.17</v>
      </c>
      <c r="J62" s="191"/>
    </row>
    <row r="63" spans="1:12" ht="24.95" customHeight="1">
      <c r="A63" s="192"/>
      <c r="B63" s="202" t="s">
        <v>1390</v>
      </c>
      <c r="C63" s="189"/>
      <c r="D63" s="189"/>
      <c r="E63" s="189"/>
      <c r="F63" s="203"/>
      <c r="G63" s="203"/>
      <c r="H63" s="203"/>
      <c r="I63" s="195">
        <v>-56.68</v>
      </c>
      <c r="J63" s="191"/>
    </row>
    <row r="64" spans="1:12" ht="24.95" customHeight="1">
      <c r="A64" s="192"/>
      <c r="B64" s="202"/>
      <c r="C64" s="189"/>
      <c r="D64" s="189"/>
      <c r="E64" s="189"/>
      <c r="F64" s="203"/>
      <c r="G64" s="203"/>
      <c r="H64" s="206"/>
      <c r="I64" s="195">
        <f>+SUM(I48:I63)</f>
        <v>381.18</v>
      </c>
      <c r="J64" s="191"/>
    </row>
    <row r="65" spans="1:13" ht="24.95" customHeight="1">
      <c r="A65" s="192"/>
      <c r="B65" s="202"/>
      <c r="C65" s="189"/>
      <c r="D65" s="189"/>
      <c r="E65" s="189"/>
      <c r="F65" s="203"/>
      <c r="G65" s="203"/>
      <c r="H65" s="207" t="s">
        <v>480</v>
      </c>
      <c r="I65" s="181">
        <f>ROUNDUP(I64,1)</f>
        <v>381.2</v>
      </c>
      <c r="J65" s="191" t="s">
        <v>117</v>
      </c>
    </row>
    <row r="66" spans="1:13" ht="24.95" customHeight="1">
      <c r="A66" s="205">
        <v>3.1</v>
      </c>
      <c r="B66" s="188" t="s">
        <v>481</v>
      </c>
      <c r="C66" s="189"/>
      <c r="D66" s="189"/>
      <c r="E66" s="189"/>
      <c r="F66" s="190"/>
      <c r="G66" s="190"/>
      <c r="H66" s="190"/>
      <c r="I66" s="190"/>
      <c r="J66" s="191"/>
    </row>
    <row r="67" spans="1:13" ht="24.95" customHeight="1">
      <c r="A67" s="192"/>
      <c r="B67" s="188" t="s">
        <v>459</v>
      </c>
      <c r="C67" s="189"/>
      <c r="D67" s="189"/>
      <c r="E67" s="189"/>
      <c r="F67" s="190"/>
      <c r="G67" s="190"/>
      <c r="H67" s="190"/>
      <c r="I67" s="190"/>
      <c r="J67" s="191"/>
    </row>
    <row r="68" spans="1:13" ht="24.95" customHeight="1">
      <c r="A68" s="192"/>
      <c r="B68" s="193" t="s">
        <v>460</v>
      </c>
      <c r="C68" s="194">
        <v>1</v>
      </c>
      <c r="D68" s="194" t="s">
        <v>461</v>
      </c>
      <c r="E68" s="194">
        <v>14</v>
      </c>
      <c r="F68" s="195">
        <v>1.7</v>
      </c>
      <c r="G68" s="195">
        <v>1.7</v>
      </c>
      <c r="H68" s="195">
        <v>0.1</v>
      </c>
      <c r="I68" s="195">
        <f>PRODUCT(E68:H68)</f>
        <v>4.05</v>
      </c>
      <c r="J68" s="198"/>
      <c r="L68" s="185" t="e">
        <f>C68*D68*E68*F68*G68*H68*I68</f>
        <v>#VALUE!</v>
      </c>
      <c r="M68" s="185">
        <f>(C68*E68*F68*G68*H68)</f>
        <v>4.05</v>
      </c>
    </row>
    <row r="69" spans="1:13" ht="24.95" customHeight="1">
      <c r="A69" s="192"/>
      <c r="B69" s="193" t="s">
        <v>462</v>
      </c>
      <c r="C69" s="194">
        <v>1</v>
      </c>
      <c r="D69" s="194" t="s">
        <v>461</v>
      </c>
      <c r="E69" s="194">
        <v>4</v>
      </c>
      <c r="F69" s="195">
        <v>2.1</v>
      </c>
      <c r="G69" s="195">
        <v>2.1</v>
      </c>
      <c r="H69" s="195">
        <v>0.1</v>
      </c>
      <c r="I69" s="195">
        <f>PRODUCT(E69:H69)</f>
        <v>1.76</v>
      </c>
      <c r="J69" s="198"/>
    </row>
    <row r="70" spans="1:13" ht="24.95" customHeight="1">
      <c r="A70" s="192"/>
      <c r="B70" s="193" t="s">
        <v>463</v>
      </c>
      <c r="C70" s="194">
        <v>1</v>
      </c>
      <c r="D70" s="194" t="s">
        <v>461</v>
      </c>
      <c r="E70" s="194">
        <v>9</v>
      </c>
      <c r="F70" s="195">
        <v>2.2999999999999998</v>
      </c>
      <c r="G70" s="195">
        <v>2.2999999999999998</v>
      </c>
      <c r="H70" s="195">
        <v>0.1</v>
      </c>
      <c r="I70" s="195">
        <f>PRODUCT(E70:H70)</f>
        <v>4.76</v>
      </c>
      <c r="J70" s="198"/>
    </row>
    <row r="71" spans="1:13" ht="24.95" customHeight="1">
      <c r="A71" s="192"/>
      <c r="B71" s="196" t="s">
        <v>482</v>
      </c>
      <c r="C71" s="194"/>
      <c r="D71" s="194"/>
      <c r="E71" s="194"/>
      <c r="F71" s="195"/>
      <c r="G71" s="195"/>
      <c r="H71" s="195"/>
      <c r="I71" s="195"/>
      <c r="J71" s="198"/>
    </row>
    <row r="72" spans="1:13" ht="24.95" customHeight="1">
      <c r="A72" s="192"/>
      <c r="B72" s="193" t="s">
        <v>934</v>
      </c>
      <c r="C72" s="194">
        <v>1</v>
      </c>
      <c r="D72" s="194" t="s">
        <v>461</v>
      </c>
      <c r="E72" s="194">
        <v>1</v>
      </c>
      <c r="F72" s="195">
        <v>64.88</v>
      </c>
      <c r="G72" s="195">
        <v>0.38</v>
      </c>
      <c r="H72" s="195">
        <v>0.1</v>
      </c>
      <c r="I72" s="195">
        <f t="shared" ref="I72:I80" si="4">PRODUCT(E72:H72)</f>
        <v>2.4700000000000002</v>
      </c>
      <c r="J72" s="198"/>
      <c r="L72" s="185">
        <f>SUM(I71:I72)</f>
        <v>2.4700000000000002</v>
      </c>
    </row>
    <row r="73" spans="1:13" ht="24.95" customHeight="1">
      <c r="A73" s="192"/>
      <c r="B73" s="193" t="s">
        <v>935</v>
      </c>
      <c r="C73" s="194">
        <v>1</v>
      </c>
      <c r="D73" s="194" t="s">
        <v>461</v>
      </c>
      <c r="E73" s="194">
        <v>1</v>
      </c>
      <c r="F73" s="195">
        <v>19.97</v>
      </c>
      <c r="G73" s="195">
        <v>0.38</v>
      </c>
      <c r="H73" s="195">
        <v>0.1</v>
      </c>
      <c r="I73" s="195">
        <f t="shared" si="4"/>
        <v>0.76</v>
      </c>
      <c r="J73" s="198"/>
    </row>
    <row r="74" spans="1:13" ht="25.5" customHeight="1">
      <c r="A74" s="192"/>
      <c r="B74" s="193"/>
      <c r="C74" s="194">
        <v>1</v>
      </c>
      <c r="D74" s="194" t="s">
        <v>461</v>
      </c>
      <c r="E74" s="194">
        <v>1</v>
      </c>
      <c r="F74" s="195">
        <v>16.440000000000001</v>
      </c>
      <c r="G74" s="195">
        <v>0.38</v>
      </c>
      <c r="H74" s="195">
        <v>0.1</v>
      </c>
      <c r="I74" s="195">
        <f t="shared" si="4"/>
        <v>0.62</v>
      </c>
      <c r="J74" s="198"/>
    </row>
    <row r="75" spans="1:13" ht="24.95" customHeight="1">
      <c r="A75" s="192"/>
      <c r="B75" s="193" t="s">
        <v>936</v>
      </c>
      <c r="C75" s="194">
        <v>1</v>
      </c>
      <c r="D75" s="194" t="s">
        <v>461</v>
      </c>
      <c r="E75" s="194">
        <v>1</v>
      </c>
      <c r="F75" s="195">
        <v>3.15</v>
      </c>
      <c r="G75" s="195">
        <v>0.38</v>
      </c>
      <c r="H75" s="195">
        <v>0.1</v>
      </c>
      <c r="I75" s="195">
        <f t="shared" si="4"/>
        <v>0.12</v>
      </c>
      <c r="J75" s="198"/>
    </row>
    <row r="76" spans="1:13" ht="24.95" customHeight="1">
      <c r="A76" s="192"/>
      <c r="B76" s="193" t="s">
        <v>937</v>
      </c>
      <c r="C76" s="194">
        <v>1</v>
      </c>
      <c r="D76" s="194" t="s">
        <v>461</v>
      </c>
      <c r="E76" s="194">
        <v>3</v>
      </c>
      <c r="F76" s="195">
        <v>3.45</v>
      </c>
      <c r="G76" s="195">
        <v>0.38</v>
      </c>
      <c r="H76" s="195">
        <v>0.1</v>
      </c>
      <c r="I76" s="195">
        <f t="shared" si="4"/>
        <v>0.39</v>
      </c>
      <c r="J76" s="198"/>
    </row>
    <row r="77" spans="1:13" ht="24.95" customHeight="1">
      <c r="A77" s="192"/>
      <c r="B77" s="193" t="s">
        <v>938</v>
      </c>
      <c r="C77" s="194">
        <v>1</v>
      </c>
      <c r="D77" s="194" t="s">
        <v>461</v>
      </c>
      <c r="E77" s="194">
        <v>2</v>
      </c>
      <c r="F77" s="195">
        <v>5.85</v>
      </c>
      <c r="G77" s="195">
        <v>0.38</v>
      </c>
      <c r="H77" s="195">
        <v>0.1</v>
      </c>
      <c r="I77" s="195">
        <f t="shared" si="4"/>
        <v>0.44</v>
      </c>
      <c r="J77" s="198"/>
    </row>
    <row r="78" spans="1:13" ht="24.95" customHeight="1">
      <c r="A78" s="192"/>
      <c r="B78" s="193" t="s">
        <v>939</v>
      </c>
      <c r="C78" s="194">
        <v>1</v>
      </c>
      <c r="D78" s="194" t="s">
        <v>461</v>
      </c>
      <c r="E78" s="194">
        <v>1</v>
      </c>
      <c r="F78" s="195">
        <v>7.88</v>
      </c>
      <c r="G78" s="195">
        <v>0.38</v>
      </c>
      <c r="H78" s="195">
        <v>0.1</v>
      </c>
      <c r="I78" s="195">
        <f t="shared" si="4"/>
        <v>0.3</v>
      </c>
      <c r="J78" s="198"/>
    </row>
    <row r="79" spans="1:13" ht="24.95" customHeight="1">
      <c r="A79" s="192"/>
      <c r="B79" s="193" t="s">
        <v>940</v>
      </c>
      <c r="C79" s="199">
        <v>1</v>
      </c>
      <c r="D79" s="199" t="s">
        <v>461</v>
      </c>
      <c r="E79" s="199">
        <v>2</v>
      </c>
      <c r="F79" s="197">
        <v>17</v>
      </c>
      <c r="G79" s="197">
        <v>0.38</v>
      </c>
      <c r="H79" s="195">
        <v>0.1</v>
      </c>
      <c r="I79" s="195">
        <f t="shared" si="4"/>
        <v>1.29</v>
      </c>
      <c r="J79" s="198"/>
    </row>
    <row r="80" spans="1:13" ht="24.95" customHeight="1">
      <c r="A80" s="192"/>
      <c r="B80" s="193" t="s">
        <v>941</v>
      </c>
      <c r="C80" s="199">
        <v>1</v>
      </c>
      <c r="D80" s="199" t="s">
        <v>461</v>
      </c>
      <c r="E80" s="199">
        <v>4</v>
      </c>
      <c r="F80" s="197">
        <v>4.8099999999999996</v>
      </c>
      <c r="G80" s="197">
        <v>0.38</v>
      </c>
      <c r="H80" s="195">
        <v>0.1</v>
      </c>
      <c r="I80" s="195">
        <f t="shared" si="4"/>
        <v>0.73</v>
      </c>
      <c r="J80" s="198"/>
    </row>
    <row r="81" spans="1:10" ht="24.95" customHeight="1">
      <c r="A81" s="192"/>
      <c r="B81" s="193" t="s">
        <v>941</v>
      </c>
      <c r="C81" s="199">
        <v>1</v>
      </c>
      <c r="D81" s="199" t="s">
        <v>461</v>
      </c>
      <c r="E81" s="199">
        <v>4</v>
      </c>
      <c r="F81" s="197">
        <v>5.63</v>
      </c>
      <c r="G81" s="197">
        <v>0.38</v>
      </c>
      <c r="H81" s="195">
        <v>0.1</v>
      </c>
      <c r="I81" s="195">
        <f t="shared" ref="I81:I83" si="5">PRODUCT(E81:H81)</f>
        <v>0.86</v>
      </c>
      <c r="J81" s="198"/>
    </row>
    <row r="82" spans="1:10" ht="24.95" customHeight="1">
      <c r="A82" s="192"/>
      <c r="B82" s="193" t="s">
        <v>1387</v>
      </c>
      <c r="C82" s="199">
        <v>1</v>
      </c>
      <c r="D82" s="199" t="s">
        <v>461</v>
      </c>
      <c r="E82" s="199">
        <v>9</v>
      </c>
      <c r="F82" s="197">
        <v>1.5</v>
      </c>
      <c r="G82" s="197">
        <v>1.5</v>
      </c>
      <c r="H82" s="195">
        <v>0.1</v>
      </c>
      <c r="I82" s="195">
        <f t="shared" si="5"/>
        <v>2.0299999999999998</v>
      </c>
      <c r="J82" s="198"/>
    </row>
    <row r="83" spans="1:10" ht="24.95" customHeight="1">
      <c r="A83" s="192"/>
      <c r="B83" s="193" t="s">
        <v>1388</v>
      </c>
      <c r="C83" s="199">
        <v>1</v>
      </c>
      <c r="D83" s="199" t="s">
        <v>461</v>
      </c>
      <c r="E83" s="199">
        <v>4</v>
      </c>
      <c r="F83" s="197">
        <v>1.5</v>
      </c>
      <c r="G83" s="197">
        <v>1.5</v>
      </c>
      <c r="H83" s="195">
        <v>0.1</v>
      </c>
      <c r="I83" s="195">
        <f t="shared" si="5"/>
        <v>0.9</v>
      </c>
      <c r="J83" s="198"/>
    </row>
    <row r="84" spans="1:10" ht="24.95" customHeight="1">
      <c r="A84" s="192"/>
      <c r="B84" s="196" t="s">
        <v>483</v>
      </c>
      <c r="C84" s="194"/>
      <c r="D84" s="194"/>
      <c r="E84" s="194"/>
      <c r="F84" s="195"/>
      <c r="G84" s="195"/>
      <c r="H84" s="200"/>
      <c r="I84" s="195"/>
      <c r="J84" s="208"/>
    </row>
    <row r="85" spans="1:10" ht="24.95" customHeight="1">
      <c r="A85" s="192"/>
      <c r="B85" s="193" t="s">
        <v>491</v>
      </c>
      <c r="C85" s="194">
        <v>-1</v>
      </c>
      <c r="D85" s="194" t="s">
        <v>461</v>
      </c>
      <c r="E85" s="194">
        <v>5</v>
      </c>
      <c r="F85" s="195">
        <v>0.23</v>
      </c>
      <c r="G85" s="195">
        <v>0.38</v>
      </c>
      <c r="H85" s="195">
        <v>0.1</v>
      </c>
      <c r="I85" s="195">
        <f t="shared" ref="I85:I90" si="6">PRODUCT(C85:H85)</f>
        <v>-0.04</v>
      </c>
      <c r="J85" s="198"/>
    </row>
    <row r="86" spans="1:10" ht="24.95" customHeight="1">
      <c r="A86" s="192"/>
      <c r="B86" s="193" t="s">
        <v>487</v>
      </c>
      <c r="C86" s="194">
        <v>-1</v>
      </c>
      <c r="D86" s="194" t="s">
        <v>461</v>
      </c>
      <c r="E86" s="194">
        <v>4</v>
      </c>
      <c r="F86" s="195">
        <v>0.23</v>
      </c>
      <c r="G86" s="195">
        <v>0.45</v>
      </c>
      <c r="H86" s="195">
        <v>0.1</v>
      </c>
      <c r="I86" s="195">
        <f t="shared" si="6"/>
        <v>-0.04</v>
      </c>
      <c r="J86" s="198"/>
    </row>
    <row r="87" spans="1:10" ht="24.95" customHeight="1">
      <c r="A87" s="192"/>
      <c r="B87" s="193" t="s">
        <v>492</v>
      </c>
      <c r="C87" s="194">
        <v>-1</v>
      </c>
      <c r="D87" s="194" t="s">
        <v>461</v>
      </c>
      <c r="E87" s="194">
        <v>3</v>
      </c>
      <c r="F87" s="195">
        <v>0.23</v>
      </c>
      <c r="G87" s="195">
        <v>0.6</v>
      </c>
      <c r="H87" s="195">
        <v>0.1</v>
      </c>
      <c r="I87" s="195">
        <f t="shared" si="6"/>
        <v>-0.04</v>
      </c>
      <c r="J87" s="198"/>
    </row>
    <row r="88" spans="1:10" ht="24.95" customHeight="1">
      <c r="A88" s="192"/>
      <c r="B88" s="193" t="s">
        <v>489</v>
      </c>
      <c r="C88" s="194">
        <v>-1</v>
      </c>
      <c r="D88" s="194" t="s">
        <v>461</v>
      </c>
      <c r="E88" s="194">
        <v>2</v>
      </c>
      <c r="F88" s="195">
        <v>0.3</v>
      </c>
      <c r="G88" s="195">
        <v>0.38</v>
      </c>
      <c r="H88" s="195">
        <v>0.1</v>
      </c>
      <c r="I88" s="195">
        <f t="shared" si="6"/>
        <v>-0.02</v>
      </c>
      <c r="J88" s="198"/>
    </row>
    <row r="89" spans="1:10" ht="24.95" customHeight="1">
      <c r="A89" s="192"/>
      <c r="B89" s="193" t="s">
        <v>493</v>
      </c>
      <c r="C89" s="194">
        <v>-1</v>
      </c>
      <c r="D89" s="194" t="s">
        <v>461</v>
      </c>
      <c r="E89" s="194">
        <v>4</v>
      </c>
      <c r="F89" s="195">
        <v>0.3</v>
      </c>
      <c r="G89" s="195">
        <v>0.6</v>
      </c>
      <c r="H89" s="195">
        <v>0.1</v>
      </c>
      <c r="I89" s="195">
        <f t="shared" si="6"/>
        <v>-7.0000000000000007E-2</v>
      </c>
      <c r="J89" s="198"/>
    </row>
    <row r="90" spans="1:10" ht="24.95" customHeight="1">
      <c r="A90" s="192"/>
      <c r="B90" s="193" t="s">
        <v>494</v>
      </c>
      <c r="C90" s="194">
        <v>-1</v>
      </c>
      <c r="D90" s="194" t="s">
        <v>461</v>
      </c>
      <c r="E90" s="194">
        <v>9</v>
      </c>
      <c r="F90" s="195">
        <v>0.3</v>
      </c>
      <c r="G90" s="195">
        <v>0.38</v>
      </c>
      <c r="H90" s="195">
        <v>0.1</v>
      </c>
      <c r="I90" s="195">
        <f t="shared" si="6"/>
        <v>-0.1</v>
      </c>
      <c r="J90" s="198"/>
    </row>
    <row r="91" spans="1:10" ht="24.95" customHeight="1">
      <c r="A91" s="192"/>
      <c r="B91" s="196"/>
      <c r="C91" s="194"/>
      <c r="D91" s="194"/>
      <c r="E91" s="194"/>
      <c r="F91" s="195"/>
      <c r="G91" s="195"/>
      <c r="H91" s="195"/>
      <c r="I91" s="195">
        <f>SUM(I68:I90)</f>
        <v>21.17</v>
      </c>
      <c r="J91" s="208"/>
    </row>
    <row r="92" spans="1:10" ht="24.95" customHeight="1">
      <c r="A92" s="192"/>
      <c r="B92" s="196"/>
      <c r="C92" s="194"/>
      <c r="D92" s="194"/>
      <c r="E92" s="194"/>
      <c r="F92" s="195"/>
      <c r="G92" s="195"/>
      <c r="H92" s="207" t="s">
        <v>480</v>
      </c>
      <c r="I92" s="181">
        <f>ROUNDUP(I91,1)</f>
        <v>21.2</v>
      </c>
      <c r="J92" s="191" t="s">
        <v>117</v>
      </c>
    </row>
    <row r="93" spans="1:10" s="212" customFormat="1" ht="24.95" customHeight="1">
      <c r="A93" s="187"/>
      <c r="B93" s="209"/>
      <c r="C93" s="199"/>
      <c r="D93" s="199"/>
      <c r="E93" s="199"/>
      <c r="F93" s="197"/>
      <c r="G93" s="197"/>
      <c r="H93" s="210"/>
      <c r="I93" s="210"/>
      <c r="J93" s="211"/>
    </row>
    <row r="94" spans="1:10" ht="45" customHeight="1">
      <c r="A94" s="213">
        <v>4.0999999999999996</v>
      </c>
      <c r="B94" s="188" t="s">
        <v>484</v>
      </c>
      <c r="C94" s="189"/>
      <c r="D94" s="189"/>
      <c r="E94" s="189"/>
      <c r="F94" s="190"/>
      <c r="G94" s="190"/>
      <c r="H94" s="190"/>
      <c r="I94" s="190"/>
      <c r="J94" s="191"/>
    </row>
    <row r="95" spans="1:10" ht="30" customHeight="1">
      <c r="A95" s="192"/>
      <c r="B95" s="188" t="s">
        <v>485</v>
      </c>
      <c r="C95" s="189"/>
      <c r="D95" s="189"/>
      <c r="E95" s="189"/>
      <c r="F95" s="190"/>
      <c r="G95" s="190"/>
      <c r="H95" s="190"/>
      <c r="I95" s="190"/>
      <c r="J95" s="191"/>
    </row>
    <row r="96" spans="1:10" ht="24.95" customHeight="1">
      <c r="A96" s="192"/>
      <c r="B96" s="188" t="s">
        <v>459</v>
      </c>
      <c r="C96" s="189"/>
      <c r="D96" s="189"/>
      <c r="E96" s="189"/>
      <c r="F96" s="190"/>
      <c r="G96" s="190"/>
      <c r="H96" s="190"/>
      <c r="I96" s="190"/>
      <c r="J96" s="191"/>
    </row>
    <row r="97" spans="1:10" ht="24.95" customHeight="1">
      <c r="A97" s="192"/>
      <c r="B97" s="193" t="s">
        <v>486</v>
      </c>
      <c r="C97" s="194">
        <v>1</v>
      </c>
      <c r="D97" s="194" t="s">
        <v>461</v>
      </c>
      <c r="E97" s="194">
        <v>14</v>
      </c>
      <c r="F97" s="195">
        <v>1.4</v>
      </c>
      <c r="G97" s="195">
        <v>1.4</v>
      </c>
      <c r="H97" s="195">
        <v>0.38</v>
      </c>
      <c r="I97" s="195">
        <f>PRODUCT(C97:H97)</f>
        <v>10.43</v>
      </c>
      <c r="J97" s="198"/>
    </row>
    <row r="98" spans="1:10" ht="24.95" customHeight="1">
      <c r="A98" s="192"/>
      <c r="B98" s="193" t="s">
        <v>487</v>
      </c>
      <c r="C98" s="194">
        <v>1</v>
      </c>
      <c r="D98" s="194" t="s">
        <v>461</v>
      </c>
      <c r="E98" s="194">
        <v>4</v>
      </c>
      <c r="F98" s="195">
        <v>1.8</v>
      </c>
      <c r="G98" s="195">
        <v>1.8</v>
      </c>
      <c r="H98" s="195">
        <v>0.45</v>
      </c>
      <c r="I98" s="195">
        <f>PRODUCT(C98:H98)</f>
        <v>5.83</v>
      </c>
      <c r="J98" s="198"/>
    </row>
    <row r="99" spans="1:10" ht="24.95" customHeight="1">
      <c r="A99" s="192"/>
      <c r="B99" s="193" t="s">
        <v>488</v>
      </c>
      <c r="C99" s="194">
        <v>1</v>
      </c>
      <c r="D99" s="194" t="s">
        <v>461</v>
      </c>
      <c r="E99" s="194">
        <v>7</v>
      </c>
      <c r="F99" s="195">
        <v>2</v>
      </c>
      <c r="G99" s="195">
        <v>2</v>
      </c>
      <c r="H99" s="195">
        <v>0.45</v>
      </c>
      <c r="I99" s="195">
        <f>PRODUCT(C99:H99)</f>
        <v>12.6</v>
      </c>
      <c r="J99" s="198"/>
    </row>
    <row r="100" spans="1:10" ht="24.95" customHeight="1">
      <c r="A100" s="192"/>
      <c r="B100" s="193" t="s">
        <v>489</v>
      </c>
      <c r="C100" s="194">
        <v>1</v>
      </c>
      <c r="D100" s="194" t="s">
        <v>461</v>
      </c>
      <c r="E100" s="194">
        <v>2</v>
      </c>
      <c r="F100" s="195">
        <v>2</v>
      </c>
      <c r="G100" s="195">
        <v>2</v>
      </c>
      <c r="H100" s="195">
        <v>0.6</v>
      </c>
      <c r="I100" s="195">
        <f>PRODUCT(C100:H100)</f>
        <v>4.8</v>
      </c>
      <c r="J100" s="198"/>
    </row>
    <row r="101" spans="1:10" ht="24.95" customHeight="1">
      <c r="A101" s="192"/>
      <c r="B101" s="196" t="s">
        <v>490</v>
      </c>
      <c r="C101" s="194"/>
      <c r="D101" s="194"/>
      <c r="E101" s="194"/>
      <c r="F101" s="195"/>
      <c r="G101" s="195"/>
      <c r="H101" s="195"/>
      <c r="I101" s="195"/>
      <c r="J101" s="198"/>
    </row>
    <row r="102" spans="1:10" ht="24.95" customHeight="1">
      <c r="A102" s="192"/>
      <c r="B102" s="193" t="s">
        <v>491</v>
      </c>
      <c r="C102" s="194">
        <v>1</v>
      </c>
      <c r="D102" s="194" t="s">
        <v>461</v>
      </c>
      <c r="E102" s="194">
        <v>5</v>
      </c>
      <c r="F102" s="195">
        <v>0.23</v>
      </c>
      <c r="G102" s="195">
        <v>0.38</v>
      </c>
      <c r="H102" s="195">
        <f>2-0.1-0.38-0.4</f>
        <v>1.1200000000000001</v>
      </c>
      <c r="I102" s="195">
        <f t="shared" ref="I102:I107" si="7">PRODUCT(C102:H102)</f>
        <v>0.49</v>
      </c>
      <c r="J102" s="198"/>
    </row>
    <row r="103" spans="1:10" ht="24.95" customHeight="1">
      <c r="A103" s="192"/>
      <c r="B103" s="193" t="s">
        <v>487</v>
      </c>
      <c r="C103" s="194">
        <v>1</v>
      </c>
      <c r="D103" s="194" t="s">
        <v>461</v>
      </c>
      <c r="E103" s="194">
        <v>4</v>
      </c>
      <c r="F103" s="195">
        <v>0.23</v>
      </c>
      <c r="G103" s="195">
        <v>0.45</v>
      </c>
      <c r="H103" s="195">
        <f>2-0.1-0.45-0.4</f>
        <v>1.05</v>
      </c>
      <c r="I103" s="195">
        <f t="shared" si="7"/>
        <v>0.43</v>
      </c>
      <c r="J103" s="198"/>
    </row>
    <row r="104" spans="1:10" ht="24.95" customHeight="1">
      <c r="A104" s="192"/>
      <c r="B104" s="193" t="s">
        <v>492</v>
      </c>
      <c r="C104" s="194">
        <v>1</v>
      </c>
      <c r="D104" s="194" t="s">
        <v>461</v>
      </c>
      <c r="E104" s="194">
        <v>3</v>
      </c>
      <c r="F104" s="195">
        <v>0.23</v>
      </c>
      <c r="G104" s="195">
        <v>0.6</v>
      </c>
      <c r="H104" s="195">
        <v>1.05</v>
      </c>
      <c r="I104" s="195">
        <f t="shared" si="7"/>
        <v>0.43</v>
      </c>
      <c r="J104" s="198"/>
    </row>
    <row r="105" spans="1:10" ht="24.95" customHeight="1">
      <c r="A105" s="192"/>
      <c r="B105" s="193" t="s">
        <v>489</v>
      </c>
      <c r="C105" s="194">
        <v>1</v>
      </c>
      <c r="D105" s="194" t="s">
        <v>461</v>
      </c>
      <c r="E105" s="194">
        <v>2</v>
      </c>
      <c r="F105" s="195">
        <v>0.3</v>
      </c>
      <c r="G105" s="195">
        <v>0.38</v>
      </c>
      <c r="H105" s="195">
        <f>2-0.1-0.6-0.4</f>
        <v>0.9</v>
      </c>
      <c r="I105" s="195">
        <f t="shared" si="7"/>
        <v>0.21</v>
      </c>
      <c r="J105" s="198"/>
    </row>
    <row r="106" spans="1:10" ht="24.95" customHeight="1">
      <c r="A106" s="192"/>
      <c r="B106" s="193" t="s">
        <v>493</v>
      </c>
      <c r="C106" s="194">
        <v>1</v>
      </c>
      <c r="D106" s="194" t="s">
        <v>461</v>
      </c>
      <c r="E106" s="194">
        <v>4</v>
      </c>
      <c r="F106" s="195">
        <v>0.3</v>
      </c>
      <c r="G106" s="195">
        <v>0.6</v>
      </c>
      <c r="H106" s="195">
        <v>1.05</v>
      </c>
      <c r="I106" s="195">
        <f t="shared" si="7"/>
        <v>0.76</v>
      </c>
      <c r="J106" s="198"/>
    </row>
    <row r="107" spans="1:10" ht="24.95" customHeight="1">
      <c r="A107" s="192"/>
      <c r="B107" s="193" t="s">
        <v>494</v>
      </c>
      <c r="C107" s="194">
        <v>1</v>
      </c>
      <c r="D107" s="194" t="s">
        <v>461</v>
      </c>
      <c r="E107" s="194">
        <v>9</v>
      </c>
      <c r="F107" s="195">
        <v>0.3</v>
      </c>
      <c r="G107" s="195">
        <v>0.38</v>
      </c>
      <c r="H107" s="195">
        <f>H102</f>
        <v>1.1200000000000001</v>
      </c>
      <c r="I107" s="195">
        <f t="shared" si="7"/>
        <v>1.1499999999999999</v>
      </c>
      <c r="J107" s="198"/>
    </row>
    <row r="108" spans="1:10" ht="24.95" customHeight="1">
      <c r="A108" s="192"/>
      <c r="B108" s="196" t="s">
        <v>464</v>
      </c>
      <c r="C108" s="194"/>
      <c r="D108" s="194"/>
      <c r="E108" s="194"/>
      <c r="F108" s="195"/>
      <c r="G108" s="195"/>
      <c r="H108" s="195"/>
      <c r="I108" s="195"/>
      <c r="J108" s="198"/>
    </row>
    <row r="109" spans="1:10" ht="24.95" customHeight="1">
      <c r="A109" s="192"/>
      <c r="B109" s="193" t="s">
        <v>934</v>
      </c>
      <c r="C109" s="194">
        <v>1</v>
      </c>
      <c r="D109" s="194" t="s">
        <v>461</v>
      </c>
      <c r="E109" s="194">
        <v>1</v>
      </c>
      <c r="F109" s="195">
        <v>64.88</v>
      </c>
      <c r="G109" s="195">
        <v>0.23</v>
      </c>
      <c r="H109" s="195">
        <v>0.38</v>
      </c>
      <c r="I109" s="195">
        <f t="shared" ref="I109:I125" si="8">PRODUCT(C109:H109)</f>
        <v>5.67</v>
      </c>
      <c r="J109" s="198"/>
    </row>
    <row r="110" spans="1:10" ht="24.95" customHeight="1">
      <c r="A110" s="192"/>
      <c r="B110" s="193" t="s">
        <v>935</v>
      </c>
      <c r="C110" s="194">
        <v>1</v>
      </c>
      <c r="D110" s="194" t="s">
        <v>461</v>
      </c>
      <c r="E110" s="194">
        <v>1</v>
      </c>
      <c r="F110" s="195">
        <v>20.12</v>
      </c>
      <c r="G110" s="195">
        <v>0.23</v>
      </c>
      <c r="H110" s="195">
        <v>0.38</v>
      </c>
      <c r="I110" s="195">
        <f t="shared" si="8"/>
        <v>1.76</v>
      </c>
      <c r="J110" s="198"/>
    </row>
    <row r="111" spans="1:10" ht="24.95" customHeight="1">
      <c r="A111" s="192"/>
      <c r="B111" s="193"/>
      <c r="C111" s="194">
        <v>1</v>
      </c>
      <c r="D111" s="194" t="s">
        <v>461</v>
      </c>
      <c r="E111" s="194">
        <v>1</v>
      </c>
      <c r="F111" s="195">
        <v>16.59</v>
      </c>
      <c r="G111" s="195">
        <v>0.23</v>
      </c>
      <c r="H111" s="195">
        <v>0.38</v>
      </c>
      <c r="I111" s="195">
        <f t="shared" si="8"/>
        <v>1.45</v>
      </c>
      <c r="J111" s="198"/>
    </row>
    <row r="112" spans="1:10" ht="24.95" customHeight="1">
      <c r="A112" s="192"/>
      <c r="B112" s="193" t="s">
        <v>936</v>
      </c>
      <c r="C112" s="194">
        <v>1</v>
      </c>
      <c r="D112" s="194" t="s">
        <v>461</v>
      </c>
      <c r="E112" s="194">
        <v>1</v>
      </c>
      <c r="F112" s="195">
        <v>3.3</v>
      </c>
      <c r="G112" s="195">
        <v>0.23</v>
      </c>
      <c r="H112" s="195">
        <v>0.38</v>
      </c>
      <c r="I112" s="195">
        <f t="shared" si="8"/>
        <v>0.28999999999999998</v>
      </c>
      <c r="J112" s="198"/>
    </row>
    <row r="113" spans="1:10" ht="24.95" customHeight="1">
      <c r="A113" s="192"/>
      <c r="B113" s="193" t="s">
        <v>937</v>
      </c>
      <c r="C113" s="194">
        <v>1</v>
      </c>
      <c r="D113" s="194" t="s">
        <v>461</v>
      </c>
      <c r="E113" s="194">
        <v>3</v>
      </c>
      <c r="F113" s="195">
        <v>3.6</v>
      </c>
      <c r="G113" s="195">
        <v>0.23</v>
      </c>
      <c r="H113" s="195">
        <v>0.38</v>
      </c>
      <c r="I113" s="195">
        <f t="shared" si="8"/>
        <v>0.94</v>
      </c>
      <c r="J113" s="198"/>
    </row>
    <row r="114" spans="1:10" ht="24.95" customHeight="1">
      <c r="A114" s="192"/>
      <c r="B114" s="193" t="s">
        <v>938</v>
      </c>
      <c r="C114" s="194">
        <v>1</v>
      </c>
      <c r="D114" s="194" t="s">
        <v>461</v>
      </c>
      <c r="E114" s="194">
        <v>2</v>
      </c>
      <c r="F114" s="195">
        <v>6</v>
      </c>
      <c r="G114" s="195">
        <v>0.23</v>
      </c>
      <c r="H114" s="195">
        <v>0.38</v>
      </c>
      <c r="I114" s="195">
        <f t="shared" si="8"/>
        <v>1.05</v>
      </c>
      <c r="J114" s="198"/>
    </row>
    <row r="115" spans="1:10" ht="24.95" customHeight="1">
      <c r="A115" s="192"/>
      <c r="B115" s="193" t="s">
        <v>939</v>
      </c>
      <c r="C115" s="194">
        <v>1</v>
      </c>
      <c r="D115" s="194" t="s">
        <v>461</v>
      </c>
      <c r="E115" s="194">
        <v>1</v>
      </c>
      <c r="F115" s="195">
        <v>8.0299999999999994</v>
      </c>
      <c r="G115" s="195">
        <v>0.23</v>
      </c>
      <c r="H115" s="195">
        <v>0.38</v>
      </c>
      <c r="I115" s="195">
        <f t="shared" si="8"/>
        <v>0.7</v>
      </c>
      <c r="J115" s="198"/>
    </row>
    <row r="116" spans="1:10" ht="24.95" customHeight="1">
      <c r="A116" s="192"/>
      <c r="B116" s="193" t="s">
        <v>940</v>
      </c>
      <c r="C116" s="199">
        <v>1</v>
      </c>
      <c r="D116" s="199" t="s">
        <v>461</v>
      </c>
      <c r="E116" s="199">
        <v>2</v>
      </c>
      <c r="F116" s="197">
        <v>17</v>
      </c>
      <c r="G116" s="195">
        <v>0.23</v>
      </c>
      <c r="H116" s="195">
        <v>0.38</v>
      </c>
      <c r="I116" s="195">
        <f t="shared" ref="I116" si="9">PRODUCT(C116:H116)</f>
        <v>2.97</v>
      </c>
      <c r="J116" s="198"/>
    </row>
    <row r="117" spans="1:10" ht="24.95" customHeight="1">
      <c r="A117" s="192"/>
      <c r="B117" s="193" t="s">
        <v>941</v>
      </c>
      <c r="C117" s="199">
        <v>1</v>
      </c>
      <c r="D117" s="199" t="s">
        <v>461</v>
      </c>
      <c r="E117" s="199">
        <v>4</v>
      </c>
      <c r="F117" s="197">
        <v>4.96</v>
      </c>
      <c r="G117" s="195">
        <v>0.23</v>
      </c>
      <c r="H117" s="195">
        <v>0.38</v>
      </c>
      <c r="I117" s="197">
        <f t="shared" si="8"/>
        <v>1.73</v>
      </c>
      <c r="J117" s="198"/>
    </row>
    <row r="118" spans="1:10" ht="24.95" customHeight="1">
      <c r="A118" s="192"/>
      <c r="B118" s="193" t="s">
        <v>941</v>
      </c>
      <c r="C118" s="199">
        <v>1</v>
      </c>
      <c r="D118" s="199" t="s">
        <v>461</v>
      </c>
      <c r="E118" s="199">
        <v>4</v>
      </c>
      <c r="F118" s="197">
        <v>5.78</v>
      </c>
      <c r="G118" s="195">
        <v>0.23</v>
      </c>
      <c r="H118" s="195">
        <v>0.38</v>
      </c>
      <c r="I118" s="197">
        <f t="shared" si="8"/>
        <v>2.02</v>
      </c>
      <c r="J118" s="198"/>
    </row>
    <row r="119" spans="1:10" ht="24.95" customHeight="1">
      <c r="A119" s="192"/>
      <c r="B119" s="193" t="s">
        <v>495</v>
      </c>
      <c r="C119" s="199"/>
      <c r="D119" s="199"/>
      <c r="E119" s="199"/>
      <c r="F119" s="197"/>
      <c r="G119" s="195"/>
      <c r="H119" s="195"/>
      <c r="I119" s="197"/>
      <c r="J119" s="198"/>
    </row>
    <row r="120" spans="1:10" ht="24.95" customHeight="1">
      <c r="A120" s="192"/>
      <c r="B120" s="193" t="s">
        <v>491</v>
      </c>
      <c r="C120" s="194">
        <v>-1</v>
      </c>
      <c r="D120" s="194" t="s">
        <v>461</v>
      </c>
      <c r="E120" s="194">
        <v>5</v>
      </c>
      <c r="F120" s="195">
        <v>0.23</v>
      </c>
      <c r="G120" s="195">
        <v>0.23</v>
      </c>
      <c r="H120" s="195">
        <v>0.38</v>
      </c>
      <c r="I120" s="197">
        <f t="shared" si="8"/>
        <v>-0.1</v>
      </c>
      <c r="J120" s="198"/>
    </row>
    <row r="121" spans="1:10" ht="24.95" customHeight="1">
      <c r="A121" s="192"/>
      <c r="B121" s="193" t="s">
        <v>487</v>
      </c>
      <c r="C121" s="194">
        <v>-1</v>
      </c>
      <c r="D121" s="194" t="s">
        <v>461</v>
      </c>
      <c r="E121" s="194">
        <v>4</v>
      </c>
      <c r="F121" s="195">
        <v>0.23</v>
      </c>
      <c r="G121" s="195">
        <v>0.23</v>
      </c>
      <c r="H121" s="195">
        <v>0.38</v>
      </c>
      <c r="I121" s="197">
        <f t="shared" si="8"/>
        <v>-0.08</v>
      </c>
      <c r="J121" s="198"/>
    </row>
    <row r="122" spans="1:10" ht="24.95" customHeight="1">
      <c r="A122" s="192"/>
      <c r="B122" s="193" t="s">
        <v>492</v>
      </c>
      <c r="C122" s="194">
        <v>-1</v>
      </c>
      <c r="D122" s="194" t="s">
        <v>461</v>
      </c>
      <c r="E122" s="194">
        <v>3</v>
      </c>
      <c r="F122" s="195">
        <v>0.23</v>
      </c>
      <c r="G122" s="195">
        <v>0.23</v>
      </c>
      <c r="H122" s="195">
        <v>0.38</v>
      </c>
      <c r="I122" s="197">
        <f t="shared" si="8"/>
        <v>-0.06</v>
      </c>
      <c r="J122" s="198"/>
    </row>
    <row r="123" spans="1:10" ht="24.95" customHeight="1">
      <c r="A123" s="192"/>
      <c r="B123" s="193" t="s">
        <v>489</v>
      </c>
      <c r="C123" s="194">
        <v>-1</v>
      </c>
      <c r="D123" s="194" t="s">
        <v>461</v>
      </c>
      <c r="E123" s="194">
        <v>2</v>
      </c>
      <c r="F123" s="195">
        <v>0.3</v>
      </c>
      <c r="G123" s="195">
        <v>0.23</v>
      </c>
      <c r="H123" s="195">
        <v>0.38</v>
      </c>
      <c r="I123" s="197">
        <f t="shared" si="8"/>
        <v>-0.05</v>
      </c>
      <c r="J123" s="198"/>
    </row>
    <row r="124" spans="1:10" ht="24.95" customHeight="1">
      <c r="A124" s="192"/>
      <c r="B124" s="193" t="s">
        <v>493</v>
      </c>
      <c r="C124" s="194">
        <v>-1</v>
      </c>
      <c r="D124" s="194" t="s">
        <v>461</v>
      </c>
      <c r="E124" s="194">
        <v>4</v>
      </c>
      <c r="F124" s="195">
        <v>0.3</v>
      </c>
      <c r="G124" s="195">
        <v>0.23</v>
      </c>
      <c r="H124" s="195">
        <v>0.38</v>
      </c>
      <c r="I124" s="197">
        <f t="shared" si="8"/>
        <v>-0.1</v>
      </c>
      <c r="J124" s="198"/>
    </row>
    <row r="125" spans="1:10" ht="24.95" customHeight="1">
      <c r="A125" s="192"/>
      <c r="B125" s="193" t="s">
        <v>494</v>
      </c>
      <c r="C125" s="194">
        <v>-1</v>
      </c>
      <c r="D125" s="194" t="s">
        <v>461</v>
      </c>
      <c r="E125" s="194">
        <v>9</v>
      </c>
      <c r="F125" s="195">
        <v>0.3</v>
      </c>
      <c r="G125" s="195">
        <v>0.23</v>
      </c>
      <c r="H125" s="195">
        <v>0.38</v>
      </c>
      <c r="I125" s="197">
        <f t="shared" si="8"/>
        <v>-0.24</v>
      </c>
      <c r="J125" s="198"/>
    </row>
    <row r="126" spans="1:10" ht="24.95" customHeight="1">
      <c r="A126" s="192"/>
      <c r="B126" s="196" t="s">
        <v>496</v>
      </c>
      <c r="C126" s="194"/>
      <c r="D126" s="194"/>
      <c r="E126" s="194"/>
      <c r="F126" s="195"/>
      <c r="G126" s="195"/>
      <c r="H126" s="195"/>
      <c r="I126" s="195"/>
      <c r="J126" s="198"/>
    </row>
    <row r="127" spans="1:10" ht="24.95" customHeight="1">
      <c r="A127" s="192"/>
      <c r="B127" s="193" t="s">
        <v>491</v>
      </c>
      <c r="C127" s="194">
        <v>1</v>
      </c>
      <c r="D127" s="194" t="s">
        <v>461</v>
      </c>
      <c r="E127" s="194">
        <v>5</v>
      </c>
      <c r="F127" s="195">
        <v>0.23</v>
      </c>
      <c r="G127" s="195">
        <v>0.38</v>
      </c>
      <c r="H127" s="522">
        <v>1.33</v>
      </c>
      <c r="I127" s="195">
        <f t="shared" ref="I127:I132" si="10">PRODUCT(C127:H127)</f>
        <v>0.57999999999999996</v>
      </c>
      <c r="J127" s="198"/>
    </row>
    <row r="128" spans="1:10" ht="24.95" customHeight="1">
      <c r="A128" s="192"/>
      <c r="B128" s="193" t="s">
        <v>487</v>
      </c>
      <c r="C128" s="194">
        <v>1</v>
      </c>
      <c r="D128" s="194" t="s">
        <v>461</v>
      </c>
      <c r="E128" s="194">
        <v>4</v>
      </c>
      <c r="F128" s="195">
        <v>0.23</v>
      </c>
      <c r="G128" s="195">
        <v>0.45</v>
      </c>
      <c r="H128" s="522">
        <v>1.33</v>
      </c>
      <c r="I128" s="195">
        <f t="shared" si="10"/>
        <v>0.55000000000000004</v>
      </c>
      <c r="J128" s="198"/>
    </row>
    <row r="129" spans="1:13" ht="24.95" customHeight="1">
      <c r="A129" s="192"/>
      <c r="B129" s="193" t="s">
        <v>492</v>
      </c>
      <c r="C129" s="194">
        <v>1</v>
      </c>
      <c r="D129" s="194" t="s">
        <v>461</v>
      </c>
      <c r="E129" s="194">
        <v>3</v>
      </c>
      <c r="F129" s="195">
        <v>0.23</v>
      </c>
      <c r="G129" s="195">
        <v>0.6</v>
      </c>
      <c r="H129" s="522">
        <v>1.33</v>
      </c>
      <c r="I129" s="195">
        <f t="shared" si="10"/>
        <v>0.55000000000000004</v>
      </c>
      <c r="J129" s="198"/>
    </row>
    <row r="130" spans="1:13" ht="24.95" customHeight="1">
      <c r="A130" s="192"/>
      <c r="B130" s="193" t="s">
        <v>489</v>
      </c>
      <c r="C130" s="194">
        <v>1</v>
      </c>
      <c r="D130" s="194" t="s">
        <v>461</v>
      </c>
      <c r="E130" s="194">
        <v>2</v>
      </c>
      <c r="F130" s="195">
        <v>0.3</v>
      </c>
      <c r="G130" s="195">
        <v>0.38</v>
      </c>
      <c r="H130" s="522">
        <v>1.33</v>
      </c>
      <c r="I130" s="195">
        <f t="shared" si="10"/>
        <v>0.3</v>
      </c>
      <c r="J130" s="198"/>
    </row>
    <row r="131" spans="1:13" ht="24.95" customHeight="1">
      <c r="A131" s="192"/>
      <c r="B131" s="193" t="s">
        <v>493</v>
      </c>
      <c r="C131" s="194">
        <v>1</v>
      </c>
      <c r="D131" s="194" t="s">
        <v>461</v>
      </c>
      <c r="E131" s="194">
        <v>4</v>
      </c>
      <c r="F131" s="195">
        <v>0.3</v>
      </c>
      <c r="G131" s="195">
        <v>0.6</v>
      </c>
      <c r="H131" s="522">
        <v>1.33</v>
      </c>
      <c r="I131" s="195">
        <f t="shared" si="10"/>
        <v>0.96</v>
      </c>
      <c r="J131" s="198"/>
    </row>
    <row r="132" spans="1:13" ht="24.95" customHeight="1">
      <c r="A132" s="192"/>
      <c r="B132" s="193" t="s">
        <v>494</v>
      </c>
      <c r="C132" s="194">
        <v>1</v>
      </c>
      <c r="D132" s="194" t="s">
        <v>461</v>
      </c>
      <c r="E132" s="194">
        <v>9</v>
      </c>
      <c r="F132" s="195">
        <v>0.3</v>
      </c>
      <c r="G132" s="195">
        <v>0.38</v>
      </c>
      <c r="H132" s="522">
        <v>1.33</v>
      </c>
      <c r="I132" s="195">
        <f t="shared" si="10"/>
        <v>1.36</v>
      </c>
      <c r="J132" s="198"/>
    </row>
    <row r="133" spans="1:13" ht="24.95" customHeight="1">
      <c r="A133" s="192"/>
      <c r="B133" s="196" t="s">
        <v>497</v>
      </c>
      <c r="C133" s="194"/>
      <c r="D133" s="194"/>
      <c r="E133" s="194"/>
      <c r="F133" s="195"/>
      <c r="G133" s="195"/>
      <c r="H133" s="195"/>
      <c r="I133" s="195"/>
      <c r="J133" s="198"/>
    </row>
    <row r="134" spans="1:13" ht="27.75" customHeight="1">
      <c r="A134" s="192"/>
      <c r="B134" s="193" t="s">
        <v>934</v>
      </c>
      <c r="C134" s="194">
        <v>1</v>
      </c>
      <c r="D134" s="194" t="s">
        <v>461</v>
      </c>
      <c r="E134" s="194">
        <v>1</v>
      </c>
      <c r="F134" s="195">
        <v>64.88</v>
      </c>
      <c r="G134" s="195">
        <v>0.23</v>
      </c>
      <c r="H134" s="195">
        <v>0.1</v>
      </c>
      <c r="I134" s="195">
        <f t="shared" ref="I134:I146" si="11">PRODUCT(C134:H134)</f>
        <v>1.49</v>
      </c>
      <c r="J134" s="198"/>
    </row>
    <row r="135" spans="1:13" ht="24.95" customHeight="1">
      <c r="A135" s="192"/>
      <c r="B135" s="193" t="s">
        <v>935</v>
      </c>
      <c r="C135" s="194">
        <v>1</v>
      </c>
      <c r="D135" s="194" t="s">
        <v>461</v>
      </c>
      <c r="E135" s="194">
        <v>1</v>
      </c>
      <c r="F135" s="195">
        <v>20.12</v>
      </c>
      <c r="G135" s="195">
        <v>0.23</v>
      </c>
      <c r="H135" s="195">
        <v>0.1</v>
      </c>
      <c r="I135" s="195">
        <f t="shared" si="11"/>
        <v>0.46</v>
      </c>
      <c r="J135" s="198"/>
    </row>
    <row r="136" spans="1:13" ht="24.95" customHeight="1">
      <c r="A136" s="192"/>
      <c r="B136" s="193"/>
      <c r="C136" s="194">
        <v>1</v>
      </c>
      <c r="D136" s="194" t="s">
        <v>461</v>
      </c>
      <c r="E136" s="194">
        <v>1</v>
      </c>
      <c r="F136" s="195">
        <v>16.59</v>
      </c>
      <c r="G136" s="195">
        <v>0.23</v>
      </c>
      <c r="H136" s="195">
        <v>0.1</v>
      </c>
      <c r="I136" s="195">
        <f t="shared" si="11"/>
        <v>0.38</v>
      </c>
      <c r="J136" s="198"/>
    </row>
    <row r="137" spans="1:13" ht="24.95" customHeight="1">
      <c r="A137" s="192"/>
      <c r="B137" s="193" t="s">
        <v>936</v>
      </c>
      <c r="C137" s="194">
        <v>1</v>
      </c>
      <c r="D137" s="194" t="s">
        <v>461</v>
      </c>
      <c r="E137" s="194">
        <v>1</v>
      </c>
      <c r="F137" s="195">
        <v>3.3</v>
      </c>
      <c r="G137" s="195">
        <v>0.23</v>
      </c>
      <c r="H137" s="195">
        <v>0.1</v>
      </c>
      <c r="I137" s="195">
        <f t="shared" si="11"/>
        <v>0.08</v>
      </c>
      <c r="J137" s="198"/>
    </row>
    <row r="138" spans="1:13" ht="24.95" customHeight="1">
      <c r="A138" s="192"/>
      <c r="B138" s="193" t="s">
        <v>937</v>
      </c>
      <c r="C138" s="194">
        <v>1</v>
      </c>
      <c r="D138" s="194" t="s">
        <v>461</v>
      </c>
      <c r="E138" s="194">
        <v>3</v>
      </c>
      <c r="F138" s="195">
        <v>3.6</v>
      </c>
      <c r="G138" s="195">
        <v>0.23</v>
      </c>
      <c r="H138" s="195">
        <v>0.1</v>
      </c>
      <c r="I138" s="195">
        <f t="shared" si="11"/>
        <v>0.25</v>
      </c>
      <c r="J138" s="198"/>
    </row>
    <row r="139" spans="1:13" ht="24.95" customHeight="1">
      <c r="A139" s="192"/>
      <c r="B139" s="193" t="s">
        <v>938</v>
      </c>
      <c r="C139" s="194">
        <v>1</v>
      </c>
      <c r="D139" s="194" t="s">
        <v>461</v>
      </c>
      <c r="E139" s="194">
        <v>2</v>
      </c>
      <c r="F139" s="195">
        <v>6</v>
      </c>
      <c r="G139" s="195">
        <v>0.23</v>
      </c>
      <c r="H139" s="195">
        <v>0.1</v>
      </c>
      <c r="I139" s="195">
        <f t="shared" si="11"/>
        <v>0.28000000000000003</v>
      </c>
      <c r="J139" s="198"/>
    </row>
    <row r="140" spans="1:13" ht="24.95" customHeight="1">
      <c r="A140" s="192"/>
      <c r="B140" s="193" t="s">
        <v>939</v>
      </c>
      <c r="C140" s="194">
        <v>1</v>
      </c>
      <c r="D140" s="194" t="s">
        <v>461</v>
      </c>
      <c r="E140" s="194">
        <v>1</v>
      </c>
      <c r="F140" s="195">
        <v>8.0299999999999994</v>
      </c>
      <c r="G140" s="195">
        <v>0.23</v>
      </c>
      <c r="H140" s="195">
        <v>0.1</v>
      </c>
      <c r="I140" s="195">
        <f t="shared" si="11"/>
        <v>0.18</v>
      </c>
      <c r="J140" s="211"/>
    </row>
    <row r="141" spans="1:13" ht="24.95" customHeight="1">
      <c r="A141" s="192"/>
      <c r="B141" s="193" t="s">
        <v>940</v>
      </c>
      <c r="C141" s="199">
        <v>1</v>
      </c>
      <c r="D141" s="199" t="s">
        <v>461</v>
      </c>
      <c r="E141" s="199">
        <v>2</v>
      </c>
      <c r="F141" s="197">
        <v>17</v>
      </c>
      <c r="G141" s="195">
        <v>0.23</v>
      </c>
      <c r="H141" s="195">
        <v>0.1</v>
      </c>
      <c r="I141" s="197">
        <f t="shared" si="11"/>
        <v>0.78</v>
      </c>
      <c r="J141" s="198"/>
    </row>
    <row r="142" spans="1:13" ht="24.95" customHeight="1">
      <c r="A142" s="192"/>
      <c r="B142" s="193" t="s">
        <v>941</v>
      </c>
      <c r="C142" s="199">
        <v>1</v>
      </c>
      <c r="D142" s="199" t="s">
        <v>461</v>
      </c>
      <c r="E142" s="199">
        <v>4</v>
      </c>
      <c r="F142" s="197">
        <v>4.96</v>
      </c>
      <c r="G142" s="195">
        <v>0.23</v>
      </c>
      <c r="H142" s="195">
        <v>0.1</v>
      </c>
      <c r="I142" s="197">
        <f t="shared" si="11"/>
        <v>0.46</v>
      </c>
      <c r="J142" s="198"/>
      <c r="M142" s="185">
        <v>2.98</v>
      </c>
    </row>
    <row r="143" spans="1:13" ht="24.95" customHeight="1">
      <c r="A143" s="192"/>
      <c r="B143" s="193" t="s">
        <v>941</v>
      </c>
      <c r="C143" s="199">
        <v>1</v>
      </c>
      <c r="D143" s="199" t="s">
        <v>461</v>
      </c>
      <c r="E143" s="199">
        <v>4</v>
      </c>
      <c r="F143" s="197">
        <v>5.78</v>
      </c>
      <c r="G143" s="195">
        <v>0.23</v>
      </c>
      <c r="H143" s="195">
        <v>0.1</v>
      </c>
      <c r="I143" s="197">
        <f t="shared" si="11"/>
        <v>0.53</v>
      </c>
      <c r="J143" s="198"/>
      <c r="M143" s="185">
        <v>1.49</v>
      </c>
    </row>
    <row r="144" spans="1:13" ht="24.95" customHeight="1">
      <c r="A144" s="192"/>
      <c r="B144" s="193" t="s">
        <v>947</v>
      </c>
      <c r="C144" s="199">
        <v>1</v>
      </c>
      <c r="D144" s="199" t="s">
        <v>461</v>
      </c>
      <c r="E144" s="199">
        <v>1</v>
      </c>
      <c r="F144" s="197">
        <v>21.32</v>
      </c>
      <c r="G144" s="195">
        <v>0.23</v>
      </c>
      <c r="H144" s="195">
        <v>0.1</v>
      </c>
      <c r="I144" s="197">
        <f t="shared" ref="I144" si="12">PRODUCT(C144:H144)</f>
        <v>0.49</v>
      </c>
      <c r="J144" s="198"/>
    </row>
    <row r="145" spans="1:16" ht="24.95" customHeight="1">
      <c r="A145" s="192"/>
      <c r="B145" s="202" t="s">
        <v>498</v>
      </c>
      <c r="C145" s="189">
        <v>1</v>
      </c>
      <c r="D145" s="189" t="s">
        <v>461</v>
      </c>
      <c r="E145" s="189">
        <v>1</v>
      </c>
      <c r="F145" s="203">
        <v>11.2</v>
      </c>
      <c r="G145" s="203">
        <v>17</v>
      </c>
      <c r="H145" s="203">
        <v>0.1</v>
      </c>
      <c r="I145" s="203">
        <f t="shared" si="11"/>
        <v>19.04</v>
      </c>
      <c r="J145" s="191"/>
    </row>
    <row r="146" spans="1:16" ht="24.95" customHeight="1">
      <c r="A146" s="192"/>
      <c r="B146" s="202" t="s">
        <v>499</v>
      </c>
      <c r="C146" s="189">
        <v>1</v>
      </c>
      <c r="D146" s="189" t="s">
        <v>461</v>
      </c>
      <c r="E146" s="189">
        <v>1</v>
      </c>
      <c r="F146" s="203">
        <v>5</v>
      </c>
      <c r="G146" s="203">
        <v>1.5</v>
      </c>
      <c r="H146" s="203">
        <v>0.1</v>
      </c>
      <c r="I146" s="203">
        <f t="shared" si="11"/>
        <v>0.75</v>
      </c>
      <c r="J146" s="191"/>
    </row>
    <row r="147" spans="1:16" ht="24.95" customHeight="1">
      <c r="A147" s="192"/>
      <c r="B147" s="202" t="s">
        <v>500</v>
      </c>
      <c r="C147" s="189">
        <v>1</v>
      </c>
      <c r="D147" s="189" t="s">
        <v>461</v>
      </c>
      <c r="E147" s="189">
        <v>1</v>
      </c>
      <c r="F147" s="203">
        <v>11.8</v>
      </c>
      <c r="G147" s="203">
        <v>0.2</v>
      </c>
      <c r="H147" s="203">
        <v>1.2</v>
      </c>
      <c r="I147" s="203">
        <f>PRODUCT(C147:H147)</f>
        <v>2.83</v>
      </c>
      <c r="J147" s="191"/>
    </row>
    <row r="148" spans="1:16" ht="24.95" customHeight="1">
      <c r="A148" s="192"/>
      <c r="B148" s="193"/>
      <c r="C148" s="199"/>
      <c r="D148" s="199"/>
      <c r="E148" s="199"/>
      <c r="F148" s="197"/>
      <c r="G148" s="195"/>
      <c r="H148" s="195"/>
      <c r="I148" s="197">
        <f>SUM(I97:I147)</f>
        <v>87.38</v>
      </c>
      <c r="J148" s="191"/>
    </row>
    <row r="149" spans="1:16" ht="24.95" customHeight="1">
      <c r="A149" s="192"/>
      <c r="B149" s="202"/>
      <c r="C149" s="189"/>
      <c r="D149" s="189"/>
      <c r="E149" s="189"/>
      <c r="F149" s="203"/>
      <c r="G149" s="203"/>
      <c r="H149" s="207" t="s">
        <v>480</v>
      </c>
      <c r="I149" s="181">
        <f>ROUNDUP(I148,1)</f>
        <v>87.4</v>
      </c>
      <c r="J149" s="191" t="s">
        <v>117</v>
      </c>
      <c r="M149" s="185">
        <v>120</v>
      </c>
    </row>
    <row r="150" spans="1:16" ht="24.95" customHeight="1">
      <c r="A150" s="192"/>
      <c r="B150" s="202"/>
      <c r="C150" s="189"/>
      <c r="D150" s="189"/>
      <c r="E150" s="189"/>
      <c r="F150" s="203"/>
      <c r="G150" s="214"/>
      <c r="H150" s="215"/>
      <c r="I150" s="216"/>
      <c r="J150" s="201"/>
    </row>
    <row r="151" spans="1:16" ht="43.15" customHeight="1">
      <c r="A151" s="213">
        <v>6.5</v>
      </c>
      <c r="B151" s="196" t="s">
        <v>501</v>
      </c>
      <c r="C151" s="194"/>
      <c r="D151" s="194"/>
      <c r="E151" s="194"/>
      <c r="F151" s="217"/>
      <c r="G151" s="557" t="s">
        <v>502</v>
      </c>
      <c r="H151" s="558"/>
      <c r="I151" s="559"/>
      <c r="J151" s="198"/>
      <c r="M151" s="185" t="e">
        <f>#REF!*M149</f>
        <v>#REF!</v>
      </c>
    </row>
    <row r="152" spans="1:16" ht="25.5" customHeight="1">
      <c r="A152" s="192"/>
      <c r="B152" s="193" t="s">
        <v>934</v>
      </c>
      <c r="C152" s="194">
        <v>1</v>
      </c>
      <c r="D152" s="194" t="s">
        <v>461</v>
      </c>
      <c r="E152" s="194">
        <v>1</v>
      </c>
      <c r="F152" s="195">
        <v>64.88</v>
      </c>
      <c r="G152" s="195">
        <v>0.23</v>
      </c>
      <c r="H152" s="195">
        <v>1.33</v>
      </c>
      <c r="I152" s="195">
        <f t="shared" ref="I152:I157" si="13">PRODUCT(C152:H152)</f>
        <v>19.850000000000001</v>
      </c>
      <c r="J152" s="198"/>
    </row>
    <row r="153" spans="1:16" ht="24.95" customHeight="1">
      <c r="A153" s="192"/>
      <c r="B153" s="193" t="s">
        <v>935</v>
      </c>
      <c r="C153" s="194">
        <v>1</v>
      </c>
      <c r="D153" s="194" t="s">
        <v>461</v>
      </c>
      <c r="E153" s="194">
        <v>1</v>
      </c>
      <c r="F153" s="195">
        <v>20.12</v>
      </c>
      <c r="G153" s="195">
        <v>0.23</v>
      </c>
      <c r="H153" s="195">
        <v>1.33</v>
      </c>
      <c r="I153" s="195">
        <f t="shared" si="13"/>
        <v>6.15</v>
      </c>
      <c r="J153" s="198"/>
    </row>
    <row r="154" spans="1:16" ht="24.95" customHeight="1">
      <c r="A154" s="192"/>
      <c r="B154" s="193"/>
      <c r="C154" s="194">
        <v>1</v>
      </c>
      <c r="D154" s="194" t="s">
        <v>461</v>
      </c>
      <c r="E154" s="194">
        <v>1</v>
      </c>
      <c r="F154" s="195">
        <v>16.59</v>
      </c>
      <c r="G154" s="195">
        <v>0.23</v>
      </c>
      <c r="H154" s="195">
        <v>1.33</v>
      </c>
      <c r="I154" s="195">
        <f t="shared" si="13"/>
        <v>5.07</v>
      </c>
      <c r="J154" s="198"/>
    </row>
    <row r="155" spans="1:16" ht="26.25" customHeight="1">
      <c r="A155" s="192"/>
      <c r="B155" s="193" t="s">
        <v>936</v>
      </c>
      <c r="C155" s="194">
        <v>1</v>
      </c>
      <c r="D155" s="194" t="s">
        <v>461</v>
      </c>
      <c r="E155" s="194">
        <v>1</v>
      </c>
      <c r="F155" s="195">
        <v>3.3</v>
      </c>
      <c r="G155" s="195">
        <v>0.23</v>
      </c>
      <c r="H155" s="195">
        <v>1.33</v>
      </c>
      <c r="I155" s="195">
        <f t="shared" si="13"/>
        <v>1.01</v>
      </c>
      <c r="J155" s="198"/>
    </row>
    <row r="156" spans="1:16" ht="24.95" customHeight="1">
      <c r="A156" s="192"/>
      <c r="B156" s="193" t="s">
        <v>937</v>
      </c>
      <c r="C156" s="194">
        <v>1</v>
      </c>
      <c r="D156" s="194" t="s">
        <v>461</v>
      </c>
      <c r="E156" s="194">
        <v>3</v>
      </c>
      <c r="F156" s="195">
        <v>3.6</v>
      </c>
      <c r="G156" s="195">
        <v>0.23</v>
      </c>
      <c r="H156" s="195">
        <v>1.33</v>
      </c>
      <c r="I156" s="195">
        <f t="shared" si="13"/>
        <v>3.3</v>
      </c>
      <c r="J156" s="198"/>
      <c r="N156" s="185">
        <v>0.77</v>
      </c>
      <c r="O156" s="185">
        <v>0.23</v>
      </c>
      <c r="P156" s="185">
        <f>N156-O156</f>
        <v>0.54</v>
      </c>
    </row>
    <row r="157" spans="1:16" ht="24.95" customHeight="1">
      <c r="A157" s="192"/>
      <c r="B157" s="193" t="s">
        <v>938</v>
      </c>
      <c r="C157" s="194">
        <v>1</v>
      </c>
      <c r="D157" s="194" t="s">
        <v>461</v>
      </c>
      <c r="E157" s="194">
        <v>2</v>
      </c>
      <c r="F157" s="195">
        <v>6</v>
      </c>
      <c r="G157" s="195">
        <v>0.23</v>
      </c>
      <c r="H157" s="195">
        <v>1.33</v>
      </c>
      <c r="I157" s="195">
        <f t="shared" si="13"/>
        <v>3.67</v>
      </c>
      <c r="J157" s="198"/>
    </row>
    <row r="158" spans="1:16" ht="24.95" customHeight="1">
      <c r="A158" s="192"/>
      <c r="B158" s="193" t="s">
        <v>939</v>
      </c>
      <c r="C158" s="194">
        <v>1</v>
      </c>
      <c r="D158" s="194" t="s">
        <v>461</v>
      </c>
      <c r="E158" s="194">
        <v>1</v>
      </c>
      <c r="F158" s="195">
        <v>8.0299999999999994</v>
      </c>
      <c r="G158" s="195">
        <v>0.23</v>
      </c>
      <c r="H158" s="195">
        <v>1.33</v>
      </c>
      <c r="I158" s="195">
        <f t="shared" ref="I158:I162" si="14">PRODUCT(C158:H158)</f>
        <v>2.46</v>
      </c>
      <c r="J158" s="198"/>
    </row>
    <row r="159" spans="1:16" ht="24.95" customHeight="1">
      <c r="A159" s="192"/>
      <c r="B159" s="193" t="s">
        <v>940</v>
      </c>
      <c r="C159" s="199">
        <v>1</v>
      </c>
      <c r="D159" s="199" t="s">
        <v>461</v>
      </c>
      <c r="E159" s="199">
        <v>2</v>
      </c>
      <c r="F159" s="197">
        <v>17</v>
      </c>
      <c r="G159" s="195">
        <v>0.23</v>
      </c>
      <c r="H159" s="195">
        <v>1.33</v>
      </c>
      <c r="I159" s="195">
        <f t="shared" ref="I159" si="15">PRODUCT(C159:H159)</f>
        <v>10.4</v>
      </c>
      <c r="J159" s="198"/>
    </row>
    <row r="160" spans="1:16" ht="24.95" customHeight="1">
      <c r="A160" s="192"/>
      <c r="B160" s="193" t="s">
        <v>941</v>
      </c>
      <c r="C160" s="199">
        <v>1</v>
      </c>
      <c r="D160" s="199" t="s">
        <v>461</v>
      </c>
      <c r="E160" s="199">
        <v>4</v>
      </c>
      <c r="F160" s="197">
        <v>4.96</v>
      </c>
      <c r="G160" s="195">
        <v>0.23</v>
      </c>
      <c r="H160" s="195">
        <v>1.17</v>
      </c>
      <c r="I160" s="195">
        <f t="shared" ref="I160:I161" si="16">PRODUCT(C160:H160)</f>
        <v>5.34</v>
      </c>
      <c r="J160" s="198"/>
    </row>
    <row r="161" spans="1:10" ht="24.95" customHeight="1">
      <c r="A161" s="192"/>
      <c r="B161" s="193" t="s">
        <v>941</v>
      </c>
      <c r="C161" s="199">
        <v>1</v>
      </c>
      <c r="D161" s="199" t="s">
        <v>461</v>
      </c>
      <c r="E161" s="199">
        <v>4</v>
      </c>
      <c r="F161" s="197">
        <v>5.78</v>
      </c>
      <c r="G161" s="195">
        <v>0.23</v>
      </c>
      <c r="H161" s="195">
        <v>1.17</v>
      </c>
      <c r="I161" s="195">
        <f t="shared" si="16"/>
        <v>6.22</v>
      </c>
      <c r="J161" s="198"/>
    </row>
    <row r="162" spans="1:10" ht="24.95" customHeight="1">
      <c r="A162" s="192"/>
      <c r="B162" s="193" t="s">
        <v>946</v>
      </c>
      <c r="C162" s="199">
        <v>1</v>
      </c>
      <c r="D162" s="199" t="s">
        <v>461</v>
      </c>
      <c r="E162" s="199">
        <v>1</v>
      </c>
      <c r="F162" s="197">
        <v>2</v>
      </c>
      <c r="G162" s="195">
        <v>0.23</v>
      </c>
      <c r="H162" s="195">
        <v>1.33</v>
      </c>
      <c r="I162" s="195">
        <f t="shared" si="14"/>
        <v>0.61</v>
      </c>
      <c r="J162" s="198"/>
    </row>
    <row r="163" spans="1:10" ht="24.95" customHeight="1">
      <c r="A163" s="192"/>
      <c r="B163" s="193" t="s">
        <v>465</v>
      </c>
      <c r="C163" s="194">
        <v>1</v>
      </c>
      <c r="D163" s="194" t="s">
        <v>461</v>
      </c>
      <c r="E163" s="194">
        <v>9</v>
      </c>
      <c r="F163" s="195">
        <v>3.32</v>
      </c>
      <c r="G163" s="195">
        <v>0.23</v>
      </c>
      <c r="H163" s="195">
        <v>0.9</v>
      </c>
      <c r="I163" s="195">
        <f>PRODUCT(E163:H163)</f>
        <v>6.19</v>
      </c>
      <c r="J163" s="198"/>
    </row>
    <row r="164" spans="1:10" ht="24.95" customHeight="1">
      <c r="A164" s="192"/>
      <c r="B164" s="193" t="s">
        <v>504</v>
      </c>
      <c r="C164" s="194">
        <v>-1</v>
      </c>
      <c r="D164" s="194" t="s">
        <v>461</v>
      </c>
      <c r="E164" s="194">
        <v>5</v>
      </c>
      <c r="F164" s="195">
        <v>0.23</v>
      </c>
      <c r="G164" s="195">
        <v>0.38</v>
      </c>
      <c r="H164" s="195">
        <v>1.33</v>
      </c>
      <c r="I164" s="195">
        <f t="shared" ref="I164:I169" si="17">PRODUCT(C164:H164)</f>
        <v>-0.57999999999999996</v>
      </c>
      <c r="J164" s="198"/>
    </row>
    <row r="165" spans="1:10" ht="24.95" customHeight="1">
      <c r="A165" s="192"/>
      <c r="B165" s="193" t="s">
        <v>487</v>
      </c>
      <c r="C165" s="194">
        <v>-1</v>
      </c>
      <c r="D165" s="194" t="s">
        <v>461</v>
      </c>
      <c r="E165" s="194">
        <v>4</v>
      </c>
      <c r="F165" s="195">
        <v>0.23</v>
      </c>
      <c r="G165" s="195">
        <v>0.45</v>
      </c>
      <c r="H165" s="195">
        <v>1.33</v>
      </c>
      <c r="I165" s="195">
        <f t="shared" si="17"/>
        <v>-0.55000000000000004</v>
      </c>
      <c r="J165" s="198"/>
    </row>
    <row r="166" spans="1:10" ht="24.95" customHeight="1">
      <c r="A166" s="192"/>
      <c r="B166" s="193" t="s">
        <v>505</v>
      </c>
      <c r="C166" s="194">
        <v>-1</v>
      </c>
      <c r="D166" s="194" t="s">
        <v>461</v>
      </c>
      <c r="E166" s="194">
        <v>3</v>
      </c>
      <c r="F166" s="195">
        <v>0.23</v>
      </c>
      <c r="G166" s="195">
        <v>0.6</v>
      </c>
      <c r="H166" s="195">
        <v>1.33</v>
      </c>
      <c r="I166" s="195">
        <f t="shared" si="17"/>
        <v>-0.55000000000000004</v>
      </c>
      <c r="J166" s="198"/>
    </row>
    <row r="167" spans="1:10" ht="24.95" customHeight="1">
      <c r="A167" s="192"/>
      <c r="B167" s="193" t="s">
        <v>489</v>
      </c>
      <c r="C167" s="194">
        <v>-1</v>
      </c>
      <c r="D167" s="194" t="s">
        <v>461</v>
      </c>
      <c r="E167" s="194">
        <v>2</v>
      </c>
      <c r="F167" s="195">
        <v>0.3</v>
      </c>
      <c r="G167" s="195">
        <v>0.38</v>
      </c>
      <c r="H167" s="195">
        <v>1.33</v>
      </c>
      <c r="I167" s="195">
        <f t="shared" si="17"/>
        <v>-0.3</v>
      </c>
      <c r="J167" s="198"/>
    </row>
    <row r="168" spans="1:10" ht="24.95" customHeight="1">
      <c r="A168" s="192"/>
      <c r="B168" s="193" t="s">
        <v>493</v>
      </c>
      <c r="C168" s="194">
        <v>-1</v>
      </c>
      <c r="D168" s="194" t="s">
        <v>461</v>
      </c>
      <c r="E168" s="194">
        <v>4</v>
      </c>
      <c r="F168" s="195">
        <v>0.3</v>
      </c>
      <c r="G168" s="195">
        <v>0.6</v>
      </c>
      <c r="H168" s="195">
        <v>1.33</v>
      </c>
      <c r="I168" s="195">
        <f t="shared" si="17"/>
        <v>-0.96</v>
      </c>
      <c r="J168" s="198"/>
    </row>
    <row r="169" spans="1:10" ht="24.95" customHeight="1">
      <c r="A169" s="192"/>
      <c r="B169" s="193" t="s">
        <v>494</v>
      </c>
      <c r="C169" s="194">
        <v>-1</v>
      </c>
      <c r="D169" s="194" t="s">
        <v>461</v>
      </c>
      <c r="E169" s="194">
        <v>9</v>
      </c>
      <c r="F169" s="195">
        <v>0.3</v>
      </c>
      <c r="G169" s="195">
        <v>0.38</v>
      </c>
      <c r="H169" s="195">
        <v>1.33</v>
      </c>
      <c r="I169" s="195">
        <f t="shared" si="17"/>
        <v>-1.36</v>
      </c>
      <c r="J169" s="198"/>
    </row>
    <row r="170" spans="1:10" ht="24.95" customHeight="1">
      <c r="A170" s="192"/>
      <c r="B170" s="218"/>
      <c r="C170" s="190"/>
      <c r="D170" s="190"/>
      <c r="E170" s="190"/>
      <c r="F170" s="203"/>
      <c r="G170" s="203"/>
      <c r="H170" s="203"/>
      <c r="I170" s="203">
        <f>SUM(I152:I169)</f>
        <v>65.97</v>
      </c>
      <c r="J170" s="191"/>
    </row>
    <row r="171" spans="1:10" ht="24.95" customHeight="1">
      <c r="A171" s="192"/>
      <c r="B171" s="202"/>
      <c r="C171" s="189"/>
      <c r="D171" s="189"/>
      <c r="E171" s="189"/>
      <c r="F171" s="203"/>
      <c r="G171" s="203"/>
      <c r="H171" s="204" t="s">
        <v>261</v>
      </c>
      <c r="I171" s="204">
        <f>ROUNDUP(I170,1-0)</f>
        <v>66</v>
      </c>
      <c r="J171" s="201" t="s">
        <v>117</v>
      </c>
    </row>
    <row r="172" spans="1:10" ht="48" customHeight="1">
      <c r="A172" s="213">
        <v>8.1</v>
      </c>
      <c r="B172" s="188" t="s">
        <v>210</v>
      </c>
      <c r="C172" s="189"/>
      <c r="D172" s="189"/>
      <c r="E172" s="189"/>
      <c r="F172" s="190"/>
      <c r="G172" s="190"/>
      <c r="H172" s="190"/>
      <c r="I172" s="190"/>
      <c r="J172" s="191"/>
    </row>
    <row r="173" spans="1:10" ht="24.95" customHeight="1">
      <c r="A173" s="192"/>
      <c r="B173" s="188" t="s">
        <v>506</v>
      </c>
      <c r="C173" s="189"/>
      <c r="D173" s="189"/>
      <c r="E173" s="189"/>
      <c r="F173" s="190"/>
      <c r="G173" s="190"/>
      <c r="H173" s="190"/>
      <c r="I173" s="190"/>
      <c r="J173" s="191"/>
    </row>
    <row r="174" spans="1:10" ht="24.95" customHeight="1">
      <c r="A174" s="192"/>
      <c r="B174" s="188" t="s">
        <v>507</v>
      </c>
      <c r="C174" s="189"/>
      <c r="D174" s="189"/>
      <c r="E174" s="189"/>
      <c r="F174" s="190"/>
      <c r="G174" s="190"/>
      <c r="H174" s="190"/>
      <c r="I174" s="190"/>
      <c r="J174" s="191"/>
    </row>
    <row r="175" spans="1:10" ht="24.95" customHeight="1">
      <c r="A175" s="192"/>
      <c r="B175" s="202" t="s">
        <v>504</v>
      </c>
      <c r="C175" s="189">
        <v>1</v>
      </c>
      <c r="D175" s="189" t="s">
        <v>461</v>
      </c>
      <c r="E175" s="189">
        <f>E127</f>
        <v>5</v>
      </c>
      <c r="F175" s="203">
        <v>0.23</v>
      </c>
      <c r="G175" s="203">
        <v>0.38</v>
      </c>
      <c r="H175" s="203">
        <v>3.15</v>
      </c>
      <c r="I175" s="203">
        <f t="shared" ref="I175:I181" si="18">PRODUCT(C175:H175)</f>
        <v>1.38</v>
      </c>
      <c r="J175" s="191"/>
    </row>
    <row r="176" spans="1:10" ht="24.95" customHeight="1">
      <c r="A176" s="192"/>
      <c r="B176" s="202" t="s">
        <v>487</v>
      </c>
      <c r="C176" s="189">
        <v>1</v>
      </c>
      <c r="D176" s="189" t="s">
        <v>461</v>
      </c>
      <c r="E176" s="189">
        <v>2</v>
      </c>
      <c r="F176" s="203">
        <v>0.23</v>
      </c>
      <c r="G176" s="203">
        <v>0.45</v>
      </c>
      <c r="H176" s="203">
        <v>3.15</v>
      </c>
      <c r="I176" s="203">
        <f>PRODUCT(C176:H176)</f>
        <v>0.65</v>
      </c>
      <c r="J176" s="191"/>
    </row>
    <row r="177" spans="1:10" ht="24.95" customHeight="1">
      <c r="A177" s="192"/>
      <c r="B177" s="202" t="s">
        <v>487</v>
      </c>
      <c r="C177" s="189">
        <v>1</v>
      </c>
      <c r="D177" s="189" t="s">
        <v>461</v>
      </c>
      <c r="E177" s="189">
        <v>2</v>
      </c>
      <c r="F177" s="203">
        <v>0.23</v>
      </c>
      <c r="G177" s="203">
        <v>0.45</v>
      </c>
      <c r="H177" s="203">
        <v>3.15</v>
      </c>
      <c r="I177" s="203">
        <f t="shared" si="18"/>
        <v>0.65</v>
      </c>
      <c r="J177" s="191"/>
    </row>
    <row r="178" spans="1:10" ht="24.95" customHeight="1">
      <c r="A178" s="192"/>
      <c r="B178" s="202" t="s">
        <v>505</v>
      </c>
      <c r="C178" s="189">
        <v>1</v>
      </c>
      <c r="D178" s="189" t="s">
        <v>461</v>
      </c>
      <c r="E178" s="189">
        <f>E129</f>
        <v>3</v>
      </c>
      <c r="F178" s="203">
        <v>0.23</v>
      </c>
      <c r="G178" s="203">
        <v>0.6</v>
      </c>
      <c r="H178" s="203">
        <v>3.15</v>
      </c>
      <c r="I178" s="203">
        <f t="shared" si="18"/>
        <v>1.3</v>
      </c>
      <c r="J178" s="191"/>
    </row>
    <row r="179" spans="1:10" ht="24.95" customHeight="1">
      <c r="A179" s="192"/>
      <c r="B179" s="202" t="s">
        <v>489</v>
      </c>
      <c r="C179" s="189">
        <v>1</v>
      </c>
      <c r="D179" s="189" t="s">
        <v>461</v>
      </c>
      <c r="E179" s="189">
        <f>E130</f>
        <v>2</v>
      </c>
      <c r="F179" s="203">
        <v>0.3</v>
      </c>
      <c r="G179" s="203">
        <v>0.38</v>
      </c>
      <c r="H179" s="203">
        <v>3.15</v>
      </c>
      <c r="I179" s="203">
        <f t="shared" si="18"/>
        <v>0.72</v>
      </c>
      <c r="J179" s="191"/>
    </row>
    <row r="180" spans="1:10" ht="24.95" customHeight="1">
      <c r="A180" s="192"/>
      <c r="B180" s="202" t="s">
        <v>493</v>
      </c>
      <c r="C180" s="189">
        <v>1</v>
      </c>
      <c r="D180" s="189" t="s">
        <v>461</v>
      </c>
      <c r="E180" s="189">
        <v>4</v>
      </c>
      <c r="F180" s="203">
        <v>0.3</v>
      </c>
      <c r="G180" s="203">
        <v>0.6</v>
      </c>
      <c r="H180" s="203">
        <v>3.15</v>
      </c>
      <c r="I180" s="203">
        <f t="shared" si="18"/>
        <v>2.27</v>
      </c>
      <c r="J180" s="191"/>
    </row>
    <row r="181" spans="1:10" ht="24.95" customHeight="1">
      <c r="A181" s="192"/>
      <c r="B181" s="202" t="s">
        <v>494</v>
      </c>
      <c r="C181" s="189">
        <v>1</v>
      </c>
      <c r="D181" s="189" t="s">
        <v>461</v>
      </c>
      <c r="E181" s="189">
        <v>9</v>
      </c>
      <c r="F181" s="203">
        <v>0.38</v>
      </c>
      <c r="G181" s="203">
        <v>0.38</v>
      </c>
      <c r="H181" s="203">
        <v>3.15</v>
      </c>
      <c r="I181" s="203">
        <f t="shared" si="18"/>
        <v>4.09</v>
      </c>
      <c r="J181" s="191"/>
    </row>
    <row r="182" spans="1:10" ht="24.95" customHeight="1">
      <c r="A182" s="192"/>
      <c r="B182" s="188" t="s">
        <v>508</v>
      </c>
      <c r="C182" s="189"/>
      <c r="D182" s="189"/>
      <c r="E182" s="189"/>
      <c r="F182" s="203"/>
      <c r="G182" s="203"/>
      <c r="H182" s="203"/>
      <c r="I182" s="203"/>
      <c r="J182" s="191"/>
    </row>
    <row r="183" spans="1:10" ht="24.95" customHeight="1">
      <c r="A183" s="192"/>
      <c r="B183" s="193" t="s">
        <v>934</v>
      </c>
      <c r="C183" s="194">
        <v>1</v>
      </c>
      <c r="D183" s="194" t="s">
        <v>461</v>
      </c>
      <c r="E183" s="194">
        <v>1</v>
      </c>
      <c r="F183" s="195">
        <v>64.88</v>
      </c>
      <c r="G183" s="203">
        <v>0.23</v>
      </c>
      <c r="H183" s="203">
        <v>0.15</v>
      </c>
      <c r="I183" s="203">
        <f t="shared" ref="I183:I191" si="19">PRODUCT(C183:H183)</f>
        <v>2.2400000000000002</v>
      </c>
      <c r="J183" s="191"/>
    </row>
    <row r="184" spans="1:10" ht="33.75" customHeight="1">
      <c r="A184" s="192"/>
      <c r="B184" s="193" t="s">
        <v>935</v>
      </c>
      <c r="C184" s="194">
        <v>1</v>
      </c>
      <c r="D184" s="194" t="s">
        <v>461</v>
      </c>
      <c r="E184" s="194">
        <v>1</v>
      </c>
      <c r="F184" s="195">
        <v>20.12</v>
      </c>
      <c r="G184" s="203">
        <v>0.23</v>
      </c>
      <c r="H184" s="203">
        <v>0.15</v>
      </c>
      <c r="I184" s="203">
        <f t="shared" si="19"/>
        <v>0.69</v>
      </c>
      <c r="J184" s="191"/>
    </row>
    <row r="185" spans="1:10" ht="34.5" customHeight="1">
      <c r="A185" s="192"/>
      <c r="B185" s="193"/>
      <c r="C185" s="194">
        <v>1</v>
      </c>
      <c r="D185" s="194" t="s">
        <v>461</v>
      </c>
      <c r="E185" s="194">
        <v>1</v>
      </c>
      <c r="F185" s="195">
        <v>16.59</v>
      </c>
      <c r="G185" s="203">
        <v>0.23</v>
      </c>
      <c r="H185" s="203">
        <v>0.15</v>
      </c>
      <c r="I185" s="203">
        <f t="shared" si="19"/>
        <v>0.56999999999999995</v>
      </c>
      <c r="J185" s="191"/>
    </row>
    <row r="186" spans="1:10" ht="24.95" customHeight="1">
      <c r="A186" s="192"/>
      <c r="B186" s="193" t="s">
        <v>936</v>
      </c>
      <c r="C186" s="194">
        <v>1</v>
      </c>
      <c r="D186" s="194" t="s">
        <v>461</v>
      </c>
      <c r="E186" s="194">
        <v>1</v>
      </c>
      <c r="F186" s="195">
        <v>3.3</v>
      </c>
      <c r="G186" s="203">
        <v>0.23</v>
      </c>
      <c r="H186" s="203">
        <v>0.15</v>
      </c>
      <c r="I186" s="203">
        <f t="shared" si="19"/>
        <v>0.11</v>
      </c>
      <c r="J186" s="191"/>
    </row>
    <row r="187" spans="1:10" ht="24.95" customHeight="1">
      <c r="A187" s="192"/>
      <c r="B187" s="193" t="s">
        <v>937</v>
      </c>
      <c r="C187" s="194">
        <v>1</v>
      </c>
      <c r="D187" s="194" t="s">
        <v>461</v>
      </c>
      <c r="E187" s="194">
        <v>3</v>
      </c>
      <c r="F187" s="195">
        <v>3.6</v>
      </c>
      <c r="G187" s="203">
        <v>0.23</v>
      </c>
      <c r="H187" s="203">
        <v>0.15</v>
      </c>
      <c r="I187" s="203">
        <f t="shared" si="19"/>
        <v>0.37</v>
      </c>
      <c r="J187" s="191"/>
    </row>
    <row r="188" spans="1:10" ht="24.95" customHeight="1">
      <c r="A188" s="192"/>
      <c r="B188" s="193" t="s">
        <v>938</v>
      </c>
      <c r="C188" s="194">
        <v>1</v>
      </c>
      <c r="D188" s="194" t="s">
        <v>461</v>
      </c>
      <c r="E188" s="194">
        <v>2</v>
      </c>
      <c r="F188" s="195">
        <v>6</v>
      </c>
      <c r="G188" s="203">
        <v>0.23</v>
      </c>
      <c r="H188" s="203">
        <v>0.15</v>
      </c>
      <c r="I188" s="203">
        <f t="shared" si="19"/>
        <v>0.41</v>
      </c>
      <c r="J188" s="191"/>
    </row>
    <row r="189" spans="1:10" ht="24.95" customHeight="1">
      <c r="A189" s="192"/>
      <c r="B189" s="193" t="s">
        <v>939</v>
      </c>
      <c r="C189" s="194">
        <v>1</v>
      </c>
      <c r="D189" s="194" t="s">
        <v>461</v>
      </c>
      <c r="E189" s="194">
        <v>1</v>
      </c>
      <c r="F189" s="195">
        <v>8.0299999999999994</v>
      </c>
      <c r="G189" s="203">
        <v>0.23</v>
      </c>
      <c r="H189" s="203">
        <v>0.15</v>
      </c>
      <c r="I189" s="203">
        <f t="shared" si="19"/>
        <v>0.28000000000000003</v>
      </c>
      <c r="J189" s="191"/>
    </row>
    <row r="190" spans="1:10" ht="24.95" customHeight="1">
      <c r="A190" s="192"/>
      <c r="B190" s="193" t="s">
        <v>946</v>
      </c>
      <c r="C190" s="199">
        <v>1</v>
      </c>
      <c r="D190" s="199" t="s">
        <v>461</v>
      </c>
      <c r="E190" s="199">
        <v>1</v>
      </c>
      <c r="F190" s="197">
        <v>2</v>
      </c>
      <c r="G190" s="203">
        <v>0.23</v>
      </c>
      <c r="H190" s="203">
        <v>0.15</v>
      </c>
      <c r="I190" s="203">
        <f t="shared" si="19"/>
        <v>7.0000000000000007E-2</v>
      </c>
      <c r="J190" s="191"/>
    </row>
    <row r="191" spans="1:10" ht="24.95" customHeight="1">
      <c r="A191" s="192"/>
      <c r="B191" s="193" t="s">
        <v>947</v>
      </c>
      <c r="C191" s="199">
        <v>1</v>
      </c>
      <c r="D191" s="199" t="s">
        <v>461</v>
      </c>
      <c r="E191" s="199">
        <v>1</v>
      </c>
      <c r="F191" s="197">
        <v>21.32</v>
      </c>
      <c r="G191" s="203">
        <v>0.12</v>
      </c>
      <c r="H191" s="203">
        <v>0.1</v>
      </c>
      <c r="I191" s="203">
        <f t="shared" si="19"/>
        <v>0.26</v>
      </c>
      <c r="J191" s="191"/>
    </row>
    <row r="192" spans="1:10" ht="24.95" customHeight="1">
      <c r="A192" s="192"/>
      <c r="B192" s="188" t="s">
        <v>510</v>
      </c>
      <c r="C192" s="189"/>
      <c r="D192" s="189"/>
      <c r="E192" s="189"/>
      <c r="F192" s="203"/>
      <c r="G192" s="203"/>
      <c r="H192" s="203"/>
      <c r="I192" s="203"/>
      <c r="J192" s="191"/>
    </row>
    <row r="193" spans="1:10" ht="24.95" customHeight="1">
      <c r="A193" s="192"/>
      <c r="B193" s="202" t="s">
        <v>511</v>
      </c>
      <c r="C193" s="189">
        <v>1</v>
      </c>
      <c r="D193" s="189" t="s">
        <v>461</v>
      </c>
      <c r="E193" s="189">
        <v>1</v>
      </c>
      <c r="F193" s="203">
        <v>12.32</v>
      </c>
      <c r="G193" s="203">
        <v>20.58</v>
      </c>
      <c r="H193" s="203">
        <v>0.12</v>
      </c>
      <c r="I193" s="203">
        <f t="shared" ref="I193:I194" si="20">PRODUCT(C193:H193)</f>
        <v>30.43</v>
      </c>
      <c r="J193" s="191"/>
    </row>
    <row r="194" spans="1:10" ht="24.95" customHeight="1">
      <c r="A194" s="192"/>
      <c r="B194" s="202" t="s">
        <v>512</v>
      </c>
      <c r="C194" s="189">
        <v>1</v>
      </c>
      <c r="D194" s="189" t="s">
        <v>461</v>
      </c>
      <c r="E194" s="189">
        <v>1</v>
      </c>
      <c r="F194" s="203">
        <f>3.6+0.46</f>
        <v>4.0599999999999996</v>
      </c>
      <c r="G194" s="203">
        <v>1.2</v>
      </c>
      <c r="H194" s="203">
        <v>0.12</v>
      </c>
      <c r="I194" s="203">
        <f t="shared" si="20"/>
        <v>0.57999999999999996</v>
      </c>
      <c r="J194" s="191"/>
    </row>
    <row r="195" spans="1:10" ht="24.95" customHeight="1">
      <c r="A195" s="192"/>
      <c r="B195" s="188" t="s">
        <v>513</v>
      </c>
      <c r="C195" s="189"/>
      <c r="D195" s="189"/>
      <c r="E195" s="189"/>
      <c r="F195" s="203"/>
      <c r="G195" s="203"/>
      <c r="H195" s="203"/>
      <c r="I195" s="203"/>
      <c r="J195" s="191"/>
    </row>
    <row r="196" spans="1:10" ht="24.95" customHeight="1">
      <c r="A196" s="192"/>
      <c r="B196" s="193" t="s">
        <v>934</v>
      </c>
      <c r="C196" s="194">
        <v>1</v>
      </c>
      <c r="D196" s="194" t="s">
        <v>461</v>
      </c>
      <c r="E196" s="194">
        <v>1</v>
      </c>
      <c r="F196" s="195">
        <v>64.88</v>
      </c>
      <c r="G196" s="203">
        <f>G183</f>
        <v>0.23</v>
      </c>
      <c r="H196" s="203">
        <v>0.45</v>
      </c>
      <c r="I196" s="203">
        <f t="shared" ref="I196:I203" si="21">PRODUCT(C196:H196)</f>
        <v>6.72</v>
      </c>
      <c r="J196" s="191"/>
    </row>
    <row r="197" spans="1:10" ht="24.95" customHeight="1">
      <c r="A197" s="192"/>
      <c r="B197" s="193" t="s">
        <v>935</v>
      </c>
      <c r="C197" s="194">
        <v>1</v>
      </c>
      <c r="D197" s="194" t="s">
        <v>461</v>
      </c>
      <c r="E197" s="194">
        <v>1</v>
      </c>
      <c r="F197" s="195">
        <v>20.12</v>
      </c>
      <c r="G197" s="203">
        <v>0.23</v>
      </c>
      <c r="H197" s="203">
        <v>0.45</v>
      </c>
      <c r="I197" s="203">
        <f t="shared" si="21"/>
        <v>2.08</v>
      </c>
      <c r="J197" s="191"/>
    </row>
    <row r="198" spans="1:10" ht="24.95" customHeight="1">
      <c r="A198" s="192"/>
      <c r="B198" s="193"/>
      <c r="C198" s="194">
        <v>1</v>
      </c>
      <c r="D198" s="194" t="s">
        <v>461</v>
      </c>
      <c r="E198" s="194">
        <v>1</v>
      </c>
      <c r="F198" s="195">
        <v>16.59</v>
      </c>
      <c r="G198" s="203">
        <v>0.23</v>
      </c>
      <c r="H198" s="203">
        <v>0.45</v>
      </c>
      <c r="I198" s="203">
        <f t="shared" si="21"/>
        <v>1.72</v>
      </c>
      <c r="J198" s="191"/>
    </row>
    <row r="199" spans="1:10" ht="24.95" customHeight="1">
      <c r="A199" s="192"/>
      <c r="B199" s="193" t="s">
        <v>936</v>
      </c>
      <c r="C199" s="194">
        <v>1</v>
      </c>
      <c r="D199" s="194" t="s">
        <v>461</v>
      </c>
      <c r="E199" s="194">
        <v>1</v>
      </c>
      <c r="F199" s="195">
        <v>3.3</v>
      </c>
      <c r="G199" s="203">
        <v>0.23</v>
      </c>
      <c r="H199" s="203">
        <v>0.45</v>
      </c>
      <c r="I199" s="203">
        <f t="shared" si="21"/>
        <v>0.34</v>
      </c>
      <c r="J199" s="191"/>
    </row>
    <row r="200" spans="1:10" ht="24.95" customHeight="1">
      <c r="A200" s="192"/>
      <c r="B200" s="193" t="s">
        <v>937</v>
      </c>
      <c r="C200" s="194">
        <v>1</v>
      </c>
      <c r="D200" s="194" t="s">
        <v>461</v>
      </c>
      <c r="E200" s="194">
        <v>3</v>
      </c>
      <c r="F200" s="195">
        <v>3.6</v>
      </c>
      <c r="G200" s="203">
        <v>0.23</v>
      </c>
      <c r="H200" s="203">
        <v>0.45</v>
      </c>
      <c r="I200" s="203">
        <f t="shared" si="21"/>
        <v>1.1200000000000001</v>
      </c>
      <c r="J200" s="191"/>
    </row>
    <row r="201" spans="1:10" ht="24.95" customHeight="1">
      <c r="A201" s="192"/>
      <c r="B201" s="193" t="s">
        <v>938</v>
      </c>
      <c r="C201" s="194">
        <v>1</v>
      </c>
      <c r="D201" s="194" t="s">
        <v>461</v>
      </c>
      <c r="E201" s="194">
        <v>2</v>
      </c>
      <c r="F201" s="195">
        <v>6</v>
      </c>
      <c r="G201" s="203">
        <v>0.23</v>
      </c>
      <c r="H201" s="203">
        <v>0.45</v>
      </c>
      <c r="I201" s="203">
        <f t="shared" si="21"/>
        <v>1.24</v>
      </c>
      <c r="J201" s="191"/>
    </row>
    <row r="202" spans="1:10" ht="24.95" customHeight="1">
      <c r="A202" s="192"/>
      <c r="B202" s="193" t="s">
        <v>946</v>
      </c>
      <c r="C202" s="199">
        <v>1</v>
      </c>
      <c r="D202" s="199" t="s">
        <v>461</v>
      </c>
      <c r="E202" s="199">
        <v>1</v>
      </c>
      <c r="F202" s="197">
        <v>2</v>
      </c>
      <c r="G202" s="203">
        <v>0.23</v>
      </c>
      <c r="H202" s="203">
        <v>0.45</v>
      </c>
      <c r="I202" s="203">
        <f t="shared" si="21"/>
        <v>0.21</v>
      </c>
      <c r="J202" s="191"/>
    </row>
    <row r="203" spans="1:10" ht="24.95" customHeight="1">
      <c r="A203" s="192"/>
      <c r="B203" s="202" t="s">
        <v>948</v>
      </c>
      <c r="C203" s="189">
        <v>1</v>
      </c>
      <c r="D203" s="189" t="s">
        <v>461</v>
      </c>
      <c r="E203" s="189">
        <v>1</v>
      </c>
      <c r="F203" s="203">
        <v>3.6</v>
      </c>
      <c r="G203" s="203">
        <v>0.23</v>
      </c>
      <c r="H203" s="203">
        <v>0.45</v>
      </c>
      <c r="I203" s="203">
        <f t="shared" si="21"/>
        <v>0.37</v>
      </c>
      <c r="J203" s="191"/>
    </row>
    <row r="204" spans="1:10" ht="24.95" customHeight="1">
      <c r="A204" s="192"/>
      <c r="B204" s="188" t="s">
        <v>514</v>
      </c>
      <c r="C204" s="189"/>
      <c r="D204" s="189"/>
      <c r="E204" s="189"/>
      <c r="F204" s="203"/>
      <c r="G204" s="203"/>
      <c r="H204" s="203"/>
      <c r="I204" s="203"/>
      <c r="J204" s="191"/>
    </row>
    <row r="205" spans="1:10" ht="24.95" customHeight="1">
      <c r="A205" s="192"/>
      <c r="B205" s="202" t="s">
        <v>515</v>
      </c>
      <c r="C205" s="189">
        <v>1</v>
      </c>
      <c r="D205" s="189" t="s">
        <v>461</v>
      </c>
      <c r="E205" s="189">
        <v>1</v>
      </c>
      <c r="F205" s="203">
        <v>4.5</v>
      </c>
      <c r="G205" s="203">
        <v>0.45</v>
      </c>
      <c r="H205" s="203">
        <v>0.05</v>
      </c>
      <c r="I205" s="203">
        <f t="shared" ref="I205:I216" si="22">PRODUCT(C205:H205)</f>
        <v>0.1</v>
      </c>
      <c r="J205" s="191"/>
    </row>
    <row r="206" spans="1:10" ht="24.95" customHeight="1">
      <c r="A206" s="192"/>
      <c r="B206" s="202" t="s">
        <v>476</v>
      </c>
      <c r="C206" s="189">
        <v>1</v>
      </c>
      <c r="D206" s="189" t="s">
        <v>461</v>
      </c>
      <c r="E206" s="189">
        <v>1</v>
      </c>
      <c r="F206" s="203">
        <v>6.46</v>
      </c>
      <c r="G206" s="203">
        <v>0.6</v>
      </c>
      <c r="H206" s="203">
        <v>0.05</v>
      </c>
      <c r="I206" s="203">
        <f t="shared" si="22"/>
        <v>0.19</v>
      </c>
      <c r="J206" s="191"/>
    </row>
    <row r="207" spans="1:10" ht="24.95" customHeight="1">
      <c r="A207" s="192"/>
      <c r="B207" s="202" t="s">
        <v>949</v>
      </c>
      <c r="C207" s="189">
        <v>1</v>
      </c>
      <c r="D207" s="189" t="s">
        <v>461</v>
      </c>
      <c r="E207" s="189">
        <v>2</v>
      </c>
      <c r="F207" s="203">
        <v>6</v>
      </c>
      <c r="G207" s="203">
        <v>0.6</v>
      </c>
      <c r="H207" s="203">
        <v>0.05</v>
      </c>
      <c r="I207" s="203">
        <f t="shared" si="22"/>
        <v>0.36</v>
      </c>
      <c r="J207" s="191"/>
    </row>
    <row r="208" spans="1:10" ht="24.95" customHeight="1">
      <c r="A208" s="192"/>
      <c r="B208" s="202" t="s">
        <v>517</v>
      </c>
      <c r="C208" s="189">
        <v>1</v>
      </c>
      <c r="D208" s="189" t="s">
        <v>461</v>
      </c>
      <c r="E208" s="189">
        <v>7</v>
      </c>
      <c r="F208" s="203">
        <v>1.96</v>
      </c>
      <c r="G208" s="203">
        <v>0.23</v>
      </c>
      <c r="H208" s="203">
        <v>0.05</v>
      </c>
      <c r="I208" s="203">
        <f t="shared" si="22"/>
        <v>0.16</v>
      </c>
      <c r="J208" s="191"/>
    </row>
    <row r="209" spans="1:10" ht="24.95" customHeight="1">
      <c r="A209" s="192"/>
      <c r="B209" s="202" t="s">
        <v>518</v>
      </c>
      <c r="C209" s="189">
        <v>1</v>
      </c>
      <c r="D209" s="189" t="s">
        <v>461</v>
      </c>
      <c r="E209" s="189">
        <v>1</v>
      </c>
      <c r="F209" s="203">
        <v>1.81</v>
      </c>
      <c r="G209" s="203">
        <v>0.23</v>
      </c>
      <c r="H209" s="203">
        <v>0.05</v>
      </c>
      <c r="I209" s="203">
        <f t="shared" si="22"/>
        <v>0.02</v>
      </c>
      <c r="J209" s="191"/>
    </row>
    <row r="210" spans="1:10" ht="24.95" customHeight="1">
      <c r="A210" s="192"/>
      <c r="B210" s="202" t="s">
        <v>519</v>
      </c>
      <c r="C210" s="189">
        <v>1</v>
      </c>
      <c r="D210" s="189" t="s">
        <v>461</v>
      </c>
      <c r="E210" s="189">
        <v>3</v>
      </c>
      <c r="F210" s="203">
        <v>1.36</v>
      </c>
      <c r="G210" s="203">
        <v>0.23</v>
      </c>
      <c r="H210" s="203">
        <v>0.05</v>
      </c>
      <c r="I210" s="203">
        <f t="shared" si="22"/>
        <v>0.05</v>
      </c>
      <c r="J210" s="191"/>
    </row>
    <row r="211" spans="1:10" ht="24.95" customHeight="1">
      <c r="A211" s="192"/>
      <c r="B211" s="202" t="s">
        <v>520</v>
      </c>
      <c r="C211" s="189">
        <v>1</v>
      </c>
      <c r="D211" s="189" t="s">
        <v>461</v>
      </c>
      <c r="E211" s="189">
        <v>1</v>
      </c>
      <c r="F211" s="203">
        <v>1.21</v>
      </c>
      <c r="G211" s="203">
        <v>0.23</v>
      </c>
      <c r="H211" s="203">
        <v>0.05</v>
      </c>
      <c r="I211" s="203">
        <f t="shared" si="22"/>
        <v>0.01</v>
      </c>
      <c r="J211" s="191"/>
    </row>
    <row r="212" spans="1:10" ht="24.95" customHeight="1">
      <c r="A212" s="192"/>
      <c r="B212" s="202" t="s">
        <v>521</v>
      </c>
      <c r="C212" s="189">
        <v>1</v>
      </c>
      <c r="D212" s="189" t="s">
        <v>461</v>
      </c>
      <c r="E212" s="189">
        <v>1</v>
      </c>
      <c r="F212" s="203">
        <v>1.66</v>
      </c>
      <c r="G212" s="203">
        <v>0.23</v>
      </c>
      <c r="H212" s="203">
        <v>0.05</v>
      </c>
      <c r="I212" s="203">
        <f t="shared" si="22"/>
        <v>0.02</v>
      </c>
      <c r="J212" s="191"/>
    </row>
    <row r="213" spans="1:10" ht="24.95" customHeight="1">
      <c r="A213" s="192"/>
      <c r="B213" s="202" t="s">
        <v>522</v>
      </c>
      <c r="C213" s="189">
        <v>1</v>
      </c>
      <c r="D213" s="189" t="s">
        <v>461</v>
      </c>
      <c r="E213" s="189">
        <v>1</v>
      </c>
      <c r="F213" s="203">
        <v>1.96</v>
      </c>
      <c r="G213" s="203">
        <v>0.23</v>
      </c>
      <c r="H213" s="203">
        <v>0.05</v>
      </c>
      <c r="I213" s="203">
        <f t="shared" si="22"/>
        <v>0.02</v>
      </c>
      <c r="J213" s="191"/>
    </row>
    <row r="214" spans="1:10" ht="24.95" customHeight="1">
      <c r="A214" s="192"/>
      <c r="B214" s="202" t="s">
        <v>523</v>
      </c>
      <c r="C214" s="189">
        <v>1</v>
      </c>
      <c r="D214" s="189" t="s">
        <v>461</v>
      </c>
      <c r="E214" s="189">
        <v>2</v>
      </c>
      <c r="F214" s="203">
        <v>1.51</v>
      </c>
      <c r="G214" s="203">
        <v>0.23</v>
      </c>
      <c r="H214" s="203">
        <v>0.05</v>
      </c>
      <c r="I214" s="203">
        <f t="shared" si="22"/>
        <v>0.03</v>
      </c>
      <c r="J214" s="191"/>
    </row>
    <row r="215" spans="1:10" ht="24.95" customHeight="1">
      <c r="A215" s="192"/>
      <c r="B215" s="202" t="s">
        <v>524</v>
      </c>
      <c r="C215" s="189">
        <v>1</v>
      </c>
      <c r="D215" s="189" t="s">
        <v>461</v>
      </c>
      <c r="E215" s="189">
        <v>1</v>
      </c>
      <c r="F215" s="203">
        <v>2.11</v>
      </c>
      <c r="G215" s="203">
        <v>0.23</v>
      </c>
      <c r="H215" s="203">
        <v>0.05</v>
      </c>
      <c r="I215" s="203">
        <f t="shared" si="22"/>
        <v>0.02</v>
      </c>
      <c r="J215" s="191"/>
    </row>
    <row r="216" spans="1:10" ht="24.95" customHeight="1">
      <c r="A216" s="192"/>
      <c r="B216" s="202" t="s">
        <v>950</v>
      </c>
      <c r="C216" s="189">
        <v>1</v>
      </c>
      <c r="D216" s="189" t="s">
        <v>461</v>
      </c>
      <c r="E216" s="189">
        <v>2</v>
      </c>
      <c r="F216" s="203">
        <v>16.2</v>
      </c>
      <c r="G216" s="203">
        <v>0.6</v>
      </c>
      <c r="H216" s="203">
        <v>0.05</v>
      </c>
      <c r="I216" s="203">
        <f t="shared" si="22"/>
        <v>0.97</v>
      </c>
      <c r="J216" s="191"/>
    </row>
    <row r="217" spans="1:10" ht="24.95" customHeight="1">
      <c r="A217" s="192"/>
      <c r="B217" s="188" t="s">
        <v>525</v>
      </c>
      <c r="C217" s="189"/>
      <c r="D217" s="189"/>
      <c r="E217" s="189"/>
      <c r="F217" s="203"/>
      <c r="G217" s="203"/>
      <c r="H217" s="203"/>
      <c r="I217" s="203"/>
      <c r="J217" s="191"/>
    </row>
    <row r="218" spans="1:10" ht="24.95" customHeight="1">
      <c r="A218" s="192"/>
      <c r="B218" s="188" t="s">
        <v>526</v>
      </c>
      <c r="C218" s="189">
        <v>1</v>
      </c>
      <c r="D218" s="189" t="s">
        <v>461</v>
      </c>
      <c r="E218" s="189">
        <v>7</v>
      </c>
      <c r="F218" s="203">
        <v>1.96</v>
      </c>
      <c r="G218" s="203">
        <v>0.6</v>
      </c>
      <c r="H218" s="206">
        <v>6.3E-2</v>
      </c>
      <c r="I218" s="203">
        <f t="shared" ref="I218:I227" si="23">PRODUCT(C218:H218)</f>
        <v>0.52</v>
      </c>
      <c r="J218" s="191"/>
    </row>
    <row r="219" spans="1:10" ht="24.95" customHeight="1">
      <c r="A219" s="192"/>
      <c r="B219" s="202" t="s">
        <v>527</v>
      </c>
      <c r="C219" s="189">
        <v>1</v>
      </c>
      <c r="D219" s="189" t="s">
        <v>461</v>
      </c>
      <c r="E219" s="189">
        <v>1</v>
      </c>
      <c r="F219" s="203">
        <v>1.81</v>
      </c>
      <c r="G219" s="203">
        <v>0.6</v>
      </c>
      <c r="H219" s="206">
        <v>6.3E-2</v>
      </c>
      <c r="I219" s="203">
        <f t="shared" si="23"/>
        <v>7.0000000000000007E-2</v>
      </c>
      <c r="J219" s="191"/>
    </row>
    <row r="220" spans="1:10" ht="24.95" customHeight="1">
      <c r="A220" s="192"/>
      <c r="B220" s="202" t="s">
        <v>519</v>
      </c>
      <c r="C220" s="189">
        <v>1</v>
      </c>
      <c r="D220" s="189" t="s">
        <v>461</v>
      </c>
      <c r="E220" s="189">
        <v>3</v>
      </c>
      <c r="F220" s="203">
        <v>1.36</v>
      </c>
      <c r="G220" s="203">
        <v>0.6</v>
      </c>
      <c r="H220" s="206">
        <v>6.3E-2</v>
      </c>
      <c r="I220" s="203">
        <f t="shared" si="23"/>
        <v>0.15</v>
      </c>
      <c r="J220" s="191"/>
    </row>
    <row r="221" spans="1:10" ht="24.95" customHeight="1">
      <c r="A221" s="192"/>
      <c r="B221" s="202" t="s">
        <v>521</v>
      </c>
      <c r="C221" s="189">
        <v>1</v>
      </c>
      <c r="D221" s="189" t="s">
        <v>461</v>
      </c>
      <c r="E221" s="189">
        <v>1</v>
      </c>
      <c r="F221" s="203">
        <v>1.66</v>
      </c>
      <c r="G221" s="203">
        <v>0.6</v>
      </c>
      <c r="H221" s="206">
        <v>6.3E-2</v>
      </c>
      <c r="I221" s="203">
        <f t="shared" si="23"/>
        <v>0.06</v>
      </c>
      <c r="J221" s="191"/>
    </row>
    <row r="222" spans="1:10" ht="24.95" customHeight="1">
      <c r="A222" s="192"/>
      <c r="B222" s="202" t="s">
        <v>524</v>
      </c>
      <c r="C222" s="189">
        <v>1</v>
      </c>
      <c r="D222" s="189" t="s">
        <v>461</v>
      </c>
      <c r="E222" s="189">
        <v>1</v>
      </c>
      <c r="F222" s="203">
        <v>2.11</v>
      </c>
      <c r="G222" s="203">
        <v>0.23</v>
      </c>
      <c r="H222" s="203">
        <v>0.05</v>
      </c>
      <c r="I222" s="203">
        <f t="shared" si="23"/>
        <v>0.02</v>
      </c>
      <c r="J222" s="191"/>
    </row>
    <row r="223" spans="1:10" ht="24.95" customHeight="1">
      <c r="A223" s="192"/>
      <c r="B223" s="202" t="s">
        <v>528</v>
      </c>
      <c r="C223" s="189">
        <v>1</v>
      </c>
      <c r="D223" s="189" t="s">
        <v>461</v>
      </c>
      <c r="E223" s="189">
        <v>1</v>
      </c>
      <c r="F223" s="203">
        <v>3.75</v>
      </c>
      <c r="G223" s="203">
        <v>1.5</v>
      </c>
      <c r="H223" s="203">
        <v>0.13</v>
      </c>
      <c r="I223" s="203">
        <f t="shared" si="23"/>
        <v>0.73</v>
      </c>
      <c r="J223" s="191"/>
    </row>
    <row r="224" spans="1:10" ht="24.95" customHeight="1">
      <c r="A224" s="192"/>
      <c r="B224" s="202" t="s">
        <v>529</v>
      </c>
      <c r="C224" s="189">
        <v>1</v>
      </c>
      <c r="D224" s="189" t="s">
        <v>461</v>
      </c>
      <c r="E224" s="189">
        <v>1</v>
      </c>
      <c r="F224" s="203">
        <v>4.1100000000000003</v>
      </c>
      <c r="G224" s="203">
        <v>1.5</v>
      </c>
      <c r="H224" s="203">
        <v>0.13</v>
      </c>
      <c r="I224" s="203">
        <f t="shared" si="23"/>
        <v>0.8</v>
      </c>
      <c r="J224" s="191"/>
    </row>
    <row r="225" spans="1:10" ht="24.95" customHeight="1">
      <c r="A225" s="192"/>
      <c r="B225" s="202" t="s">
        <v>530</v>
      </c>
      <c r="C225" s="189">
        <v>1</v>
      </c>
      <c r="D225" s="189" t="s">
        <v>461</v>
      </c>
      <c r="E225" s="189">
        <v>1</v>
      </c>
      <c r="F225" s="203">
        <v>3.45</v>
      </c>
      <c r="G225" s="203">
        <v>1.5</v>
      </c>
      <c r="H225" s="203">
        <v>0.13</v>
      </c>
      <c r="I225" s="203">
        <f t="shared" si="23"/>
        <v>0.67</v>
      </c>
      <c r="J225" s="191"/>
    </row>
    <row r="226" spans="1:10" ht="24.95" customHeight="1">
      <c r="A226" s="192"/>
      <c r="B226" s="202" t="s">
        <v>531</v>
      </c>
      <c r="C226" s="189">
        <v>1</v>
      </c>
      <c r="D226" s="189">
        <v>23</v>
      </c>
      <c r="E226" s="219">
        <v>0.5</v>
      </c>
      <c r="F226" s="203">
        <v>0.3</v>
      </c>
      <c r="G226" s="203">
        <v>0.15</v>
      </c>
      <c r="H226" s="203">
        <v>1.5</v>
      </c>
      <c r="I226" s="203">
        <f t="shared" si="23"/>
        <v>0.78</v>
      </c>
      <c r="J226" s="191"/>
    </row>
    <row r="227" spans="1:10" ht="24.95" customHeight="1">
      <c r="A227" s="192"/>
      <c r="B227" s="202" t="s">
        <v>532</v>
      </c>
      <c r="C227" s="189">
        <v>1</v>
      </c>
      <c r="D227" s="189" t="s">
        <v>461</v>
      </c>
      <c r="E227" s="189">
        <v>2</v>
      </c>
      <c r="F227" s="203">
        <v>4.1100000000000003</v>
      </c>
      <c r="G227" s="203">
        <v>0.23</v>
      </c>
      <c r="H227" s="203">
        <v>0.3</v>
      </c>
      <c r="I227" s="203">
        <f t="shared" si="23"/>
        <v>0.56999999999999995</v>
      </c>
      <c r="J227" s="191"/>
    </row>
    <row r="228" spans="1:10" ht="24.95" customHeight="1">
      <c r="A228" s="192"/>
      <c r="B228" s="188"/>
      <c r="C228" s="189"/>
      <c r="D228" s="189"/>
      <c r="E228" s="189"/>
      <c r="F228" s="203"/>
      <c r="G228" s="203"/>
      <c r="H228" s="203"/>
      <c r="I228" s="203">
        <f>SUM(I175:I227)</f>
        <v>67.19</v>
      </c>
      <c r="J228" s="191"/>
    </row>
    <row r="229" spans="1:10" ht="24.95" customHeight="1">
      <c r="A229" s="192"/>
      <c r="B229" s="188"/>
      <c r="C229" s="189"/>
      <c r="D229" s="189"/>
      <c r="E229" s="189"/>
      <c r="F229" s="203"/>
      <c r="G229" s="203"/>
      <c r="H229" s="204" t="s">
        <v>261</v>
      </c>
      <c r="I229" s="204">
        <f>ROUNDUP(I228,1-0)</f>
        <v>67.2</v>
      </c>
      <c r="J229" s="201" t="s">
        <v>117</v>
      </c>
    </row>
    <row r="230" spans="1:10" ht="24.95" customHeight="1">
      <c r="A230" s="192"/>
      <c r="B230" s="188" t="s">
        <v>533</v>
      </c>
      <c r="C230" s="189"/>
      <c r="D230" s="189"/>
      <c r="E230" s="189"/>
      <c r="F230" s="190"/>
      <c r="G230" s="190"/>
      <c r="H230" s="190"/>
      <c r="I230" s="190"/>
      <c r="J230" s="191"/>
    </row>
    <row r="231" spans="1:10" ht="24.95" customHeight="1">
      <c r="A231" s="192"/>
      <c r="B231" s="188" t="s">
        <v>507</v>
      </c>
      <c r="C231" s="189"/>
      <c r="D231" s="189"/>
      <c r="E231" s="189"/>
      <c r="F231" s="560"/>
      <c r="G231" s="561"/>
      <c r="H231" s="561"/>
      <c r="I231" s="562"/>
      <c r="J231" s="191"/>
    </row>
    <row r="232" spans="1:10" ht="24.95" customHeight="1">
      <c r="A232" s="192"/>
      <c r="B232" s="202" t="s">
        <v>504</v>
      </c>
      <c r="C232" s="189">
        <v>1</v>
      </c>
      <c r="D232" s="189" t="s">
        <v>461</v>
      </c>
      <c r="E232" s="189">
        <v>5</v>
      </c>
      <c r="F232" s="203">
        <v>0.23</v>
      </c>
      <c r="G232" s="203">
        <v>0.38</v>
      </c>
      <c r="H232" s="203">
        <v>3.15</v>
      </c>
      <c r="I232" s="203">
        <f t="shared" ref="I232:I239" si="24">PRODUCT(C232:H232)</f>
        <v>1.38</v>
      </c>
      <c r="J232" s="191"/>
    </row>
    <row r="233" spans="1:10" ht="24.95" customHeight="1">
      <c r="A233" s="192"/>
      <c r="B233" s="202" t="s">
        <v>487</v>
      </c>
      <c r="C233" s="189">
        <v>1</v>
      </c>
      <c r="D233" s="189" t="s">
        <v>461</v>
      </c>
      <c r="E233" s="189">
        <v>1</v>
      </c>
      <c r="F233" s="203">
        <v>0.23</v>
      </c>
      <c r="G233" s="203">
        <v>0.45</v>
      </c>
      <c r="H233" s="203">
        <v>3</v>
      </c>
      <c r="I233" s="203">
        <f t="shared" si="24"/>
        <v>0.31</v>
      </c>
      <c r="J233" s="191"/>
    </row>
    <row r="234" spans="1:10" ht="24.95" customHeight="1">
      <c r="A234" s="192"/>
      <c r="B234" s="202" t="s">
        <v>487</v>
      </c>
      <c r="C234" s="189">
        <v>1</v>
      </c>
      <c r="D234" s="189" t="s">
        <v>461</v>
      </c>
      <c r="E234" s="189">
        <v>3</v>
      </c>
      <c r="F234" s="203">
        <v>0.23</v>
      </c>
      <c r="G234" s="203">
        <v>0.45</v>
      </c>
      <c r="H234" s="203">
        <v>3.15</v>
      </c>
      <c r="I234" s="203">
        <f t="shared" si="24"/>
        <v>0.98</v>
      </c>
      <c r="J234" s="191"/>
    </row>
    <row r="235" spans="1:10" ht="24.95" customHeight="1">
      <c r="A235" s="192"/>
      <c r="B235" s="202" t="s">
        <v>505</v>
      </c>
      <c r="C235" s="189">
        <v>1</v>
      </c>
      <c r="D235" s="189" t="s">
        <v>461</v>
      </c>
      <c r="E235" s="189">
        <v>1</v>
      </c>
      <c r="F235" s="203">
        <v>0.23</v>
      </c>
      <c r="G235" s="203">
        <v>0.6</v>
      </c>
      <c r="H235" s="203">
        <v>3</v>
      </c>
      <c r="I235" s="203">
        <f t="shared" si="24"/>
        <v>0.41</v>
      </c>
      <c r="J235" s="191"/>
    </row>
    <row r="236" spans="1:10" ht="24.95" customHeight="1">
      <c r="A236" s="192"/>
      <c r="B236" s="202" t="s">
        <v>505</v>
      </c>
      <c r="C236" s="189">
        <v>1</v>
      </c>
      <c r="D236" s="189" t="s">
        <v>461</v>
      </c>
      <c r="E236" s="189">
        <v>2</v>
      </c>
      <c r="F236" s="203">
        <v>0.23</v>
      </c>
      <c r="G236" s="203">
        <v>0.6</v>
      </c>
      <c r="H236" s="203">
        <v>3.15</v>
      </c>
      <c r="I236" s="203">
        <f t="shared" si="24"/>
        <v>0.87</v>
      </c>
      <c r="J236" s="191"/>
    </row>
    <row r="237" spans="1:10" ht="24.95" customHeight="1">
      <c r="A237" s="192"/>
      <c r="B237" s="202" t="s">
        <v>489</v>
      </c>
      <c r="C237" s="189">
        <v>1</v>
      </c>
      <c r="D237" s="189" t="s">
        <v>461</v>
      </c>
      <c r="E237" s="189">
        <v>2</v>
      </c>
      <c r="F237" s="203">
        <v>0.3</v>
      </c>
      <c r="G237" s="203">
        <v>0.38</v>
      </c>
      <c r="H237" s="203">
        <v>3.15</v>
      </c>
      <c r="I237" s="203">
        <f t="shared" si="24"/>
        <v>0.72</v>
      </c>
      <c r="J237" s="191"/>
    </row>
    <row r="238" spans="1:10" ht="24.95" customHeight="1">
      <c r="A238" s="192"/>
      <c r="B238" s="202" t="s">
        <v>493</v>
      </c>
      <c r="C238" s="189">
        <v>1</v>
      </c>
      <c r="D238" s="189" t="s">
        <v>461</v>
      </c>
      <c r="E238" s="189">
        <v>4</v>
      </c>
      <c r="F238" s="203">
        <v>0.3</v>
      </c>
      <c r="G238" s="203">
        <v>0.6</v>
      </c>
      <c r="H238" s="203">
        <v>3</v>
      </c>
      <c r="I238" s="203">
        <f t="shared" si="24"/>
        <v>2.16</v>
      </c>
      <c r="J238" s="191"/>
    </row>
    <row r="239" spans="1:10" ht="24.95" customHeight="1">
      <c r="A239" s="192"/>
      <c r="B239" s="202" t="s">
        <v>494</v>
      </c>
      <c r="C239" s="189">
        <v>1</v>
      </c>
      <c r="D239" s="189" t="s">
        <v>461</v>
      </c>
      <c r="E239" s="189">
        <v>9</v>
      </c>
      <c r="F239" s="203">
        <v>0.38</v>
      </c>
      <c r="G239" s="203">
        <v>0.38</v>
      </c>
      <c r="H239" s="203">
        <v>3.15</v>
      </c>
      <c r="I239" s="203">
        <f t="shared" si="24"/>
        <v>4.09</v>
      </c>
      <c r="J239" s="191"/>
    </row>
    <row r="240" spans="1:10" ht="24.95" customHeight="1">
      <c r="A240" s="192"/>
      <c r="B240" s="188" t="s">
        <v>508</v>
      </c>
      <c r="C240" s="189"/>
      <c r="D240" s="189"/>
      <c r="E240" s="189"/>
      <c r="F240" s="203"/>
      <c r="G240" s="203"/>
      <c r="H240" s="203"/>
      <c r="I240" s="203"/>
      <c r="J240" s="191"/>
    </row>
    <row r="241" spans="1:10" ht="24.95" customHeight="1">
      <c r="A241" s="192"/>
      <c r="B241" s="193" t="s">
        <v>934</v>
      </c>
      <c r="C241" s="194">
        <v>1</v>
      </c>
      <c r="D241" s="194" t="s">
        <v>461</v>
      </c>
      <c r="E241" s="194">
        <v>1</v>
      </c>
      <c r="F241" s="195">
        <v>64.88</v>
      </c>
      <c r="G241" s="203">
        <v>0.23</v>
      </c>
      <c r="H241" s="203">
        <v>0.15</v>
      </c>
      <c r="I241" s="203">
        <f t="shared" ref="I241:I247" si="25">PRODUCT(C241:H241)</f>
        <v>2.2400000000000002</v>
      </c>
      <c r="J241" s="191"/>
    </row>
    <row r="242" spans="1:10" ht="24.95" customHeight="1">
      <c r="A242" s="192"/>
      <c r="B242" s="193" t="s">
        <v>935</v>
      </c>
      <c r="C242" s="194">
        <v>1</v>
      </c>
      <c r="D242" s="194" t="s">
        <v>461</v>
      </c>
      <c r="E242" s="194">
        <v>1</v>
      </c>
      <c r="F242" s="195">
        <v>20.12</v>
      </c>
      <c r="G242" s="203">
        <v>0.23</v>
      </c>
      <c r="H242" s="203">
        <v>0.15</v>
      </c>
      <c r="I242" s="203">
        <f t="shared" si="25"/>
        <v>0.69</v>
      </c>
      <c r="J242" s="191"/>
    </row>
    <row r="243" spans="1:10" ht="24.95" customHeight="1">
      <c r="A243" s="192"/>
      <c r="B243" s="193"/>
      <c r="C243" s="194">
        <v>1</v>
      </c>
      <c r="D243" s="194" t="s">
        <v>461</v>
      </c>
      <c r="E243" s="194">
        <v>1</v>
      </c>
      <c r="F243" s="195">
        <v>16.59</v>
      </c>
      <c r="G243" s="203">
        <v>0.23</v>
      </c>
      <c r="H243" s="203">
        <v>0.15</v>
      </c>
      <c r="I243" s="203">
        <f t="shared" si="25"/>
        <v>0.56999999999999995</v>
      </c>
      <c r="J243" s="191"/>
    </row>
    <row r="244" spans="1:10" ht="24.95" customHeight="1">
      <c r="A244" s="192"/>
      <c r="B244" s="193" t="s">
        <v>937</v>
      </c>
      <c r="C244" s="194">
        <v>1</v>
      </c>
      <c r="D244" s="194" t="s">
        <v>461</v>
      </c>
      <c r="E244" s="194">
        <v>3</v>
      </c>
      <c r="F244" s="195">
        <v>3.6</v>
      </c>
      <c r="G244" s="203">
        <v>0.23</v>
      </c>
      <c r="H244" s="203">
        <v>0.15</v>
      </c>
      <c r="I244" s="203">
        <f t="shared" si="25"/>
        <v>0.37</v>
      </c>
      <c r="J244" s="191"/>
    </row>
    <row r="245" spans="1:10" ht="24.95" customHeight="1">
      <c r="A245" s="192"/>
      <c r="B245" s="193" t="s">
        <v>951</v>
      </c>
      <c r="C245" s="194">
        <v>1</v>
      </c>
      <c r="D245" s="194" t="s">
        <v>461</v>
      </c>
      <c r="E245" s="194">
        <v>2</v>
      </c>
      <c r="F245" s="195">
        <v>6</v>
      </c>
      <c r="G245" s="203">
        <v>0.23</v>
      </c>
      <c r="H245" s="203">
        <v>0.15</v>
      </c>
      <c r="I245" s="203">
        <f t="shared" si="25"/>
        <v>0.41</v>
      </c>
      <c r="J245" s="191"/>
    </row>
    <row r="246" spans="1:10" ht="24.95" customHeight="1">
      <c r="A246" s="192"/>
      <c r="B246" s="193" t="s">
        <v>952</v>
      </c>
      <c r="C246" s="194">
        <v>1</v>
      </c>
      <c r="D246" s="194" t="s">
        <v>461</v>
      </c>
      <c r="E246" s="194">
        <v>1</v>
      </c>
      <c r="F246" s="195">
        <v>8.0299999999999994</v>
      </c>
      <c r="G246" s="203">
        <v>0.23</v>
      </c>
      <c r="H246" s="203">
        <v>0.15</v>
      </c>
      <c r="I246" s="203">
        <f t="shared" si="25"/>
        <v>0.28000000000000003</v>
      </c>
      <c r="J246" s="191"/>
    </row>
    <row r="247" spans="1:10" ht="24.95" customHeight="1">
      <c r="A247" s="192"/>
      <c r="B247" s="193" t="s">
        <v>947</v>
      </c>
      <c r="C247" s="199">
        <v>1</v>
      </c>
      <c r="D247" s="199" t="s">
        <v>461</v>
      </c>
      <c r="E247" s="199">
        <v>1</v>
      </c>
      <c r="F247" s="197">
        <v>21.32</v>
      </c>
      <c r="G247" s="203">
        <v>0.12</v>
      </c>
      <c r="H247" s="203">
        <v>0.15</v>
      </c>
      <c r="I247" s="203">
        <f t="shared" si="25"/>
        <v>0.38</v>
      </c>
      <c r="J247" s="191"/>
    </row>
    <row r="248" spans="1:10" ht="24.95" customHeight="1">
      <c r="A248" s="192"/>
      <c r="B248" s="188" t="s">
        <v>510</v>
      </c>
      <c r="C248" s="189"/>
      <c r="D248" s="189"/>
      <c r="E248" s="189"/>
      <c r="F248" s="203"/>
      <c r="G248" s="203"/>
      <c r="H248" s="203"/>
      <c r="I248" s="203"/>
      <c r="J248" s="191"/>
    </row>
    <row r="249" spans="1:10" ht="24.95" customHeight="1">
      <c r="A249" s="192"/>
      <c r="B249" s="202" t="s">
        <v>511</v>
      </c>
      <c r="C249" s="189">
        <v>1</v>
      </c>
      <c r="D249" s="189" t="s">
        <v>461</v>
      </c>
      <c r="E249" s="189">
        <v>1</v>
      </c>
      <c r="F249" s="203">
        <v>12.32</v>
      </c>
      <c r="G249" s="203">
        <v>20.58</v>
      </c>
      <c r="H249" s="203">
        <v>0.12</v>
      </c>
      <c r="I249" s="203">
        <f t="shared" ref="I249:I294" si="26">PRODUCT(C249:H249)</f>
        <v>30.43</v>
      </c>
      <c r="J249" s="191"/>
    </row>
    <row r="250" spans="1:10" ht="24.95" customHeight="1">
      <c r="A250" s="192"/>
      <c r="B250" s="202" t="s">
        <v>512</v>
      </c>
      <c r="C250" s="189">
        <v>1</v>
      </c>
      <c r="D250" s="189" t="s">
        <v>461</v>
      </c>
      <c r="E250" s="189">
        <v>1</v>
      </c>
      <c r="F250" s="203">
        <f>3.6+0.46</f>
        <v>4.0599999999999996</v>
      </c>
      <c r="G250" s="203">
        <v>1.2</v>
      </c>
      <c r="H250" s="203">
        <v>0.12</v>
      </c>
      <c r="I250" s="203">
        <f t="shared" si="26"/>
        <v>0.57999999999999996</v>
      </c>
      <c r="J250" s="191"/>
    </row>
    <row r="251" spans="1:10" ht="24.95" customHeight="1">
      <c r="A251" s="192"/>
      <c r="B251" s="202" t="s">
        <v>534</v>
      </c>
      <c r="C251" s="189">
        <v>1</v>
      </c>
      <c r="D251" s="189" t="s">
        <v>461</v>
      </c>
      <c r="E251" s="189">
        <v>1</v>
      </c>
      <c r="F251" s="203">
        <v>11.2</v>
      </c>
      <c r="G251" s="203">
        <v>17</v>
      </c>
      <c r="H251" s="203">
        <v>0.15</v>
      </c>
      <c r="I251" s="203">
        <f t="shared" si="26"/>
        <v>28.56</v>
      </c>
      <c r="J251" s="191"/>
    </row>
    <row r="252" spans="1:10" ht="24.95" customHeight="1">
      <c r="A252" s="192"/>
      <c r="B252" s="202"/>
      <c r="C252" s="189">
        <v>2</v>
      </c>
      <c r="D252" s="189" t="s">
        <v>461</v>
      </c>
      <c r="E252" s="189">
        <v>1</v>
      </c>
      <c r="F252" s="203">
        <v>11.2</v>
      </c>
      <c r="G252" s="203">
        <v>1.2</v>
      </c>
      <c r="H252" s="203">
        <v>0.15</v>
      </c>
      <c r="I252" s="203">
        <f t="shared" si="26"/>
        <v>4.03</v>
      </c>
      <c r="J252" s="191"/>
    </row>
    <row r="253" spans="1:10" ht="24.95" customHeight="1">
      <c r="A253" s="192"/>
      <c r="B253" s="188" t="s">
        <v>953</v>
      </c>
      <c r="C253" s="189"/>
      <c r="D253" s="189"/>
      <c r="E253" s="189"/>
      <c r="F253" s="203"/>
      <c r="G253" s="203"/>
      <c r="H253" s="203"/>
      <c r="I253" s="203"/>
      <c r="J253" s="191"/>
    </row>
    <row r="254" spans="1:10" ht="24.95" customHeight="1">
      <c r="A254" s="192"/>
      <c r="B254" s="193" t="s">
        <v>934</v>
      </c>
      <c r="C254" s="194">
        <v>1</v>
      </c>
      <c r="D254" s="194" t="s">
        <v>461</v>
      </c>
      <c r="E254" s="194">
        <v>1</v>
      </c>
      <c r="F254" s="195">
        <v>64.88</v>
      </c>
      <c r="G254" s="203">
        <f>G241</f>
        <v>0.23</v>
      </c>
      <c r="H254" s="203">
        <v>0.45</v>
      </c>
      <c r="I254" s="203">
        <f t="shared" si="26"/>
        <v>6.72</v>
      </c>
      <c r="J254" s="191"/>
    </row>
    <row r="255" spans="1:10" ht="24.95" customHeight="1">
      <c r="A255" s="192"/>
      <c r="B255" s="193" t="s">
        <v>955</v>
      </c>
      <c r="C255" s="194">
        <v>-1</v>
      </c>
      <c r="D255" s="194" t="s">
        <v>461</v>
      </c>
      <c r="E255" s="194">
        <v>1</v>
      </c>
      <c r="F255" s="195">
        <v>17</v>
      </c>
      <c r="G255" s="203">
        <v>0.23</v>
      </c>
      <c r="H255" s="203">
        <v>0.45</v>
      </c>
      <c r="I255" s="203">
        <f t="shared" si="26"/>
        <v>-1.76</v>
      </c>
      <c r="J255" s="191"/>
    </row>
    <row r="256" spans="1:10" ht="24.95" customHeight="1">
      <c r="A256" s="192"/>
      <c r="B256" s="193" t="s">
        <v>935</v>
      </c>
      <c r="C256" s="194">
        <v>1</v>
      </c>
      <c r="D256" s="194" t="s">
        <v>461</v>
      </c>
      <c r="E256" s="194">
        <v>1</v>
      </c>
      <c r="F256" s="195">
        <v>20.12</v>
      </c>
      <c r="G256" s="203">
        <v>0.23</v>
      </c>
      <c r="H256" s="203">
        <v>0.45</v>
      </c>
      <c r="I256" s="203">
        <f t="shared" si="26"/>
        <v>2.08</v>
      </c>
      <c r="J256" s="191"/>
    </row>
    <row r="257" spans="1:10" ht="24.95" customHeight="1">
      <c r="A257" s="192"/>
      <c r="B257" s="193"/>
      <c r="C257" s="194">
        <v>1</v>
      </c>
      <c r="D257" s="194" t="s">
        <v>461</v>
      </c>
      <c r="E257" s="194">
        <v>1</v>
      </c>
      <c r="F257" s="195">
        <v>16.59</v>
      </c>
      <c r="G257" s="203">
        <v>0.23</v>
      </c>
      <c r="H257" s="203">
        <v>0.45</v>
      </c>
      <c r="I257" s="203">
        <f t="shared" si="26"/>
        <v>1.72</v>
      </c>
      <c r="J257" s="191"/>
    </row>
    <row r="258" spans="1:10" ht="24.95" customHeight="1">
      <c r="A258" s="192"/>
      <c r="B258" s="193" t="s">
        <v>937</v>
      </c>
      <c r="C258" s="194">
        <v>1</v>
      </c>
      <c r="D258" s="194" t="s">
        <v>461</v>
      </c>
      <c r="E258" s="194">
        <v>3</v>
      </c>
      <c r="F258" s="195">
        <v>3.6</v>
      </c>
      <c r="G258" s="203">
        <v>0.23</v>
      </c>
      <c r="H258" s="203">
        <v>0.45</v>
      </c>
      <c r="I258" s="203">
        <f t="shared" si="26"/>
        <v>1.1200000000000001</v>
      </c>
      <c r="J258" s="191"/>
    </row>
    <row r="259" spans="1:10" ht="24.95" customHeight="1">
      <c r="A259" s="192"/>
      <c r="B259" s="193" t="s">
        <v>951</v>
      </c>
      <c r="C259" s="194">
        <v>1</v>
      </c>
      <c r="D259" s="194" t="s">
        <v>461</v>
      </c>
      <c r="E259" s="194">
        <v>2</v>
      </c>
      <c r="F259" s="195">
        <v>6</v>
      </c>
      <c r="G259" s="203">
        <v>0.23</v>
      </c>
      <c r="H259" s="203">
        <v>0.45</v>
      </c>
      <c r="I259" s="203">
        <f t="shared" si="26"/>
        <v>1.24</v>
      </c>
      <c r="J259" s="191"/>
    </row>
    <row r="260" spans="1:10" ht="24.95" customHeight="1">
      <c r="A260" s="192"/>
      <c r="B260" s="193" t="s">
        <v>952</v>
      </c>
      <c r="C260" s="194">
        <v>1</v>
      </c>
      <c r="D260" s="194" t="s">
        <v>461</v>
      </c>
      <c r="E260" s="194">
        <v>1</v>
      </c>
      <c r="F260" s="195">
        <v>8.0299999999999994</v>
      </c>
      <c r="G260" s="203">
        <v>0.23</v>
      </c>
      <c r="H260" s="203">
        <v>0.45</v>
      </c>
      <c r="I260" s="203">
        <f t="shared" si="26"/>
        <v>0.83</v>
      </c>
      <c r="J260" s="191"/>
    </row>
    <row r="261" spans="1:10" ht="24.95" customHeight="1">
      <c r="A261" s="192"/>
      <c r="B261" s="193" t="s">
        <v>954</v>
      </c>
      <c r="C261" s="199">
        <v>1</v>
      </c>
      <c r="D261" s="199" t="s">
        <v>461</v>
      </c>
      <c r="E261" s="199">
        <v>1</v>
      </c>
      <c r="F261" s="197">
        <f>3.6+0.46</f>
        <v>4.0599999999999996</v>
      </c>
      <c r="G261" s="203">
        <v>0.23</v>
      </c>
      <c r="H261" s="203">
        <v>0.45</v>
      </c>
      <c r="I261" s="203">
        <f t="shared" si="26"/>
        <v>0.42</v>
      </c>
      <c r="J261" s="191"/>
    </row>
    <row r="262" spans="1:10" ht="24.95" customHeight="1">
      <c r="A262" s="192"/>
      <c r="B262" s="202" t="s">
        <v>956</v>
      </c>
      <c r="C262" s="189">
        <v>1</v>
      </c>
      <c r="D262" s="189" t="s">
        <v>461</v>
      </c>
      <c r="E262" s="189">
        <v>3</v>
      </c>
      <c r="F262" s="203">
        <v>19.399999999999999</v>
      </c>
      <c r="G262" s="203">
        <v>0.23</v>
      </c>
      <c r="H262" s="203">
        <v>0.6</v>
      </c>
      <c r="I262" s="203">
        <f t="shared" si="26"/>
        <v>8.0299999999999994</v>
      </c>
      <c r="J262" s="191"/>
    </row>
    <row r="263" spans="1:10" ht="24.95" customHeight="1">
      <c r="A263" s="192"/>
      <c r="B263" s="202" t="s">
        <v>957</v>
      </c>
      <c r="C263" s="189">
        <v>1</v>
      </c>
      <c r="D263" s="189" t="s">
        <v>461</v>
      </c>
      <c r="E263" s="189">
        <v>4</v>
      </c>
      <c r="F263" s="203">
        <v>11.2</v>
      </c>
      <c r="G263" s="203">
        <v>0.23</v>
      </c>
      <c r="H263" s="203">
        <v>0.6</v>
      </c>
      <c r="I263" s="203">
        <f t="shared" si="26"/>
        <v>6.18</v>
      </c>
      <c r="J263" s="191"/>
    </row>
    <row r="264" spans="1:10" ht="24.95" customHeight="1">
      <c r="A264" s="192"/>
      <c r="B264" s="188" t="s">
        <v>535</v>
      </c>
      <c r="C264" s="189">
        <v>1</v>
      </c>
      <c r="D264" s="189" t="s">
        <v>461</v>
      </c>
      <c r="E264" s="189">
        <v>1</v>
      </c>
      <c r="F264" s="203">
        <v>3.81</v>
      </c>
      <c r="G264" s="203">
        <v>0.6</v>
      </c>
      <c r="H264" s="203">
        <v>0.05</v>
      </c>
      <c r="I264" s="203">
        <f t="shared" si="26"/>
        <v>0.11</v>
      </c>
      <c r="J264" s="191"/>
    </row>
    <row r="265" spans="1:10" ht="24.95" customHeight="1">
      <c r="A265" s="192"/>
      <c r="B265" s="202" t="s">
        <v>536</v>
      </c>
      <c r="C265" s="189">
        <v>1</v>
      </c>
      <c r="D265" s="189" t="s">
        <v>461</v>
      </c>
      <c r="E265" s="189">
        <v>1</v>
      </c>
      <c r="F265" s="203">
        <v>6.46</v>
      </c>
      <c r="G265" s="203">
        <v>0.6</v>
      </c>
      <c r="H265" s="203">
        <v>0.05</v>
      </c>
      <c r="I265" s="203">
        <f t="shared" si="26"/>
        <v>0.19</v>
      </c>
      <c r="J265" s="191"/>
    </row>
    <row r="266" spans="1:10" ht="24.95" customHeight="1">
      <c r="A266" s="192"/>
      <c r="B266" s="202" t="s">
        <v>537</v>
      </c>
      <c r="C266" s="189">
        <v>1</v>
      </c>
      <c r="D266" s="189" t="s">
        <v>461</v>
      </c>
      <c r="E266" s="189">
        <v>2</v>
      </c>
      <c r="F266" s="203">
        <v>6</v>
      </c>
      <c r="G266" s="203">
        <v>0.6</v>
      </c>
      <c r="H266" s="203">
        <v>0.05</v>
      </c>
      <c r="I266" s="203">
        <f t="shared" si="26"/>
        <v>0.36</v>
      </c>
      <c r="J266" s="191"/>
    </row>
    <row r="267" spans="1:10" ht="24.95" customHeight="1">
      <c r="A267" s="192"/>
      <c r="B267" s="202" t="s">
        <v>958</v>
      </c>
      <c r="C267" s="189">
        <v>1</v>
      </c>
      <c r="D267" s="189" t="s">
        <v>461</v>
      </c>
      <c r="E267" s="189">
        <v>1</v>
      </c>
      <c r="F267" s="203">
        <v>3.3</v>
      </c>
      <c r="G267" s="203">
        <v>0.6</v>
      </c>
      <c r="H267" s="203">
        <v>0.05</v>
      </c>
      <c r="I267" s="203">
        <f t="shared" si="26"/>
        <v>0.1</v>
      </c>
      <c r="J267" s="191"/>
    </row>
    <row r="268" spans="1:10" ht="24.95" customHeight="1">
      <c r="A268" s="192"/>
      <c r="B268" s="202" t="s">
        <v>538</v>
      </c>
      <c r="C268" s="189">
        <v>1</v>
      </c>
      <c r="D268" s="189" t="s">
        <v>461</v>
      </c>
      <c r="E268" s="189">
        <v>2</v>
      </c>
      <c r="F268" s="203">
        <v>2.2599999999999998</v>
      </c>
      <c r="G268" s="203">
        <v>0.23</v>
      </c>
      <c r="H268" s="203">
        <v>0.05</v>
      </c>
      <c r="I268" s="203">
        <f t="shared" si="26"/>
        <v>0.05</v>
      </c>
      <c r="J268" s="191"/>
    </row>
    <row r="269" spans="1:10" ht="24.95" customHeight="1">
      <c r="A269" s="192"/>
      <c r="B269" s="202" t="s">
        <v>526</v>
      </c>
      <c r="C269" s="189">
        <v>1</v>
      </c>
      <c r="D269" s="189" t="s">
        <v>461</v>
      </c>
      <c r="E269" s="189">
        <v>6</v>
      </c>
      <c r="F269" s="203">
        <v>1.96</v>
      </c>
      <c r="G269" s="203">
        <v>0.23</v>
      </c>
      <c r="H269" s="203">
        <v>0.05</v>
      </c>
      <c r="I269" s="203">
        <f t="shared" si="26"/>
        <v>0.14000000000000001</v>
      </c>
      <c r="J269" s="191"/>
    </row>
    <row r="270" spans="1:10" ht="24.95" customHeight="1">
      <c r="A270" s="192"/>
      <c r="B270" s="202" t="s">
        <v>519</v>
      </c>
      <c r="C270" s="189">
        <v>1</v>
      </c>
      <c r="D270" s="189" t="s">
        <v>461</v>
      </c>
      <c r="E270" s="189">
        <v>6</v>
      </c>
      <c r="F270" s="203">
        <v>1.36</v>
      </c>
      <c r="G270" s="203">
        <v>0.23</v>
      </c>
      <c r="H270" s="203">
        <v>0.05</v>
      </c>
      <c r="I270" s="203">
        <f t="shared" si="26"/>
        <v>0.09</v>
      </c>
      <c r="J270" s="191"/>
    </row>
    <row r="271" spans="1:10" ht="24.95" customHeight="1">
      <c r="A271" s="192"/>
      <c r="B271" s="202" t="s">
        <v>539</v>
      </c>
      <c r="C271" s="189">
        <v>1</v>
      </c>
      <c r="D271" s="189" t="s">
        <v>461</v>
      </c>
      <c r="E271" s="189">
        <v>4</v>
      </c>
      <c r="F271" s="203">
        <v>1.66</v>
      </c>
      <c r="G271" s="203">
        <v>0.23</v>
      </c>
      <c r="H271" s="203">
        <v>0.05</v>
      </c>
      <c r="I271" s="203">
        <f t="shared" si="26"/>
        <v>0.08</v>
      </c>
      <c r="J271" s="191"/>
    </row>
    <row r="272" spans="1:10" ht="24.95" customHeight="1">
      <c r="A272" s="192"/>
      <c r="B272" s="202" t="s">
        <v>521</v>
      </c>
      <c r="C272" s="189">
        <v>1</v>
      </c>
      <c r="D272" s="189" t="s">
        <v>461</v>
      </c>
      <c r="E272" s="189">
        <v>1</v>
      </c>
      <c r="F272" s="203">
        <v>1.66</v>
      </c>
      <c r="G272" s="203">
        <v>0.23</v>
      </c>
      <c r="H272" s="203">
        <v>0.05</v>
      </c>
      <c r="I272" s="203">
        <f t="shared" si="26"/>
        <v>0.02</v>
      </c>
      <c r="J272" s="191"/>
    </row>
    <row r="273" spans="1:10" ht="24.95" customHeight="1">
      <c r="A273" s="192"/>
      <c r="B273" s="202" t="s">
        <v>522</v>
      </c>
      <c r="C273" s="189">
        <v>1</v>
      </c>
      <c r="D273" s="189" t="s">
        <v>461</v>
      </c>
      <c r="E273" s="189">
        <v>1</v>
      </c>
      <c r="F273" s="203">
        <v>1.96</v>
      </c>
      <c r="G273" s="203">
        <v>0.23</v>
      </c>
      <c r="H273" s="203">
        <v>0.05</v>
      </c>
      <c r="I273" s="203">
        <f t="shared" si="26"/>
        <v>0.02</v>
      </c>
      <c r="J273" s="191"/>
    </row>
    <row r="274" spans="1:10" ht="24.95" customHeight="1">
      <c r="A274" s="192"/>
      <c r="B274" s="202" t="s">
        <v>523</v>
      </c>
      <c r="C274" s="189">
        <v>1</v>
      </c>
      <c r="D274" s="189" t="s">
        <v>461</v>
      </c>
      <c r="E274" s="189">
        <v>2</v>
      </c>
      <c r="F274" s="203">
        <v>1.51</v>
      </c>
      <c r="G274" s="203">
        <v>0.23</v>
      </c>
      <c r="H274" s="203">
        <v>0.05</v>
      </c>
      <c r="I274" s="203">
        <f t="shared" si="26"/>
        <v>0.03</v>
      </c>
      <c r="J274" s="191"/>
    </row>
    <row r="275" spans="1:10" ht="24.95" customHeight="1">
      <c r="A275" s="192"/>
      <c r="B275" s="202" t="s">
        <v>540</v>
      </c>
      <c r="C275" s="189">
        <v>1</v>
      </c>
      <c r="D275" s="189" t="s">
        <v>461</v>
      </c>
      <c r="E275" s="189">
        <v>1</v>
      </c>
      <c r="F275" s="203">
        <v>2.2599999999999998</v>
      </c>
      <c r="G275" s="203">
        <v>0.23</v>
      </c>
      <c r="H275" s="203">
        <v>0.05</v>
      </c>
      <c r="I275" s="203">
        <f t="shared" si="26"/>
        <v>0.03</v>
      </c>
      <c r="J275" s="191"/>
    </row>
    <row r="276" spans="1:10" ht="24.95" customHeight="1">
      <c r="A276" s="192"/>
      <c r="B276" s="202" t="s">
        <v>541</v>
      </c>
      <c r="C276" s="189">
        <v>1</v>
      </c>
      <c r="D276" s="189" t="s">
        <v>461</v>
      </c>
      <c r="E276" s="189">
        <v>2</v>
      </c>
      <c r="F276" s="203">
        <v>2.2599999999999998</v>
      </c>
      <c r="G276" s="203">
        <v>0.6</v>
      </c>
      <c r="H276" s="206">
        <v>6.3E-2</v>
      </c>
      <c r="I276" s="203">
        <f t="shared" si="26"/>
        <v>0.17</v>
      </c>
      <c r="J276" s="191"/>
    </row>
    <row r="277" spans="1:10" ht="24.95" customHeight="1">
      <c r="A277" s="192"/>
      <c r="B277" s="202" t="s">
        <v>526</v>
      </c>
      <c r="C277" s="189">
        <v>1</v>
      </c>
      <c r="D277" s="189" t="s">
        <v>461</v>
      </c>
      <c r="E277" s="189">
        <v>6</v>
      </c>
      <c r="F277" s="203">
        <v>1.96</v>
      </c>
      <c r="G277" s="203">
        <v>0.6</v>
      </c>
      <c r="H277" s="206">
        <v>6.3E-2</v>
      </c>
      <c r="I277" s="203">
        <f t="shared" si="26"/>
        <v>0.44</v>
      </c>
      <c r="J277" s="191"/>
    </row>
    <row r="278" spans="1:10" ht="24.95" customHeight="1">
      <c r="A278" s="192"/>
      <c r="B278" s="202" t="s">
        <v>519</v>
      </c>
      <c r="C278" s="189">
        <v>1</v>
      </c>
      <c r="D278" s="189" t="s">
        <v>461</v>
      </c>
      <c r="E278" s="189">
        <v>6</v>
      </c>
      <c r="F278" s="203">
        <v>1.36</v>
      </c>
      <c r="G278" s="203">
        <v>0.6</v>
      </c>
      <c r="H278" s="206">
        <v>6.3E-2</v>
      </c>
      <c r="I278" s="203">
        <f t="shared" si="26"/>
        <v>0.31</v>
      </c>
      <c r="J278" s="191"/>
    </row>
    <row r="279" spans="1:10" ht="24.95" customHeight="1">
      <c r="A279" s="192"/>
      <c r="B279" s="202" t="s">
        <v>539</v>
      </c>
      <c r="C279" s="189">
        <v>1</v>
      </c>
      <c r="D279" s="189" t="s">
        <v>461</v>
      </c>
      <c r="E279" s="189">
        <v>4</v>
      </c>
      <c r="F279" s="203">
        <v>1.66</v>
      </c>
      <c r="G279" s="203">
        <v>0.6</v>
      </c>
      <c r="H279" s="206">
        <v>6.3E-2</v>
      </c>
      <c r="I279" s="203">
        <f t="shared" si="26"/>
        <v>0.25</v>
      </c>
      <c r="J279" s="191"/>
    </row>
    <row r="280" spans="1:10" ht="24.95" customHeight="1">
      <c r="A280" s="192"/>
      <c r="B280" s="202" t="s">
        <v>521</v>
      </c>
      <c r="C280" s="189">
        <v>1</v>
      </c>
      <c r="D280" s="189" t="s">
        <v>461</v>
      </c>
      <c r="E280" s="189">
        <v>1</v>
      </c>
      <c r="F280" s="203">
        <v>1.66</v>
      </c>
      <c r="G280" s="203">
        <v>0.6</v>
      </c>
      <c r="H280" s="206">
        <v>6.3E-2</v>
      </c>
      <c r="I280" s="203">
        <f t="shared" si="26"/>
        <v>0.06</v>
      </c>
      <c r="J280" s="191"/>
    </row>
    <row r="281" spans="1:10" ht="24.95" customHeight="1">
      <c r="A281" s="192"/>
      <c r="B281" s="202" t="s">
        <v>522</v>
      </c>
      <c r="C281" s="189">
        <v>1</v>
      </c>
      <c r="D281" s="189" t="s">
        <v>461</v>
      </c>
      <c r="E281" s="189">
        <v>1</v>
      </c>
      <c r="F281" s="203">
        <v>1.96</v>
      </c>
      <c r="G281" s="203">
        <v>0.6</v>
      </c>
      <c r="H281" s="206">
        <v>6.3E-2</v>
      </c>
      <c r="I281" s="203">
        <f t="shared" si="26"/>
        <v>7.0000000000000007E-2</v>
      </c>
      <c r="J281" s="191"/>
    </row>
    <row r="282" spans="1:10" ht="24.95" customHeight="1">
      <c r="A282" s="192"/>
      <c r="B282" s="202" t="s">
        <v>523</v>
      </c>
      <c r="C282" s="189">
        <v>1</v>
      </c>
      <c r="D282" s="189" t="s">
        <v>461</v>
      </c>
      <c r="E282" s="189">
        <v>2</v>
      </c>
      <c r="F282" s="203">
        <v>1.51</v>
      </c>
      <c r="G282" s="203">
        <v>0.6</v>
      </c>
      <c r="H282" s="206">
        <v>6.3E-2</v>
      </c>
      <c r="I282" s="203">
        <f t="shared" si="26"/>
        <v>0.11</v>
      </c>
      <c r="J282" s="191"/>
    </row>
    <row r="283" spans="1:10" ht="24.95" customHeight="1">
      <c r="A283" s="192"/>
      <c r="B283" s="202" t="s">
        <v>540</v>
      </c>
      <c r="C283" s="189">
        <v>1</v>
      </c>
      <c r="D283" s="189" t="s">
        <v>461</v>
      </c>
      <c r="E283" s="189">
        <v>1</v>
      </c>
      <c r="F283" s="203">
        <v>2.2599999999999998</v>
      </c>
      <c r="G283" s="203">
        <v>0.6</v>
      </c>
      <c r="H283" s="206">
        <v>6.3E-2</v>
      </c>
      <c r="I283" s="203">
        <f t="shared" si="26"/>
        <v>0.09</v>
      </c>
      <c r="J283" s="191"/>
    </row>
    <row r="284" spans="1:10" ht="24.95" customHeight="1">
      <c r="A284" s="192"/>
      <c r="B284" s="202" t="s">
        <v>542</v>
      </c>
      <c r="C284" s="189">
        <v>1</v>
      </c>
      <c r="D284" s="189" t="s">
        <v>461</v>
      </c>
      <c r="E284" s="189">
        <v>4</v>
      </c>
      <c r="F284" s="203">
        <v>0.23</v>
      </c>
      <c r="G284" s="203">
        <v>0.38</v>
      </c>
      <c r="H284" s="206">
        <v>1.2</v>
      </c>
      <c r="I284" s="203">
        <f t="shared" si="26"/>
        <v>0.42</v>
      </c>
      <c r="J284" s="191"/>
    </row>
    <row r="285" spans="1:10" ht="24.95" customHeight="1">
      <c r="A285" s="192"/>
      <c r="B285" s="202" t="s">
        <v>543</v>
      </c>
      <c r="C285" s="189">
        <v>1</v>
      </c>
      <c r="D285" s="189" t="s">
        <v>461</v>
      </c>
      <c r="E285" s="189">
        <v>1</v>
      </c>
      <c r="F285" s="203">
        <v>0.23</v>
      </c>
      <c r="G285" s="203">
        <v>0.45</v>
      </c>
      <c r="H285" s="206">
        <v>1.2</v>
      </c>
      <c r="I285" s="203">
        <f t="shared" si="26"/>
        <v>0.12</v>
      </c>
      <c r="J285" s="191"/>
    </row>
    <row r="286" spans="1:10" ht="24.95" customHeight="1">
      <c r="A286" s="192"/>
      <c r="B286" s="188" t="s">
        <v>544</v>
      </c>
      <c r="C286" s="189">
        <v>1</v>
      </c>
      <c r="D286" s="189" t="s">
        <v>461</v>
      </c>
      <c r="E286" s="189">
        <v>1</v>
      </c>
      <c r="F286" s="203">
        <v>0.23</v>
      </c>
      <c r="G286" s="203">
        <v>0.6</v>
      </c>
      <c r="H286" s="206">
        <v>1.2</v>
      </c>
      <c r="I286" s="203">
        <f t="shared" si="26"/>
        <v>0.17</v>
      </c>
      <c r="J286" s="191"/>
    </row>
    <row r="287" spans="1:10" ht="24.95" customHeight="1">
      <c r="A287" s="192"/>
      <c r="B287" s="202" t="s">
        <v>545</v>
      </c>
      <c r="C287" s="189">
        <v>1</v>
      </c>
      <c r="D287" s="189" t="s">
        <v>461</v>
      </c>
      <c r="E287" s="189">
        <v>2</v>
      </c>
      <c r="F287" s="203">
        <v>0.3</v>
      </c>
      <c r="G287" s="203">
        <v>0.38</v>
      </c>
      <c r="H287" s="206">
        <v>1.2</v>
      </c>
      <c r="I287" s="203">
        <f t="shared" si="26"/>
        <v>0.27</v>
      </c>
      <c r="J287" s="191"/>
    </row>
    <row r="288" spans="1:10" ht="24.95" customHeight="1">
      <c r="A288" s="192"/>
      <c r="B288" s="202" t="s">
        <v>546</v>
      </c>
      <c r="C288" s="189">
        <v>1</v>
      </c>
      <c r="D288" s="189" t="s">
        <v>461</v>
      </c>
      <c r="E288" s="189">
        <v>2</v>
      </c>
      <c r="F288" s="203">
        <v>0.3</v>
      </c>
      <c r="G288" s="203">
        <v>0.6</v>
      </c>
      <c r="H288" s="206">
        <v>1.2</v>
      </c>
      <c r="I288" s="203">
        <f t="shared" si="26"/>
        <v>0.43</v>
      </c>
      <c r="J288" s="191"/>
    </row>
    <row r="289" spans="1:11" ht="24.95" customHeight="1">
      <c r="A289" s="192"/>
      <c r="B289" s="202" t="s">
        <v>547</v>
      </c>
      <c r="C289" s="189">
        <v>1</v>
      </c>
      <c r="D289" s="189" t="s">
        <v>461</v>
      </c>
      <c r="E289" s="189">
        <v>1</v>
      </c>
      <c r="F289" s="203">
        <v>0.38</v>
      </c>
      <c r="G289" s="203">
        <v>0.38</v>
      </c>
      <c r="H289" s="206">
        <v>1.2</v>
      </c>
      <c r="I289" s="203">
        <f t="shared" si="26"/>
        <v>0.17</v>
      </c>
      <c r="J289" s="191"/>
    </row>
    <row r="290" spans="1:11" ht="24.95" customHeight="1">
      <c r="A290" s="192"/>
      <c r="B290" s="202" t="s">
        <v>548</v>
      </c>
      <c r="C290" s="189">
        <v>1</v>
      </c>
      <c r="D290" s="189" t="s">
        <v>461</v>
      </c>
      <c r="E290" s="189">
        <v>1</v>
      </c>
      <c r="F290" s="203">
        <v>3.75</v>
      </c>
      <c r="G290" s="203">
        <v>1.5</v>
      </c>
      <c r="H290" s="203">
        <v>0.13</v>
      </c>
      <c r="I290" s="203">
        <f t="shared" si="26"/>
        <v>0.73</v>
      </c>
      <c r="J290" s="191"/>
    </row>
    <row r="291" spans="1:11" ht="24.95" customHeight="1">
      <c r="A291" s="192"/>
      <c r="B291" s="202" t="s">
        <v>529</v>
      </c>
      <c r="C291" s="189">
        <v>1</v>
      </c>
      <c r="D291" s="189" t="s">
        <v>461</v>
      </c>
      <c r="E291" s="189">
        <v>1</v>
      </c>
      <c r="F291" s="203">
        <v>4.1100000000000003</v>
      </c>
      <c r="G291" s="203">
        <v>1.5</v>
      </c>
      <c r="H291" s="203">
        <v>0.13</v>
      </c>
      <c r="I291" s="203">
        <f t="shared" si="26"/>
        <v>0.8</v>
      </c>
      <c r="J291" s="191"/>
    </row>
    <row r="292" spans="1:11" ht="24.95" customHeight="1">
      <c r="A292" s="192"/>
      <c r="B292" s="202" t="s">
        <v>549</v>
      </c>
      <c r="C292" s="189">
        <v>1</v>
      </c>
      <c r="D292" s="189" t="s">
        <v>461</v>
      </c>
      <c r="E292" s="189">
        <v>1</v>
      </c>
      <c r="F292" s="203">
        <v>3.45</v>
      </c>
      <c r="G292" s="203">
        <v>1.5</v>
      </c>
      <c r="H292" s="203">
        <v>0.13</v>
      </c>
      <c r="I292" s="203">
        <f t="shared" si="26"/>
        <v>0.67</v>
      </c>
      <c r="J292" s="191"/>
    </row>
    <row r="293" spans="1:11" ht="24.95" customHeight="1">
      <c r="A293" s="192"/>
      <c r="B293" s="202" t="s">
        <v>531</v>
      </c>
      <c r="C293" s="189">
        <v>1</v>
      </c>
      <c r="D293" s="189">
        <v>23</v>
      </c>
      <c r="E293" s="219">
        <v>0.5</v>
      </c>
      <c r="F293" s="203">
        <v>0.3</v>
      </c>
      <c r="G293" s="203">
        <v>0.15</v>
      </c>
      <c r="H293" s="203">
        <v>1.5</v>
      </c>
      <c r="I293" s="203">
        <f t="shared" si="26"/>
        <v>0.78</v>
      </c>
      <c r="J293" s="191"/>
    </row>
    <row r="294" spans="1:11" ht="24.95" customHeight="1">
      <c r="A294" s="192"/>
      <c r="B294" s="202" t="s">
        <v>550</v>
      </c>
      <c r="C294" s="189">
        <v>1</v>
      </c>
      <c r="D294" s="189" t="s">
        <v>461</v>
      </c>
      <c r="E294" s="189">
        <v>1</v>
      </c>
      <c r="F294" s="203">
        <v>4.1100000000000003</v>
      </c>
      <c r="G294" s="203">
        <v>0.23</v>
      </c>
      <c r="H294" s="203">
        <v>0.3</v>
      </c>
      <c r="I294" s="203">
        <f t="shared" si="26"/>
        <v>0.28000000000000003</v>
      </c>
      <c r="J294" s="191"/>
    </row>
    <row r="295" spans="1:11" ht="24.95" customHeight="1">
      <c r="A295" s="192"/>
      <c r="B295" s="202"/>
      <c r="C295" s="189"/>
      <c r="D295" s="189"/>
      <c r="E295" s="189"/>
      <c r="F295" s="203"/>
      <c r="G295" s="203"/>
      <c r="H295" s="206"/>
      <c r="I295" s="203">
        <f>SUM(I232:I294)</f>
        <v>113.6</v>
      </c>
      <c r="J295" s="191"/>
      <c r="K295" s="185">
        <v>0.03</v>
      </c>
    </row>
    <row r="296" spans="1:11" ht="24.95" customHeight="1">
      <c r="A296" s="192"/>
      <c r="B296" s="202"/>
      <c r="C296" s="189"/>
      <c r="D296" s="189"/>
      <c r="E296" s="189"/>
      <c r="F296" s="203"/>
      <c r="G296" s="203"/>
      <c r="H296" s="204" t="s">
        <v>261</v>
      </c>
      <c r="I296" s="204">
        <f>ROUNDUP(I295,1-0)</f>
        <v>113.6</v>
      </c>
      <c r="J296" s="201" t="s">
        <v>117</v>
      </c>
    </row>
    <row r="297" spans="1:11" ht="24.95" customHeight="1">
      <c r="A297" s="192"/>
      <c r="B297" s="202"/>
      <c r="C297" s="189"/>
      <c r="D297" s="189"/>
      <c r="E297" s="189"/>
      <c r="F297" s="203"/>
      <c r="G297" s="203"/>
      <c r="H297" s="206"/>
      <c r="I297" s="203"/>
      <c r="J297" s="191"/>
    </row>
    <row r="298" spans="1:11" ht="24.95" customHeight="1">
      <c r="A298" s="192"/>
      <c r="B298" s="220" t="s">
        <v>551</v>
      </c>
      <c r="C298" s="189">
        <v>1</v>
      </c>
      <c r="D298" s="189" t="s">
        <v>461</v>
      </c>
      <c r="E298" s="189">
        <v>1</v>
      </c>
      <c r="F298" s="203">
        <v>0.23</v>
      </c>
      <c r="G298" s="203">
        <v>0.45</v>
      </c>
      <c r="H298" s="206">
        <v>3.3</v>
      </c>
      <c r="I298" s="203">
        <f t="shared" ref="I298:I304" si="27">PRODUCT(C298:H298)</f>
        <v>0.34</v>
      </c>
      <c r="J298" s="191"/>
    </row>
    <row r="299" spans="1:11" ht="24.95" customHeight="1">
      <c r="A299" s="192"/>
      <c r="B299" s="202" t="s">
        <v>544</v>
      </c>
      <c r="C299" s="189">
        <v>1</v>
      </c>
      <c r="D299" s="189" t="s">
        <v>461</v>
      </c>
      <c r="E299" s="189">
        <v>1</v>
      </c>
      <c r="F299" s="203">
        <v>0.23</v>
      </c>
      <c r="G299" s="203">
        <v>0.6</v>
      </c>
      <c r="H299" s="206">
        <v>3.3</v>
      </c>
      <c r="I299" s="203">
        <f t="shared" si="27"/>
        <v>0.46</v>
      </c>
      <c r="J299" s="191"/>
    </row>
    <row r="300" spans="1:11" ht="24.95" customHeight="1">
      <c r="A300" s="192"/>
      <c r="B300" s="202" t="s">
        <v>546</v>
      </c>
      <c r="C300" s="189">
        <v>1</v>
      </c>
      <c r="D300" s="189" t="s">
        <v>461</v>
      </c>
      <c r="E300" s="189">
        <v>2</v>
      </c>
      <c r="F300" s="203">
        <v>0.3</v>
      </c>
      <c r="G300" s="203">
        <v>0.6</v>
      </c>
      <c r="H300" s="206">
        <v>3.3</v>
      </c>
      <c r="I300" s="203">
        <f t="shared" si="27"/>
        <v>1.19</v>
      </c>
      <c r="J300" s="191"/>
    </row>
    <row r="301" spans="1:11" ht="24.95" customHeight="1">
      <c r="A301" s="192"/>
      <c r="B301" s="202" t="s">
        <v>552</v>
      </c>
      <c r="C301" s="189">
        <v>1</v>
      </c>
      <c r="D301" s="189" t="s">
        <v>461</v>
      </c>
      <c r="E301" s="189">
        <v>1</v>
      </c>
      <c r="F301" s="203">
        <v>21.82</v>
      </c>
      <c r="G301" s="203">
        <v>0.23</v>
      </c>
      <c r="H301" s="206">
        <v>0.17499999999999999</v>
      </c>
      <c r="I301" s="203">
        <f t="shared" si="27"/>
        <v>0.88</v>
      </c>
      <c r="J301" s="191"/>
    </row>
    <row r="302" spans="1:11" ht="24.95" customHeight="1">
      <c r="A302" s="192"/>
      <c r="B302" s="202" t="s">
        <v>553</v>
      </c>
      <c r="C302" s="189">
        <v>1</v>
      </c>
      <c r="D302" s="189" t="s">
        <v>461</v>
      </c>
      <c r="E302" s="189">
        <v>1</v>
      </c>
      <c r="F302" s="203">
        <v>7.26</v>
      </c>
      <c r="G302" s="203">
        <v>4.1100000000000003</v>
      </c>
      <c r="H302" s="206">
        <v>0.125</v>
      </c>
      <c r="I302" s="203">
        <f t="shared" si="27"/>
        <v>3.73</v>
      </c>
      <c r="J302" s="191"/>
    </row>
    <row r="303" spans="1:11" ht="24.95" customHeight="1">
      <c r="A303" s="192"/>
      <c r="B303" s="202" t="s">
        <v>554</v>
      </c>
      <c r="C303" s="189">
        <v>1</v>
      </c>
      <c r="D303" s="189" t="s">
        <v>461</v>
      </c>
      <c r="E303" s="189">
        <v>1</v>
      </c>
      <c r="F303" s="203">
        <v>1.36</v>
      </c>
      <c r="G303" s="203">
        <v>0.6</v>
      </c>
      <c r="H303" s="206">
        <v>6.3E-2</v>
      </c>
      <c r="I303" s="203">
        <f t="shared" si="27"/>
        <v>0.05</v>
      </c>
      <c r="J303" s="191"/>
    </row>
    <row r="304" spans="1:11" ht="24.95" customHeight="1">
      <c r="A304" s="192"/>
      <c r="B304" s="268" t="s">
        <v>1417</v>
      </c>
      <c r="C304" s="269">
        <v>1</v>
      </c>
      <c r="D304" s="270" t="s">
        <v>461</v>
      </c>
      <c r="E304" s="269">
        <v>1</v>
      </c>
      <c r="F304" s="271">
        <v>5.26</v>
      </c>
      <c r="G304" s="271">
        <v>1.66</v>
      </c>
      <c r="H304" s="271">
        <v>0.15</v>
      </c>
      <c r="I304" s="271">
        <f t="shared" si="27"/>
        <v>1.31</v>
      </c>
      <c r="J304" s="191"/>
    </row>
    <row r="305" spans="1:17" ht="24.95" customHeight="1">
      <c r="A305" s="192"/>
      <c r="B305" s="202"/>
      <c r="C305" s="189"/>
      <c r="D305" s="189"/>
      <c r="E305" s="189"/>
      <c r="F305" s="203"/>
      <c r="G305" s="203"/>
      <c r="H305" s="206"/>
      <c r="I305" s="203">
        <f>SUM(I298:I304)</f>
        <v>7.96</v>
      </c>
      <c r="J305" s="191"/>
    </row>
    <row r="306" spans="1:17" ht="24.95" customHeight="1">
      <c r="A306" s="192"/>
      <c r="B306" s="202"/>
      <c r="C306" s="189"/>
      <c r="D306" s="189"/>
      <c r="E306" s="189"/>
      <c r="F306" s="203"/>
      <c r="G306" s="203"/>
      <c r="H306" s="204" t="s">
        <v>261</v>
      </c>
      <c r="I306" s="204">
        <f>ROUNDUP(I305,1-0)</f>
        <v>8</v>
      </c>
      <c r="J306" s="201" t="s">
        <v>117</v>
      </c>
    </row>
    <row r="307" spans="1:17" ht="51.75" customHeight="1">
      <c r="A307" s="213">
        <v>9.5</v>
      </c>
      <c r="B307" s="188" t="s">
        <v>555</v>
      </c>
      <c r="C307" s="189"/>
      <c r="D307" s="189"/>
      <c r="E307" s="189"/>
      <c r="F307" s="190"/>
      <c r="G307" s="190"/>
      <c r="H307" s="190"/>
      <c r="I307" s="190"/>
      <c r="J307" s="191"/>
    </row>
    <row r="308" spans="1:17" ht="30.75" customHeight="1">
      <c r="A308" s="192"/>
      <c r="B308" s="188" t="s">
        <v>556</v>
      </c>
      <c r="C308" s="189"/>
      <c r="D308" s="189"/>
      <c r="E308" s="189"/>
      <c r="F308" s="190"/>
      <c r="G308" s="190"/>
      <c r="H308" s="190"/>
      <c r="I308" s="190"/>
      <c r="J308" s="191"/>
    </row>
    <row r="309" spans="1:17" ht="24.95" customHeight="1">
      <c r="A309" s="192"/>
      <c r="B309" s="193" t="s">
        <v>934</v>
      </c>
      <c r="C309" s="194">
        <v>1</v>
      </c>
      <c r="D309" s="194" t="s">
        <v>461</v>
      </c>
      <c r="E309" s="194">
        <v>1</v>
      </c>
      <c r="F309" s="195">
        <v>64.88</v>
      </c>
      <c r="G309" s="195">
        <v>0.23</v>
      </c>
      <c r="H309" s="195">
        <v>3.15</v>
      </c>
      <c r="I309" s="195">
        <f t="shared" ref="I309:I339" si="28">PRODUCT(C309:H309)</f>
        <v>47.01</v>
      </c>
      <c r="J309" s="198"/>
    </row>
    <row r="310" spans="1:17" ht="28.5" customHeight="1">
      <c r="A310" s="192"/>
      <c r="B310" s="193" t="s">
        <v>935</v>
      </c>
      <c r="C310" s="194">
        <v>1</v>
      </c>
      <c r="D310" s="194" t="s">
        <v>461</v>
      </c>
      <c r="E310" s="194">
        <v>1</v>
      </c>
      <c r="F310" s="195">
        <v>20.12</v>
      </c>
      <c r="G310" s="195">
        <v>0.23</v>
      </c>
      <c r="H310" s="195">
        <v>3.15</v>
      </c>
      <c r="I310" s="195">
        <f t="shared" si="28"/>
        <v>14.58</v>
      </c>
      <c r="J310" s="198"/>
    </row>
    <row r="311" spans="1:17" ht="24.95" customHeight="1">
      <c r="A311" s="192"/>
      <c r="B311" s="193"/>
      <c r="C311" s="194">
        <v>1</v>
      </c>
      <c r="D311" s="194" t="s">
        <v>461</v>
      </c>
      <c r="E311" s="194">
        <v>1</v>
      </c>
      <c r="F311" s="195">
        <v>16.59</v>
      </c>
      <c r="G311" s="195">
        <v>0.23</v>
      </c>
      <c r="H311" s="195">
        <v>3.15</v>
      </c>
      <c r="I311" s="195">
        <f t="shared" si="28"/>
        <v>12.02</v>
      </c>
      <c r="J311" s="198"/>
    </row>
    <row r="312" spans="1:17" ht="24.95" customHeight="1">
      <c r="A312" s="192"/>
      <c r="B312" s="193" t="s">
        <v>936</v>
      </c>
      <c r="C312" s="194">
        <v>1</v>
      </c>
      <c r="D312" s="194" t="s">
        <v>461</v>
      </c>
      <c r="E312" s="194">
        <v>1</v>
      </c>
      <c r="F312" s="195">
        <v>3.3</v>
      </c>
      <c r="G312" s="195">
        <v>0.23</v>
      </c>
      <c r="H312" s="195">
        <v>3.15</v>
      </c>
      <c r="I312" s="195">
        <f t="shared" si="28"/>
        <v>2.39</v>
      </c>
      <c r="J312" s="198"/>
    </row>
    <row r="313" spans="1:17" ht="24.95" customHeight="1">
      <c r="A313" s="192"/>
      <c r="B313" s="193" t="s">
        <v>937</v>
      </c>
      <c r="C313" s="194">
        <v>1</v>
      </c>
      <c r="D313" s="194" t="s">
        <v>461</v>
      </c>
      <c r="E313" s="194">
        <v>3</v>
      </c>
      <c r="F313" s="195">
        <v>3.6</v>
      </c>
      <c r="G313" s="195">
        <v>0.23</v>
      </c>
      <c r="H313" s="195">
        <v>3.15</v>
      </c>
      <c r="I313" s="195">
        <f t="shared" si="28"/>
        <v>7.82</v>
      </c>
      <c r="J313" s="198"/>
      <c r="Q313" s="185">
        <f>0.75-0.115</f>
        <v>0.64</v>
      </c>
    </row>
    <row r="314" spans="1:17" ht="24.95" customHeight="1">
      <c r="A314" s="192"/>
      <c r="B314" s="193" t="s">
        <v>938</v>
      </c>
      <c r="C314" s="194">
        <v>1</v>
      </c>
      <c r="D314" s="194" t="s">
        <v>461</v>
      </c>
      <c r="E314" s="194">
        <v>2</v>
      </c>
      <c r="F314" s="195">
        <v>6</v>
      </c>
      <c r="G314" s="195">
        <v>0.23</v>
      </c>
      <c r="H314" s="195">
        <v>3.15</v>
      </c>
      <c r="I314" s="195">
        <f t="shared" si="28"/>
        <v>8.69</v>
      </c>
      <c r="J314" s="198"/>
    </row>
    <row r="315" spans="1:17" ht="24.95" customHeight="1">
      <c r="A315" s="192"/>
      <c r="B315" s="193" t="s">
        <v>939</v>
      </c>
      <c r="C315" s="194">
        <v>1</v>
      </c>
      <c r="D315" s="194" t="s">
        <v>461</v>
      </c>
      <c r="E315" s="194">
        <v>1</v>
      </c>
      <c r="F315" s="195">
        <v>8.0299999999999994</v>
      </c>
      <c r="G315" s="195">
        <v>0.23</v>
      </c>
      <c r="H315" s="195">
        <v>3.15</v>
      </c>
      <c r="I315" s="195">
        <f t="shared" si="28"/>
        <v>5.82</v>
      </c>
      <c r="J315" s="198"/>
    </row>
    <row r="316" spans="1:17" ht="24.95" customHeight="1">
      <c r="A316" s="192"/>
      <c r="B316" s="193" t="s">
        <v>946</v>
      </c>
      <c r="C316" s="199">
        <v>1</v>
      </c>
      <c r="D316" s="199" t="s">
        <v>461</v>
      </c>
      <c r="E316" s="199">
        <v>1</v>
      </c>
      <c r="F316" s="197">
        <v>2</v>
      </c>
      <c r="G316" s="195">
        <v>0.23</v>
      </c>
      <c r="H316" s="195">
        <v>3.15</v>
      </c>
      <c r="I316" s="195">
        <f t="shared" si="28"/>
        <v>1.45</v>
      </c>
      <c r="J316" s="198"/>
    </row>
    <row r="317" spans="1:17" ht="24.95" customHeight="1">
      <c r="A317" s="192"/>
      <c r="B317" s="202" t="s">
        <v>577</v>
      </c>
      <c r="C317" s="189">
        <v>1</v>
      </c>
      <c r="D317" s="189" t="s">
        <v>461</v>
      </c>
      <c r="E317" s="189">
        <v>1</v>
      </c>
      <c r="F317" s="203">
        <v>15.97</v>
      </c>
      <c r="G317" s="203">
        <v>0.23</v>
      </c>
      <c r="H317" s="203">
        <v>3.15</v>
      </c>
      <c r="I317" s="203">
        <f t="shared" si="28"/>
        <v>11.57</v>
      </c>
      <c r="J317" s="198"/>
    </row>
    <row r="318" spans="1:17" ht="24.95" customHeight="1">
      <c r="A318" s="192"/>
      <c r="B318" s="193" t="s">
        <v>557</v>
      </c>
      <c r="C318" s="194">
        <v>-1</v>
      </c>
      <c r="D318" s="194" t="s">
        <v>461</v>
      </c>
      <c r="E318" s="194">
        <v>1</v>
      </c>
      <c r="F318" s="195">
        <v>1.8</v>
      </c>
      <c r="G318" s="195">
        <v>0.23</v>
      </c>
      <c r="H318" s="195">
        <v>2.4</v>
      </c>
      <c r="I318" s="195">
        <f t="shared" si="28"/>
        <v>-0.99</v>
      </c>
      <c r="J318" s="198"/>
    </row>
    <row r="319" spans="1:17" ht="24.95" customHeight="1">
      <c r="A319" s="192"/>
      <c r="B319" s="193" t="s">
        <v>520</v>
      </c>
      <c r="C319" s="194">
        <v>-1</v>
      </c>
      <c r="D319" s="194" t="s">
        <v>461</v>
      </c>
      <c r="E319" s="194">
        <v>1</v>
      </c>
      <c r="F319" s="195">
        <v>0.75</v>
      </c>
      <c r="G319" s="195">
        <v>0.23</v>
      </c>
      <c r="H319" s="195">
        <v>2.1</v>
      </c>
      <c r="I319" s="195">
        <f t="shared" si="28"/>
        <v>-0.36</v>
      </c>
      <c r="J319" s="198"/>
    </row>
    <row r="320" spans="1:17" ht="25.5" customHeight="1">
      <c r="A320" s="192"/>
      <c r="B320" s="193" t="s">
        <v>558</v>
      </c>
      <c r="C320" s="194">
        <v>-1</v>
      </c>
      <c r="D320" s="194" t="s">
        <v>461</v>
      </c>
      <c r="E320" s="194">
        <v>1</v>
      </c>
      <c r="F320" s="195">
        <v>1.8</v>
      </c>
      <c r="G320" s="195">
        <v>0.23</v>
      </c>
      <c r="H320" s="195">
        <v>2.1</v>
      </c>
      <c r="I320" s="195">
        <f t="shared" si="28"/>
        <v>-0.87</v>
      </c>
      <c r="J320" s="198"/>
    </row>
    <row r="321" spans="1:10" ht="24.95" customHeight="1">
      <c r="A321" s="192"/>
      <c r="B321" s="193" t="s">
        <v>559</v>
      </c>
      <c r="C321" s="194">
        <v>-1</v>
      </c>
      <c r="D321" s="194" t="s">
        <v>461</v>
      </c>
      <c r="E321" s="194">
        <v>1</v>
      </c>
      <c r="F321" s="195">
        <v>1.8</v>
      </c>
      <c r="G321" s="195">
        <v>0.23</v>
      </c>
      <c r="H321" s="195">
        <v>0.6</v>
      </c>
      <c r="I321" s="195">
        <f t="shared" si="28"/>
        <v>-0.25</v>
      </c>
      <c r="J321" s="198"/>
    </row>
    <row r="322" spans="1:10" ht="24.95" customHeight="1">
      <c r="A322" s="192"/>
      <c r="B322" s="193" t="s">
        <v>560</v>
      </c>
      <c r="C322" s="194">
        <v>-1</v>
      </c>
      <c r="D322" s="194" t="s">
        <v>461</v>
      </c>
      <c r="E322" s="194">
        <v>2</v>
      </c>
      <c r="F322" s="195">
        <v>0.75</v>
      </c>
      <c r="G322" s="195">
        <v>0.23</v>
      </c>
      <c r="H322" s="195">
        <v>2.4</v>
      </c>
      <c r="I322" s="195">
        <f t="shared" si="28"/>
        <v>-0.83</v>
      </c>
      <c r="J322" s="198"/>
    </row>
    <row r="323" spans="1:10" ht="32.25" customHeight="1">
      <c r="A323" s="192"/>
      <c r="B323" s="193" t="s">
        <v>559</v>
      </c>
      <c r="C323" s="194">
        <v>-1</v>
      </c>
      <c r="D323" s="194" t="s">
        <v>461</v>
      </c>
      <c r="E323" s="194">
        <v>2</v>
      </c>
      <c r="F323" s="195">
        <v>1.2</v>
      </c>
      <c r="G323" s="195">
        <v>0.23</v>
      </c>
      <c r="H323" s="195">
        <v>0.6</v>
      </c>
      <c r="I323" s="195">
        <f t="shared" si="28"/>
        <v>-0.33</v>
      </c>
      <c r="J323" s="198"/>
    </row>
    <row r="324" spans="1:10" ht="28.5" customHeight="1">
      <c r="A324" s="192"/>
      <c r="B324" s="193" t="s">
        <v>131</v>
      </c>
      <c r="C324" s="194">
        <v>-1</v>
      </c>
      <c r="D324" s="194" t="s">
        <v>461</v>
      </c>
      <c r="E324" s="194">
        <v>1</v>
      </c>
      <c r="F324" s="195">
        <v>1</v>
      </c>
      <c r="G324" s="195">
        <v>0.23</v>
      </c>
      <c r="H324" s="195">
        <v>2.4</v>
      </c>
      <c r="I324" s="195">
        <f t="shared" si="28"/>
        <v>-0.55000000000000004</v>
      </c>
      <c r="J324" s="198"/>
    </row>
    <row r="325" spans="1:10" ht="24.95" customHeight="1">
      <c r="A325" s="192"/>
      <c r="B325" s="193" t="s">
        <v>559</v>
      </c>
      <c r="C325" s="194">
        <v>-1</v>
      </c>
      <c r="D325" s="194" t="s">
        <v>461</v>
      </c>
      <c r="E325" s="194">
        <v>1</v>
      </c>
      <c r="F325" s="195">
        <v>1.8</v>
      </c>
      <c r="G325" s="195">
        <v>0.23</v>
      </c>
      <c r="H325" s="195">
        <v>0.6</v>
      </c>
      <c r="I325" s="195">
        <f t="shared" si="28"/>
        <v>-0.25</v>
      </c>
      <c r="J325" s="198"/>
    </row>
    <row r="326" spans="1:10" ht="24.95" customHeight="1">
      <c r="A326" s="192"/>
      <c r="B326" s="196" t="s">
        <v>561</v>
      </c>
      <c r="C326" s="194">
        <v>-1</v>
      </c>
      <c r="D326" s="194" t="s">
        <v>461</v>
      </c>
      <c r="E326" s="194">
        <v>3</v>
      </c>
      <c r="F326" s="195">
        <v>1.2</v>
      </c>
      <c r="G326" s="195">
        <v>0.23</v>
      </c>
      <c r="H326" s="195">
        <v>2.4</v>
      </c>
      <c r="I326" s="195">
        <f t="shared" si="28"/>
        <v>-1.99</v>
      </c>
      <c r="J326" s="198"/>
    </row>
    <row r="327" spans="1:10" ht="24.95" customHeight="1">
      <c r="A327" s="192"/>
      <c r="B327" s="193" t="s">
        <v>559</v>
      </c>
      <c r="C327" s="194">
        <v>-1</v>
      </c>
      <c r="D327" s="194" t="s">
        <v>461</v>
      </c>
      <c r="E327" s="194">
        <v>3</v>
      </c>
      <c r="F327" s="195">
        <v>1.2</v>
      </c>
      <c r="G327" s="195">
        <v>0.23</v>
      </c>
      <c r="H327" s="195">
        <v>0.6</v>
      </c>
      <c r="I327" s="195">
        <f t="shared" si="28"/>
        <v>-0.5</v>
      </c>
      <c r="J327" s="198"/>
    </row>
    <row r="328" spans="1:10" ht="24.95" customHeight="1">
      <c r="A328" s="192"/>
      <c r="B328" s="193" t="s">
        <v>562</v>
      </c>
      <c r="C328" s="194">
        <v>-1</v>
      </c>
      <c r="D328" s="194" t="s">
        <v>461</v>
      </c>
      <c r="E328" s="194">
        <v>1</v>
      </c>
      <c r="F328" s="195">
        <v>1.2</v>
      </c>
      <c r="G328" s="195">
        <v>0.23</v>
      </c>
      <c r="H328" s="195">
        <v>2.4</v>
      </c>
      <c r="I328" s="195">
        <f t="shared" si="28"/>
        <v>-0.66</v>
      </c>
      <c r="J328" s="198"/>
    </row>
    <row r="329" spans="1:10" ht="24.95" customHeight="1">
      <c r="A329" s="192"/>
      <c r="B329" s="209" t="s">
        <v>559</v>
      </c>
      <c r="C329" s="194">
        <v>-1</v>
      </c>
      <c r="D329" s="194" t="s">
        <v>461</v>
      </c>
      <c r="E329" s="194">
        <v>1</v>
      </c>
      <c r="F329" s="195">
        <v>2.1</v>
      </c>
      <c r="G329" s="195">
        <v>0.23</v>
      </c>
      <c r="H329" s="195">
        <v>0.6</v>
      </c>
      <c r="I329" s="195">
        <f t="shared" si="28"/>
        <v>-0.28999999999999998</v>
      </c>
      <c r="J329" s="221"/>
    </row>
    <row r="330" spans="1:10" ht="24.95" customHeight="1">
      <c r="A330" s="192"/>
      <c r="B330" s="193" t="s">
        <v>563</v>
      </c>
      <c r="C330" s="194">
        <v>-1</v>
      </c>
      <c r="D330" s="194" t="s">
        <v>461</v>
      </c>
      <c r="E330" s="194">
        <v>1</v>
      </c>
      <c r="F330" s="195">
        <v>1.8</v>
      </c>
      <c r="G330" s="195">
        <v>0.23</v>
      </c>
      <c r="H330" s="195">
        <v>2.4</v>
      </c>
      <c r="I330" s="195">
        <f t="shared" si="28"/>
        <v>-0.99</v>
      </c>
      <c r="J330" s="198"/>
    </row>
    <row r="331" spans="1:10" ht="24.95" customHeight="1">
      <c r="A331" s="192"/>
      <c r="B331" s="193" t="s">
        <v>559</v>
      </c>
      <c r="C331" s="194">
        <v>-1</v>
      </c>
      <c r="D331" s="194" t="s">
        <v>461</v>
      </c>
      <c r="E331" s="194">
        <v>1</v>
      </c>
      <c r="F331" s="195">
        <v>1.8</v>
      </c>
      <c r="G331" s="195">
        <v>0.23</v>
      </c>
      <c r="H331" s="195">
        <v>0.6</v>
      </c>
      <c r="I331" s="195">
        <f t="shared" si="28"/>
        <v>-0.25</v>
      </c>
      <c r="J331" s="198"/>
    </row>
    <row r="332" spans="1:10" ht="24.95" customHeight="1">
      <c r="A332" s="192"/>
      <c r="B332" s="193" t="s">
        <v>564</v>
      </c>
      <c r="C332" s="194">
        <v>-1</v>
      </c>
      <c r="D332" s="194" t="s">
        <v>461</v>
      </c>
      <c r="E332" s="194">
        <v>2</v>
      </c>
      <c r="F332" s="195">
        <v>0.9</v>
      </c>
      <c r="G332" s="195">
        <v>0.23</v>
      </c>
      <c r="H332" s="195">
        <v>2.4</v>
      </c>
      <c r="I332" s="195">
        <f t="shared" si="28"/>
        <v>-0.99</v>
      </c>
      <c r="J332" s="198"/>
    </row>
    <row r="333" spans="1:10" ht="24.95" customHeight="1">
      <c r="A333" s="192"/>
      <c r="B333" s="193" t="s">
        <v>526</v>
      </c>
      <c r="C333" s="194">
        <v>-1</v>
      </c>
      <c r="D333" s="194" t="s">
        <v>461</v>
      </c>
      <c r="E333" s="194">
        <v>7</v>
      </c>
      <c r="F333" s="195">
        <v>1.5</v>
      </c>
      <c r="G333" s="195">
        <v>0.23</v>
      </c>
      <c r="H333" s="195">
        <v>1.65</v>
      </c>
      <c r="I333" s="195">
        <f t="shared" si="28"/>
        <v>-3.98</v>
      </c>
      <c r="J333" s="198"/>
    </row>
    <row r="334" spans="1:10" ht="24.95" customHeight="1">
      <c r="A334" s="192"/>
      <c r="B334" s="193" t="s">
        <v>518</v>
      </c>
      <c r="C334" s="194">
        <v>-1</v>
      </c>
      <c r="D334" s="194" t="s">
        <v>461</v>
      </c>
      <c r="E334" s="194">
        <v>1</v>
      </c>
      <c r="F334" s="195">
        <v>0.9</v>
      </c>
      <c r="G334" s="195">
        <v>0.23</v>
      </c>
      <c r="H334" s="195">
        <v>1.65</v>
      </c>
      <c r="I334" s="195">
        <f t="shared" si="28"/>
        <v>-0.34</v>
      </c>
      <c r="J334" s="198"/>
    </row>
    <row r="335" spans="1:10" ht="24.95" customHeight="1">
      <c r="A335" s="192"/>
      <c r="B335" s="218" t="s">
        <v>519</v>
      </c>
      <c r="C335" s="194">
        <v>-1</v>
      </c>
      <c r="D335" s="194" t="s">
        <v>461</v>
      </c>
      <c r="E335" s="194">
        <v>3</v>
      </c>
      <c r="F335" s="195">
        <v>1.2</v>
      </c>
      <c r="G335" s="195">
        <v>0.23</v>
      </c>
      <c r="H335" s="195">
        <v>1.65</v>
      </c>
      <c r="I335" s="195">
        <f t="shared" si="28"/>
        <v>-1.37</v>
      </c>
      <c r="J335" s="191"/>
    </row>
    <row r="336" spans="1:10" ht="24.95" customHeight="1">
      <c r="A336" s="192"/>
      <c r="B336" s="202" t="s">
        <v>520</v>
      </c>
      <c r="C336" s="194">
        <v>-1</v>
      </c>
      <c r="D336" s="194" t="s">
        <v>461</v>
      </c>
      <c r="E336" s="194">
        <v>1</v>
      </c>
      <c r="F336" s="195">
        <v>1.8</v>
      </c>
      <c r="G336" s="195">
        <v>0.23</v>
      </c>
      <c r="H336" s="195">
        <v>2.4</v>
      </c>
      <c r="I336" s="195">
        <f t="shared" si="28"/>
        <v>-0.99</v>
      </c>
      <c r="J336" s="201"/>
    </row>
    <row r="337" spans="1:10" ht="24.95" customHeight="1">
      <c r="A337" s="192"/>
      <c r="B337" s="202" t="s">
        <v>521</v>
      </c>
      <c r="C337" s="194">
        <v>-1</v>
      </c>
      <c r="D337" s="194" t="s">
        <v>461</v>
      </c>
      <c r="E337" s="194">
        <v>1</v>
      </c>
      <c r="F337" s="195">
        <v>1.2</v>
      </c>
      <c r="G337" s="195">
        <v>0.23</v>
      </c>
      <c r="H337" s="195">
        <v>1.65</v>
      </c>
      <c r="I337" s="195">
        <f t="shared" si="28"/>
        <v>-0.46</v>
      </c>
      <c r="J337" s="191"/>
    </row>
    <row r="338" spans="1:10" ht="24.95" customHeight="1">
      <c r="A338" s="192"/>
      <c r="B338" s="202" t="s">
        <v>522</v>
      </c>
      <c r="C338" s="194">
        <v>-1</v>
      </c>
      <c r="D338" s="194" t="s">
        <v>461</v>
      </c>
      <c r="E338" s="194">
        <v>1</v>
      </c>
      <c r="F338" s="195">
        <v>1.5</v>
      </c>
      <c r="G338" s="195">
        <v>0.23</v>
      </c>
      <c r="H338" s="195">
        <v>1.65</v>
      </c>
      <c r="I338" s="195">
        <f t="shared" si="28"/>
        <v>-0.56999999999999995</v>
      </c>
      <c r="J338" s="191"/>
    </row>
    <row r="339" spans="1:10" ht="24.95" customHeight="1">
      <c r="A339" s="192"/>
      <c r="B339" s="202" t="s">
        <v>523</v>
      </c>
      <c r="C339" s="194">
        <v>-1</v>
      </c>
      <c r="D339" s="194" t="s">
        <v>461</v>
      </c>
      <c r="E339" s="194">
        <v>2</v>
      </c>
      <c r="F339" s="195">
        <v>1.05</v>
      </c>
      <c r="G339" s="195">
        <v>0.23</v>
      </c>
      <c r="H339" s="195">
        <v>1.65</v>
      </c>
      <c r="I339" s="195">
        <f t="shared" si="28"/>
        <v>-0.8</v>
      </c>
      <c r="J339" s="201"/>
    </row>
    <row r="340" spans="1:10" ht="24.95" customHeight="1">
      <c r="A340" s="192"/>
      <c r="B340" s="188" t="s">
        <v>565</v>
      </c>
      <c r="C340" s="189"/>
      <c r="D340" s="189"/>
      <c r="E340" s="189"/>
      <c r="F340" s="190"/>
      <c r="G340" s="190"/>
      <c r="H340" s="190"/>
      <c r="I340" s="190"/>
      <c r="J340" s="191"/>
    </row>
    <row r="341" spans="1:10" ht="24.95" customHeight="1">
      <c r="A341" s="192"/>
      <c r="B341" s="193" t="s">
        <v>934</v>
      </c>
      <c r="C341" s="194">
        <v>-1</v>
      </c>
      <c r="D341" s="194" t="s">
        <v>461</v>
      </c>
      <c r="E341" s="194">
        <v>1</v>
      </c>
      <c r="F341" s="195">
        <v>64.88</v>
      </c>
      <c r="G341" s="203">
        <v>0.23</v>
      </c>
      <c r="H341" s="203">
        <v>0.15</v>
      </c>
      <c r="I341" s="203">
        <f t="shared" ref="I341:I364" si="29">PRODUCT(C341:H341)</f>
        <v>-2.2400000000000002</v>
      </c>
      <c r="J341" s="191"/>
    </row>
    <row r="342" spans="1:10" ht="24.95" customHeight="1">
      <c r="A342" s="192"/>
      <c r="B342" s="193" t="s">
        <v>935</v>
      </c>
      <c r="C342" s="194">
        <v>-1</v>
      </c>
      <c r="D342" s="194" t="s">
        <v>461</v>
      </c>
      <c r="E342" s="194">
        <v>1</v>
      </c>
      <c r="F342" s="195">
        <v>20.12</v>
      </c>
      <c r="G342" s="203">
        <v>0.23</v>
      </c>
      <c r="H342" s="203">
        <v>0.15</v>
      </c>
      <c r="I342" s="203">
        <f t="shared" si="29"/>
        <v>-0.69</v>
      </c>
      <c r="J342" s="191"/>
    </row>
    <row r="343" spans="1:10" ht="24.95" customHeight="1">
      <c r="A343" s="192"/>
      <c r="B343" s="193"/>
      <c r="C343" s="194">
        <v>-1</v>
      </c>
      <c r="D343" s="194" t="s">
        <v>461</v>
      </c>
      <c r="E343" s="194">
        <v>1</v>
      </c>
      <c r="F343" s="195">
        <v>16.59</v>
      </c>
      <c r="G343" s="203">
        <v>0.23</v>
      </c>
      <c r="H343" s="203">
        <v>0.15</v>
      </c>
      <c r="I343" s="203">
        <f t="shared" si="29"/>
        <v>-0.56999999999999995</v>
      </c>
      <c r="J343" s="191"/>
    </row>
    <row r="344" spans="1:10" ht="24.95" customHeight="1">
      <c r="A344" s="192"/>
      <c r="B344" s="193" t="s">
        <v>936</v>
      </c>
      <c r="C344" s="194">
        <v>-1</v>
      </c>
      <c r="D344" s="194" t="s">
        <v>461</v>
      </c>
      <c r="E344" s="194">
        <v>1</v>
      </c>
      <c r="F344" s="195">
        <v>3.3</v>
      </c>
      <c r="G344" s="203">
        <v>0.23</v>
      </c>
      <c r="H344" s="203">
        <v>0.15</v>
      </c>
      <c r="I344" s="203">
        <f t="shared" si="29"/>
        <v>-0.11</v>
      </c>
      <c r="J344" s="191"/>
    </row>
    <row r="345" spans="1:10" ht="24.95" customHeight="1">
      <c r="A345" s="192"/>
      <c r="B345" s="193" t="s">
        <v>937</v>
      </c>
      <c r="C345" s="194">
        <v>-1</v>
      </c>
      <c r="D345" s="194" t="s">
        <v>461</v>
      </c>
      <c r="E345" s="194">
        <v>3</v>
      </c>
      <c r="F345" s="195">
        <v>3.6</v>
      </c>
      <c r="G345" s="203">
        <v>0.23</v>
      </c>
      <c r="H345" s="203">
        <v>0.15</v>
      </c>
      <c r="I345" s="203">
        <f t="shared" si="29"/>
        <v>-0.37</v>
      </c>
      <c r="J345" s="191"/>
    </row>
    <row r="346" spans="1:10" ht="24.95" customHeight="1">
      <c r="A346" s="192"/>
      <c r="B346" s="193" t="s">
        <v>938</v>
      </c>
      <c r="C346" s="194">
        <v>-1</v>
      </c>
      <c r="D346" s="194" t="s">
        <v>461</v>
      </c>
      <c r="E346" s="194">
        <v>2</v>
      </c>
      <c r="F346" s="195">
        <v>6</v>
      </c>
      <c r="G346" s="203">
        <v>0.23</v>
      </c>
      <c r="H346" s="203">
        <v>0.15</v>
      </c>
      <c r="I346" s="203">
        <f t="shared" si="29"/>
        <v>-0.41</v>
      </c>
      <c r="J346" s="191"/>
    </row>
    <row r="347" spans="1:10" ht="24.95" customHeight="1">
      <c r="A347" s="192"/>
      <c r="B347" s="193" t="s">
        <v>939</v>
      </c>
      <c r="C347" s="194">
        <v>-1</v>
      </c>
      <c r="D347" s="194" t="s">
        <v>461</v>
      </c>
      <c r="E347" s="194">
        <v>1</v>
      </c>
      <c r="F347" s="195">
        <v>8.0299999999999994</v>
      </c>
      <c r="G347" s="203">
        <v>0.23</v>
      </c>
      <c r="H347" s="203">
        <v>0.15</v>
      </c>
      <c r="I347" s="203">
        <f t="shared" si="29"/>
        <v>-0.28000000000000003</v>
      </c>
      <c r="J347" s="191"/>
    </row>
    <row r="348" spans="1:10" ht="24.95" customHeight="1">
      <c r="A348" s="192"/>
      <c r="B348" s="193" t="s">
        <v>946</v>
      </c>
      <c r="C348" s="194">
        <v>-1</v>
      </c>
      <c r="D348" s="199" t="s">
        <v>461</v>
      </c>
      <c r="E348" s="199">
        <v>1</v>
      </c>
      <c r="F348" s="197">
        <v>2</v>
      </c>
      <c r="G348" s="203">
        <v>0.23</v>
      </c>
      <c r="H348" s="203">
        <v>0.15</v>
      </c>
      <c r="I348" s="203">
        <f t="shared" si="29"/>
        <v>-7.0000000000000007E-2</v>
      </c>
      <c r="J348" s="191"/>
    </row>
    <row r="349" spans="1:10" ht="24.95" customHeight="1">
      <c r="A349" s="192"/>
      <c r="B349" s="202" t="s">
        <v>517</v>
      </c>
      <c r="C349" s="189">
        <v>-1</v>
      </c>
      <c r="D349" s="189" t="s">
        <v>461</v>
      </c>
      <c r="E349" s="189">
        <v>7</v>
      </c>
      <c r="F349" s="203">
        <v>1.96</v>
      </c>
      <c r="G349" s="203">
        <v>0.23</v>
      </c>
      <c r="H349" s="203">
        <v>0.05</v>
      </c>
      <c r="I349" s="203">
        <f t="shared" si="29"/>
        <v>-0.16</v>
      </c>
      <c r="J349" s="191"/>
    </row>
    <row r="350" spans="1:10" ht="24.95" customHeight="1">
      <c r="A350" s="192"/>
      <c r="B350" s="202" t="s">
        <v>518</v>
      </c>
      <c r="C350" s="189">
        <v>-1</v>
      </c>
      <c r="D350" s="189" t="s">
        <v>461</v>
      </c>
      <c r="E350" s="189">
        <v>1</v>
      </c>
      <c r="F350" s="203">
        <v>1.81</v>
      </c>
      <c r="G350" s="203">
        <v>0.23</v>
      </c>
      <c r="H350" s="203">
        <v>0.05</v>
      </c>
      <c r="I350" s="203">
        <f t="shared" si="29"/>
        <v>-0.02</v>
      </c>
      <c r="J350" s="191"/>
    </row>
    <row r="351" spans="1:10" ht="24.95" customHeight="1">
      <c r="A351" s="192"/>
      <c r="B351" s="202" t="s">
        <v>519</v>
      </c>
      <c r="C351" s="189">
        <v>-1</v>
      </c>
      <c r="D351" s="189" t="s">
        <v>461</v>
      </c>
      <c r="E351" s="189">
        <v>3</v>
      </c>
      <c r="F351" s="203">
        <v>1.36</v>
      </c>
      <c r="G351" s="203">
        <v>0.23</v>
      </c>
      <c r="H351" s="203">
        <v>0.05</v>
      </c>
      <c r="I351" s="203">
        <f t="shared" si="29"/>
        <v>-0.05</v>
      </c>
      <c r="J351" s="191"/>
    </row>
    <row r="352" spans="1:10" ht="24.95" customHeight="1">
      <c r="A352" s="192"/>
      <c r="B352" s="202" t="s">
        <v>520</v>
      </c>
      <c r="C352" s="189">
        <v>-1</v>
      </c>
      <c r="D352" s="189" t="s">
        <v>461</v>
      </c>
      <c r="E352" s="189">
        <v>1</v>
      </c>
      <c r="F352" s="203">
        <v>1.21</v>
      </c>
      <c r="G352" s="203">
        <v>0.23</v>
      </c>
      <c r="H352" s="203">
        <v>0.05</v>
      </c>
      <c r="I352" s="203">
        <f t="shared" si="29"/>
        <v>-0.01</v>
      </c>
      <c r="J352" s="191"/>
    </row>
    <row r="353" spans="1:11" ht="24.95" customHeight="1">
      <c r="A353" s="192"/>
      <c r="B353" s="202" t="s">
        <v>521</v>
      </c>
      <c r="C353" s="189">
        <v>-1</v>
      </c>
      <c r="D353" s="189" t="s">
        <v>461</v>
      </c>
      <c r="E353" s="189">
        <v>1</v>
      </c>
      <c r="F353" s="203">
        <v>1.66</v>
      </c>
      <c r="G353" s="203">
        <v>0.23</v>
      </c>
      <c r="H353" s="203">
        <v>0.05</v>
      </c>
      <c r="I353" s="203">
        <f t="shared" si="29"/>
        <v>-0.02</v>
      </c>
      <c r="J353" s="191"/>
    </row>
    <row r="354" spans="1:11" ht="24.95" customHeight="1">
      <c r="A354" s="192"/>
      <c r="B354" s="202" t="s">
        <v>522</v>
      </c>
      <c r="C354" s="189">
        <v>-1</v>
      </c>
      <c r="D354" s="189" t="s">
        <v>461</v>
      </c>
      <c r="E354" s="189">
        <v>1</v>
      </c>
      <c r="F354" s="203">
        <v>1.96</v>
      </c>
      <c r="G354" s="203">
        <v>0.23</v>
      </c>
      <c r="H354" s="203">
        <v>0.05</v>
      </c>
      <c r="I354" s="203">
        <f t="shared" si="29"/>
        <v>-0.02</v>
      </c>
      <c r="J354" s="191"/>
    </row>
    <row r="355" spans="1:11" ht="24.95" customHeight="1">
      <c r="A355" s="192"/>
      <c r="B355" s="202" t="s">
        <v>523</v>
      </c>
      <c r="C355" s="189">
        <v>-1</v>
      </c>
      <c r="D355" s="189" t="s">
        <v>461</v>
      </c>
      <c r="E355" s="189">
        <v>2</v>
      </c>
      <c r="F355" s="203">
        <v>1.51</v>
      </c>
      <c r="G355" s="203">
        <v>0.23</v>
      </c>
      <c r="H355" s="203">
        <v>0.05</v>
      </c>
      <c r="I355" s="203">
        <f t="shared" si="29"/>
        <v>-0.03</v>
      </c>
      <c r="J355" s="191"/>
    </row>
    <row r="356" spans="1:11" ht="24.95" customHeight="1">
      <c r="A356" s="192"/>
      <c r="B356" s="202" t="s">
        <v>524</v>
      </c>
      <c r="C356" s="189">
        <v>-1</v>
      </c>
      <c r="D356" s="189" t="s">
        <v>461</v>
      </c>
      <c r="E356" s="189">
        <v>1</v>
      </c>
      <c r="F356" s="203">
        <v>2.11</v>
      </c>
      <c r="G356" s="203">
        <v>0.23</v>
      </c>
      <c r="H356" s="203">
        <v>0.05</v>
      </c>
      <c r="I356" s="203">
        <f t="shared" si="29"/>
        <v>-0.02</v>
      </c>
      <c r="J356" s="191"/>
    </row>
    <row r="357" spans="1:11" ht="24.95" customHeight="1">
      <c r="A357" s="192"/>
      <c r="B357" s="202" t="s">
        <v>504</v>
      </c>
      <c r="C357" s="189">
        <v>-1</v>
      </c>
      <c r="D357" s="189" t="s">
        <v>461</v>
      </c>
      <c r="E357" s="189">
        <v>5</v>
      </c>
      <c r="F357" s="203">
        <v>0.23</v>
      </c>
      <c r="G357" s="203">
        <v>0.38</v>
      </c>
      <c r="H357" s="203">
        <v>3.15</v>
      </c>
      <c r="I357" s="203">
        <f t="shared" si="29"/>
        <v>-1.38</v>
      </c>
      <c r="J357" s="191"/>
    </row>
    <row r="358" spans="1:11" ht="24.95" customHeight="1">
      <c r="A358" s="192"/>
      <c r="B358" s="202" t="s">
        <v>487</v>
      </c>
      <c r="C358" s="189">
        <v>-1</v>
      </c>
      <c r="D358" s="189" t="s">
        <v>461</v>
      </c>
      <c r="E358" s="189">
        <v>1</v>
      </c>
      <c r="F358" s="203">
        <v>0.23</v>
      </c>
      <c r="G358" s="203">
        <v>0.45</v>
      </c>
      <c r="H358" s="203">
        <v>3</v>
      </c>
      <c r="I358" s="203">
        <f t="shared" si="29"/>
        <v>-0.31</v>
      </c>
      <c r="J358" s="201"/>
    </row>
    <row r="359" spans="1:11" ht="24.95" customHeight="1">
      <c r="A359" s="192"/>
      <c r="B359" s="202" t="s">
        <v>487</v>
      </c>
      <c r="C359" s="189">
        <v>-1</v>
      </c>
      <c r="D359" s="189" t="s">
        <v>461</v>
      </c>
      <c r="E359" s="189">
        <v>3</v>
      </c>
      <c r="F359" s="203">
        <v>0.23</v>
      </c>
      <c r="G359" s="203">
        <v>0.45</v>
      </c>
      <c r="H359" s="203">
        <v>3.15</v>
      </c>
      <c r="I359" s="203">
        <f t="shared" si="29"/>
        <v>-0.98</v>
      </c>
      <c r="J359" s="191"/>
    </row>
    <row r="360" spans="1:11" ht="24.95" customHeight="1">
      <c r="A360" s="192"/>
      <c r="B360" s="202" t="s">
        <v>505</v>
      </c>
      <c r="C360" s="189">
        <v>-1</v>
      </c>
      <c r="D360" s="189" t="s">
        <v>461</v>
      </c>
      <c r="E360" s="189">
        <v>1</v>
      </c>
      <c r="F360" s="203">
        <v>0.23</v>
      </c>
      <c r="G360" s="203">
        <v>0.6</v>
      </c>
      <c r="H360" s="203">
        <v>3</v>
      </c>
      <c r="I360" s="203">
        <f t="shared" si="29"/>
        <v>-0.41</v>
      </c>
      <c r="J360" s="191"/>
    </row>
    <row r="361" spans="1:11" ht="24.95" customHeight="1">
      <c r="A361" s="192"/>
      <c r="B361" s="202" t="s">
        <v>505</v>
      </c>
      <c r="C361" s="189">
        <v>-1</v>
      </c>
      <c r="D361" s="189" t="s">
        <v>461</v>
      </c>
      <c r="E361" s="189">
        <v>2</v>
      </c>
      <c r="F361" s="203">
        <v>0.23</v>
      </c>
      <c r="G361" s="203">
        <v>0.6</v>
      </c>
      <c r="H361" s="203">
        <v>3.15</v>
      </c>
      <c r="I361" s="203">
        <f t="shared" si="29"/>
        <v>-0.87</v>
      </c>
      <c r="J361" s="191"/>
    </row>
    <row r="362" spans="1:11" ht="24.95" customHeight="1">
      <c r="A362" s="192"/>
      <c r="B362" s="202" t="s">
        <v>489</v>
      </c>
      <c r="C362" s="189">
        <v>-1</v>
      </c>
      <c r="D362" s="189" t="s">
        <v>461</v>
      </c>
      <c r="E362" s="189">
        <v>2</v>
      </c>
      <c r="F362" s="203">
        <v>0.3</v>
      </c>
      <c r="G362" s="203">
        <v>0.38</v>
      </c>
      <c r="H362" s="203">
        <v>3.15</v>
      </c>
      <c r="I362" s="203">
        <f t="shared" si="29"/>
        <v>-0.72</v>
      </c>
      <c r="J362" s="191"/>
    </row>
    <row r="363" spans="1:11" ht="24.95" customHeight="1">
      <c r="A363" s="192"/>
      <c r="B363" s="202" t="s">
        <v>493</v>
      </c>
      <c r="C363" s="189">
        <v>-1</v>
      </c>
      <c r="D363" s="189" t="s">
        <v>461</v>
      </c>
      <c r="E363" s="189">
        <v>4</v>
      </c>
      <c r="F363" s="203">
        <v>0.3</v>
      </c>
      <c r="G363" s="203">
        <v>0.6</v>
      </c>
      <c r="H363" s="203">
        <v>3</v>
      </c>
      <c r="I363" s="203">
        <f t="shared" si="29"/>
        <v>-2.16</v>
      </c>
      <c r="J363" s="191"/>
    </row>
    <row r="364" spans="1:11" ht="24.95" customHeight="1">
      <c r="A364" s="192"/>
      <c r="B364" s="202" t="s">
        <v>494</v>
      </c>
      <c r="C364" s="189">
        <v>-1</v>
      </c>
      <c r="D364" s="189" t="s">
        <v>461</v>
      </c>
      <c r="E364" s="189">
        <v>9</v>
      </c>
      <c r="F364" s="203">
        <v>0.38</v>
      </c>
      <c r="G364" s="203">
        <v>0.38</v>
      </c>
      <c r="H364" s="203">
        <v>3.15</v>
      </c>
      <c r="I364" s="203">
        <f t="shared" si="29"/>
        <v>-4.09</v>
      </c>
      <c r="J364" s="191"/>
    </row>
    <row r="365" spans="1:11" ht="24.95" customHeight="1">
      <c r="A365" s="192"/>
      <c r="B365" s="188"/>
      <c r="C365" s="189"/>
      <c r="D365" s="189"/>
      <c r="E365" s="189"/>
      <c r="F365" s="190"/>
      <c r="G365" s="190"/>
      <c r="H365" s="190"/>
      <c r="I365" s="190">
        <f>SUM(I309:I364)</f>
        <v>76.75</v>
      </c>
      <c r="J365" s="191"/>
      <c r="K365" s="185">
        <v>0.06</v>
      </c>
    </row>
    <row r="366" spans="1:11" ht="24.95" customHeight="1">
      <c r="A366" s="192"/>
      <c r="B366" s="188"/>
      <c r="C366" s="189"/>
      <c r="D366" s="189"/>
      <c r="E366" s="189"/>
      <c r="F366" s="190"/>
      <c r="G366" s="190"/>
      <c r="H366" s="204" t="s">
        <v>261</v>
      </c>
      <c r="I366" s="204">
        <f>ROUNDUP(I365,1-0)</f>
        <v>76.8</v>
      </c>
      <c r="J366" s="201" t="s">
        <v>117</v>
      </c>
    </row>
    <row r="367" spans="1:11" ht="24.95" customHeight="1">
      <c r="A367" s="192"/>
      <c r="B367" s="188" t="s">
        <v>566</v>
      </c>
      <c r="C367" s="189"/>
      <c r="D367" s="189"/>
      <c r="E367" s="189"/>
      <c r="F367" s="190"/>
      <c r="G367" s="190"/>
      <c r="H367" s="190"/>
      <c r="I367" s="190"/>
      <c r="J367" s="191"/>
    </row>
    <row r="368" spans="1:11" ht="24.95" customHeight="1">
      <c r="A368" s="192"/>
      <c r="B368" s="193" t="s">
        <v>503</v>
      </c>
      <c r="C368" s="194">
        <v>1</v>
      </c>
      <c r="D368" s="194" t="s">
        <v>461</v>
      </c>
      <c r="E368" s="194">
        <v>1</v>
      </c>
      <c r="F368" s="195">
        <v>64.88</v>
      </c>
      <c r="G368" s="195">
        <v>0.23</v>
      </c>
      <c r="H368" s="195">
        <v>3.3</v>
      </c>
      <c r="I368" s="195">
        <f t="shared" ref="I368:I409" si="30">PRODUCT(C368:H368)</f>
        <v>49.24</v>
      </c>
      <c r="J368" s="198"/>
    </row>
    <row r="369" spans="1:10" ht="24.95" customHeight="1">
      <c r="A369" s="192"/>
      <c r="B369" s="193" t="s">
        <v>567</v>
      </c>
      <c r="C369" s="194">
        <v>1</v>
      </c>
      <c r="D369" s="194" t="s">
        <v>461</v>
      </c>
      <c r="E369" s="194">
        <v>1</v>
      </c>
      <c r="F369" s="195">
        <v>14.18</v>
      </c>
      <c r="G369" s="195">
        <v>0.23</v>
      </c>
      <c r="H369" s="195">
        <v>3.3</v>
      </c>
      <c r="I369" s="195">
        <f t="shared" si="30"/>
        <v>10.76</v>
      </c>
      <c r="J369" s="198"/>
    </row>
    <row r="370" spans="1:10" ht="24.95" customHeight="1">
      <c r="A370" s="192"/>
      <c r="B370" s="193" t="s">
        <v>568</v>
      </c>
      <c r="C370" s="194">
        <v>1</v>
      </c>
      <c r="D370" s="194" t="s">
        <v>461</v>
      </c>
      <c r="E370" s="194">
        <v>1</v>
      </c>
      <c r="F370" s="195">
        <v>16.809999999999999</v>
      </c>
      <c r="G370" s="195">
        <v>0.23</v>
      </c>
      <c r="H370" s="195">
        <v>3.3</v>
      </c>
      <c r="I370" s="195">
        <f t="shared" si="30"/>
        <v>12.76</v>
      </c>
      <c r="J370" s="191"/>
    </row>
    <row r="371" spans="1:10" ht="24.95" customHeight="1">
      <c r="A371" s="192"/>
      <c r="B371" s="193" t="s">
        <v>569</v>
      </c>
      <c r="C371" s="194">
        <v>1</v>
      </c>
      <c r="D371" s="194" t="s">
        <v>461</v>
      </c>
      <c r="E371" s="194">
        <v>2</v>
      </c>
      <c r="F371" s="195">
        <v>6</v>
      </c>
      <c r="G371" s="195">
        <v>0.23</v>
      </c>
      <c r="H371" s="195">
        <v>3.3</v>
      </c>
      <c r="I371" s="195">
        <f t="shared" si="30"/>
        <v>9.11</v>
      </c>
      <c r="J371" s="191"/>
    </row>
    <row r="372" spans="1:10" ht="24.95" customHeight="1">
      <c r="A372" s="192"/>
      <c r="B372" s="193" t="s">
        <v>570</v>
      </c>
      <c r="C372" s="194">
        <v>1</v>
      </c>
      <c r="D372" s="194" t="s">
        <v>461</v>
      </c>
      <c r="E372" s="194">
        <v>3</v>
      </c>
      <c r="F372" s="195">
        <v>3.6</v>
      </c>
      <c r="G372" s="195">
        <v>0.23</v>
      </c>
      <c r="H372" s="195">
        <v>3.3</v>
      </c>
      <c r="I372" s="195">
        <f t="shared" si="30"/>
        <v>8.1999999999999993</v>
      </c>
      <c r="J372" s="191"/>
    </row>
    <row r="373" spans="1:10" ht="24.95" customHeight="1">
      <c r="A373" s="192"/>
      <c r="B373" s="202" t="s">
        <v>571</v>
      </c>
      <c r="C373" s="194">
        <v>1</v>
      </c>
      <c r="D373" s="194" t="s">
        <v>461</v>
      </c>
      <c r="E373" s="194">
        <v>1</v>
      </c>
      <c r="F373" s="195">
        <v>64.88</v>
      </c>
      <c r="G373" s="195">
        <v>0.23</v>
      </c>
      <c r="H373" s="195">
        <v>1.2</v>
      </c>
      <c r="I373" s="195">
        <f t="shared" si="30"/>
        <v>17.91</v>
      </c>
      <c r="J373" s="191"/>
    </row>
    <row r="374" spans="1:10" ht="24.95" customHeight="1">
      <c r="A374" s="192"/>
      <c r="B374" s="202" t="s">
        <v>572</v>
      </c>
      <c r="C374" s="194">
        <v>-1</v>
      </c>
      <c r="D374" s="194" t="s">
        <v>461</v>
      </c>
      <c r="E374" s="194">
        <v>1</v>
      </c>
      <c r="F374" s="195">
        <v>8</v>
      </c>
      <c r="G374" s="195">
        <v>0.23</v>
      </c>
      <c r="H374" s="195">
        <v>1.2</v>
      </c>
      <c r="I374" s="195">
        <f t="shared" si="30"/>
        <v>-2.21</v>
      </c>
      <c r="J374" s="191"/>
    </row>
    <row r="375" spans="1:10" ht="24.95" customHeight="1">
      <c r="A375" s="192"/>
      <c r="B375" s="202" t="s">
        <v>573</v>
      </c>
      <c r="C375" s="194">
        <v>1</v>
      </c>
      <c r="D375" s="194" t="s">
        <v>461</v>
      </c>
      <c r="E375" s="194">
        <v>1</v>
      </c>
      <c r="F375" s="195">
        <v>39.4</v>
      </c>
      <c r="G375" s="195">
        <v>0.23</v>
      </c>
      <c r="H375" s="195">
        <v>1.2</v>
      </c>
      <c r="I375" s="195">
        <f t="shared" si="30"/>
        <v>10.87</v>
      </c>
      <c r="J375" s="191"/>
    </row>
    <row r="376" spans="1:10" ht="24.95" customHeight="1">
      <c r="A376" s="192"/>
      <c r="B376" s="202" t="s">
        <v>574</v>
      </c>
      <c r="C376" s="194">
        <v>-1</v>
      </c>
      <c r="D376" s="194" t="s">
        <v>461</v>
      </c>
      <c r="E376" s="194">
        <v>7</v>
      </c>
      <c r="F376" s="195">
        <v>1.2</v>
      </c>
      <c r="G376" s="195">
        <v>0.23</v>
      </c>
      <c r="H376" s="195">
        <v>2.4</v>
      </c>
      <c r="I376" s="195">
        <f t="shared" si="30"/>
        <v>-4.6399999999999997</v>
      </c>
      <c r="J376" s="191"/>
    </row>
    <row r="377" spans="1:10" ht="24.95" customHeight="1">
      <c r="A377" s="192"/>
      <c r="B377" s="202" t="s">
        <v>559</v>
      </c>
      <c r="C377" s="194">
        <v>-1</v>
      </c>
      <c r="D377" s="194" t="s">
        <v>461</v>
      </c>
      <c r="E377" s="194">
        <v>7</v>
      </c>
      <c r="F377" s="195">
        <v>1.2</v>
      </c>
      <c r="G377" s="195">
        <v>0.23</v>
      </c>
      <c r="H377" s="195">
        <v>0.6</v>
      </c>
      <c r="I377" s="195">
        <f t="shared" si="30"/>
        <v>-1.1599999999999999</v>
      </c>
      <c r="J377" s="191"/>
    </row>
    <row r="378" spans="1:10" ht="24.95" customHeight="1">
      <c r="A378" s="192"/>
      <c r="B378" s="202" t="s">
        <v>558</v>
      </c>
      <c r="C378" s="194">
        <v>-1</v>
      </c>
      <c r="D378" s="194" t="s">
        <v>461</v>
      </c>
      <c r="E378" s="194">
        <v>2</v>
      </c>
      <c r="F378" s="195">
        <v>0.75</v>
      </c>
      <c r="G378" s="195">
        <v>0.23</v>
      </c>
      <c r="H378" s="195">
        <v>2.4</v>
      </c>
      <c r="I378" s="195">
        <f t="shared" si="30"/>
        <v>-0.83</v>
      </c>
      <c r="J378" s="191"/>
    </row>
    <row r="379" spans="1:10" ht="24.95" customHeight="1">
      <c r="A379" s="192"/>
      <c r="B379" s="202" t="s">
        <v>564</v>
      </c>
      <c r="C379" s="194">
        <v>-1</v>
      </c>
      <c r="D379" s="194" t="s">
        <v>461</v>
      </c>
      <c r="E379" s="194">
        <v>2</v>
      </c>
      <c r="F379" s="195">
        <v>0.9</v>
      </c>
      <c r="G379" s="195">
        <v>0.23</v>
      </c>
      <c r="H379" s="195">
        <v>2.4</v>
      </c>
      <c r="I379" s="195">
        <f t="shared" si="30"/>
        <v>-0.99</v>
      </c>
      <c r="J379" s="191"/>
    </row>
    <row r="380" spans="1:10" ht="24.95" customHeight="1">
      <c r="A380" s="192"/>
      <c r="B380" s="202" t="s">
        <v>575</v>
      </c>
      <c r="C380" s="194">
        <v>-1</v>
      </c>
      <c r="D380" s="194" t="s">
        <v>461</v>
      </c>
      <c r="E380" s="194">
        <v>2</v>
      </c>
      <c r="F380" s="195">
        <v>1.8</v>
      </c>
      <c r="G380" s="195">
        <v>0.23</v>
      </c>
      <c r="H380" s="195">
        <v>1.65</v>
      </c>
      <c r="I380" s="195">
        <f t="shared" si="30"/>
        <v>-1.37</v>
      </c>
      <c r="J380" s="191"/>
    </row>
    <row r="381" spans="1:10" ht="24.95" customHeight="1">
      <c r="A381" s="192"/>
      <c r="B381" s="202" t="s">
        <v>526</v>
      </c>
      <c r="C381" s="194">
        <v>-1</v>
      </c>
      <c r="D381" s="194" t="s">
        <v>461</v>
      </c>
      <c r="E381" s="194">
        <v>6</v>
      </c>
      <c r="F381" s="195">
        <v>1.5</v>
      </c>
      <c r="G381" s="195">
        <v>0.23</v>
      </c>
      <c r="H381" s="195">
        <v>1.65</v>
      </c>
      <c r="I381" s="195">
        <f t="shared" si="30"/>
        <v>-3.42</v>
      </c>
      <c r="J381" s="191"/>
    </row>
    <row r="382" spans="1:10" ht="24.95" customHeight="1">
      <c r="A382" s="192"/>
      <c r="B382" s="202" t="s">
        <v>519</v>
      </c>
      <c r="C382" s="194">
        <v>-1</v>
      </c>
      <c r="D382" s="194" t="s">
        <v>461</v>
      </c>
      <c r="E382" s="194">
        <v>6</v>
      </c>
      <c r="F382" s="195">
        <v>0.9</v>
      </c>
      <c r="G382" s="195">
        <v>0.23</v>
      </c>
      <c r="H382" s="195">
        <v>1.65</v>
      </c>
      <c r="I382" s="195">
        <f t="shared" si="30"/>
        <v>-2.0499999999999998</v>
      </c>
      <c r="J382" s="191"/>
    </row>
    <row r="383" spans="1:10" ht="24.95" customHeight="1">
      <c r="A383" s="192"/>
      <c r="B383" s="202" t="s">
        <v>539</v>
      </c>
      <c r="C383" s="194">
        <v>-1</v>
      </c>
      <c r="D383" s="194" t="s">
        <v>461</v>
      </c>
      <c r="E383" s="194">
        <v>4</v>
      </c>
      <c r="F383" s="195">
        <v>1.2</v>
      </c>
      <c r="G383" s="195">
        <v>0.23</v>
      </c>
      <c r="H383" s="195">
        <v>1.65</v>
      </c>
      <c r="I383" s="195">
        <f t="shared" si="30"/>
        <v>-1.82</v>
      </c>
      <c r="J383" s="191"/>
    </row>
    <row r="384" spans="1:10" ht="24.95" customHeight="1">
      <c r="A384" s="192"/>
      <c r="B384" s="202" t="s">
        <v>521</v>
      </c>
      <c r="C384" s="194">
        <v>-1</v>
      </c>
      <c r="D384" s="194" t="s">
        <v>461</v>
      </c>
      <c r="E384" s="194">
        <v>1</v>
      </c>
      <c r="F384" s="195">
        <v>1.2</v>
      </c>
      <c r="G384" s="195">
        <v>0.23</v>
      </c>
      <c r="H384" s="195">
        <v>1.65</v>
      </c>
      <c r="I384" s="195">
        <f t="shared" si="30"/>
        <v>-0.46</v>
      </c>
      <c r="J384" s="191"/>
    </row>
    <row r="385" spans="1:10" ht="24.95" customHeight="1">
      <c r="A385" s="192"/>
      <c r="B385" s="202" t="s">
        <v>522</v>
      </c>
      <c r="C385" s="194">
        <v>-1</v>
      </c>
      <c r="D385" s="194" t="s">
        <v>461</v>
      </c>
      <c r="E385" s="194">
        <v>1</v>
      </c>
      <c r="F385" s="195">
        <v>1.5</v>
      </c>
      <c r="G385" s="195">
        <v>0.23</v>
      </c>
      <c r="H385" s="195">
        <v>1.65</v>
      </c>
      <c r="I385" s="195">
        <f t="shared" si="30"/>
        <v>-0.56999999999999995</v>
      </c>
      <c r="J385" s="191"/>
    </row>
    <row r="386" spans="1:10" ht="24.95" customHeight="1">
      <c r="A386" s="192"/>
      <c r="B386" s="202" t="s">
        <v>523</v>
      </c>
      <c r="C386" s="194">
        <v>-1</v>
      </c>
      <c r="D386" s="194" t="s">
        <v>461</v>
      </c>
      <c r="E386" s="194">
        <v>2</v>
      </c>
      <c r="F386" s="195">
        <v>1.05</v>
      </c>
      <c r="G386" s="195">
        <v>0.23</v>
      </c>
      <c r="H386" s="195">
        <v>1.65</v>
      </c>
      <c r="I386" s="195">
        <f t="shared" si="30"/>
        <v>-0.8</v>
      </c>
      <c r="J386" s="191"/>
    </row>
    <row r="387" spans="1:10" ht="24.95" customHeight="1">
      <c r="A387" s="192"/>
      <c r="B387" s="202" t="s">
        <v>576</v>
      </c>
      <c r="C387" s="189">
        <v>-1</v>
      </c>
      <c r="D387" s="189" t="s">
        <v>461</v>
      </c>
      <c r="E387" s="189">
        <v>5</v>
      </c>
      <c r="F387" s="203">
        <v>0.23</v>
      </c>
      <c r="G387" s="203">
        <v>0.38</v>
      </c>
      <c r="H387" s="203">
        <v>3.15</v>
      </c>
      <c r="I387" s="203">
        <f t="shared" si="30"/>
        <v>-1.38</v>
      </c>
      <c r="J387" s="191"/>
    </row>
    <row r="388" spans="1:10" ht="24.95" customHeight="1">
      <c r="A388" s="192"/>
      <c r="B388" s="202" t="s">
        <v>487</v>
      </c>
      <c r="C388" s="189">
        <v>-1</v>
      </c>
      <c r="D388" s="189" t="s">
        <v>461</v>
      </c>
      <c r="E388" s="189">
        <v>1</v>
      </c>
      <c r="F388" s="203">
        <v>0.23</v>
      </c>
      <c r="G388" s="203">
        <v>0.45</v>
      </c>
      <c r="H388" s="203">
        <v>3</v>
      </c>
      <c r="I388" s="203">
        <f t="shared" si="30"/>
        <v>-0.31</v>
      </c>
      <c r="J388" s="191"/>
    </row>
    <row r="389" spans="1:10" ht="24.95" customHeight="1">
      <c r="A389" s="192"/>
      <c r="B389" s="202" t="s">
        <v>487</v>
      </c>
      <c r="C389" s="189">
        <v>-1</v>
      </c>
      <c r="D389" s="189" t="s">
        <v>461</v>
      </c>
      <c r="E389" s="189">
        <v>3</v>
      </c>
      <c r="F389" s="203">
        <v>0.23</v>
      </c>
      <c r="G389" s="203">
        <v>0.45</v>
      </c>
      <c r="H389" s="203">
        <v>3.15</v>
      </c>
      <c r="I389" s="203">
        <f t="shared" si="30"/>
        <v>-0.98</v>
      </c>
      <c r="J389" s="191"/>
    </row>
    <row r="390" spans="1:10" ht="24.95" customHeight="1">
      <c r="A390" s="192"/>
      <c r="B390" s="202" t="s">
        <v>505</v>
      </c>
      <c r="C390" s="189">
        <v>-1</v>
      </c>
      <c r="D390" s="189" t="s">
        <v>461</v>
      </c>
      <c r="E390" s="189">
        <v>1</v>
      </c>
      <c r="F390" s="203">
        <v>0.23</v>
      </c>
      <c r="G390" s="203">
        <v>0.6</v>
      </c>
      <c r="H390" s="203">
        <v>3</v>
      </c>
      <c r="I390" s="203">
        <f t="shared" si="30"/>
        <v>-0.41</v>
      </c>
      <c r="J390" s="191"/>
    </row>
    <row r="391" spans="1:10" ht="24.95" customHeight="1">
      <c r="A391" s="192"/>
      <c r="B391" s="202" t="s">
        <v>505</v>
      </c>
      <c r="C391" s="189">
        <v>-1</v>
      </c>
      <c r="D391" s="189" t="s">
        <v>461</v>
      </c>
      <c r="E391" s="189">
        <v>2</v>
      </c>
      <c r="F391" s="203">
        <v>0.23</v>
      </c>
      <c r="G391" s="203">
        <v>0.6</v>
      </c>
      <c r="H391" s="203">
        <v>3.15</v>
      </c>
      <c r="I391" s="203">
        <f t="shared" si="30"/>
        <v>-0.87</v>
      </c>
      <c r="J391" s="191"/>
    </row>
    <row r="392" spans="1:10" ht="24.95" customHeight="1">
      <c r="A392" s="192"/>
      <c r="B392" s="202" t="s">
        <v>489</v>
      </c>
      <c r="C392" s="189">
        <v>-1</v>
      </c>
      <c r="D392" s="189" t="s">
        <v>461</v>
      </c>
      <c r="E392" s="189">
        <v>2</v>
      </c>
      <c r="F392" s="203">
        <v>0.3</v>
      </c>
      <c r="G392" s="203">
        <v>0.38</v>
      </c>
      <c r="H392" s="203">
        <v>3.15</v>
      </c>
      <c r="I392" s="203">
        <f t="shared" si="30"/>
        <v>-0.72</v>
      </c>
      <c r="J392" s="191"/>
    </row>
    <row r="393" spans="1:10" ht="24.95" customHeight="1">
      <c r="A393" s="192"/>
      <c r="B393" s="202" t="s">
        <v>493</v>
      </c>
      <c r="C393" s="189">
        <v>-1</v>
      </c>
      <c r="D393" s="189" t="s">
        <v>461</v>
      </c>
      <c r="E393" s="189">
        <v>4</v>
      </c>
      <c r="F393" s="203">
        <v>0.3</v>
      </c>
      <c r="G393" s="203">
        <v>0.6</v>
      </c>
      <c r="H393" s="203">
        <v>3</v>
      </c>
      <c r="I393" s="203">
        <f t="shared" si="30"/>
        <v>-2.16</v>
      </c>
      <c r="J393" s="191"/>
    </row>
    <row r="394" spans="1:10" ht="24.95" customHeight="1">
      <c r="A394" s="192"/>
      <c r="B394" s="202" t="s">
        <v>494</v>
      </c>
      <c r="C394" s="189">
        <v>-1</v>
      </c>
      <c r="D394" s="189" t="s">
        <v>461</v>
      </c>
      <c r="E394" s="189">
        <v>9</v>
      </c>
      <c r="F394" s="203">
        <v>0.38</v>
      </c>
      <c r="G394" s="203">
        <v>0.38</v>
      </c>
      <c r="H394" s="203">
        <v>3.15</v>
      </c>
      <c r="I394" s="203">
        <f t="shared" si="30"/>
        <v>-4.09</v>
      </c>
      <c r="J394" s="191"/>
    </row>
    <row r="395" spans="1:10" ht="24.95" customHeight="1">
      <c r="A395" s="192"/>
      <c r="B395" s="193" t="s">
        <v>934</v>
      </c>
      <c r="C395" s="189">
        <v>-1</v>
      </c>
      <c r="D395" s="194" t="s">
        <v>461</v>
      </c>
      <c r="E395" s="194">
        <v>1</v>
      </c>
      <c r="F395" s="195">
        <v>64.88</v>
      </c>
      <c r="G395" s="203">
        <v>0.23</v>
      </c>
      <c r="H395" s="203">
        <v>0.15</v>
      </c>
      <c r="I395" s="203">
        <f t="shared" si="30"/>
        <v>-2.2400000000000002</v>
      </c>
      <c r="J395" s="191"/>
    </row>
    <row r="396" spans="1:10" ht="24.95" customHeight="1">
      <c r="A396" s="192"/>
      <c r="B396" s="193" t="s">
        <v>935</v>
      </c>
      <c r="C396" s="189">
        <v>-1</v>
      </c>
      <c r="D396" s="194" t="s">
        <v>461</v>
      </c>
      <c r="E396" s="194">
        <v>1</v>
      </c>
      <c r="F396" s="195">
        <v>20.12</v>
      </c>
      <c r="G396" s="203">
        <v>0.23</v>
      </c>
      <c r="H396" s="203">
        <v>0.15</v>
      </c>
      <c r="I396" s="203">
        <f t="shared" si="30"/>
        <v>-0.69</v>
      </c>
      <c r="J396" s="191"/>
    </row>
    <row r="397" spans="1:10" ht="24.95" customHeight="1">
      <c r="A397" s="192"/>
      <c r="B397" s="193"/>
      <c r="C397" s="189">
        <v>-1</v>
      </c>
      <c r="D397" s="194" t="s">
        <v>461</v>
      </c>
      <c r="E397" s="194">
        <v>1</v>
      </c>
      <c r="F397" s="195">
        <v>16.59</v>
      </c>
      <c r="G397" s="203">
        <v>0.23</v>
      </c>
      <c r="H397" s="203">
        <v>0.15</v>
      </c>
      <c r="I397" s="203">
        <f t="shared" si="30"/>
        <v>-0.56999999999999995</v>
      </c>
      <c r="J397" s="191"/>
    </row>
    <row r="398" spans="1:10" ht="24.95" customHeight="1">
      <c r="A398" s="192"/>
      <c r="B398" s="193" t="s">
        <v>937</v>
      </c>
      <c r="C398" s="189">
        <v>-1</v>
      </c>
      <c r="D398" s="194" t="s">
        <v>461</v>
      </c>
      <c r="E398" s="194">
        <v>3</v>
      </c>
      <c r="F398" s="195">
        <v>3.6</v>
      </c>
      <c r="G398" s="203">
        <v>0.23</v>
      </c>
      <c r="H398" s="203">
        <v>0.15</v>
      </c>
      <c r="I398" s="203">
        <f t="shared" si="30"/>
        <v>-0.37</v>
      </c>
      <c r="J398" s="191"/>
    </row>
    <row r="399" spans="1:10" ht="24.95" customHeight="1">
      <c r="A399" s="192"/>
      <c r="B399" s="193" t="s">
        <v>951</v>
      </c>
      <c r="C399" s="189">
        <v>-1</v>
      </c>
      <c r="D399" s="194" t="s">
        <v>461</v>
      </c>
      <c r="E399" s="194">
        <v>2</v>
      </c>
      <c r="F399" s="195">
        <v>6</v>
      </c>
      <c r="G399" s="203">
        <v>0.23</v>
      </c>
      <c r="H399" s="203">
        <v>0.15</v>
      </c>
      <c r="I399" s="203">
        <f t="shared" si="30"/>
        <v>-0.41</v>
      </c>
      <c r="J399" s="191"/>
    </row>
    <row r="400" spans="1:10" ht="24.95" customHeight="1">
      <c r="A400" s="192"/>
      <c r="B400" s="193" t="s">
        <v>952</v>
      </c>
      <c r="C400" s="189">
        <v>-1</v>
      </c>
      <c r="D400" s="194" t="s">
        <v>461</v>
      </c>
      <c r="E400" s="194">
        <v>1</v>
      </c>
      <c r="F400" s="195">
        <v>8.0299999999999994</v>
      </c>
      <c r="G400" s="203">
        <v>0.23</v>
      </c>
      <c r="H400" s="203">
        <v>0.15</v>
      </c>
      <c r="I400" s="203">
        <f t="shared" si="30"/>
        <v>-0.28000000000000003</v>
      </c>
      <c r="J400" s="191"/>
    </row>
    <row r="401" spans="1:11" ht="24.95" customHeight="1">
      <c r="A401" s="192"/>
      <c r="B401" s="202" t="s">
        <v>538</v>
      </c>
      <c r="C401" s="189">
        <v>-1</v>
      </c>
      <c r="D401" s="189" t="s">
        <v>461</v>
      </c>
      <c r="E401" s="189">
        <v>2</v>
      </c>
      <c r="F401" s="203">
        <v>2.2599999999999998</v>
      </c>
      <c r="G401" s="203">
        <v>0.23</v>
      </c>
      <c r="H401" s="203">
        <v>0.05</v>
      </c>
      <c r="I401" s="203">
        <f t="shared" si="30"/>
        <v>-0.05</v>
      </c>
      <c r="J401" s="191"/>
    </row>
    <row r="402" spans="1:11" ht="24.95" customHeight="1">
      <c r="A402" s="192"/>
      <c r="B402" s="202" t="s">
        <v>526</v>
      </c>
      <c r="C402" s="189">
        <v>-1</v>
      </c>
      <c r="D402" s="189" t="s">
        <v>461</v>
      </c>
      <c r="E402" s="189">
        <v>6</v>
      </c>
      <c r="F402" s="203">
        <v>1.96</v>
      </c>
      <c r="G402" s="203">
        <v>0.23</v>
      </c>
      <c r="H402" s="203">
        <v>0.05</v>
      </c>
      <c r="I402" s="203">
        <f t="shared" si="30"/>
        <v>-0.14000000000000001</v>
      </c>
      <c r="J402" s="191"/>
    </row>
    <row r="403" spans="1:11" ht="24.95" customHeight="1">
      <c r="A403" s="192"/>
      <c r="B403" s="202" t="s">
        <v>519</v>
      </c>
      <c r="C403" s="189">
        <v>-1</v>
      </c>
      <c r="D403" s="189" t="s">
        <v>461</v>
      </c>
      <c r="E403" s="189">
        <v>6</v>
      </c>
      <c r="F403" s="203">
        <v>1.36</v>
      </c>
      <c r="G403" s="203">
        <v>0.23</v>
      </c>
      <c r="H403" s="203">
        <v>0.05</v>
      </c>
      <c r="I403" s="203">
        <f t="shared" si="30"/>
        <v>-0.09</v>
      </c>
      <c r="J403" s="191"/>
    </row>
    <row r="404" spans="1:11" ht="24.95" customHeight="1">
      <c r="A404" s="192"/>
      <c r="B404" s="202" t="s">
        <v>539</v>
      </c>
      <c r="C404" s="189">
        <v>-1</v>
      </c>
      <c r="D404" s="189" t="s">
        <v>461</v>
      </c>
      <c r="E404" s="189">
        <v>4</v>
      </c>
      <c r="F404" s="203">
        <v>1.66</v>
      </c>
      <c r="G404" s="203">
        <v>0.23</v>
      </c>
      <c r="H404" s="203">
        <v>0.05</v>
      </c>
      <c r="I404" s="203">
        <f t="shared" si="30"/>
        <v>-0.08</v>
      </c>
      <c r="J404" s="191"/>
    </row>
    <row r="405" spans="1:11" ht="24.95" customHeight="1">
      <c r="A405" s="192"/>
      <c r="B405" s="202" t="s">
        <v>521</v>
      </c>
      <c r="C405" s="189">
        <v>-1</v>
      </c>
      <c r="D405" s="189" t="s">
        <v>461</v>
      </c>
      <c r="E405" s="189">
        <v>1</v>
      </c>
      <c r="F405" s="203">
        <v>1.66</v>
      </c>
      <c r="G405" s="203">
        <v>0.23</v>
      </c>
      <c r="H405" s="203">
        <v>0.05</v>
      </c>
      <c r="I405" s="203">
        <f t="shared" si="30"/>
        <v>-0.02</v>
      </c>
      <c r="J405" s="191"/>
    </row>
    <row r="406" spans="1:11" ht="24.95" customHeight="1">
      <c r="A406" s="192"/>
      <c r="B406" s="202" t="s">
        <v>522</v>
      </c>
      <c r="C406" s="189">
        <v>-1</v>
      </c>
      <c r="D406" s="189" t="s">
        <v>461</v>
      </c>
      <c r="E406" s="189">
        <v>1</v>
      </c>
      <c r="F406" s="203">
        <v>1.96</v>
      </c>
      <c r="G406" s="203">
        <v>0.23</v>
      </c>
      <c r="H406" s="203">
        <v>0.05</v>
      </c>
      <c r="I406" s="203">
        <f t="shared" si="30"/>
        <v>-0.02</v>
      </c>
      <c r="J406" s="191"/>
    </row>
    <row r="407" spans="1:11" ht="24.95" customHeight="1">
      <c r="A407" s="192"/>
      <c r="B407" s="202" t="s">
        <v>523</v>
      </c>
      <c r="C407" s="189">
        <v>-1</v>
      </c>
      <c r="D407" s="189" t="s">
        <v>461</v>
      </c>
      <c r="E407" s="189">
        <v>2</v>
      </c>
      <c r="F407" s="203">
        <v>1.51</v>
      </c>
      <c r="G407" s="203">
        <v>0.23</v>
      </c>
      <c r="H407" s="203">
        <v>0.05</v>
      </c>
      <c r="I407" s="203">
        <f t="shared" si="30"/>
        <v>-0.03</v>
      </c>
      <c r="J407" s="191"/>
    </row>
    <row r="408" spans="1:11" ht="24.95" customHeight="1">
      <c r="A408" s="192"/>
      <c r="B408" s="202" t="s">
        <v>540</v>
      </c>
      <c r="C408" s="189">
        <v>-1</v>
      </c>
      <c r="D408" s="189" t="s">
        <v>461</v>
      </c>
      <c r="E408" s="189">
        <v>1</v>
      </c>
      <c r="F408" s="203">
        <v>2.2599999999999998</v>
      </c>
      <c r="G408" s="203">
        <v>0.23</v>
      </c>
      <c r="H408" s="203">
        <v>0.05</v>
      </c>
      <c r="I408" s="203">
        <f t="shared" si="30"/>
        <v>-0.03</v>
      </c>
      <c r="J408" s="191"/>
    </row>
    <row r="409" spans="1:11" ht="24.95" customHeight="1">
      <c r="A409" s="192"/>
      <c r="B409" s="202" t="s">
        <v>577</v>
      </c>
      <c r="C409" s="189">
        <v>1</v>
      </c>
      <c r="D409" s="189" t="s">
        <v>461</v>
      </c>
      <c r="E409" s="189">
        <v>1</v>
      </c>
      <c r="F409" s="203">
        <v>15.97</v>
      </c>
      <c r="G409" s="203">
        <v>0.23</v>
      </c>
      <c r="H409" s="203">
        <v>3.15</v>
      </c>
      <c r="I409" s="203">
        <f t="shared" si="30"/>
        <v>11.57</v>
      </c>
      <c r="J409" s="191"/>
    </row>
    <row r="410" spans="1:11" ht="24.95" customHeight="1">
      <c r="A410" s="192"/>
      <c r="B410" s="188"/>
      <c r="C410" s="189"/>
      <c r="D410" s="189"/>
      <c r="E410" s="189"/>
      <c r="F410" s="190"/>
      <c r="G410" s="190"/>
      <c r="H410" s="190"/>
      <c r="I410" s="190">
        <f>SUM(I368:I409)</f>
        <v>94.16</v>
      </c>
      <c r="J410" s="191"/>
      <c r="K410" s="185">
        <v>0.04</v>
      </c>
    </row>
    <row r="411" spans="1:11" ht="24.95" customHeight="1">
      <c r="A411" s="192"/>
      <c r="B411" s="188"/>
      <c r="C411" s="189"/>
      <c r="D411" s="189"/>
      <c r="E411" s="189"/>
      <c r="F411" s="190"/>
      <c r="G411" s="190"/>
      <c r="H411" s="204" t="s">
        <v>261</v>
      </c>
      <c r="I411" s="204">
        <f>ROUNDUP(I410,1-0)</f>
        <v>94.2</v>
      </c>
      <c r="J411" s="201" t="s">
        <v>117</v>
      </c>
    </row>
    <row r="412" spans="1:11" ht="24.95" customHeight="1">
      <c r="A412" s="192"/>
      <c r="B412" s="188"/>
      <c r="C412" s="189"/>
      <c r="D412" s="189"/>
      <c r="E412" s="189"/>
      <c r="F412" s="190"/>
      <c r="G412" s="190"/>
      <c r="H412" s="190"/>
      <c r="I412" s="190"/>
      <c r="J412" s="191"/>
    </row>
    <row r="413" spans="1:11" ht="24.95" customHeight="1">
      <c r="A413" s="192"/>
      <c r="B413" s="188" t="s">
        <v>578</v>
      </c>
      <c r="C413" s="189">
        <v>1</v>
      </c>
      <c r="D413" s="189" t="s">
        <v>461</v>
      </c>
      <c r="E413" s="189">
        <v>1</v>
      </c>
      <c r="F413" s="203">
        <v>23.2</v>
      </c>
      <c r="G413" s="203">
        <v>0.23</v>
      </c>
      <c r="H413" s="206">
        <v>3.3</v>
      </c>
      <c r="I413" s="203">
        <f t="shared" ref="I413:I418" si="31">PRODUCT(C413:H413)</f>
        <v>17.61</v>
      </c>
      <c r="J413" s="191"/>
    </row>
    <row r="414" spans="1:11" ht="24.95" customHeight="1">
      <c r="A414" s="192"/>
      <c r="B414" s="202" t="s">
        <v>579</v>
      </c>
      <c r="C414" s="189">
        <v>1</v>
      </c>
      <c r="D414" s="189" t="s">
        <v>461</v>
      </c>
      <c r="E414" s="189">
        <v>1</v>
      </c>
      <c r="F414" s="203">
        <v>23.2</v>
      </c>
      <c r="G414" s="203">
        <v>0.23</v>
      </c>
      <c r="H414" s="206">
        <v>0.45</v>
      </c>
      <c r="I414" s="203">
        <f t="shared" si="31"/>
        <v>2.4</v>
      </c>
      <c r="J414" s="191"/>
    </row>
    <row r="415" spans="1:11" ht="24.95" customHeight="1">
      <c r="A415" s="192"/>
      <c r="B415" s="220" t="s">
        <v>580</v>
      </c>
      <c r="C415" s="189">
        <v>-1</v>
      </c>
      <c r="D415" s="189" t="s">
        <v>461</v>
      </c>
      <c r="E415" s="189">
        <v>1</v>
      </c>
      <c r="F415" s="203">
        <v>0.23</v>
      </c>
      <c r="G415" s="203">
        <v>0.45</v>
      </c>
      <c r="H415" s="206">
        <v>3.3</v>
      </c>
      <c r="I415" s="203">
        <f t="shared" si="31"/>
        <v>-0.34</v>
      </c>
      <c r="J415" s="191"/>
    </row>
    <row r="416" spans="1:11" ht="24.95" customHeight="1">
      <c r="A416" s="192"/>
      <c r="B416" s="202" t="s">
        <v>544</v>
      </c>
      <c r="C416" s="189">
        <v>-1</v>
      </c>
      <c r="D416" s="189" t="s">
        <v>461</v>
      </c>
      <c r="E416" s="189">
        <v>1</v>
      </c>
      <c r="F416" s="203">
        <v>0.23</v>
      </c>
      <c r="G416" s="203">
        <v>0.6</v>
      </c>
      <c r="H416" s="206">
        <v>3.3</v>
      </c>
      <c r="I416" s="203">
        <f t="shared" si="31"/>
        <v>-0.46</v>
      </c>
      <c r="J416" s="191"/>
    </row>
    <row r="417" spans="1:10" ht="24.95" customHeight="1">
      <c r="A417" s="192"/>
      <c r="B417" s="202" t="s">
        <v>546</v>
      </c>
      <c r="C417" s="189">
        <v>-1</v>
      </c>
      <c r="D417" s="189" t="s">
        <v>461</v>
      </c>
      <c r="E417" s="189">
        <v>2</v>
      </c>
      <c r="F417" s="203">
        <v>0.3</v>
      </c>
      <c r="G417" s="203">
        <v>0.6</v>
      </c>
      <c r="H417" s="206">
        <v>3.3</v>
      </c>
      <c r="I417" s="203">
        <f t="shared" si="31"/>
        <v>-1.19</v>
      </c>
      <c r="J417" s="191"/>
    </row>
    <row r="418" spans="1:10" ht="24.95" customHeight="1">
      <c r="A418" s="192"/>
      <c r="B418" s="202" t="s">
        <v>581</v>
      </c>
      <c r="C418" s="189">
        <v>-1</v>
      </c>
      <c r="D418" s="189" t="s">
        <v>461</v>
      </c>
      <c r="E418" s="189">
        <v>1</v>
      </c>
      <c r="F418" s="203">
        <v>0.9</v>
      </c>
      <c r="G418" s="203">
        <v>0.23</v>
      </c>
      <c r="H418" s="206">
        <v>2.1</v>
      </c>
      <c r="I418" s="203">
        <f t="shared" si="31"/>
        <v>-0.43</v>
      </c>
      <c r="J418" s="191"/>
    </row>
    <row r="419" spans="1:10" ht="24.95" customHeight="1">
      <c r="A419" s="192"/>
      <c r="B419" s="273" t="s">
        <v>1004</v>
      </c>
      <c r="C419" s="269"/>
      <c r="D419" s="270"/>
      <c r="E419" s="269"/>
      <c r="F419" s="271"/>
      <c r="G419" s="271"/>
      <c r="H419" s="271"/>
      <c r="I419" s="271"/>
      <c r="J419" s="191"/>
    </row>
    <row r="420" spans="1:10" ht="24.95" customHeight="1">
      <c r="A420" s="192"/>
      <c r="B420" s="276" t="s">
        <v>1005</v>
      </c>
      <c r="C420" s="277">
        <v>1</v>
      </c>
      <c r="D420" s="278" t="s">
        <v>461</v>
      </c>
      <c r="E420" s="277">
        <v>2</v>
      </c>
      <c r="F420" s="279">
        <v>1.2</v>
      </c>
      <c r="G420" s="279">
        <v>0.23</v>
      </c>
      <c r="H420" s="279">
        <v>0.75</v>
      </c>
      <c r="I420" s="279">
        <f t="shared" ref="I420" si="32">PRODUCT(C420:H420)</f>
        <v>0.41</v>
      </c>
      <c r="J420" s="191"/>
    </row>
    <row r="421" spans="1:10" ht="27" customHeight="1">
      <c r="A421" s="192"/>
      <c r="B421" s="202"/>
      <c r="C421" s="189"/>
      <c r="D421" s="189"/>
      <c r="E421" s="189"/>
      <c r="F421" s="203"/>
      <c r="G421" s="203"/>
      <c r="H421" s="204"/>
      <c r="I421" s="204">
        <f>SUM(I413:I420)</f>
        <v>18</v>
      </c>
      <c r="J421" s="201"/>
    </row>
    <row r="422" spans="1:10" ht="31.5" customHeight="1">
      <c r="A422" s="192"/>
      <c r="B422" s="202"/>
      <c r="C422" s="189"/>
      <c r="D422" s="189"/>
      <c r="E422" s="189"/>
      <c r="F422" s="203"/>
      <c r="G422" s="203"/>
      <c r="H422" s="204" t="s">
        <v>261</v>
      </c>
      <c r="I422" s="204">
        <f>ROUNDUP(I421,1-0)</f>
        <v>18</v>
      </c>
      <c r="J422" s="201" t="s">
        <v>117</v>
      </c>
    </row>
    <row r="423" spans="1:10" ht="52.5" customHeight="1">
      <c r="A423" s="213">
        <v>10.5</v>
      </c>
      <c r="B423" s="188" t="s">
        <v>582</v>
      </c>
      <c r="C423" s="189"/>
      <c r="D423" s="189"/>
      <c r="E423" s="189"/>
      <c r="F423" s="190"/>
      <c r="G423" s="190"/>
      <c r="H423" s="190"/>
      <c r="I423" s="190"/>
      <c r="J423" s="191"/>
    </row>
    <row r="424" spans="1:10" ht="24.95" customHeight="1">
      <c r="A424" s="192"/>
      <c r="B424" s="188" t="s">
        <v>583</v>
      </c>
      <c r="C424" s="189"/>
      <c r="D424" s="189"/>
      <c r="E424" s="189"/>
      <c r="F424" s="190"/>
      <c r="G424" s="190"/>
      <c r="H424" s="190"/>
      <c r="I424" s="190"/>
      <c r="J424" s="191"/>
    </row>
    <row r="425" spans="1:10" ht="24.95" customHeight="1">
      <c r="A425" s="192"/>
      <c r="B425" s="202" t="s">
        <v>476</v>
      </c>
      <c r="C425" s="189">
        <v>1</v>
      </c>
      <c r="D425" s="189" t="s">
        <v>461</v>
      </c>
      <c r="E425" s="189">
        <v>1</v>
      </c>
      <c r="F425" s="203">
        <v>3.42</v>
      </c>
      <c r="G425" s="203"/>
      <c r="H425" s="206">
        <v>3.15</v>
      </c>
      <c r="I425" s="203">
        <f t="shared" ref="I425:I435" si="33">PRODUCT(C425:H425)</f>
        <v>10.77</v>
      </c>
      <c r="J425" s="191"/>
    </row>
    <row r="426" spans="1:10" ht="24.95" customHeight="1">
      <c r="A426" s="192"/>
      <c r="B426" s="202" t="s">
        <v>584</v>
      </c>
      <c r="C426" s="189">
        <v>1</v>
      </c>
      <c r="D426" s="189" t="s">
        <v>461</v>
      </c>
      <c r="E426" s="189">
        <v>1</v>
      </c>
      <c r="F426" s="203">
        <v>3.08</v>
      </c>
      <c r="G426" s="203"/>
      <c r="H426" s="206">
        <v>3.15</v>
      </c>
      <c r="I426" s="203">
        <f t="shared" si="33"/>
        <v>9.6999999999999993</v>
      </c>
      <c r="J426" s="191"/>
    </row>
    <row r="427" spans="1:10" ht="24.95" customHeight="1">
      <c r="A427" s="192"/>
      <c r="B427" s="202" t="s">
        <v>585</v>
      </c>
      <c r="C427" s="189">
        <v>1</v>
      </c>
      <c r="D427" s="189" t="s">
        <v>461</v>
      </c>
      <c r="E427" s="189">
        <v>1</v>
      </c>
      <c r="F427" s="203">
        <v>1.5</v>
      </c>
      <c r="G427" s="203"/>
      <c r="H427" s="206">
        <v>3.15</v>
      </c>
      <c r="I427" s="203">
        <f t="shared" si="33"/>
        <v>4.7300000000000004</v>
      </c>
      <c r="J427" s="191"/>
    </row>
    <row r="428" spans="1:10" ht="24.95" customHeight="1">
      <c r="A428" s="192"/>
      <c r="B428" s="202" t="s">
        <v>586</v>
      </c>
      <c r="C428" s="189">
        <v>1</v>
      </c>
      <c r="D428" s="189" t="s">
        <v>461</v>
      </c>
      <c r="E428" s="189">
        <v>1</v>
      </c>
      <c r="F428" s="203">
        <v>2.6</v>
      </c>
      <c r="G428" s="203"/>
      <c r="H428" s="206">
        <v>3.15</v>
      </c>
      <c r="I428" s="203">
        <f t="shared" si="33"/>
        <v>8.19</v>
      </c>
      <c r="J428" s="191"/>
    </row>
    <row r="429" spans="1:10" ht="24.95" customHeight="1">
      <c r="A429" s="192"/>
      <c r="B429" s="202" t="s">
        <v>587</v>
      </c>
      <c r="C429" s="189">
        <v>1</v>
      </c>
      <c r="D429" s="189" t="s">
        <v>461</v>
      </c>
      <c r="E429" s="189">
        <v>2</v>
      </c>
      <c r="F429" s="203">
        <v>1.5</v>
      </c>
      <c r="G429" s="203"/>
      <c r="H429" s="206">
        <v>3.15</v>
      </c>
      <c r="I429" s="203">
        <f t="shared" si="33"/>
        <v>9.4499999999999993</v>
      </c>
      <c r="J429" s="191"/>
    </row>
    <row r="430" spans="1:10" ht="24.95" customHeight="1">
      <c r="A430" s="192"/>
      <c r="B430" s="202" t="s">
        <v>588</v>
      </c>
      <c r="C430" s="189">
        <v>1</v>
      </c>
      <c r="D430" s="189" t="s">
        <v>461</v>
      </c>
      <c r="E430" s="189">
        <v>1</v>
      </c>
      <c r="F430" s="203">
        <v>1.5</v>
      </c>
      <c r="G430" s="203"/>
      <c r="H430" s="206">
        <v>3.15</v>
      </c>
      <c r="I430" s="203">
        <f t="shared" si="33"/>
        <v>4.7300000000000004</v>
      </c>
      <c r="J430" s="191"/>
    </row>
    <row r="431" spans="1:10" ht="24.95" customHeight="1">
      <c r="A431" s="192"/>
      <c r="B431" s="202" t="s">
        <v>589</v>
      </c>
      <c r="C431" s="189">
        <v>1</v>
      </c>
      <c r="D431" s="189" t="s">
        <v>461</v>
      </c>
      <c r="E431" s="189">
        <v>1</v>
      </c>
      <c r="F431" s="203">
        <v>1.45</v>
      </c>
      <c r="G431" s="203"/>
      <c r="H431" s="206">
        <v>3.15</v>
      </c>
      <c r="I431" s="203">
        <f t="shared" si="33"/>
        <v>4.57</v>
      </c>
      <c r="J431" s="191"/>
    </row>
    <row r="432" spans="1:10" ht="24.95" customHeight="1">
      <c r="A432" s="192"/>
      <c r="B432" s="202" t="s">
        <v>590</v>
      </c>
      <c r="C432" s="189">
        <v>1</v>
      </c>
      <c r="D432" s="189" t="s">
        <v>461</v>
      </c>
      <c r="E432" s="189">
        <v>1</v>
      </c>
      <c r="F432" s="203">
        <v>1.51</v>
      </c>
      <c r="G432" s="203"/>
      <c r="H432" s="206">
        <v>3.15</v>
      </c>
      <c r="I432" s="203">
        <f t="shared" si="33"/>
        <v>4.76</v>
      </c>
      <c r="J432" s="191"/>
    </row>
    <row r="433" spans="1:11" ht="24.95" customHeight="1">
      <c r="A433" s="192"/>
      <c r="B433" s="202" t="s">
        <v>590</v>
      </c>
      <c r="C433" s="189">
        <v>1</v>
      </c>
      <c r="D433" s="189" t="s">
        <v>461</v>
      </c>
      <c r="E433" s="189">
        <v>1</v>
      </c>
      <c r="F433" s="203">
        <v>2.81</v>
      </c>
      <c r="G433" s="203"/>
      <c r="H433" s="206">
        <v>3.15</v>
      </c>
      <c r="I433" s="203">
        <f t="shared" si="33"/>
        <v>8.85</v>
      </c>
      <c r="J433" s="191"/>
    </row>
    <row r="434" spans="1:11" ht="24.95" customHeight="1">
      <c r="A434" s="192"/>
      <c r="B434" s="202" t="s">
        <v>591</v>
      </c>
      <c r="C434" s="189">
        <v>1</v>
      </c>
      <c r="D434" s="189" t="s">
        <v>461</v>
      </c>
      <c r="E434" s="189">
        <v>1</v>
      </c>
      <c r="F434" s="203">
        <v>0.45</v>
      </c>
      <c r="G434" s="203"/>
      <c r="H434" s="206">
        <v>3.15</v>
      </c>
      <c r="I434" s="203">
        <f t="shared" si="33"/>
        <v>1.42</v>
      </c>
      <c r="J434" s="191"/>
    </row>
    <row r="435" spans="1:11" ht="24.95" customHeight="1">
      <c r="A435" s="192"/>
      <c r="B435" s="202" t="s">
        <v>592</v>
      </c>
      <c r="C435" s="189">
        <v>-1</v>
      </c>
      <c r="D435" s="189" t="s">
        <v>461</v>
      </c>
      <c r="E435" s="189">
        <v>7</v>
      </c>
      <c r="F435" s="203">
        <v>0.75</v>
      </c>
      <c r="G435" s="203"/>
      <c r="H435" s="206">
        <v>2.1</v>
      </c>
      <c r="I435" s="203">
        <f t="shared" si="33"/>
        <v>-11.03</v>
      </c>
      <c r="J435" s="191"/>
    </row>
    <row r="436" spans="1:11" ht="24.95" customHeight="1">
      <c r="A436" s="192"/>
      <c r="B436" s="202"/>
      <c r="C436" s="189"/>
      <c r="D436" s="189"/>
      <c r="E436" s="189"/>
      <c r="F436" s="203"/>
      <c r="G436" s="203"/>
      <c r="H436" s="203"/>
      <c r="I436" s="203">
        <f>SUM(I425:I435)</f>
        <v>56.14</v>
      </c>
      <c r="J436" s="191"/>
      <c r="K436" s="185">
        <v>0.01</v>
      </c>
    </row>
    <row r="437" spans="1:11" ht="24.95" customHeight="1">
      <c r="A437" s="192"/>
      <c r="B437" s="202"/>
      <c r="C437" s="189"/>
      <c r="D437" s="189"/>
      <c r="E437" s="189"/>
      <c r="F437" s="203"/>
      <c r="G437" s="203"/>
      <c r="H437" s="204" t="s">
        <v>261</v>
      </c>
      <c r="I437" s="204">
        <f>ROUNDUP(I436,1-0)</f>
        <v>56.2</v>
      </c>
      <c r="J437" s="201" t="s">
        <v>123</v>
      </c>
    </row>
    <row r="438" spans="1:11" ht="24.95" customHeight="1">
      <c r="A438" s="192"/>
      <c r="B438" s="188" t="s">
        <v>593</v>
      </c>
      <c r="C438" s="189"/>
      <c r="D438" s="189"/>
      <c r="E438" s="189"/>
      <c r="F438" s="203"/>
      <c r="G438" s="203"/>
      <c r="H438" s="203"/>
      <c r="I438" s="203"/>
      <c r="J438" s="191"/>
    </row>
    <row r="439" spans="1:11" ht="24.95" customHeight="1">
      <c r="A439" s="192"/>
      <c r="B439" s="202" t="s">
        <v>584</v>
      </c>
      <c r="C439" s="189">
        <v>1</v>
      </c>
      <c r="D439" s="189" t="s">
        <v>461</v>
      </c>
      <c r="E439" s="189">
        <v>2</v>
      </c>
      <c r="F439" s="203">
        <v>1.58</v>
      </c>
      <c r="G439" s="203"/>
      <c r="H439" s="206">
        <v>3.15</v>
      </c>
      <c r="I439" s="203">
        <f t="shared" ref="I439:I445" si="34">PRODUCT(C439:H439)</f>
        <v>9.9499999999999993</v>
      </c>
      <c r="J439" s="191"/>
    </row>
    <row r="440" spans="1:11" ht="24.95" customHeight="1">
      <c r="A440" s="192"/>
      <c r="B440" s="202" t="s">
        <v>959</v>
      </c>
      <c r="C440" s="189">
        <v>1</v>
      </c>
      <c r="D440" s="189" t="s">
        <v>461</v>
      </c>
      <c r="E440" s="189">
        <v>1</v>
      </c>
      <c r="F440" s="203">
        <v>0.75</v>
      </c>
      <c r="G440" s="203"/>
      <c r="H440" s="206">
        <v>1</v>
      </c>
      <c r="I440" s="203">
        <f t="shared" si="34"/>
        <v>0.75</v>
      </c>
      <c r="J440" s="191"/>
    </row>
    <row r="441" spans="1:11" ht="24.95" customHeight="1">
      <c r="A441" s="192"/>
      <c r="B441" s="202" t="s">
        <v>587</v>
      </c>
      <c r="C441" s="189">
        <v>1</v>
      </c>
      <c r="D441" s="189" t="s">
        <v>461</v>
      </c>
      <c r="E441" s="189">
        <v>2</v>
      </c>
      <c r="F441" s="203">
        <v>1.65</v>
      </c>
      <c r="G441" s="203"/>
      <c r="H441" s="206">
        <v>3.15</v>
      </c>
      <c r="I441" s="203">
        <f t="shared" si="34"/>
        <v>10.4</v>
      </c>
      <c r="J441" s="191"/>
    </row>
    <row r="442" spans="1:11" ht="24.95" customHeight="1">
      <c r="A442" s="192"/>
      <c r="B442" s="202" t="s">
        <v>960</v>
      </c>
      <c r="C442" s="189">
        <v>1</v>
      </c>
      <c r="D442" s="189" t="s">
        <v>461</v>
      </c>
      <c r="E442" s="189">
        <v>2</v>
      </c>
      <c r="F442" s="203">
        <v>1.5</v>
      </c>
      <c r="G442" s="203"/>
      <c r="H442" s="206">
        <v>3.15</v>
      </c>
      <c r="I442" s="203">
        <f t="shared" si="34"/>
        <v>9.4499999999999993</v>
      </c>
      <c r="J442" s="191"/>
    </row>
    <row r="443" spans="1:11" ht="24.95" customHeight="1">
      <c r="A443" s="192"/>
      <c r="B443" s="202" t="s">
        <v>961</v>
      </c>
      <c r="C443" s="189">
        <v>1</v>
      </c>
      <c r="D443" s="189" t="s">
        <v>461</v>
      </c>
      <c r="E443" s="189">
        <v>2</v>
      </c>
      <c r="F443" s="203">
        <v>4.24</v>
      </c>
      <c r="G443" s="203"/>
      <c r="H443" s="206">
        <v>3.15</v>
      </c>
      <c r="I443" s="203">
        <f t="shared" si="34"/>
        <v>26.71</v>
      </c>
      <c r="J443" s="191"/>
    </row>
    <row r="444" spans="1:11" ht="24.95" customHeight="1">
      <c r="A444" s="192"/>
      <c r="B444" s="202" t="s">
        <v>962</v>
      </c>
      <c r="C444" s="189">
        <v>1</v>
      </c>
      <c r="D444" s="189" t="s">
        <v>461</v>
      </c>
      <c r="E444" s="189">
        <v>1</v>
      </c>
      <c r="F444" s="203">
        <v>1.2</v>
      </c>
      <c r="G444" s="203"/>
      <c r="H444" s="206">
        <v>2.1</v>
      </c>
      <c r="I444" s="203">
        <f t="shared" si="34"/>
        <v>2.52</v>
      </c>
      <c r="J444" s="191"/>
    </row>
    <row r="445" spans="1:11" ht="24.95" customHeight="1">
      <c r="A445" s="192"/>
      <c r="B445" s="202" t="s">
        <v>592</v>
      </c>
      <c r="C445" s="189">
        <v>-1</v>
      </c>
      <c r="D445" s="189" t="s">
        <v>461</v>
      </c>
      <c r="E445" s="189">
        <v>7</v>
      </c>
      <c r="F445" s="203">
        <v>0.75</v>
      </c>
      <c r="G445" s="203"/>
      <c r="H445" s="206">
        <v>2.1</v>
      </c>
      <c r="I445" s="203">
        <f t="shared" si="34"/>
        <v>-11.03</v>
      </c>
      <c r="J445" s="201"/>
    </row>
    <row r="446" spans="1:11" ht="24.95" customHeight="1">
      <c r="A446" s="192"/>
      <c r="B446" s="202"/>
      <c r="C446" s="189"/>
      <c r="D446" s="189"/>
      <c r="E446" s="189"/>
      <c r="F446" s="203"/>
      <c r="G446" s="203"/>
      <c r="H446" s="203"/>
      <c r="I446" s="203">
        <f>SUM(I439:I445)</f>
        <v>48.75</v>
      </c>
      <c r="J446" s="201"/>
      <c r="K446" s="185">
        <v>0</v>
      </c>
    </row>
    <row r="447" spans="1:11" ht="24.95" customHeight="1">
      <c r="A447" s="192"/>
      <c r="B447" s="202"/>
      <c r="C447" s="189"/>
      <c r="D447" s="189"/>
      <c r="E447" s="189"/>
      <c r="F447" s="203"/>
      <c r="G447" s="203"/>
      <c r="H447" s="204" t="s">
        <v>261</v>
      </c>
      <c r="I447" s="204">
        <f>ROUNDUP(I446,1-0)</f>
        <v>48.8</v>
      </c>
      <c r="J447" s="201" t="s">
        <v>123</v>
      </c>
    </row>
    <row r="448" spans="1:11" ht="24.95" customHeight="1">
      <c r="A448" s="192"/>
      <c r="B448" s="202"/>
      <c r="C448" s="189"/>
      <c r="D448" s="189"/>
      <c r="E448" s="189"/>
      <c r="F448" s="203"/>
      <c r="G448" s="203"/>
      <c r="H448" s="204"/>
      <c r="I448" s="204"/>
      <c r="J448" s="201"/>
    </row>
    <row r="449" spans="1:11" ht="24.95" customHeight="1">
      <c r="A449" s="213">
        <v>11.5</v>
      </c>
      <c r="B449" s="188" t="s">
        <v>594</v>
      </c>
      <c r="C449" s="189"/>
      <c r="D449" s="189"/>
      <c r="E449" s="189"/>
      <c r="F449" s="190"/>
      <c r="G449" s="190"/>
      <c r="H449" s="190"/>
      <c r="I449" s="190"/>
      <c r="J449" s="191"/>
    </row>
    <row r="450" spans="1:11" ht="24.95" customHeight="1">
      <c r="A450" s="192"/>
      <c r="B450" s="188" t="s">
        <v>595</v>
      </c>
      <c r="C450" s="189"/>
      <c r="D450" s="189"/>
      <c r="E450" s="189"/>
      <c r="F450" s="190"/>
      <c r="G450" s="190"/>
      <c r="H450" s="190"/>
      <c r="I450" s="190"/>
      <c r="J450" s="191"/>
    </row>
    <row r="451" spans="1:11" ht="24.95" customHeight="1">
      <c r="A451" s="192"/>
      <c r="B451" s="202" t="s">
        <v>515</v>
      </c>
      <c r="C451" s="189">
        <v>1</v>
      </c>
      <c r="D451" s="189" t="s">
        <v>461</v>
      </c>
      <c r="E451" s="189">
        <v>3</v>
      </c>
      <c r="F451" s="203">
        <v>0.45</v>
      </c>
      <c r="G451" s="203"/>
      <c r="H451" s="203">
        <v>2.4</v>
      </c>
      <c r="I451" s="203">
        <f>PRODUCT(C451:H451)</f>
        <v>3.24</v>
      </c>
      <c r="J451" s="201"/>
    </row>
    <row r="452" spans="1:11" ht="24.95" customHeight="1">
      <c r="A452" s="192"/>
      <c r="B452" s="202" t="s">
        <v>596</v>
      </c>
      <c r="C452" s="189">
        <v>1</v>
      </c>
      <c r="D452" s="189" t="s">
        <v>461</v>
      </c>
      <c r="E452" s="189">
        <v>5</v>
      </c>
      <c r="F452" s="203">
        <v>0.6</v>
      </c>
      <c r="G452" s="203"/>
      <c r="H452" s="203">
        <v>2.4</v>
      </c>
      <c r="I452" s="203">
        <f>PRODUCT(C452:H452)</f>
        <v>7.2</v>
      </c>
      <c r="J452" s="191"/>
    </row>
    <row r="453" spans="1:11" ht="24.95" customHeight="1">
      <c r="A453" s="192"/>
      <c r="B453" s="202" t="s">
        <v>597</v>
      </c>
      <c r="C453" s="189">
        <v>1</v>
      </c>
      <c r="D453" s="189" t="s">
        <v>461</v>
      </c>
      <c r="E453" s="189">
        <v>18</v>
      </c>
      <c r="F453" s="203">
        <v>0.6</v>
      </c>
      <c r="G453" s="203"/>
      <c r="H453" s="203">
        <v>2.4</v>
      </c>
      <c r="I453" s="203">
        <f>PRODUCT(C453:H453)</f>
        <v>25.92</v>
      </c>
      <c r="J453" s="191"/>
    </row>
    <row r="454" spans="1:11" ht="24.95" customHeight="1">
      <c r="A454" s="192"/>
      <c r="B454" s="202" t="s">
        <v>597</v>
      </c>
      <c r="C454" s="189">
        <v>1</v>
      </c>
      <c r="D454" s="189" t="s">
        <v>461</v>
      </c>
      <c r="E454" s="189">
        <v>2</v>
      </c>
      <c r="F454" s="203">
        <v>0.6</v>
      </c>
      <c r="G454" s="203"/>
      <c r="H454" s="203">
        <v>2.4</v>
      </c>
      <c r="I454" s="203">
        <f>PRODUCT(C454:H454)</f>
        <v>2.88</v>
      </c>
      <c r="J454" s="191"/>
    </row>
    <row r="455" spans="1:11" ht="24.95" customHeight="1">
      <c r="A455" s="192"/>
      <c r="B455" s="202"/>
      <c r="C455" s="189"/>
      <c r="D455" s="189"/>
      <c r="E455" s="189"/>
      <c r="F455" s="203"/>
      <c r="G455" s="203"/>
      <c r="H455" s="204"/>
      <c r="I455" s="204">
        <f>SUM(I451:I454)</f>
        <v>39.24</v>
      </c>
      <c r="J455" s="201"/>
      <c r="K455" s="185">
        <v>0.01</v>
      </c>
    </row>
    <row r="456" spans="1:11" ht="24.95" customHeight="1">
      <c r="A456" s="192"/>
      <c r="B456" s="202"/>
      <c r="C456" s="189"/>
      <c r="D456" s="189"/>
      <c r="E456" s="189"/>
      <c r="F456" s="203"/>
      <c r="G456" s="203"/>
      <c r="H456" s="204" t="s">
        <v>261</v>
      </c>
      <c r="I456" s="204">
        <f>ROUNDUP(I455,1-0)</f>
        <v>39.299999999999997</v>
      </c>
      <c r="J456" s="201" t="s">
        <v>123</v>
      </c>
    </row>
    <row r="457" spans="1:11" ht="24.95" customHeight="1">
      <c r="A457" s="192"/>
      <c r="B457" s="202" t="s">
        <v>598</v>
      </c>
      <c r="C457" s="189"/>
      <c r="D457" s="189"/>
      <c r="E457" s="189"/>
      <c r="F457" s="203"/>
      <c r="G457" s="203"/>
      <c r="H457" s="204"/>
      <c r="I457" s="204"/>
      <c r="J457" s="201"/>
    </row>
    <row r="458" spans="1:11" ht="24.95" customHeight="1">
      <c r="A458" s="192"/>
      <c r="B458" s="202" t="s">
        <v>599</v>
      </c>
      <c r="C458" s="189">
        <v>1</v>
      </c>
      <c r="D458" s="189" t="s">
        <v>461</v>
      </c>
      <c r="E458" s="189">
        <v>3</v>
      </c>
      <c r="F458" s="203">
        <v>0.6</v>
      </c>
      <c r="G458" s="203"/>
      <c r="H458" s="203">
        <v>2.4</v>
      </c>
      <c r="I458" s="203">
        <f>PRODUCT(C458:H458)</f>
        <v>4.32</v>
      </c>
      <c r="J458" s="201"/>
    </row>
    <row r="459" spans="1:11" ht="24.95" customHeight="1">
      <c r="A459" s="192"/>
      <c r="B459" s="202" t="s">
        <v>600</v>
      </c>
      <c r="C459" s="189">
        <v>3</v>
      </c>
      <c r="D459" s="189" t="s">
        <v>461</v>
      </c>
      <c r="E459" s="189">
        <v>5</v>
      </c>
      <c r="F459" s="203">
        <v>0.6</v>
      </c>
      <c r="G459" s="203"/>
      <c r="H459" s="203">
        <v>2.4</v>
      </c>
      <c r="I459" s="203">
        <f>PRODUCT(C459:H459)</f>
        <v>21.6</v>
      </c>
      <c r="J459" s="201"/>
    </row>
    <row r="460" spans="1:11" ht="24.95" customHeight="1">
      <c r="A460" s="192"/>
      <c r="B460" s="202"/>
      <c r="C460" s="189"/>
      <c r="D460" s="189"/>
      <c r="E460" s="189"/>
      <c r="F460" s="203"/>
      <c r="G460" s="203"/>
      <c r="H460" s="204"/>
      <c r="I460" s="204">
        <f>SUM(I458:I459)</f>
        <v>25.92</v>
      </c>
      <c r="J460" s="201"/>
      <c r="K460" s="185">
        <v>0.03</v>
      </c>
    </row>
    <row r="461" spans="1:11" ht="24.95" customHeight="1">
      <c r="A461" s="192"/>
      <c r="B461" s="202"/>
      <c r="C461" s="189"/>
      <c r="D461" s="189"/>
      <c r="E461" s="189"/>
      <c r="F461" s="203"/>
      <c r="G461" s="203"/>
      <c r="H461" s="204" t="s">
        <v>261</v>
      </c>
      <c r="I461" s="204">
        <f>ROUNDUP(I460,1-0)</f>
        <v>26</v>
      </c>
      <c r="J461" s="201" t="s">
        <v>123</v>
      </c>
    </row>
    <row r="462" spans="1:11" ht="24.95" customHeight="1">
      <c r="A462" s="192"/>
      <c r="B462" s="202"/>
      <c r="C462" s="189"/>
      <c r="D462" s="189"/>
      <c r="E462" s="189"/>
      <c r="F462" s="203"/>
      <c r="G462" s="203"/>
      <c r="H462" s="204"/>
      <c r="I462" s="204"/>
      <c r="J462" s="201"/>
    </row>
    <row r="463" spans="1:11" ht="24.95" customHeight="1">
      <c r="A463" s="213">
        <v>12.1</v>
      </c>
      <c r="B463" s="188" t="s">
        <v>601</v>
      </c>
      <c r="C463" s="189"/>
      <c r="D463" s="189"/>
      <c r="E463" s="189"/>
      <c r="F463" s="203"/>
      <c r="G463" s="203"/>
      <c r="H463" s="204"/>
      <c r="I463" s="204"/>
      <c r="J463" s="201"/>
    </row>
    <row r="464" spans="1:11" ht="24.95" customHeight="1">
      <c r="A464" s="222"/>
      <c r="B464" s="188" t="s">
        <v>602</v>
      </c>
      <c r="C464" s="189"/>
      <c r="D464" s="189"/>
      <c r="E464" s="189"/>
      <c r="F464" s="203"/>
      <c r="G464" s="203"/>
      <c r="H464" s="204"/>
      <c r="I464" s="204"/>
      <c r="J464" s="201"/>
    </row>
    <row r="465" spans="1:13" ht="24.95" customHeight="1">
      <c r="A465" s="192"/>
      <c r="B465" s="188" t="s">
        <v>603</v>
      </c>
      <c r="C465" s="189">
        <v>1</v>
      </c>
      <c r="D465" s="189" t="s">
        <v>461</v>
      </c>
      <c r="E465" s="189">
        <v>1</v>
      </c>
      <c r="F465" s="203">
        <v>8.5</v>
      </c>
      <c r="G465" s="203"/>
      <c r="H465" s="203">
        <v>0.9</v>
      </c>
      <c r="I465" s="203">
        <f>PRODUCT(C465:H465)</f>
        <v>7.65</v>
      </c>
      <c r="J465" s="201"/>
    </row>
    <row r="466" spans="1:13" ht="24.95" customHeight="1">
      <c r="A466" s="192"/>
      <c r="B466" s="188"/>
      <c r="C466" s="189"/>
      <c r="D466" s="189"/>
      <c r="E466" s="189"/>
      <c r="F466" s="203"/>
      <c r="G466" s="203"/>
      <c r="H466" s="204" t="s">
        <v>261</v>
      </c>
      <c r="I466" s="204">
        <f>ROUNDUP(I465,1-0)</f>
        <v>7.7</v>
      </c>
      <c r="J466" s="201" t="s">
        <v>123</v>
      </c>
    </row>
    <row r="467" spans="1:13" ht="24.95" customHeight="1">
      <c r="A467" s="192"/>
      <c r="B467" s="188" t="s">
        <v>598</v>
      </c>
      <c r="C467" s="189"/>
      <c r="D467" s="189"/>
      <c r="E467" s="189"/>
      <c r="F467" s="203"/>
      <c r="G467" s="203"/>
      <c r="H467" s="204"/>
      <c r="I467" s="204"/>
      <c r="J467" s="201"/>
    </row>
    <row r="468" spans="1:13" ht="24.95" customHeight="1">
      <c r="A468" s="192"/>
      <c r="B468" s="188" t="s">
        <v>603</v>
      </c>
      <c r="C468" s="189">
        <v>1</v>
      </c>
      <c r="D468" s="189" t="s">
        <v>461</v>
      </c>
      <c r="E468" s="189">
        <v>1</v>
      </c>
      <c r="F468" s="203">
        <v>10</v>
      </c>
      <c r="G468" s="203"/>
      <c r="H468" s="203">
        <v>0.9</v>
      </c>
      <c r="I468" s="203">
        <f>PRODUCT(C468:H468)</f>
        <v>9</v>
      </c>
      <c r="J468" s="201"/>
    </row>
    <row r="469" spans="1:13" ht="24.95" customHeight="1">
      <c r="A469" s="192"/>
      <c r="B469" s="188"/>
      <c r="C469" s="189"/>
      <c r="D469" s="189"/>
      <c r="E469" s="189"/>
      <c r="F469" s="203"/>
      <c r="G469" s="203"/>
      <c r="H469" s="204" t="s">
        <v>261</v>
      </c>
      <c r="I469" s="204">
        <f>ROUNDUP(I468,1-0)</f>
        <v>9</v>
      </c>
      <c r="J469" s="201" t="s">
        <v>123</v>
      </c>
    </row>
    <row r="470" spans="1:13" ht="24.95" customHeight="1">
      <c r="A470" s="223">
        <v>13.1</v>
      </c>
      <c r="B470" s="224" t="s">
        <v>56</v>
      </c>
      <c r="C470" s="225"/>
      <c r="D470" s="225"/>
      <c r="E470" s="226"/>
      <c r="F470" s="226"/>
      <c r="G470" s="226"/>
      <c r="H470" s="227"/>
      <c r="I470" s="204"/>
      <c r="J470" s="201"/>
    </row>
    <row r="471" spans="1:13" ht="24.95" customHeight="1">
      <c r="A471" s="192"/>
      <c r="B471" s="193" t="s">
        <v>460</v>
      </c>
      <c r="C471" s="194">
        <v>1</v>
      </c>
      <c r="D471" s="194" t="s">
        <v>461</v>
      </c>
      <c r="E471" s="194">
        <v>14</v>
      </c>
      <c r="F471" s="195">
        <v>1.7</v>
      </c>
      <c r="G471" s="195">
        <v>1.7</v>
      </c>
      <c r="H471" s="195">
        <v>0.1</v>
      </c>
      <c r="I471" s="195">
        <f>PRODUCT(E471:H471)</f>
        <v>4.05</v>
      </c>
      <c r="J471" s="198"/>
      <c r="L471" s="185" t="e">
        <f>C471*D471*E471*F471*G471*H471*I471</f>
        <v>#VALUE!</v>
      </c>
      <c r="M471" s="185">
        <f>(C471*E471*F471*G471*H471)</f>
        <v>4.05</v>
      </c>
    </row>
    <row r="472" spans="1:13" ht="24.95" customHeight="1">
      <c r="A472" s="192"/>
      <c r="B472" s="193" t="s">
        <v>462</v>
      </c>
      <c r="C472" s="194">
        <v>1</v>
      </c>
      <c r="D472" s="194" t="s">
        <v>461</v>
      </c>
      <c r="E472" s="194">
        <v>4</v>
      </c>
      <c r="F472" s="195">
        <v>2.1</v>
      </c>
      <c r="G472" s="195">
        <v>2.1</v>
      </c>
      <c r="H472" s="195">
        <v>0.1</v>
      </c>
      <c r="I472" s="195">
        <f>PRODUCT(E472:H472)</f>
        <v>1.76</v>
      </c>
      <c r="J472" s="198"/>
    </row>
    <row r="473" spans="1:13" ht="24.95" customHeight="1">
      <c r="A473" s="192"/>
      <c r="B473" s="193" t="s">
        <v>463</v>
      </c>
      <c r="C473" s="194">
        <v>1</v>
      </c>
      <c r="D473" s="194" t="s">
        <v>461</v>
      </c>
      <c r="E473" s="194">
        <v>9</v>
      </c>
      <c r="F473" s="195">
        <v>2.2999999999999998</v>
      </c>
      <c r="G473" s="195">
        <v>2.2999999999999998</v>
      </c>
      <c r="H473" s="195">
        <v>0.1</v>
      </c>
      <c r="I473" s="195">
        <f>PRODUCT(E473:H473)</f>
        <v>4.76</v>
      </c>
      <c r="J473" s="198"/>
    </row>
    <row r="474" spans="1:13" ht="24.95" customHeight="1">
      <c r="A474" s="192"/>
      <c r="B474" s="193" t="s">
        <v>465</v>
      </c>
      <c r="C474" s="194">
        <v>1</v>
      </c>
      <c r="D474" s="194" t="s">
        <v>461</v>
      </c>
      <c r="E474" s="194">
        <v>9</v>
      </c>
      <c r="F474" s="195">
        <v>1.36</v>
      </c>
      <c r="G474" s="195">
        <v>1.36</v>
      </c>
      <c r="H474" s="195">
        <v>0.1</v>
      </c>
      <c r="I474" s="195">
        <f t="shared" ref="I474" si="35">PRODUCT(E474:H474)</f>
        <v>1.66</v>
      </c>
      <c r="J474" s="198"/>
    </row>
    <row r="475" spans="1:13" ht="24.95" customHeight="1">
      <c r="A475" s="192"/>
      <c r="B475" s="196" t="s">
        <v>482</v>
      </c>
      <c r="C475" s="194"/>
      <c r="D475" s="194"/>
      <c r="E475" s="194"/>
      <c r="F475" s="195"/>
      <c r="G475" s="195"/>
      <c r="H475" s="195"/>
      <c r="I475" s="195"/>
      <c r="J475" s="198"/>
    </row>
    <row r="476" spans="1:13" ht="24.95" customHeight="1">
      <c r="A476" s="192"/>
      <c r="B476" s="193" t="s">
        <v>934</v>
      </c>
      <c r="C476" s="194">
        <v>1</v>
      </c>
      <c r="D476" s="194" t="s">
        <v>461</v>
      </c>
      <c r="E476" s="194">
        <v>1</v>
      </c>
      <c r="F476" s="195">
        <v>64.88</v>
      </c>
      <c r="G476" s="195">
        <v>0.38</v>
      </c>
      <c r="H476" s="195">
        <v>0.1</v>
      </c>
      <c r="I476" s="195">
        <f t="shared" ref="I476:I484" si="36">PRODUCT(E476:H476)</f>
        <v>2.4700000000000002</v>
      </c>
      <c r="J476" s="198"/>
      <c r="L476" s="185">
        <f>SUM(I474:I476)</f>
        <v>4.13</v>
      </c>
    </row>
    <row r="477" spans="1:13" ht="24.95" customHeight="1">
      <c r="A477" s="192"/>
      <c r="B477" s="193" t="s">
        <v>935</v>
      </c>
      <c r="C477" s="194">
        <v>1</v>
      </c>
      <c r="D477" s="194" t="s">
        <v>461</v>
      </c>
      <c r="E477" s="194">
        <v>1</v>
      </c>
      <c r="F477" s="195">
        <v>20.12</v>
      </c>
      <c r="G477" s="195">
        <v>0.38</v>
      </c>
      <c r="H477" s="195">
        <v>0.1</v>
      </c>
      <c r="I477" s="195">
        <f t="shared" si="36"/>
        <v>0.76</v>
      </c>
      <c r="J477" s="198"/>
    </row>
    <row r="478" spans="1:13" ht="25.5" customHeight="1">
      <c r="A478" s="192"/>
      <c r="B478" s="193"/>
      <c r="C478" s="194">
        <v>1</v>
      </c>
      <c r="D478" s="194" t="s">
        <v>461</v>
      </c>
      <c r="E478" s="194">
        <v>1</v>
      </c>
      <c r="F478" s="195">
        <v>16.59</v>
      </c>
      <c r="G478" s="195">
        <v>0.38</v>
      </c>
      <c r="H478" s="195">
        <v>0.1</v>
      </c>
      <c r="I478" s="195">
        <f t="shared" si="36"/>
        <v>0.63</v>
      </c>
      <c r="J478" s="198"/>
    </row>
    <row r="479" spans="1:13" ht="24.95" customHeight="1">
      <c r="A479" s="192"/>
      <c r="B479" s="193" t="s">
        <v>936</v>
      </c>
      <c r="C479" s="194">
        <v>1</v>
      </c>
      <c r="D479" s="194" t="s">
        <v>461</v>
      </c>
      <c r="E479" s="194">
        <v>1</v>
      </c>
      <c r="F479" s="195">
        <v>3.3</v>
      </c>
      <c r="G479" s="195">
        <v>0.38</v>
      </c>
      <c r="H479" s="195">
        <v>0.1</v>
      </c>
      <c r="I479" s="195">
        <f t="shared" si="36"/>
        <v>0.13</v>
      </c>
      <c r="J479" s="198"/>
    </row>
    <row r="480" spans="1:13" ht="24.95" customHeight="1">
      <c r="A480" s="192"/>
      <c r="B480" s="193" t="s">
        <v>937</v>
      </c>
      <c r="C480" s="194">
        <v>1</v>
      </c>
      <c r="D480" s="194" t="s">
        <v>461</v>
      </c>
      <c r="E480" s="194">
        <v>3</v>
      </c>
      <c r="F480" s="195">
        <v>3.6</v>
      </c>
      <c r="G480" s="195">
        <v>0.38</v>
      </c>
      <c r="H480" s="195">
        <v>0.1</v>
      </c>
      <c r="I480" s="195">
        <f t="shared" si="36"/>
        <v>0.41</v>
      </c>
      <c r="J480" s="198"/>
    </row>
    <row r="481" spans="1:10" ht="24.95" customHeight="1">
      <c r="A481" s="192"/>
      <c r="B481" s="193" t="s">
        <v>938</v>
      </c>
      <c r="C481" s="194">
        <v>1</v>
      </c>
      <c r="D481" s="194" t="s">
        <v>461</v>
      </c>
      <c r="E481" s="194">
        <v>2</v>
      </c>
      <c r="F481" s="195">
        <v>6</v>
      </c>
      <c r="G481" s="195">
        <v>0.38</v>
      </c>
      <c r="H481" s="195">
        <v>0.1</v>
      </c>
      <c r="I481" s="195">
        <f t="shared" si="36"/>
        <v>0.46</v>
      </c>
      <c r="J481" s="198"/>
    </row>
    <row r="482" spans="1:10" ht="24.95" customHeight="1">
      <c r="A482" s="192"/>
      <c r="B482" s="193" t="s">
        <v>939</v>
      </c>
      <c r="C482" s="194">
        <v>1</v>
      </c>
      <c r="D482" s="194" t="s">
        <v>461</v>
      </c>
      <c r="E482" s="194">
        <v>1</v>
      </c>
      <c r="F482" s="195">
        <v>8.0299999999999994</v>
      </c>
      <c r="G482" s="195">
        <v>0.38</v>
      </c>
      <c r="H482" s="195">
        <v>0.1</v>
      </c>
      <c r="I482" s="195">
        <f t="shared" si="36"/>
        <v>0.31</v>
      </c>
      <c r="J482" s="198"/>
    </row>
    <row r="483" spans="1:10" ht="24.95" customHeight="1">
      <c r="A483" s="192"/>
      <c r="B483" s="193" t="s">
        <v>940</v>
      </c>
      <c r="C483" s="199">
        <v>1</v>
      </c>
      <c r="D483" s="199" t="s">
        <v>461</v>
      </c>
      <c r="E483" s="199">
        <v>2</v>
      </c>
      <c r="F483" s="197">
        <v>17</v>
      </c>
      <c r="G483" s="195">
        <v>0.38</v>
      </c>
      <c r="H483" s="195">
        <v>0.1</v>
      </c>
      <c r="I483" s="195">
        <f t="shared" si="36"/>
        <v>1.29</v>
      </c>
      <c r="J483" s="198"/>
    </row>
    <row r="484" spans="1:10" ht="24.95" customHeight="1">
      <c r="A484" s="192"/>
      <c r="B484" s="193" t="s">
        <v>941</v>
      </c>
      <c r="C484" s="199">
        <v>1</v>
      </c>
      <c r="D484" s="199" t="s">
        <v>461</v>
      </c>
      <c r="E484" s="199">
        <v>4</v>
      </c>
      <c r="F484" s="197">
        <v>10.97</v>
      </c>
      <c r="G484" s="195">
        <v>0.38</v>
      </c>
      <c r="H484" s="195">
        <v>0.1</v>
      </c>
      <c r="I484" s="195">
        <f t="shared" si="36"/>
        <v>1.67</v>
      </c>
      <c r="J484" s="198"/>
    </row>
    <row r="485" spans="1:10" ht="24.95" customHeight="1">
      <c r="A485" s="228"/>
      <c r="B485" s="229" t="s">
        <v>604</v>
      </c>
      <c r="C485" s="230"/>
      <c r="D485" s="230"/>
      <c r="E485" s="230"/>
      <c r="F485" s="230"/>
      <c r="G485" s="230"/>
      <c r="H485" s="226"/>
      <c r="I485" s="204"/>
      <c r="J485" s="201"/>
    </row>
    <row r="486" spans="1:10" ht="24.95" customHeight="1">
      <c r="A486" s="228"/>
      <c r="B486" s="193" t="s">
        <v>486</v>
      </c>
      <c r="C486" s="194">
        <v>1</v>
      </c>
      <c r="D486" s="194" t="s">
        <v>461</v>
      </c>
      <c r="E486" s="194">
        <v>14</v>
      </c>
      <c r="F486" s="195">
        <v>1.4</v>
      </c>
      <c r="G486" s="195">
        <v>1.4</v>
      </c>
      <c r="H486" s="195">
        <v>0.38</v>
      </c>
      <c r="I486" s="195">
        <f>PRODUCT(C486:H486)</f>
        <v>10.43</v>
      </c>
      <c r="J486" s="201"/>
    </row>
    <row r="487" spans="1:10" ht="24.95" customHeight="1">
      <c r="A487" s="228"/>
      <c r="B487" s="193" t="s">
        <v>487</v>
      </c>
      <c r="C487" s="194">
        <v>1</v>
      </c>
      <c r="D487" s="194" t="s">
        <v>461</v>
      </c>
      <c r="E487" s="194">
        <v>4</v>
      </c>
      <c r="F487" s="195">
        <v>1.8</v>
      </c>
      <c r="G487" s="195">
        <v>1.8</v>
      </c>
      <c r="H487" s="195">
        <v>0.45</v>
      </c>
      <c r="I487" s="195">
        <f>PRODUCT(C487:H487)</f>
        <v>5.83</v>
      </c>
      <c r="J487" s="201"/>
    </row>
    <row r="488" spans="1:10" ht="24.95" customHeight="1">
      <c r="A488" s="228"/>
      <c r="B488" s="193" t="s">
        <v>488</v>
      </c>
      <c r="C488" s="194">
        <v>1</v>
      </c>
      <c r="D488" s="194" t="s">
        <v>461</v>
      </c>
      <c r="E488" s="194">
        <v>7</v>
      </c>
      <c r="F488" s="195">
        <v>2</v>
      </c>
      <c r="G488" s="195">
        <v>2</v>
      </c>
      <c r="H488" s="195">
        <v>0.45</v>
      </c>
      <c r="I488" s="195">
        <f>PRODUCT(C488:H488)</f>
        <v>12.6</v>
      </c>
      <c r="J488" s="201"/>
    </row>
    <row r="489" spans="1:10" ht="24.95" customHeight="1">
      <c r="A489" s="228"/>
      <c r="B489" s="193" t="s">
        <v>489</v>
      </c>
      <c r="C489" s="194">
        <v>1</v>
      </c>
      <c r="D489" s="194" t="s">
        <v>461</v>
      </c>
      <c r="E489" s="194">
        <v>2</v>
      </c>
      <c r="F489" s="195">
        <v>2</v>
      </c>
      <c r="G489" s="195">
        <v>2</v>
      </c>
      <c r="H489" s="195">
        <v>0.6</v>
      </c>
      <c r="I489" s="195">
        <f>PRODUCT(C489:H489)</f>
        <v>4.8</v>
      </c>
      <c r="J489" s="201"/>
    </row>
    <row r="490" spans="1:10" ht="24.95" customHeight="1">
      <c r="A490" s="228"/>
      <c r="B490" s="229" t="s">
        <v>605</v>
      </c>
      <c r="C490" s="230"/>
      <c r="D490" s="230"/>
      <c r="E490" s="230"/>
      <c r="F490" s="230"/>
      <c r="G490" s="230"/>
      <c r="H490" s="226"/>
      <c r="I490" s="204"/>
      <c r="J490" s="201"/>
    </row>
    <row r="491" spans="1:10" ht="24.95" customHeight="1">
      <c r="A491" s="228"/>
      <c r="B491" s="193" t="s">
        <v>491</v>
      </c>
      <c r="C491" s="194">
        <v>1</v>
      </c>
      <c r="D491" s="194" t="s">
        <v>461</v>
      </c>
      <c r="E491" s="194">
        <v>5</v>
      </c>
      <c r="F491" s="195">
        <v>0.23</v>
      </c>
      <c r="G491" s="195">
        <v>0.38</v>
      </c>
      <c r="H491" s="195">
        <f>2-0.1-0.38-0.4</f>
        <v>1.1200000000000001</v>
      </c>
      <c r="I491" s="195">
        <f t="shared" ref="I491:I496" si="37">PRODUCT(C491:H491)</f>
        <v>0.49</v>
      </c>
      <c r="J491" s="201"/>
    </row>
    <row r="492" spans="1:10" ht="24.95" customHeight="1">
      <c r="A492" s="228"/>
      <c r="B492" s="193" t="s">
        <v>487</v>
      </c>
      <c r="C492" s="194">
        <v>1</v>
      </c>
      <c r="D492" s="194" t="s">
        <v>461</v>
      </c>
      <c r="E492" s="194">
        <v>4</v>
      </c>
      <c r="F492" s="195">
        <v>0.23</v>
      </c>
      <c r="G492" s="195">
        <v>0.45</v>
      </c>
      <c r="H492" s="195">
        <f>2-0.1-0.45-0.4</f>
        <v>1.05</v>
      </c>
      <c r="I492" s="195">
        <f t="shared" si="37"/>
        <v>0.43</v>
      </c>
      <c r="J492" s="201"/>
    </row>
    <row r="493" spans="1:10" ht="24.95" customHeight="1">
      <c r="A493" s="228"/>
      <c r="B493" s="193" t="s">
        <v>492</v>
      </c>
      <c r="C493" s="194">
        <v>1</v>
      </c>
      <c r="D493" s="194" t="s">
        <v>461</v>
      </c>
      <c r="E493" s="194">
        <v>3</v>
      </c>
      <c r="F493" s="195">
        <v>0.23</v>
      </c>
      <c r="G493" s="195">
        <v>0.6</v>
      </c>
      <c r="H493" s="195">
        <v>1.05</v>
      </c>
      <c r="I493" s="195">
        <f t="shared" si="37"/>
        <v>0.43</v>
      </c>
      <c r="J493" s="201"/>
    </row>
    <row r="494" spans="1:10" ht="24.95" customHeight="1">
      <c r="A494" s="228"/>
      <c r="B494" s="193" t="s">
        <v>489</v>
      </c>
      <c r="C494" s="194">
        <v>1</v>
      </c>
      <c r="D494" s="194" t="s">
        <v>461</v>
      </c>
      <c r="E494" s="194">
        <v>2</v>
      </c>
      <c r="F494" s="195">
        <v>0.3</v>
      </c>
      <c r="G494" s="195">
        <v>0.38</v>
      </c>
      <c r="H494" s="195">
        <f>2-0.1-0.6-0.4</f>
        <v>0.9</v>
      </c>
      <c r="I494" s="195">
        <f t="shared" si="37"/>
        <v>0.21</v>
      </c>
      <c r="J494" s="201"/>
    </row>
    <row r="495" spans="1:10" ht="24.95" customHeight="1">
      <c r="A495" s="228"/>
      <c r="B495" s="193" t="s">
        <v>493</v>
      </c>
      <c r="C495" s="194">
        <v>1</v>
      </c>
      <c r="D495" s="194" t="s">
        <v>461</v>
      </c>
      <c r="E495" s="194">
        <v>4</v>
      </c>
      <c r="F495" s="195">
        <v>0.3</v>
      </c>
      <c r="G495" s="195">
        <v>0.6</v>
      </c>
      <c r="H495" s="195">
        <v>1.05</v>
      </c>
      <c r="I495" s="195">
        <f t="shared" si="37"/>
        <v>0.76</v>
      </c>
      <c r="J495" s="201"/>
    </row>
    <row r="496" spans="1:10" ht="24.95" customHeight="1">
      <c r="A496" s="228"/>
      <c r="B496" s="193" t="s">
        <v>494</v>
      </c>
      <c r="C496" s="194">
        <v>1</v>
      </c>
      <c r="D496" s="194" t="s">
        <v>461</v>
      </c>
      <c r="E496" s="194">
        <v>9</v>
      </c>
      <c r="F496" s="195">
        <v>0.3</v>
      </c>
      <c r="G496" s="195">
        <v>0.38</v>
      </c>
      <c r="H496" s="195">
        <f>H491</f>
        <v>1.1200000000000001</v>
      </c>
      <c r="I496" s="195">
        <f t="shared" si="37"/>
        <v>1.1499999999999999</v>
      </c>
      <c r="J496" s="201"/>
    </row>
    <row r="497" spans="1:11" ht="24.95" customHeight="1">
      <c r="A497" s="228"/>
      <c r="B497" s="231" t="s">
        <v>464</v>
      </c>
      <c r="C497" s="230"/>
      <c r="D497" s="230"/>
      <c r="E497" s="232"/>
      <c r="F497" s="230"/>
      <c r="G497" s="230"/>
      <c r="H497" s="226"/>
      <c r="I497" s="204"/>
      <c r="J497" s="201"/>
    </row>
    <row r="498" spans="1:11" ht="24.95" customHeight="1">
      <c r="A498" s="228"/>
      <c r="B498" s="193" t="s">
        <v>934</v>
      </c>
      <c r="C498" s="194">
        <v>1</v>
      </c>
      <c r="D498" s="194" t="s">
        <v>461</v>
      </c>
      <c r="E498" s="194">
        <v>1</v>
      </c>
      <c r="F498" s="195">
        <v>64.88</v>
      </c>
      <c r="G498" s="195">
        <v>0.23</v>
      </c>
      <c r="H498" s="195">
        <v>0.38</v>
      </c>
      <c r="I498" s="195">
        <f t="shared" ref="I498:I506" si="38">PRODUCT(C498:H498)</f>
        <v>5.67</v>
      </c>
      <c r="J498" s="201"/>
    </row>
    <row r="499" spans="1:11" ht="24.95" customHeight="1">
      <c r="A499" s="228"/>
      <c r="B499" s="193" t="s">
        <v>935</v>
      </c>
      <c r="C499" s="194">
        <v>1</v>
      </c>
      <c r="D499" s="194" t="s">
        <v>461</v>
      </c>
      <c r="E499" s="194">
        <v>1</v>
      </c>
      <c r="F499" s="195">
        <v>20.12</v>
      </c>
      <c r="G499" s="195">
        <v>0.23</v>
      </c>
      <c r="H499" s="195">
        <v>0.38</v>
      </c>
      <c r="I499" s="195">
        <f t="shared" si="38"/>
        <v>1.76</v>
      </c>
      <c r="J499" s="201"/>
    </row>
    <row r="500" spans="1:11" ht="24.95" customHeight="1">
      <c r="A500" s="228"/>
      <c r="B500" s="193"/>
      <c r="C500" s="194">
        <v>1</v>
      </c>
      <c r="D500" s="194" t="s">
        <v>461</v>
      </c>
      <c r="E500" s="194">
        <v>1</v>
      </c>
      <c r="F500" s="195">
        <v>16.59</v>
      </c>
      <c r="G500" s="195">
        <v>0.23</v>
      </c>
      <c r="H500" s="195">
        <v>0.38</v>
      </c>
      <c r="I500" s="195">
        <f t="shared" si="38"/>
        <v>1.45</v>
      </c>
      <c r="J500" s="201"/>
    </row>
    <row r="501" spans="1:11" ht="24.95" customHeight="1">
      <c r="A501" s="228"/>
      <c r="B501" s="193" t="s">
        <v>936</v>
      </c>
      <c r="C501" s="194">
        <v>1</v>
      </c>
      <c r="D501" s="194" t="s">
        <v>461</v>
      </c>
      <c r="E501" s="194">
        <v>1</v>
      </c>
      <c r="F501" s="195">
        <v>3.3</v>
      </c>
      <c r="G501" s="195">
        <v>0.23</v>
      </c>
      <c r="H501" s="195">
        <v>0.38</v>
      </c>
      <c r="I501" s="195">
        <f t="shared" si="38"/>
        <v>0.28999999999999998</v>
      </c>
      <c r="J501" s="201"/>
    </row>
    <row r="502" spans="1:11" ht="24.95" customHeight="1">
      <c r="A502" s="228"/>
      <c r="B502" s="193" t="s">
        <v>937</v>
      </c>
      <c r="C502" s="194">
        <v>1</v>
      </c>
      <c r="D502" s="194" t="s">
        <v>461</v>
      </c>
      <c r="E502" s="194">
        <v>3</v>
      </c>
      <c r="F502" s="195">
        <v>3.6</v>
      </c>
      <c r="G502" s="195">
        <v>0.23</v>
      </c>
      <c r="H502" s="195">
        <v>0.38</v>
      </c>
      <c r="I502" s="195">
        <f t="shared" si="38"/>
        <v>0.94</v>
      </c>
      <c r="J502" s="201"/>
    </row>
    <row r="503" spans="1:11" ht="24.95" customHeight="1">
      <c r="A503" s="228"/>
      <c r="B503" s="193" t="s">
        <v>938</v>
      </c>
      <c r="C503" s="194">
        <v>1</v>
      </c>
      <c r="D503" s="194" t="s">
        <v>461</v>
      </c>
      <c r="E503" s="194">
        <v>2</v>
      </c>
      <c r="F503" s="195">
        <v>6</v>
      </c>
      <c r="G503" s="195">
        <v>0.23</v>
      </c>
      <c r="H503" s="195">
        <v>0.38</v>
      </c>
      <c r="I503" s="195">
        <f t="shared" si="38"/>
        <v>1.05</v>
      </c>
      <c r="J503" s="201"/>
    </row>
    <row r="504" spans="1:11" ht="24.95" customHeight="1">
      <c r="A504" s="228"/>
      <c r="B504" s="193" t="s">
        <v>939</v>
      </c>
      <c r="C504" s="194">
        <v>1</v>
      </c>
      <c r="D504" s="194" t="s">
        <v>461</v>
      </c>
      <c r="E504" s="194">
        <v>1</v>
      </c>
      <c r="F504" s="195">
        <v>8.0299999999999994</v>
      </c>
      <c r="G504" s="195">
        <v>0.23</v>
      </c>
      <c r="H504" s="195">
        <v>0.38</v>
      </c>
      <c r="I504" s="195">
        <f t="shared" si="38"/>
        <v>0.7</v>
      </c>
      <c r="J504" s="201"/>
    </row>
    <row r="505" spans="1:11" ht="24.95" customHeight="1">
      <c r="A505" s="228"/>
      <c r="B505" s="193" t="s">
        <v>940</v>
      </c>
      <c r="C505" s="199">
        <v>1</v>
      </c>
      <c r="D505" s="199" t="s">
        <v>461</v>
      </c>
      <c r="E505" s="199">
        <v>2</v>
      </c>
      <c r="F505" s="197">
        <v>17</v>
      </c>
      <c r="G505" s="195">
        <v>0.23</v>
      </c>
      <c r="H505" s="195">
        <v>0.38</v>
      </c>
      <c r="I505" s="197">
        <f t="shared" si="38"/>
        <v>2.97</v>
      </c>
      <c r="J505" s="201"/>
    </row>
    <row r="506" spans="1:11" ht="24.95" customHeight="1">
      <c r="A506" s="228"/>
      <c r="B506" s="193" t="s">
        <v>941</v>
      </c>
      <c r="C506" s="199">
        <v>1</v>
      </c>
      <c r="D506" s="199" t="s">
        <v>461</v>
      </c>
      <c r="E506" s="199">
        <v>4</v>
      </c>
      <c r="F506" s="197">
        <v>10.97</v>
      </c>
      <c r="G506" s="195">
        <v>0.23</v>
      </c>
      <c r="H506" s="195">
        <v>0.38</v>
      </c>
      <c r="I506" s="197">
        <f t="shared" si="38"/>
        <v>3.84</v>
      </c>
      <c r="J506" s="201"/>
    </row>
    <row r="507" spans="1:11" ht="24.95" customHeight="1">
      <c r="A507" s="192"/>
      <c r="B507" s="188"/>
      <c r="C507" s="189"/>
      <c r="D507" s="189"/>
      <c r="E507" s="189"/>
      <c r="F507" s="203"/>
      <c r="G507" s="203"/>
      <c r="H507" s="204"/>
      <c r="I507" s="204">
        <f>+SUM(I471:I506)</f>
        <v>76.16</v>
      </c>
      <c r="J507" s="201"/>
    </row>
    <row r="508" spans="1:11" ht="24.95" customHeight="1">
      <c r="A508" s="192"/>
      <c r="B508" s="188"/>
      <c r="C508" s="189"/>
      <c r="D508" s="189"/>
      <c r="E508" s="189"/>
      <c r="F508" s="203"/>
      <c r="G508" s="203"/>
      <c r="H508" s="204" t="s">
        <v>261</v>
      </c>
      <c r="I508" s="204">
        <f>ROUNDUP(I507,1-0)</f>
        <v>76.2</v>
      </c>
      <c r="J508" s="201" t="s">
        <v>123</v>
      </c>
    </row>
    <row r="509" spans="1:11" ht="24.95" customHeight="1">
      <c r="A509" s="192"/>
      <c r="B509" s="188"/>
      <c r="C509" s="189"/>
      <c r="D509" s="189"/>
      <c r="E509" s="189"/>
      <c r="F509" s="203"/>
      <c r="G509" s="203"/>
      <c r="H509" s="204"/>
      <c r="I509" s="204"/>
      <c r="J509" s="201"/>
    </row>
    <row r="510" spans="1:11" ht="24.95" customHeight="1">
      <c r="A510" s="192">
        <v>16.100000000000001</v>
      </c>
      <c r="B510" s="202" t="s">
        <v>618</v>
      </c>
      <c r="C510" s="189"/>
      <c r="D510" s="189"/>
      <c r="E510" s="189"/>
      <c r="F510" s="203"/>
      <c r="G510" s="203"/>
      <c r="H510" s="204"/>
      <c r="I510" s="204"/>
      <c r="J510" s="201"/>
      <c r="K510" s="233"/>
    </row>
    <row r="511" spans="1:11" ht="24.95" customHeight="1">
      <c r="A511" s="192"/>
      <c r="B511" s="202" t="s">
        <v>619</v>
      </c>
      <c r="C511" s="189"/>
      <c r="D511" s="189"/>
      <c r="E511" s="189"/>
      <c r="F511" s="203"/>
      <c r="G511" s="203"/>
      <c r="H511" s="204"/>
      <c r="I511" s="204"/>
      <c r="J511" s="201"/>
      <c r="K511" s="233"/>
    </row>
    <row r="512" spans="1:11" ht="24.95" customHeight="1">
      <c r="A512" s="192"/>
      <c r="B512" s="202" t="s">
        <v>620</v>
      </c>
      <c r="C512" s="189">
        <v>1</v>
      </c>
      <c r="D512" s="189"/>
      <c r="E512" s="189">
        <v>3</v>
      </c>
      <c r="F512" s="190">
        <v>1.8</v>
      </c>
      <c r="G512" s="190"/>
      <c r="H512" s="190">
        <v>0.6</v>
      </c>
      <c r="I512" s="190">
        <f t="shared" ref="I512:I521" si="39">PRODUCT(C512:H512)</f>
        <v>3.24</v>
      </c>
      <c r="J512" s="191"/>
      <c r="K512" s="233"/>
    </row>
    <row r="513" spans="1:11" ht="24.95" customHeight="1">
      <c r="A513" s="192"/>
      <c r="B513" s="202" t="s">
        <v>559</v>
      </c>
      <c r="C513" s="189">
        <v>1</v>
      </c>
      <c r="D513" s="189"/>
      <c r="E513" s="189">
        <v>4</v>
      </c>
      <c r="F513" s="190">
        <v>1.2</v>
      </c>
      <c r="G513" s="190"/>
      <c r="H513" s="190">
        <v>0.6</v>
      </c>
      <c r="I513" s="190">
        <f t="shared" si="39"/>
        <v>2.88</v>
      </c>
      <c r="J513" s="191"/>
      <c r="K513" s="233"/>
    </row>
    <row r="514" spans="1:11" ht="24.95" customHeight="1">
      <c r="A514" s="192"/>
      <c r="B514" s="202" t="s">
        <v>621</v>
      </c>
      <c r="C514" s="189">
        <v>1</v>
      </c>
      <c r="D514" s="189"/>
      <c r="E514" s="189">
        <v>2</v>
      </c>
      <c r="F514" s="190">
        <v>0.9</v>
      </c>
      <c r="G514" s="190"/>
      <c r="H514" s="190">
        <v>0.9</v>
      </c>
      <c r="I514" s="190">
        <f t="shared" si="39"/>
        <v>1.62</v>
      </c>
      <c r="J514" s="191"/>
      <c r="K514" s="233"/>
    </row>
    <row r="515" spans="1:11" ht="24.95" customHeight="1">
      <c r="A515" s="192"/>
      <c r="B515" s="202" t="s">
        <v>622</v>
      </c>
      <c r="C515" s="189">
        <v>1</v>
      </c>
      <c r="D515" s="189"/>
      <c r="E515" s="189">
        <v>2</v>
      </c>
      <c r="F515" s="190">
        <v>0.9</v>
      </c>
      <c r="G515" s="190"/>
      <c r="H515" s="190">
        <v>0.9</v>
      </c>
      <c r="I515" s="190">
        <f t="shared" si="39"/>
        <v>1.62</v>
      </c>
      <c r="J515" s="191"/>
      <c r="K515" s="233"/>
    </row>
    <row r="516" spans="1:11" ht="24.95" customHeight="1">
      <c r="A516" s="192"/>
      <c r="B516" s="202"/>
      <c r="C516" s="189"/>
      <c r="D516" s="189"/>
      <c r="E516" s="189"/>
      <c r="F516" s="190"/>
      <c r="G516" s="190"/>
      <c r="H516" s="190"/>
      <c r="I516" s="190">
        <f>+SUM(I512:I515)</f>
        <v>9.36</v>
      </c>
      <c r="J516" s="191"/>
      <c r="K516" s="233"/>
    </row>
    <row r="517" spans="1:11" ht="24.95" customHeight="1">
      <c r="A517" s="192"/>
      <c r="B517" s="202"/>
      <c r="C517" s="189"/>
      <c r="D517" s="189"/>
      <c r="E517" s="189"/>
      <c r="F517" s="190"/>
      <c r="G517" s="190"/>
      <c r="H517" s="204" t="s">
        <v>261</v>
      </c>
      <c r="I517" s="204">
        <f>ROUNDUP(I516,1-0)</f>
        <v>9.4</v>
      </c>
      <c r="J517" s="201" t="s">
        <v>123</v>
      </c>
      <c r="K517" s="233"/>
    </row>
    <row r="518" spans="1:11" ht="24.95" customHeight="1">
      <c r="A518" s="192"/>
      <c r="B518" s="202" t="s">
        <v>623</v>
      </c>
      <c r="C518" s="189"/>
      <c r="D518" s="189"/>
      <c r="E518" s="189"/>
      <c r="F518" s="190"/>
      <c r="G518" s="190"/>
      <c r="H518" s="190"/>
      <c r="I518" s="190"/>
      <c r="J518" s="191"/>
      <c r="K518" s="233"/>
    </row>
    <row r="519" spans="1:11" ht="24.95" customHeight="1">
      <c r="A519" s="192"/>
      <c r="B519" s="202" t="s">
        <v>622</v>
      </c>
      <c r="C519" s="189">
        <f>C815</f>
        <v>1</v>
      </c>
      <c r="D519" s="189"/>
      <c r="E519" s="189">
        <v>5</v>
      </c>
      <c r="F519" s="190">
        <v>0.9</v>
      </c>
      <c r="G519" s="190"/>
      <c r="H519" s="190">
        <v>0.9</v>
      </c>
      <c r="I519" s="190">
        <f t="shared" si="39"/>
        <v>4.05</v>
      </c>
      <c r="J519" s="191"/>
      <c r="K519" s="233"/>
    </row>
    <row r="520" spans="1:11" ht="24.95" customHeight="1">
      <c r="A520" s="192"/>
      <c r="B520" s="202" t="s">
        <v>621</v>
      </c>
      <c r="C520" s="189">
        <v>1</v>
      </c>
      <c r="D520" s="189"/>
      <c r="E520" s="189">
        <v>2</v>
      </c>
      <c r="F520" s="190">
        <v>0.9</v>
      </c>
      <c r="G520" s="190"/>
      <c r="H520" s="190">
        <v>0.9</v>
      </c>
      <c r="I520" s="190">
        <f t="shared" si="39"/>
        <v>1.62</v>
      </c>
      <c r="J520" s="191"/>
      <c r="K520" s="233"/>
    </row>
    <row r="521" spans="1:11" ht="24.95" customHeight="1">
      <c r="A521" s="192"/>
      <c r="B521" s="202" t="s">
        <v>559</v>
      </c>
      <c r="C521" s="189">
        <v>2</v>
      </c>
      <c r="D521" s="189"/>
      <c r="E521" s="189">
        <v>2</v>
      </c>
      <c r="F521" s="190">
        <v>0.9</v>
      </c>
      <c r="G521" s="190"/>
      <c r="H521" s="190">
        <v>0.9</v>
      </c>
      <c r="I521" s="190">
        <f t="shared" si="39"/>
        <v>3.24</v>
      </c>
      <c r="J521" s="191"/>
      <c r="K521" s="233"/>
    </row>
    <row r="522" spans="1:11" ht="24.95" customHeight="1">
      <c r="A522" s="192"/>
      <c r="B522" s="202"/>
      <c r="C522" s="189"/>
      <c r="D522" s="189"/>
      <c r="E522" s="189"/>
      <c r="F522" s="190"/>
      <c r="G522" s="190"/>
      <c r="H522" s="190"/>
      <c r="I522" s="190">
        <f>SUM(I519:I521)</f>
        <v>8.91</v>
      </c>
      <c r="J522" s="191"/>
      <c r="K522" s="233"/>
    </row>
    <row r="523" spans="1:11" ht="24.95" customHeight="1">
      <c r="A523" s="192"/>
      <c r="B523" s="202"/>
      <c r="C523" s="189"/>
      <c r="D523" s="189"/>
      <c r="E523" s="189"/>
      <c r="F523" s="190"/>
      <c r="G523" s="190"/>
      <c r="H523" s="204" t="s">
        <v>261</v>
      </c>
      <c r="I523" s="204">
        <f>ROUNDUP(I522,1-0)</f>
        <v>9</v>
      </c>
      <c r="J523" s="201" t="s">
        <v>123</v>
      </c>
      <c r="K523" s="233"/>
    </row>
    <row r="524" spans="1:11" ht="24.95" customHeight="1">
      <c r="A524" s="192"/>
      <c r="B524" s="202"/>
      <c r="C524" s="189"/>
      <c r="D524" s="189"/>
      <c r="E524" s="189"/>
      <c r="F524" s="203"/>
      <c r="G524" s="203"/>
      <c r="H524" s="204"/>
      <c r="I524" s="204"/>
      <c r="J524" s="201"/>
      <c r="K524" s="233"/>
    </row>
    <row r="525" spans="1:11" ht="24.95" customHeight="1">
      <c r="A525" s="213">
        <v>21.2</v>
      </c>
      <c r="B525" s="188" t="s">
        <v>624</v>
      </c>
      <c r="C525" s="189"/>
      <c r="D525" s="189"/>
      <c r="E525" s="189"/>
      <c r="F525" s="190"/>
      <c r="G525" s="190"/>
      <c r="H525" s="190"/>
      <c r="I525" s="190"/>
      <c r="J525" s="191"/>
    </row>
    <row r="526" spans="1:11" ht="24.95" customHeight="1">
      <c r="A526" s="192"/>
      <c r="B526" s="188" t="s">
        <v>625</v>
      </c>
      <c r="C526" s="189"/>
      <c r="D526" s="189"/>
      <c r="E526" s="189"/>
      <c r="F526" s="190"/>
      <c r="G526" s="190"/>
      <c r="H526" s="190"/>
      <c r="I526" s="190"/>
      <c r="J526" s="191"/>
    </row>
    <row r="527" spans="1:11" ht="24.95" customHeight="1">
      <c r="A527" s="192"/>
      <c r="B527" s="202" t="s">
        <v>626</v>
      </c>
      <c r="C527" s="189">
        <v>2</v>
      </c>
      <c r="D527" s="189"/>
      <c r="E527" s="189">
        <v>2</v>
      </c>
      <c r="F527" s="203">
        <v>0.1</v>
      </c>
      <c r="G527" s="206">
        <v>7.4999999999999997E-2</v>
      </c>
      <c r="H527" s="203">
        <v>2.4</v>
      </c>
      <c r="I527" s="206">
        <f>PRODUCT(C527:H527)</f>
        <v>7.1999999999999995E-2</v>
      </c>
      <c r="J527" s="191"/>
    </row>
    <row r="528" spans="1:11" ht="24.95" customHeight="1">
      <c r="A528" s="192"/>
      <c r="B528" s="202" t="s">
        <v>627</v>
      </c>
      <c r="C528" s="189">
        <v>2</v>
      </c>
      <c r="D528" s="189"/>
      <c r="E528" s="189">
        <v>14</v>
      </c>
      <c r="F528" s="203">
        <v>0.1</v>
      </c>
      <c r="G528" s="206">
        <v>7.4999999999999997E-2</v>
      </c>
      <c r="H528" s="203">
        <v>2.4</v>
      </c>
      <c r="I528" s="206">
        <f>PRODUCT(C528:H528)</f>
        <v>0.504</v>
      </c>
      <c r="J528" s="201"/>
    </row>
    <row r="529" spans="1:10" ht="24.95" customHeight="1">
      <c r="A529" s="192"/>
      <c r="B529" s="202"/>
      <c r="C529" s="189"/>
      <c r="D529" s="189"/>
      <c r="E529" s="189"/>
      <c r="F529" s="203"/>
      <c r="G529" s="203"/>
      <c r="H529" s="204"/>
      <c r="I529" s="207">
        <f>SUM(I527:I528)</f>
        <v>0.57599999999999996</v>
      </c>
      <c r="J529" s="201"/>
    </row>
    <row r="530" spans="1:10" ht="24.95" customHeight="1">
      <c r="A530" s="192"/>
      <c r="B530" s="202"/>
      <c r="C530" s="189"/>
      <c r="D530" s="189"/>
      <c r="E530" s="189"/>
      <c r="F530" s="203"/>
      <c r="G530" s="203"/>
      <c r="H530" s="204" t="s">
        <v>261</v>
      </c>
      <c r="I530" s="204">
        <f>ROUNDUP(I529,1-0)</f>
        <v>0.6</v>
      </c>
      <c r="J530" s="201" t="s">
        <v>117</v>
      </c>
    </row>
    <row r="531" spans="1:10" ht="24.95" customHeight="1">
      <c r="A531" s="213"/>
      <c r="B531" s="188" t="s">
        <v>628</v>
      </c>
      <c r="C531" s="189"/>
      <c r="D531" s="189"/>
      <c r="E531" s="189"/>
      <c r="F531" s="190"/>
      <c r="G531" s="190"/>
      <c r="H531" s="190"/>
      <c r="I531" s="190"/>
      <c r="J531" s="191"/>
    </row>
    <row r="532" spans="1:10" ht="24.95" customHeight="1">
      <c r="A532" s="192"/>
      <c r="B532" s="202" t="s">
        <v>626</v>
      </c>
      <c r="C532" s="189">
        <v>1</v>
      </c>
      <c r="D532" s="189"/>
      <c r="E532" s="189">
        <v>3</v>
      </c>
      <c r="F532" s="203">
        <v>0.1</v>
      </c>
      <c r="G532" s="206">
        <v>7.4999999999999997E-2</v>
      </c>
      <c r="H532" s="203">
        <v>1.8</v>
      </c>
      <c r="I532" s="206">
        <f>PRODUCT(C532:H532)</f>
        <v>4.1000000000000002E-2</v>
      </c>
      <c r="J532" s="191"/>
    </row>
    <row r="533" spans="1:10" ht="24.95" customHeight="1">
      <c r="A533" s="192"/>
      <c r="B533" s="202" t="s">
        <v>629</v>
      </c>
      <c r="C533" s="189">
        <v>2</v>
      </c>
      <c r="D533" s="189"/>
      <c r="E533" s="189">
        <v>14</v>
      </c>
      <c r="F533" s="203">
        <v>0.1</v>
      </c>
      <c r="G533" s="206">
        <v>7.4999999999999997E-2</v>
      </c>
      <c r="H533" s="203">
        <v>1.8</v>
      </c>
      <c r="I533" s="206">
        <f>PRODUCT(C533:H533)</f>
        <v>0.378</v>
      </c>
      <c r="J533" s="201"/>
    </row>
    <row r="534" spans="1:10" ht="24.95" customHeight="1">
      <c r="A534" s="192"/>
      <c r="B534" s="202"/>
      <c r="C534" s="189"/>
      <c r="D534" s="189"/>
      <c r="E534" s="189"/>
      <c r="F534" s="203"/>
      <c r="G534" s="203"/>
      <c r="H534" s="204"/>
      <c r="I534" s="207">
        <f>SUM(I532:I533)</f>
        <v>0.41899999999999998</v>
      </c>
      <c r="J534" s="201"/>
    </row>
    <row r="535" spans="1:10" ht="24.95" customHeight="1">
      <c r="A535" s="192"/>
      <c r="B535" s="202"/>
      <c r="C535" s="189"/>
      <c r="D535" s="189"/>
      <c r="E535" s="189"/>
      <c r="F535" s="203"/>
      <c r="G535" s="203"/>
      <c r="H535" s="204" t="s">
        <v>261</v>
      </c>
      <c r="I535" s="204">
        <f>ROUNDUP(I534,1-0)</f>
        <v>0.5</v>
      </c>
      <c r="J535" s="201" t="s">
        <v>117</v>
      </c>
    </row>
    <row r="536" spans="1:10" ht="24.95" customHeight="1">
      <c r="A536" s="213">
        <v>23.3</v>
      </c>
      <c r="B536" s="188" t="s">
        <v>630</v>
      </c>
      <c r="C536" s="189"/>
      <c r="D536" s="189"/>
      <c r="E536" s="189"/>
      <c r="F536" s="203"/>
      <c r="G536" s="203"/>
      <c r="H536" s="204"/>
      <c r="I536" s="204"/>
      <c r="J536" s="201"/>
    </row>
    <row r="537" spans="1:10" ht="24.95" customHeight="1">
      <c r="A537" s="192"/>
      <c r="B537" s="202" t="s">
        <v>631</v>
      </c>
      <c r="C537" s="189">
        <v>1</v>
      </c>
      <c r="D537" s="189"/>
      <c r="E537" s="189">
        <v>13</v>
      </c>
      <c r="F537" s="203"/>
      <c r="G537" s="203"/>
      <c r="H537" s="203"/>
      <c r="I537" s="203">
        <f>PRODUCT(C537:H537)</f>
        <v>13</v>
      </c>
      <c r="J537" s="191"/>
    </row>
    <row r="538" spans="1:10" ht="24.95" customHeight="1">
      <c r="A538" s="192"/>
      <c r="B538" s="202"/>
      <c r="C538" s="189"/>
      <c r="D538" s="189"/>
      <c r="E538" s="189"/>
      <c r="F538" s="203"/>
      <c r="G538" s="203"/>
      <c r="H538" s="204" t="s">
        <v>261</v>
      </c>
      <c r="I538" s="204">
        <f>SUM(I537)</f>
        <v>13</v>
      </c>
      <c r="J538" s="201" t="s">
        <v>69</v>
      </c>
    </row>
    <row r="539" spans="1:10" ht="24.95" customHeight="1">
      <c r="A539" s="213">
        <v>25</v>
      </c>
      <c r="B539" s="188" t="s">
        <v>632</v>
      </c>
      <c r="C539" s="189"/>
      <c r="D539" s="189"/>
      <c r="E539" s="189"/>
      <c r="F539" s="190"/>
      <c r="G539" s="190"/>
      <c r="H539" s="190"/>
      <c r="I539" s="190"/>
      <c r="J539" s="191"/>
    </row>
    <row r="540" spans="1:10" ht="24.95" customHeight="1">
      <c r="A540" s="192"/>
      <c r="B540" s="202" t="str">
        <f>B537</f>
        <v>Entrance Door &amp; Store,sot,sfo,watcroom</v>
      </c>
      <c r="C540" s="189">
        <v>14</v>
      </c>
      <c r="D540" s="189"/>
      <c r="E540" s="189">
        <v>6</v>
      </c>
      <c r="F540" s="190"/>
      <c r="G540" s="203"/>
      <c r="H540" s="203"/>
      <c r="I540" s="203">
        <f>PRODUCT(C540:H540)</f>
        <v>84</v>
      </c>
      <c r="J540" s="191"/>
    </row>
    <row r="541" spans="1:10" ht="24.95" customHeight="1">
      <c r="A541" s="192"/>
      <c r="B541" s="202"/>
      <c r="C541" s="189"/>
      <c r="D541" s="189"/>
      <c r="E541" s="189"/>
      <c r="F541" s="190"/>
      <c r="G541" s="203"/>
      <c r="H541" s="204" t="s">
        <v>480</v>
      </c>
      <c r="I541" s="204">
        <f>I540</f>
        <v>84</v>
      </c>
      <c r="J541" s="201" t="s">
        <v>69</v>
      </c>
    </row>
    <row r="542" spans="1:10" ht="24.95" customHeight="1">
      <c r="A542" s="205">
        <v>26</v>
      </c>
      <c r="B542" s="188" t="s">
        <v>633</v>
      </c>
      <c r="C542" s="189"/>
      <c r="D542" s="189"/>
      <c r="E542" s="189"/>
      <c r="F542" s="190"/>
      <c r="G542" s="190"/>
      <c r="H542" s="190"/>
      <c r="I542" s="190"/>
      <c r="J542" s="191"/>
    </row>
    <row r="543" spans="1:10" ht="24.95" customHeight="1">
      <c r="A543" s="192"/>
      <c r="B543" s="202" t="s">
        <v>665</v>
      </c>
      <c r="C543" s="189">
        <v>1</v>
      </c>
      <c r="D543" s="189" t="s">
        <v>461</v>
      </c>
      <c r="E543" s="189">
        <v>1</v>
      </c>
      <c r="F543" s="203">
        <v>3.6</v>
      </c>
      <c r="G543" s="203">
        <v>5</v>
      </c>
      <c r="H543" s="203">
        <v>0.1</v>
      </c>
      <c r="I543" s="203">
        <f t="shared" ref="I543:I555" si="40">PRODUCT(E543:H543)</f>
        <v>1.8</v>
      </c>
      <c r="J543" s="191"/>
    </row>
    <row r="544" spans="1:10" ht="24.95" customHeight="1">
      <c r="A544" s="192"/>
      <c r="B544" s="202" t="s">
        <v>942</v>
      </c>
      <c r="C544" s="189">
        <v>1</v>
      </c>
      <c r="D544" s="189" t="s">
        <v>461</v>
      </c>
      <c r="E544" s="189">
        <v>1</v>
      </c>
      <c r="F544" s="203">
        <v>3.6</v>
      </c>
      <c r="G544" s="203">
        <v>2</v>
      </c>
      <c r="H544" s="203">
        <v>0.1</v>
      </c>
      <c r="I544" s="203">
        <f t="shared" si="40"/>
        <v>0.72</v>
      </c>
      <c r="J544" s="191"/>
    </row>
    <row r="545" spans="1:11" ht="24.95" customHeight="1">
      <c r="A545" s="192"/>
      <c r="B545" s="202" t="s">
        <v>471</v>
      </c>
      <c r="C545" s="189">
        <v>1</v>
      </c>
      <c r="D545" s="189" t="s">
        <v>461</v>
      </c>
      <c r="E545" s="189">
        <v>1</v>
      </c>
      <c r="F545" s="203">
        <v>3.6</v>
      </c>
      <c r="G545" s="203">
        <v>7.55</v>
      </c>
      <c r="H545" s="203">
        <v>0.1</v>
      </c>
      <c r="I545" s="203">
        <f t="shared" si="40"/>
        <v>2.72</v>
      </c>
      <c r="J545" s="191"/>
    </row>
    <row r="546" spans="1:11" ht="24.95" customHeight="1">
      <c r="A546" s="192"/>
      <c r="B546" s="202" t="s">
        <v>943</v>
      </c>
      <c r="C546" s="189">
        <v>1</v>
      </c>
      <c r="D546" s="189" t="s">
        <v>461</v>
      </c>
      <c r="E546" s="189">
        <v>1</v>
      </c>
      <c r="F546" s="206">
        <v>3.72</v>
      </c>
      <c r="G546" s="203">
        <v>5.94</v>
      </c>
      <c r="H546" s="203">
        <v>0.1</v>
      </c>
      <c r="I546" s="203">
        <f t="shared" si="40"/>
        <v>2.21</v>
      </c>
      <c r="J546" s="191"/>
    </row>
    <row r="547" spans="1:11" ht="24.95" customHeight="1">
      <c r="A547" s="192"/>
      <c r="B547" s="202" t="s">
        <v>635</v>
      </c>
      <c r="C547" s="189">
        <v>1</v>
      </c>
      <c r="D547" s="189" t="s">
        <v>461</v>
      </c>
      <c r="E547" s="189">
        <v>1</v>
      </c>
      <c r="F547" s="203">
        <v>1.65</v>
      </c>
      <c r="G547" s="203">
        <v>2.66</v>
      </c>
      <c r="H547" s="203">
        <v>0.1</v>
      </c>
      <c r="I547" s="203">
        <f t="shared" si="40"/>
        <v>0.44</v>
      </c>
      <c r="J547" s="191"/>
    </row>
    <row r="548" spans="1:11" ht="24.95" customHeight="1">
      <c r="A548" s="192"/>
      <c r="B548" s="202" t="s">
        <v>474</v>
      </c>
      <c r="C548" s="189">
        <v>1</v>
      </c>
      <c r="D548" s="189" t="s">
        <v>461</v>
      </c>
      <c r="E548" s="189">
        <v>1</v>
      </c>
      <c r="F548" s="203">
        <v>1.8</v>
      </c>
      <c r="G548" s="203">
        <v>14.04</v>
      </c>
      <c r="H548" s="203">
        <v>0.1</v>
      </c>
      <c r="I548" s="203">
        <f t="shared" si="40"/>
        <v>2.5299999999999998</v>
      </c>
      <c r="J548" s="191"/>
    </row>
    <row r="549" spans="1:11" ht="24.95" customHeight="1">
      <c r="A549" s="192"/>
      <c r="B549" s="202" t="s">
        <v>473</v>
      </c>
      <c r="C549" s="189">
        <v>1</v>
      </c>
      <c r="D549" s="189" t="s">
        <v>461</v>
      </c>
      <c r="E549" s="189">
        <v>1</v>
      </c>
      <c r="F549" s="203">
        <v>3.3</v>
      </c>
      <c r="G549" s="203">
        <v>3.3</v>
      </c>
      <c r="H549" s="203">
        <v>0.1</v>
      </c>
      <c r="I549" s="203">
        <f t="shared" si="40"/>
        <v>1.0900000000000001</v>
      </c>
      <c r="J549" s="191"/>
    </row>
    <row r="550" spans="1:11" ht="24.95" customHeight="1">
      <c r="A550" s="192"/>
      <c r="B550" s="202" t="s">
        <v>475</v>
      </c>
      <c r="C550" s="189">
        <v>1</v>
      </c>
      <c r="D550" s="189" t="s">
        <v>461</v>
      </c>
      <c r="E550" s="189">
        <v>1</v>
      </c>
      <c r="F550" s="203">
        <v>4.5</v>
      </c>
      <c r="G550" s="203">
        <v>3.3</v>
      </c>
      <c r="H550" s="203">
        <v>0.1</v>
      </c>
      <c r="I550" s="203">
        <f t="shared" si="40"/>
        <v>1.49</v>
      </c>
      <c r="J550" s="201"/>
    </row>
    <row r="551" spans="1:11" ht="24.95" customHeight="1">
      <c r="A551" s="192"/>
      <c r="B551" s="202" t="s">
        <v>476</v>
      </c>
      <c r="C551" s="189">
        <v>1</v>
      </c>
      <c r="D551" s="189" t="s">
        <v>461</v>
      </c>
      <c r="E551" s="189">
        <v>1</v>
      </c>
      <c r="F551" s="203">
        <v>6</v>
      </c>
      <c r="G551" s="203">
        <v>6</v>
      </c>
      <c r="H551" s="203">
        <v>0.1</v>
      </c>
      <c r="I551" s="203">
        <f t="shared" si="40"/>
        <v>3.6</v>
      </c>
      <c r="J551" s="191"/>
    </row>
    <row r="552" spans="1:11" ht="24.95" customHeight="1">
      <c r="A552" s="192"/>
      <c r="B552" s="202" t="s">
        <v>944</v>
      </c>
      <c r="C552" s="189">
        <v>1</v>
      </c>
      <c r="D552" s="189" t="s">
        <v>461</v>
      </c>
      <c r="E552" s="189">
        <v>1</v>
      </c>
      <c r="F552" s="203">
        <v>5.03</v>
      </c>
      <c r="G552" s="203">
        <v>2</v>
      </c>
      <c r="H552" s="203">
        <v>0.1</v>
      </c>
      <c r="I552" s="203">
        <f t="shared" si="40"/>
        <v>1.01</v>
      </c>
      <c r="J552" s="191"/>
    </row>
    <row r="553" spans="1:11" ht="24.95" customHeight="1">
      <c r="A553" s="192"/>
      <c r="B553" s="202" t="s">
        <v>945</v>
      </c>
      <c r="C553" s="189">
        <v>1</v>
      </c>
      <c r="D553" s="189" t="s">
        <v>461</v>
      </c>
      <c r="E553" s="189">
        <v>1</v>
      </c>
      <c r="F553" s="203">
        <v>1.2</v>
      </c>
      <c r="G553" s="203">
        <v>2</v>
      </c>
      <c r="H553" s="203">
        <v>0.1</v>
      </c>
      <c r="I553" s="203">
        <f t="shared" si="40"/>
        <v>0.24</v>
      </c>
      <c r="J553" s="191"/>
    </row>
    <row r="554" spans="1:11" ht="24.95" customHeight="1">
      <c r="A554" s="192"/>
      <c r="B554" s="202" t="s">
        <v>472</v>
      </c>
      <c r="C554" s="189">
        <v>1</v>
      </c>
      <c r="D554" s="189" t="s">
        <v>461</v>
      </c>
      <c r="E554" s="189">
        <v>1</v>
      </c>
      <c r="F554" s="203">
        <v>6</v>
      </c>
      <c r="G554" s="203">
        <v>8.0299999999999994</v>
      </c>
      <c r="H554" s="203">
        <v>0.1</v>
      </c>
      <c r="I554" s="203">
        <f t="shared" si="40"/>
        <v>4.82</v>
      </c>
      <c r="J554" s="191"/>
    </row>
    <row r="555" spans="1:11" ht="24.95" customHeight="1">
      <c r="A555" s="192"/>
      <c r="B555" s="202" t="s">
        <v>534</v>
      </c>
      <c r="C555" s="189">
        <v>1</v>
      </c>
      <c r="D555" s="189" t="s">
        <v>461</v>
      </c>
      <c r="E555" s="189">
        <v>1</v>
      </c>
      <c r="F555" s="203">
        <v>10.97</v>
      </c>
      <c r="G555" s="203">
        <f>17-0.46</f>
        <v>16.54</v>
      </c>
      <c r="H555" s="203">
        <v>0.15</v>
      </c>
      <c r="I555" s="203">
        <f t="shared" si="40"/>
        <v>27.22</v>
      </c>
      <c r="J555" s="191"/>
    </row>
    <row r="556" spans="1:11" ht="24.95" customHeight="1">
      <c r="A556" s="192"/>
      <c r="B556" s="202"/>
      <c r="C556" s="189">
        <v>1</v>
      </c>
      <c r="D556" s="189" t="s">
        <v>461</v>
      </c>
      <c r="E556" s="189">
        <v>1</v>
      </c>
      <c r="F556" s="203">
        <v>11.2</v>
      </c>
      <c r="G556" s="203">
        <v>1.2</v>
      </c>
      <c r="H556" s="203">
        <v>0.15</v>
      </c>
      <c r="I556" s="203">
        <f t="shared" ref="I556:I557" si="41">PRODUCT(E556:H556)</f>
        <v>2.02</v>
      </c>
      <c r="J556" s="191"/>
    </row>
    <row r="557" spans="1:11" ht="24.95" customHeight="1">
      <c r="A557" s="192"/>
      <c r="B557" s="202"/>
      <c r="C557" s="189">
        <v>1</v>
      </c>
      <c r="D557" s="189" t="s">
        <v>461</v>
      </c>
      <c r="E557" s="189">
        <v>1</v>
      </c>
      <c r="F557" s="203">
        <v>11.2</v>
      </c>
      <c r="G557" s="203">
        <v>5.4</v>
      </c>
      <c r="H557" s="203">
        <v>0.15</v>
      </c>
      <c r="I557" s="203">
        <f t="shared" si="41"/>
        <v>9.07</v>
      </c>
      <c r="J557" s="191"/>
    </row>
    <row r="558" spans="1:11" ht="24.95" customHeight="1">
      <c r="A558" s="192"/>
      <c r="B558" s="202"/>
      <c r="C558" s="189"/>
      <c r="D558" s="189"/>
      <c r="E558" s="189"/>
      <c r="F558" s="203"/>
      <c r="G558" s="203"/>
      <c r="H558" s="204"/>
      <c r="I558" s="203">
        <f>SUM(I543:I557)</f>
        <v>60.98</v>
      </c>
      <c r="J558" s="201"/>
      <c r="K558" s="185">
        <v>0.01</v>
      </c>
    </row>
    <row r="559" spans="1:11" ht="24.95" customHeight="1">
      <c r="A559" s="192"/>
      <c r="B559" s="202"/>
      <c r="C559" s="189"/>
      <c r="D559" s="189"/>
      <c r="E559" s="189"/>
      <c r="F559" s="203"/>
      <c r="G559" s="203"/>
      <c r="H559" s="204" t="s">
        <v>261</v>
      </c>
      <c r="I559" s="204">
        <f>ROUNDUP(I558,1-0)</f>
        <v>61</v>
      </c>
      <c r="J559" s="201" t="s">
        <v>117</v>
      </c>
    </row>
    <row r="560" spans="1:11" ht="36" customHeight="1">
      <c r="A560" s="213">
        <v>28</v>
      </c>
      <c r="B560" s="188" t="s">
        <v>636</v>
      </c>
      <c r="C560" s="189"/>
      <c r="D560" s="189"/>
      <c r="E560" s="189"/>
      <c r="F560" s="190"/>
      <c r="G560" s="190"/>
      <c r="H560" s="190"/>
      <c r="I560" s="190"/>
      <c r="J560" s="191"/>
    </row>
    <row r="561" spans="1:11" ht="24.95" customHeight="1">
      <c r="A561" s="192"/>
      <c r="B561" s="202" t="s">
        <v>534</v>
      </c>
      <c r="C561" s="189">
        <v>1</v>
      </c>
      <c r="D561" s="189" t="s">
        <v>461</v>
      </c>
      <c r="E561" s="189">
        <v>1</v>
      </c>
      <c r="F561" s="203">
        <v>10.97</v>
      </c>
      <c r="G561" s="203">
        <f>17-0.46</f>
        <v>16.54</v>
      </c>
      <c r="H561" s="203"/>
      <c r="I561" s="203">
        <f t="shared" ref="I561:I568" si="42">PRODUCT(C561:H561)</f>
        <v>181.44</v>
      </c>
      <c r="J561" s="191"/>
    </row>
    <row r="562" spans="1:11" ht="24.95" customHeight="1">
      <c r="A562" s="192"/>
      <c r="B562" s="202"/>
      <c r="C562" s="189">
        <v>1</v>
      </c>
      <c r="D562" s="189" t="s">
        <v>461</v>
      </c>
      <c r="E562" s="189">
        <v>1</v>
      </c>
      <c r="F562" s="203">
        <v>11.2</v>
      </c>
      <c r="G562" s="203">
        <v>1.2</v>
      </c>
      <c r="H562" s="203"/>
      <c r="I562" s="203">
        <f t="shared" si="42"/>
        <v>13.44</v>
      </c>
      <c r="J562" s="191"/>
    </row>
    <row r="563" spans="1:11" ht="24.95" customHeight="1">
      <c r="A563" s="192"/>
      <c r="B563" s="202"/>
      <c r="C563" s="189">
        <v>1</v>
      </c>
      <c r="D563" s="189" t="s">
        <v>461</v>
      </c>
      <c r="E563" s="189">
        <v>1</v>
      </c>
      <c r="F563" s="203">
        <v>11.2</v>
      </c>
      <c r="G563" s="203">
        <v>5.4</v>
      </c>
      <c r="H563" s="203"/>
      <c r="I563" s="203">
        <f t="shared" si="42"/>
        <v>60.48</v>
      </c>
      <c r="J563" s="191"/>
    </row>
    <row r="564" spans="1:11" ht="24.95" customHeight="1">
      <c r="A564" s="192"/>
      <c r="B564" s="202" t="s">
        <v>638</v>
      </c>
      <c r="C564" s="189">
        <f>C426</f>
        <v>1</v>
      </c>
      <c r="D564" s="189" t="s">
        <v>461</v>
      </c>
      <c r="E564" s="189">
        <v>1</v>
      </c>
      <c r="F564" s="203">
        <v>11.2</v>
      </c>
      <c r="G564" s="203">
        <v>5.4</v>
      </c>
      <c r="H564" s="203"/>
      <c r="I564" s="203">
        <f t="shared" si="42"/>
        <v>60.48</v>
      </c>
      <c r="J564" s="191"/>
    </row>
    <row r="565" spans="1:11" ht="24.95" customHeight="1">
      <c r="A565" s="192"/>
      <c r="B565" s="202" t="s">
        <v>639</v>
      </c>
      <c r="C565" s="189">
        <v>1</v>
      </c>
      <c r="D565" s="189" t="s">
        <v>461</v>
      </c>
      <c r="E565" s="189">
        <v>9</v>
      </c>
      <c r="F565" s="203">
        <v>0.6</v>
      </c>
      <c r="G565" s="203">
        <v>0.6</v>
      </c>
      <c r="H565" s="203"/>
      <c r="I565" s="203">
        <f t="shared" si="42"/>
        <v>3.24</v>
      </c>
      <c r="J565" s="191"/>
    </row>
    <row r="566" spans="1:11" ht="24.95" customHeight="1">
      <c r="A566" s="192"/>
      <c r="B566" s="202" t="s">
        <v>640</v>
      </c>
      <c r="C566" s="189">
        <v>1</v>
      </c>
      <c r="D566" s="189" t="s">
        <v>461</v>
      </c>
      <c r="E566" s="189">
        <v>2</v>
      </c>
      <c r="F566" s="203">
        <v>3.65</v>
      </c>
      <c r="G566" s="203">
        <v>1.5</v>
      </c>
      <c r="H566" s="203"/>
      <c r="I566" s="203">
        <f t="shared" si="42"/>
        <v>10.95</v>
      </c>
      <c r="J566" s="191"/>
    </row>
    <row r="567" spans="1:11" ht="24.95" customHeight="1">
      <c r="A567" s="192"/>
      <c r="B567" s="202" t="s">
        <v>531</v>
      </c>
      <c r="C567" s="189">
        <v>1</v>
      </c>
      <c r="D567" s="189" t="s">
        <v>461</v>
      </c>
      <c r="E567" s="189">
        <v>46</v>
      </c>
      <c r="F567" s="203">
        <v>1.5</v>
      </c>
      <c r="G567" s="203">
        <v>0.45</v>
      </c>
      <c r="H567" s="203"/>
      <c r="I567" s="203">
        <f t="shared" si="42"/>
        <v>31.05</v>
      </c>
      <c r="J567" s="191"/>
    </row>
    <row r="568" spans="1:11" ht="24.95" customHeight="1">
      <c r="A568" s="192"/>
      <c r="B568" s="202" t="s">
        <v>641</v>
      </c>
      <c r="C568" s="189">
        <v>1</v>
      </c>
      <c r="D568" s="189" t="s">
        <v>461</v>
      </c>
      <c r="E568" s="189">
        <v>2</v>
      </c>
      <c r="F568" s="203">
        <v>3.65</v>
      </c>
      <c r="G568" s="203">
        <v>2</v>
      </c>
      <c r="H568" s="203"/>
      <c r="I568" s="203">
        <f t="shared" si="42"/>
        <v>14.6</v>
      </c>
      <c r="J568" s="191"/>
    </row>
    <row r="569" spans="1:11" ht="24.95" customHeight="1">
      <c r="A569" s="192"/>
      <c r="B569" s="202"/>
      <c r="C569" s="189"/>
      <c r="D569" s="189"/>
      <c r="E569" s="189"/>
      <c r="F569" s="203"/>
      <c r="G569" s="203"/>
      <c r="H569" s="204"/>
      <c r="I569" s="203">
        <f>SUM(I561:I568)</f>
        <v>375.68</v>
      </c>
      <c r="J569" s="201"/>
      <c r="K569" s="185">
        <v>0.04</v>
      </c>
    </row>
    <row r="570" spans="1:11" ht="24.95" customHeight="1">
      <c r="A570" s="192"/>
      <c r="B570" s="202"/>
      <c r="C570" s="189"/>
      <c r="D570" s="189"/>
      <c r="E570" s="189"/>
      <c r="F570" s="203"/>
      <c r="G570" s="203"/>
      <c r="H570" s="204" t="s">
        <v>480</v>
      </c>
      <c r="I570" s="204">
        <f>ROUNDUP(I569,1-0)</f>
        <v>375.7</v>
      </c>
      <c r="J570" s="201" t="s">
        <v>10</v>
      </c>
    </row>
    <row r="571" spans="1:11" ht="24.95" customHeight="1">
      <c r="A571" s="213">
        <v>30</v>
      </c>
      <c r="B571" s="188" t="s">
        <v>90</v>
      </c>
      <c r="C571" s="189"/>
      <c r="D571" s="189"/>
      <c r="E571" s="189"/>
      <c r="F571" s="203"/>
      <c r="G571" s="203"/>
      <c r="H571" s="204"/>
      <c r="I571" s="204"/>
      <c r="J571" s="201"/>
    </row>
    <row r="572" spans="1:11" ht="24.95" customHeight="1">
      <c r="A572" s="192"/>
      <c r="B572" s="202" t="s">
        <v>845</v>
      </c>
      <c r="C572" s="189">
        <v>1</v>
      </c>
      <c r="D572" s="189"/>
      <c r="E572" s="189">
        <v>1</v>
      </c>
      <c r="F572" s="248">
        <v>6</v>
      </c>
      <c r="G572" s="203">
        <v>8.0299999999999994</v>
      </c>
      <c r="H572" s="203"/>
      <c r="I572" s="218">
        <f>PRODUCT(C572:H572)</f>
        <v>48.18</v>
      </c>
      <c r="J572" s="201"/>
    </row>
    <row r="573" spans="1:11" ht="24.95" customHeight="1">
      <c r="A573" s="192"/>
      <c r="B573" s="202"/>
      <c r="C573" s="189"/>
      <c r="D573" s="189"/>
      <c r="E573" s="189"/>
      <c r="F573" s="206"/>
      <c r="G573" s="203"/>
      <c r="H573" s="203"/>
      <c r="I573" s="218">
        <f>SUM(I572:I572)</f>
        <v>48.18</v>
      </c>
      <c r="J573" s="201"/>
    </row>
    <row r="574" spans="1:11" ht="24.95" customHeight="1">
      <c r="A574" s="192"/>
      <c r="B574" s="202"/>
      <c r="C574" s="189"/>
      <c r="D574" s="189"/>
      <c r="E574" s="189"/>
      <c r="F574" s="206"/>
      <c r="G574" s="203"/>
      <c r="H574" s="204" t="s">
        <v>261</v>
      </c>
      <c r="I574" s="204">
        <f>ROUNDUP(I573,1-0)</f>
        <v>48.2</v>
      </c>
      <c r="J574" s="201" t="s">
        <v>123</v>
      </c>
    </row>
    <row r="575" spans="1:11" ht="24.95" customHeight="1">
      <c r="A575" s="294">
        <v>31</v>
      </c>
      <c r="B575" s="295" t="s">
        <v>925</v>
      </c>
      <c r="C575" s="296"/>
      <c r="D575" s="296"/>
      <c r="E575" s="296"/>
      <c r="F575" s="296"/>
      <c r="G575" s="297"/>
      <c r="H575" s="296"/>
      <c r="I575" s="297"/>
      <c r="J575" s="298"/>
    </row>
    <row r="576" spans="1:11" ht="24.95" customHeight="1">
      <c r="A576" s="294"/>
      <c r="B576" s="299" t="s">
        <v>926</v>
      </c>
      <c r="C576" s="299">
        <v>1</v>
      </c>
      <c r="D576" s="299" t="s">
        <v>461</v>
      </c>
      <c r="E576" s="299">
        <v>6</v>
      </c>
      <c r="F576" s="296">
        <v>1.5</v>
      </c>
      <c r="G576" s="296">
        <v>1.2</v>
      </c>
      <c r="H576" s="296">
        <v>0.3</v>
      </c>
      <c r="I576" s="296">
        <f>PRODUCT(C576:H576)</f>
        <v>3.24</v>
      </c>
      <c r="J576" s="298"/>
    </row>
    <row r="577" spans="1:10" ht="24.95" customHeight="1">
      <c r="A577" s="294"/>
      <c r="B577" s="299" t="s">
        <v>122</v>
      </c>
      <c r="C577" s="299"/>
      <c r="D577" s="299"/>
      <c r="E577" s="299"/>
      <c r="F577" s="296"/>
      <c r="G577" s="296"/>
      <c r="H577" s="296"/>
      <c r="I577" s="296">
        <v>0.01</v>
      </c>
      <c r="J577" s="298"/>
    </row>
    <row r="578" spans="1:10" ht="24.95" customHeight="1">
      <c r="A578" s="294"/>
      <c r="B578" s="299"/>
      <c r="C578" s="299"/>
      <c r="D578" s="299"/>
      <c r="E578" s="299"/>
      <c r="F578" s="296"/>
      <c r="G578" s="296"/>
      <c r="H578" s="296"/>
      <c r="I578" s="294">
        <f>SUM(I576:I577)</f>
        <v>3.25</v>
      </c>
      <c r="J578" s="300" t="s">
        <v>10</v>
      </c>
    </row>
    <row r="579" spans="1:10" ht="24.95" customHeight="1">
      <c r="A579" s="192"/>
      <c r="B579" s="202"/>
      <c r="C579" s="189"/>
      <c r="D579" s="189"/>
      <c r="E579" s="189"/>
      <c r="F579" s="203"/>
      <c r="G579" s="203"/>
      <c r="H579" s="204"/>
      <c r="I579" s="204"/>
      <c r="J579" s="201"/>
    </row>
    <row r="580" spans="1:10" s="212" customFormat="1" ht="24.95" customHeight="1">
      <c r="A580" s="187">
        <v>33</v>
      </c>
      <c r="B580" s="243" t="s">
        <v>642</v>
      </c>
      <c r="C580" s="199"/>
      <c r="D580" s="189"/>
      <c r="E580" s="199"/>
      <c r="F580" s="244"/>
      <c r="G580" s="244"/>
      <c r="H580" s="244"/>
      <c r="I580" s="244"/>
      <c r="J580" s="221"/>
    </row>
    <row r="581" spans="1:10" ht="24.95" customHeight="1">
      <c r="A581" s="192"/>
      <c r="B581" s="188" t="s">
        <v>643</v>
      </c>
      <c r="C581" s="189"/>
      <c r="D581" s="189"/>
      <c r="E581" s="189"/>
      <c r="F581" s="190"/>
      <c r="G581" s="190"/>
      <c r="H581" s="190"/>
      <c r="I581" s="190"/>
      <c r="J581" s="191"/>
    </row>
    <row r="582" spans="1:10" ht="24.95" customHeight="1">
      <c r="A582" s="192"/>
      <c r="B582" s="202" t="s">
        <v>644</v>
      </c>
      <c r="C582" s="189">
        <v>1</v>
      </c>
      <c r="D582" s="189" t="s">
        <v>461</v>
      </c>
      <c r="E582" s="189">
        <v>1</v>
      </c>
      <c r="F582" s="190">
        <v>63.96</v>
      </c>
      <c r="G582" s="190"/>
      <c r="H582" s="203">
        <v>1.45</v>
      </c>
      <c r="I582" s="203">
        <f t="shared" ref="I582:I591" si="43">PRODUCT(C582:H582)</f>
        <v>92.74</v>
      </c>
      <c r="J582" s="191"/>
    </row>
    <row r="583" spans="1:10" ht="24.95" customHeight="1">
      <c r="A583" s="192"/>
      <c r="B583" s="202" t="s">
        <v>963</v>
      </c>
      <c r="C583" s="189">
        <v>1</v>
      </c>
      <c r="D583" s="189" t="s">
        <v>461</v>
      </c>
      <c r="E583" s="189">
        <v>1</v>
      </c>
      <c r="F583" s="203">
        <v>65.8</v>
      </c>
      <c r="G583" s="203"/>
      <c r="H583" s="203">
        <v>8.65</v>
      </c>
      <c r="I583" s="203">
        <f t="shared" si="43"/>
        <v>569.16999999999996</v>
      </c>
      <c r="J583" s="191"/>
    </row>
    <row r="584" spans="1:10" ht="24.95" customHeight="1">
      <c r="A584" s="192"/>
      <c r="B584" s="202" t="s">
        <v>645</v>
      </c>
      <c r="C584" s="189">
        <v>1</v>
      </c>
      <c r="D584" s="189" t="s">
        <v>461</v>
      </c>
      <c r="E584" s="189">
        <v>2</v>
      </c>
      <c r="F584" s="203">
        <v>65.8</v>
      </c>
      <c r="G584" s="203"/>
      <c r="H584" s="203">
        <v>1.2</v>
      </c>
      <c r="I584" s="203">
        <f t="shared" si="43"/>
        <v>157.91999999999999</v>
      </c>
      <c r="J584" s="191"/>
    </row>
    <row r="585" spans="1:10" ht="24.95" customHeight="1">
      <c r="A585" s="192"/>
      <c r="B585" s="202" t="s">
        <v>646</v>
      </c>
      <c r="C585" s="189">
        <v>1</v>
      </c>
      <c r="D585" s="189" t="s">
        <v>461</v>
      </c>
      <c r="E585" s="189">
        <v>1</v>
      </c>
      <c r="F585" s="203">
        <v>64.88</v>
      </c>
      <c r="G585" s="203"/>
      <c r="H585" s="203">
        <v>0.23</v>
      </c>
      <c r="I585" s="203">
        <f t="shared" si="43"/>
        <v>14.92</v>
      </c>
      <c r="J585" s="191"/>
    </row>
    <row r="586" spans="1:10" ht="24.95" customHeight="1">
      <c r="A586" s="192"/>
      <c r="B586" s="202" t="s">
        <v>648</v>
      </c>
      <c r="C586" s="189">
        <v>1</v>
      </c>
      <c r="D586" s="189" t="s">
        <v>461</v>
      </c>
      <c r="E586" s="189">
        <v>1</v>
      </c>
      <c r="F586" s="203">
        <v>44.3</v>
      </c>
      <c r="G586" s="203"/>
      <c r="H586" s="203">
        <v>1.2</v>
      </c>
      <c r="I586" s="203">
        <f t="shared" si="43"/>
        <v>53.16</v>
      </c>
      <c r="J586" s="191"/>
    </row>
    <row r="587" spans="1:10" ht="24.95" customHeight="1">
      <c r="A587" s="192"/>
      <c r="B587" s="202" t="s">
        <v>646</v>
      </c>
      <c r="C587" s="189">
        <v>1</v>
      </c>
      <c r="D587" s="189" t="s">
        <v>461</v>
      </c>
      <c r="E587" s="189">
        <v>1</v>
      </c>
      <c r="F587" s="203">
        <v>43.38</v>
      </c>
      <c r="G587" s="203"/>
      <c r="H587" s="203">
        <v>0.23</v>
      </c>
      <c r="I587" s="203">
        <f t="shared" si="43"/>
        <v>9.98</v>
      </c>
      <c r="J587" s="191"/>
    </row>
    <row r="588" spans="1:10" ht="24.95" customHeight="1">
      <c r="A588" s="192"/>
      <c r="B588" s="202" t="s">
        <v>647</v>
      </c>
      <c r="C588" s="189">
        <v>1</v>
      </c>
      <c r="D588" s="189" t="s">
        <v>461</v>
      </c>
      <c r="E588" s="189">
        <v>1</v>
      </c>
      <c r="F588" s="203">
        <v>42.46</v>
      </c>
      <c r="G588" s="203"/>
      <c r="H588" s="203">
        <v>1.2</v>
      </c>
      <c r="I588" s="203">
        <f t="shared" si="43"/>
        <v>50.95</v>
      </c>
      <c r="J588" s="191"/>
    </row>
    <row r="589" spans="1:10" ht="24.95" customHeight="1">
      <c r="A589" s="192"/>
      <c r="B589" s="202" t="s">
        <v>649</v>
      </c>
      <c r="C589" s="189">
        <v>1</v>
      </c>
      <c r="D589" s="189" t="s">
        <v>461</v>
      </c>
      <c r="E589" s="189">
        <v>1</v>
      </c>
      <c r="F589" s="203">
        <v>22.74</v>
      </c>
      <c r="G589" s="203"/>
      <c r="H589" s="203">
        <v>4.05</v>
      </c>
      <c r="I589" s="203">
        <f t="shared" si="43"/>
        <v>92.1</v>
      </c>
      <c r="J589" s="191"/>
    </row>
    <row r="590" spans="1:10" ht="24.95" customHeight="1">
      <c r="A590" s="192"/>
      <c r="B590" s="202" t="s">
        <v>646</v>
      </c>
      <c r="C590" s="189">
        <v>1</v>
      </c>
      <c r="D590" s="189" t="s">
        <v>461</v>
      </c>
      <c r="E590" s="189">
        <v>1</v>
      </c>
      <c r="F590" s="203">
        <v>21.82</v>
      </c>
      <c r="G590" s="203"/>
      <c r="H590" s="203">
        <v>0.23</v>
      </c>
      <c r="I590" s="203">
        <f t="shared" si="43"/>
        <v>5.0199999999999996</v>
      </c>
      <c r="J590" s="191"/>
    </row>
    <row r="591" spans="1:10" ht="24.95" customHeight="1">
      <c r="A591" s="192"/>
      <c r="B591" s="202" t="s">
        <v>647</v>
      </c>
      <c r="C591" s="189">
        <v>1</v>
      </c>
      <c r="D591" s="189" t="s">
        <v>461</v>
      </c>
      <c r="E591" s="189">
        <v>1</v>
      </c>
      <c r="F591" s="203">
        <v>20.9</v>
      </c>
      <c r="G591" s="203"/>
      <c r="H591" s="203">
        <v>0.45</v>
      </c>
      <c r="I591" s="203">
        <f t="shared" si="43"/>
        <v>9.41</v>
      </c>
      <c r="J591" s="191"/>
    </row>
    <row r="592" spans="1:10" ht="24.95" customHeight="1">
      <c r="A592" s="192"/>
      <c r="B592" s="188" t="s">
        <v>650</v>
      </c>
      <c r="C592" s="189"/>
      <c r="D592" s="189"/>
      <c r="E592" s="189"/>
      <c r="F592" s="190"/>
      <c r="G592" s="190"/>
      <c r="H592" s="190"/>
      <c r="I592" s="190"/>
      <c r="J592" s="191"/>
    </row>
    <row r="593" spans="1:10" ht="24.95" customHeight="1">
      <c r="A593" s="192"/>
      <c r="B593" s="202" t="s">
        <v>651</v>
      </c>
      <c r="C593" s="189">
        <v>-1</v>
      </c>
      <c r="D593" s="189" t="s">
        <v>461</v>
      </c>
      <c r="E593" s="189">
        <v>1</v>
      </c>
      <c r="F593" s="203">
        <v>1.2</v>
      </c>
      <c r="G593" s="203"/>
      <c r="H593" s="203">
        <v>2.4</v>
      </c>
      <c r="I593" s="203">
        <f t="shared" ref="I593:I603" si="44">PRODUCT(C593:H593)</f>
        <v>-2.88</v>
      </c>
      <c r="J593" s="191"/>
    </row>
    <row r="594" spans="1:10" ht="24.95" customHeight="1">
      <c r="A594" s="192"/>
      <c r="B594" s="202" t="s">
        <v>652</v>
      </c>
      <c r="C594" s="189">
        <v>-1</v>
      </c>
      <c r="D594" s="189" t="s">
        <v>461</v>
      </c>
      <c r="E594" s="189">
        <v>2</v>
      </c>
      <c r="F594" s="203">
        <v>0.8</v>
      </c>
      <c r="G594" s="203"/>
      <c r="H594" s="203">
        <v>2.1</v>
      </c>
      <c r="I594" s="203">
        <f t="shared" si="44"/>
        <v>-3.36</v>
      </c>
      <c r="J594" s="191"/>
    </row>
    <row r="595" spans="1:10" ht="24.95" customHeight="1">
      <c r="A595" s="192"/>
      <c r="B595" s="202" t="s">
        <v>653</v>
      </c>
      <c r="C595" s="189">
        <v>-1</v>
      </c>
      <c r="D595" s="189" t="s">
        <v>461</v>
      </c>
      <c r="E595" s="189">
        <v>2</v>
      </c>
      <c r="F595" s="203">
        <v>1.8</v>
      </c>
      <c r="G595" s="203"/>
      <c r="H595" s="203">
        <v>0.6</v>
      </c>
      <c r="I595" s="203">
        <f t="shared" si="44"/>
        <v>-2.16</v>
      </c>
      <c r="J595" s="191"/>
    </row>
    <row r="596" spans="1:10" ht="24.95" customHeight="1">
      <c r="A596" s="192"/>
      <c r="B596" s="202" t="s">
        <v>654</v>
      </c>
      <c r="C596" s="189">
        <v>-2</v>
      </c>
      <c r="D596" s="189" t="s">
        <v>461</v>
      </c>
      <c r="E596" s="189">
        <v>1</v>
      </c>
      <c r="F596" s="203">
        <v>1.8</v>
      </c>
      <c r="G596" s="203"/>
      <c r="H596" s="203">
        <v>1.65</v>
      </c>
      <c r="I596" s="203">
        <f t="shared" si="44"/>
        <v>-5.94</v>
      </c>
      <c r="J596" s="191"/>
    </row>
    <row r="597" spans="1:10" ht="24.95" customHeight="1">
      <c r="A597" s="192"/>
      <c r="B597" s="202" t="s">
        <v>655</v>
      </c>
      <c r="C597" s="189">
        <v>-1</v>
      </c>
      <c r="D597" s="189" t="s">
        <v>461</v>
      </c>
      <c r="E597" s="189">
        <v>8</v>
      </c>
      <c r="F597" s="203">
        <v>1.5</v>
      </c>
      <c r="G597" s="203"/>
      <c r="H597" s="203">
        <v>1.65</v>
      </c>
      <c r="I597" s="203">
        <f t="shared" si="44"/>
        <v>-19.8</v>
      </c>
      <c r="J597" s="191"/>
    </row>
    <row r="598" spans="1:10" ht="24.95" customHeight="1">
      <c r="A598" s="192"/>
      <c r="B598" s="202" t="s">
        <v>656</v>
      </c>
      <c r="C598" s="189">
        <v>-1</v>
      </c>
      <c r="D598" s="189" t="s">
        <v>461</v>
      </c>
      <c r="E598" s="189">
        <v>8</v>
      </c>
      <c r="F598" s="203">
        <v>0.9</v>
      </c>
      <c r="G598" s="203"/>
      <c r="H598" s="203">
        <v>1.65</v>
      </c>
      <c r="I598" s="203">
        <f t="shared" si="44"/>
        <v>-11.88</v>
      </c>
      <c r="J598" s="191"/>
    </row>
    <row r="599" spans="1:10" ht="24.95" customHeight="1">
      <c r="A599" s="192"/>
      <c r="B599" s="202" t="s">
        <v>657</v>
      </c>
      <c r="C599" s="189">
        <v>-1</v>
      </c>
      <c r="D599" s="189" t="s">
        <v>461</v>
      </c>
      <c r="E599" s="189">
        <v>4</v>
      </c>
      <c r="F599" s="203">
        <v>1.2</v>
      </c>
      <c r="G599" s="203"/>
      <c r="H599" s="203">
        <v>1.65</v>
      </c>
      <c r="I599" s="203">
        <f t="shared" si="44"/>
        <v>-7.92</v>
      </c>
      <c r="J599" s="191"/>
    </row>
    <row r="600" spans="1:10" ht="24.95" customHeight="1">
      <c r="A600" s="192"/>
      <c r="B600" s="202" t="s">
        <v>658</v>
      </c>
      <c r="C600" s="189">
        <v>-1</v>
      </c>
      <c r="D600" s="189" t="s">
        <v>461</v>
      </c>
      <c r="E600" s="189">
        <v>13</v>
      </c>
      <c r="F600" s="203">
        <v>0.9</v>
      </c>
      <c r="G600" s="203"/>
      <c r="H600" s="203">
        <v>0.9</v>
      </c>
      <c r="I600" s="203">
        <f t="shared" si="44"/>
        <v>-10.53</v>
      </c>
      <c r="J600" s="191"/>
    </row>
    <row r="601" spans="1:10" ht="24.95" customHeight="1">
      <c r="A601" s="192"/>
      <c r="B601" s="202" t="s">
        <v>659</v>
      </c>
      <c r="C601" s="189">
        <v>-2</v>
      </c>
      <c r="D601" s="189" t="s">
        <v>461</v>
      </c>
      <c r="E601" s="189">
        <v>2</v>
      </c>
      <c r="F601" s="203">
        <v>0.9</v>
      </c>
      <c r="G601" s="203"/>
      <c r="H601" s="203">
        <v>0.9</v>
      </c>
      <c r="I601" s="203">
        <f t="shared" si="44"/>
        <v>-3.24</v>
      </c>
      <c r="J601" s="191"/>
    </row>
    <row r="602" spans="1:10" ht="24.95" customHeight="1">
      <c r="A602" s="192"/>
      <c r="B602" s="202" t="s">
        <v>653</v>
      </c>
      <c r="C602" s="189">
        <v>-2</v>
      </c>
      <c r="D602" s="189" t="s">
        <v>461</v>
      </c>
      <c r="E602" s="189">
        <v>2</v>
      </c>
      <c r="F602" s="203">
        <v>0.9</v>
      </c>
      <c r="G602" s="203"/>
      <c r="H602" s="203">
        <v>0.9</v>
      </c>
      <c r="I602" s="203">
        <f t="shared" si="44"/>
        <v>-3.24</v>
      </c>
      <c r="J602" s="191"/>
    </row>
    <row r="603" spans="1:10" ht="24.95" customHeight="1">
      <c r="A603" s="192"/>
      <c r="B603" s="202" t="s">
        <v>660</v>
      </c>
      <c r="C603" s="189">
        <v>-1</v>
      </c>
      <c r="D603" s="189" t="s">
        <v>461</v>
      </c>
      <c r="E603" s="189">
        <v>1</v>
      </c>
      <c r="F603" s="203">
        <v>0.9</v>
      </c>
      <c r="G603" s="203"/>
      <c r="H603" s="203">
        <v>2.1</v>
      </c>
      <c r="I603" s="203">
        <f t="shared" si="44"/>
        <v>-1.89</v>
      </c>
      <c r="J603" s="191"/>
    </row>
    <row r="604" spans="1:10" ht="24.75" customHeight="1">
      <c r="A604" s="192"/>
      <c r="B604" s="188" t="s">
        <v>661</v>
      </c>
      <c r="C604" s="189"/>
      <c r="D604" s="189"/>
      <c r="E604" s="189"/>
      <c r="F604" s="190"/>
      <c r="G604" s="190"/>
      <c r="H604" s="190"/>
      <c r="I604" s="190"/>
      <c r="J604" s="191"/>
    </row>
    <row r="605" spans="1:10" ht="24.75" customHeight="1">
      <c r="A605" s="192"/>
      <c r="B605" s="202" t="s">
        <v>652</v>
      </c>
      <c r="C605" s="189">
        <v>1</v>
      </c>
      <c r="D605" s="189" t="s">
        <v>461</v>
      </c>
      <c r="E605" s="189">
        <v>2</v>
      </c>
      <c r="F605" s="203">
        <v>5.8</v>
      </c>
      <c r="G605" s="203"/>
      <c r="H605" s="203">
        <v>0.18</v>
      </c>
      <c r="I605" s="203">
        <f t="shared" ref="I605:I615" si="45">PRODUCT(C605:H605)</f>
        <v>2.09</v>
      </c>
      <c r="J605" s="191"/>
    </row>
    <row r="606" spans="1:10" ht="24.75" customHeight="1">
      <c r="A606" s="192"/>
      <c r="B606" s="202" t="s">
        <v>653</v>
      </c>
      <c r="C606" s="189">
        <v>1</v>
      </c>
      <c r="D606" s="189" t="s">
        <v>461</v>
      </c>
      <c r="E606" s="189">
        <v>2</v>
      </c>
      <c r="F606" s="203">
        <v>4.8</v>
      </c>
      <c r="G606" s="203"/>
      <c r="H606" s="203">
        <v>0.18</v>
      </c>
      <c r="I606" s="203">
        <f t="shared" si="45"/>
        <v>1.73</v>
      </c>
      <c r="J606" s="191"/>
    </row>
    <row r="607" spans="1:10" ht="24.75" customHeight="1">
      <c r="A607" s="192"/>
      <c r="B607" s="202" t="s">
        <v>654</v>
      </c>
      <c r="C607" s="189">
        <v>2</v>
      </c>
      <c r="D607" s="189" t="s">
        <v>461</v>
      </c>
      <c r="E607" s="189">
        <v>1</v>
      </c>
      <c r="F607" s="203">
        <v>6.9</v>
      </c>
      <c r="G607" s="203"/>
      <c r="H607" s="203">
        <v>0.18</v>
      </c>
      <c r="I607" s="203">
        <f t="shared" si="45"/>
        <v>2.48</v>
      </c>
      <c r="J607" s="191"/>
    </row>
    <row r="608" spans="1:10" ht="24.75" customHeight="1">
      <c r="A608" s="192"/>
      <c r="B608" s="202" t="s">
        <v>655</v>
      </c>
      <c r="C608" s="189">
        <v>1</v>
      </c>
      <c r="D608" s="189" t="s">
        <v>461</v>
      </c>
      <c r="E608" s="189">
        <v>8</v>
      </c>
      <c r="F608" s="203">
        <v>6.3</v>
      </c>
      <c r="G608" s="203"/>
      <c r="H608" s="203">
        <v>0.18</v>
      </c>
      <c r="I608" s="203">
        <f t="shared" si="45"/>
        <v>9.07</v>
      </c>
      <c r="J608" s="191"/>
    </row>
    <row r="609" spans="1:11" ht="24.75" customHeight="1">
      <c r="A609" s="192"/>
      <c r="B609" s="202" t="s">
        <v>656</v>
      </c>
      <c r="C609" s="189">
        <v>1</v>
      </c>
      <c r="D609" s="189" t="s">
        <v>461</v>
      </c>
      <c r="E609" s="189">
        <v>8</v>
      </c>
      <c r="F609" s="203">
        <v>5.0999999999999996</v>
      </c>
      <c r="G609" s="203"/>
      <c r="H609" s="203">
        <v>0.18</v>
      </c>
      <c r="I609" s="203">
        <f t="shared" si="45"/>
        <v>7.34</v>
      </c>
      <c r="J609" s="191"/>
    </row>
    <row r="610" spans="1:11" ht="24.75" customHeight="1">
      <c r="A610" s="192"/>
      <c r="B610" s="202" t="s">
        <v>657</v>
      </c>
      <c r="C610" s="189">
        <v>1</v>
      </c>
      <c r="D610" s="189" t="s">
        <v>461</v>
      </c>
      <c r="E610" s="189">
        <v>4</v>
      </c>
      <c r="F610" s="203">
        <v>5.7</v>
      </c>
      <c r="G610" s="203"/>
      <c r="H610" s="203">
        <v>0.18</v>
      </c>
      <c r="I610" s="203">
        <f t="shared" si="45"/>
        <v>4.0999999999999996</v>
      </c>
      <c r="J610" s="191"/>
    </row>
    <row r="611" spans="1:11" ht="24.75" customHeight="1">
      <c r="A611" s="192"/>
      <c r="B611" s="202" t="s">
        <v>658</v>
      </c>
      <c r="C611" s="189">
        <v>1</v>
      </c>
      <c r="D611" s="189" t="s">
        <v>461</v>
      </c>
      <c r="E611" s="189">
        <v>13</v>
      </c>
      <c r="F611" s="203">
        <v>3.6</v>
      </c>
      <c r="G611" s="203"/>
      <c r="H611" s="203">
        <v>0.18</v>
      </c>
      <c r="I611" s="203">
        <f t="shared" si="45"/>
        <v>8.42</v>
      </c>
      <c r="J611" s="191"/>
    </row>
    <row r="612" spans="1:11" ht="24.75" customHeight="1">
      <c r="A612" s="192"/>
      <c r="B612" s="202" t="s">
        <v>659</v>
      </c>
      <c r="C612" s="189">
        <v>2</v>
      </c>
      <c r="D612" s="189" t="s">
        <v>461</v>
      </c>
      <c r="E612" s="189">
        <v>2</v>
      </c>
      <c r="F612" s="203">
        <v>3.6</v>
      </c>
      <c r="G612" s="203"/>
      <c r="H612" s="203">
        <v>0.18</v>
      </c>
      <c r="I612" s="203">
        <f t="shared" si="45"/>
        <v>2.59</v>
      </c>
      <c r="J612" s="191"/>
    </row>
    <row r="613" spans="1:11" ht="24.75" customHeight="1">
      <c r="A613" s="192"/>
      <c r="B613" s="202" t="s">
        <v>653</v>
      </c>
      <c r="C613" s="189">
        <v>2</v>
      </c>
      <c r="D613" s="189" t="s">
        <v>461</v>
      </c>
      <c r="E613" s="189">
        <v>2</v>
      </c>
      <c r="F613" s="203">
        <v>3.6</v>
      </c>
      <c r="G613" s="203"/>
      <c r="H613" s="203">
        <v>0.18</v>
      </c>
      <c r="I613" s="203">
        <f t="shared" si="45"/>
        <v>2.59</v>
      </c>
      <c r="J613" s="191"/>
    </row>
    <row r="614" spans="1:11" ht="24.75" customHeight="1">
      <c r="A614" s="192"/>
      <c r="B614" s="202" t="s">
        <v>660</v>
      </c>
      <c r="C614" s="189">
        <v>1</v>
      </c>
      <c r="D614" s="189" t="s">
        <v>461</v>
      </c>
      <c r="E614" s="189">
        <v>1</v>
      </c>
      <c r="F614" s="203">
        <v>6</v>
      </c>
      <c r="G614" s="203"/>
      <c r="H614" s="203">
        <v>0.18</v>
      </c>
      <c r="I614" s="203">
        <f t="shared" si="45"/>
        <v>1.08</v>
      </c>
      <c r="J614" s="191"/>
    </row>
    <row r="615" spans="1:11" ht="24.75" customHeight="1">
      <c r="A615" s="192"/>
      <c r="B615" s="202" t="s">
        <v>662</v>
      </c>
      <c r="C615" s="189">
        <v>1</v>
      </c>
      <c r="D615" s="189" t="s">
        <v>461</v>
      </c>
      <c r="E615" s="189">
        <v>1</v>
      </c>
      <c r="F615" s="203">
        <v>16.2</v>
      </c>
      <c r="G615" s="203"/>
      <c r="H615" s="203">
        <v>7.05</v>
      </c>
      <c r="I615" s="203">
        <f t="shared" si="45"/>
        <v>114.21</v>
      </c>
      <c r="J615" s="191"/>
    </row>
    <row r="616" spans="1:11" ht="24.75" customHeight="1">
      <c r="A616" s="192"/>
      <c r="B616" s="273" t="s">
        <v>1004</v>
      </c>
      <c r="C616" s="269"/>
      <c r="D616" s="270"/>
      <c r="E616" s="269"/>
      <c r="F616" s="271"/>
      <c r="G616" s="271"/>
      <c r="H616" s="271"/>
      <c r="I616" s="271"/>
      <c r="J616" s="191"/>
    </row>
    <row r="617" spans="1:11" ht="24.75" customHeight="1">
      <c r="A617" s="192"/>
      <c r="B617" s="268" t="s">
        <v>1418</v>
      </c>
      <c r="C617" s="269">
        <v>1</v>
      </c>
      <c r="D617" s="270" t="s">
        <v>461</v>
      </c>
      <c r="E617" s="269">
        <v>1</v>
      </c>
      <c r="F617" s="271">
        <v>5.26</v>
      </c>
      <c r="G617" s="271">
        <v>1.66</v>
      </c>
      <c r="H617" s="274"/>
      <c r="I617" s="271">
        <f t="shared" ref="I617" si="46">PRODUCT(C617:H617)</f>
        <v>8.73</v>
      </c>
      <c r="J617" s="191"/>
    </row>
    <row r="618" spans="1:11" ht="24.75" customHeight="1">
      <c r="A618" s="192"/>
      <c r="B618" s="188"/>
      <c r="C618" s="189"/>
      <c r="D618" s="189"/>
      <c r="E618" s="189"/>
      <c r="F618" s="190"/>
      <c r="G618" s="190"/>
      <c r="H618" s="186"/>
      <c r="I618" s="190">
        <f>SUM(I582:I617)</f>
        <v>1146.96</v>
      </c>
      <c r="J618" s="201"/>
      <c r="K618" s="185">
        <v>0.17</v>
      </c>
    </row>
    <row r="619" spans="1:11" ht="24.75" customHeight="1">
      <c r="A619" s="192"/>
      <c r="B619" s="188"/>
      <c r="C619" s="189"/>
      <c r="D619" s="189"/>
      <c r="E619" s="189"/>
      <c r="F619" s="190"/>
      <c r="G619" s="190"/>
      <c r="H619" s="204" t="s">
        <v>261</v>
      </c>
      <c r="I619" s="204">
        <f>ROUNDUP(I618,1-0)</f>
        <v>1147</v>
      </c>
      <c r="J619" s="201" t="s">
        <v>123</v>
      </c>
    </row>
    <row r="620" spans="1:11" ht="24.95" customHeight="1">
      <c r="A620" s="192"/>
      <c r="B620" s="188" t="s">
        <v>663</v>
      </c>
      <c r="C620" s="189"/>
      <c r="D620" s="189"/>
      <c r="E620" s="189"/>
      <c r="F620" s="190"/>
      <c r="G620" s="190"/>
      <c r="H620" s="190"/>
      <c r="I620" s="190"/>
      <c r="J620" s="191"/>
    </row>
    <row r="621" spans="1:11" ht="24.95" customHeight="1">
      <c r="A621" s="192"/>
      <c r="B621" s="188" t="s">
        <v>619</v>
      </c>
      <c r="C621" s="189"/>
      <c r="D621" s="189"/>
      <c r="E621" s="189"/>
      <c r="F621" s="267"/>
      <c r="G621" s="267"/>
      <c r="H621" s="267"/>
      <c r="I621" s="267"/>
      <c r="J621" s="191"/>
    </row>
    <row r="622" spans="1:11" ht="24.95" customHeight="1">
      <c r="A622" s="192"/>
      <c r="B622" s="202" t="s">
        <v>515</v>
      </c>
      <c r="C622" s="189">
        <v>1</v>
      </c>
      <c r="D622" s="189" t="s">
        <v>461</v>
      </c>
      <c r="E622" s="189">
        <v>1</v>
      </c>
      <c r="F622" s="203">
        <v>15.6</v>
      </c>
      <c r="G622" s="203"/>
      <c r="H622" s="203">
        <v>3.48</v>
      </c>
      <c r="I622" s="203">
        <f t="shared" ref="I622:I658" si="47">PRODUCT(C622:H622)</f>
        <v>54.29</v>
      </c>
      <c r="J622" s="191"/>
    </row>
    <row r="623" spans="1:11" ht="24.95" customHeight="1">
      <c r="A623" s="192"/>
      <c r="B623" s="202" t="s">
        <v>473</v>
      </c>
      <c r="C623" s="189">
        <v>1</v>
      </c>
      <c r="D623" s="189" t="s">
        <v>461</v>
      </c>
      <c r="E623" s="189">
        <v>1</v>
      </c>
      <c r="F623" s="203">
        <v>13.2</v>
      </c>
      <c r="G623" s="203"/>
      <c r="H623" s="203">
        <v>3.48</v>
      </c>
      <c r="I623" s="203">
        <f t="shared" si="47"/>
        <v>45.94</v>
      </c>
      <c r="J623" s="191"/>
    </row>
    <row r="624" spans="1:11" ht="24.95" customHeight="1">
      <c r="A624" s="192"/>
      <c r="B624" s="202" t="s">
        <v>664</v>
      </c>
      <c r="C624" s="189">
        <v>-1</v>
      </c>
      <c r="D624" s="189" t="s">
        <v>461</v>
      </c>
      <c r="E624" s="189">
        <v>1</v>
      </c>
      <c r="F624" s="203">
        <v>1.8</v>
      </c>
      <c r="G624" s="203"/>
      <c r="H624" s="203">
        <v>3.48</v>
      </c>
      <c r="I624" s="203">
        <f t="shared" si="47"/>
        <v>-6.26</v>
      </c>
      <c r="J624" s="191"/>
    </row>
    <row r="625" spans="1:10" ht="24.95" customHeight="1">
      <c r="A625" s="192"/>
      <c r="B625" s="202" t="s">
        <v>665</v>
      </c>
      <c r="C625" s="189">
        <v>1</v>
      </c>
      <c r="D625" s="189" t="s">
        <v>461</v>
      </c>
      <c r="E625" s="189">
        <v>1</v>
      </c>
      <c r="F625" s="203">
        <v>13.55</v>
      </c>
      <c r="G625" s="203"/>
      <c r="H625" s="203">
        <v>3.48</v>
      </c>
      <c r="I625" s="203">
        <f t="shared" si="47"/>
        <v>47.15</v>
      </c>
      <c r="J625" s="191"/>
    </row>
    <row r="626" spans="1:10" ht="24.95" customHeight="1">
      <c r="A626" s="192"/>
      <c r="B626" s="202" t="s">
        <v>964</v>
      </c>
      <c r="C626" s="189">
        <v>1</v>
      </c>
      <c r="D626" s="189" t="s">
        <v>461</v>
      </c>
      <c r="E626" s="189">
        <v>1</v>
      </c>
      <c r="F626" s="203">
        <v>7.6</v>
      </c>
      <c r="G626" s="203"/>
      <c r="H626" s="203">
        <v>3.48</v>
      </c>
      <c r="I626" s="203">
        <f t="shared" si="47"/>
        <v>26.45</v>
      </c>
      <c r="J626" s="191"/>
    </row>
    <row r="627" spans="1:10" ht="24.95" customHeight="1">
      <c r="A627" s="192"/>
      <c r="B627" s="202" t="s">
        <v>476</v>
      </c>
      <c r="C627" s="189">
        <v>1</v>
      </c>
      <c r="D627" s="189" t="s">
        <v>461</v>
      </c>
      <c r="E627" s="189">
        <v>1</v>
      </c>
      <c r="F627" s="203">
        <v>24</v>
      </c>
      <c r="G627" s="203"/>
      <c r="H627" s="203">
        <v>3.48</v>
      </c>
      <c r="I627" s="203">
        <f t="shared" si="47"/>
        <v>83.52</v>
      </c>
      <c r="J627" s="191"/>
    </row>
    <row r="628" spans="1:10" ht="24.95" customHeight="1">
      <c r="A628" s="192"/>
      <c r="B628" s="202" t="s">
        <v>965</v>
      </c>
      <c r="C628" s="189">
        <v>1</v>
      </c>
      <c r="D628" s="189" t="s">
        <v>461</v>
      </c>
      <c r="E628" s="189">
        <v>1</v>
      </c>
      <c r="F628" s="203">
        <v>7.8</v>
      </c>
      <c r="G628" s="203"/>
      <c r="H628" s="203">
        <v>3.48</v>
      </c>
      <c r="I628" s="203">
        <f t="shared" ref="I628" si="48">PRODUCT(C628:H628)</f>
        <v>27.14</v>
      </c>
      <c r="J628" s="191"/>
    </row>
    <row r="629" spans="1:10" ht="24.95" customHeight="1">
      <c r="A629" s="192"/>
      <c r="B629" s="202" t="s">
        <v>966</v>
      </c>
      <c r="C629" s="189">
        <v>1</v>
      </c>
      <c r="D629" s="189" t="s">
        <v>461</v>
      </c>
      <c r="E629" s="189">
        <v>1</v>
      </c>
      <c r="F629" s="203">
        <v>29.88</v>
      </c>
      <c r="G629" s="203"/>
      <c r="H629" s="203">
        <v>3.48</v>
      </c>
      <c r="I629" s="203">
        <f t="shared" si="47"/>
        <v>103.98</v>
      </c>
      <c r="J629" s="191"/>
    </row>
    <row r="630" spans="1:10" ht="24.95" customHeight="1">
      <c r="A630" s="192"/>
      <c r="B630" s="202" t="s">
        <v>668</v>
      </c>
      <c r="C630" s="189">
        <v>1</v>
      </c>
      <c r="D630" s="189" t="s">
        <v>461</v>
      </c>
      <c r="E630" s="189">
        <v>1</v>
      </c>
      <c r="F630" s="203">
        <v>12.06</v>
      </c>
      <c r="G630" s="203"/>
      <c r="H630" s="203">
        <v>3.48</v>
      </c>
      <c r="I630" s="203">
        <f t="shared" si="47"/>
        <v>41.97</v>
      </c>
      <c r="J630" s="191"/>
    </row>
    <row r="631" spans="1:10" ht="24.95" customHeight="1">
      <c r="A631" s="192"/>
      <c r="B631" s="202" t="s">
        <v>967</v>
      </c>
      <c r="C631" s="189">
        <v>1</v>
      </c>
      <c r="D631" s="189" t="s">
        <v>461</v>
      </c>
      <c r="E631" s="189">
        <v>1</v>
      </c>
      <c r="F631" s="203">
        <v>4.4000000000000004</v>
      </c>
      <c r="G631" s="203"/>
      <c r="H631" s="203">
        <v>3.48</v>
      </c>
      <c r="I631" s="203">
        <f t="shared" si="47"/>
        <v>15.31</v>
      </c>
      <c r="J631" s="191"/>
    </row>
    <row r="632" spans="1:10" ht="24.95" customHeight="1">
      <c r="A632" s="192"/>
      <c r="B632" s="202" t="s">
        <v>669</v>
      </c>
      <c r="C632" s="189">
        <v>1</v>
      </c>
      <c r="D632" s="189" t="s">
        <v>461</v>
      </c>
      <c r="E632" s="189">
        <v>1</v>
      </c>
      <c r="F632" s="203">
        <v>28.06</v>
      </c>
      <c r="G632" s="203"/>
      <c r="H632" s="203">
        <v>3.48</v>
      </c>
      <c r="I632" s="203">
        <f t="shared" si="47"/>
        <v>97.65</v>
      </c>
      <c r="J632" s="191"/>
    </row>
    <row r="633" spans="1:10" ht="24.95" customHeight="1">
      <c r="A633" s="192"/>
      <c r="B633" s="202" t="s">
        <v>968</v>
      </c>
      <c r="C633" s="189">
        <v>1</v>
      </c>
      <c r="D633" s="189" t="s">
        <v>461</v>
      </c>
      <c r="E633" s="189">
        <v>1</v>
      </c>
      <c r="F633" s="203">
        <v>22.3</v>
      </c>
      <c r="G633" s="203"/>
      <c r="H633" s="203">
        <v>3.48</v>
      </c>
      <c r="I633" s="203">
        <f t="shared" si="47"/>
        <v>77.599999999999994</v>
      </c>
      <c r="J633" s="191"/>
    </row>
    <row r="634" spans="1:10" ht="24.95" customHeight="1">
      <c r="A634" s="192"/>
      <c r="B634" s="202" t="s">
        <v>969</v>
      </c>
      <c r="C634" s="189">
        <v>1</v>
      </c>
      <c r="D634" s="189" t="s">
        <v>461</v>
      </c>
      <c r="E634" s="189">
        <v>1</v>
      </c>
      <c r="F634" s="203">
        <v>10.51</v>
      </c>
      <c r="G634" s="203"/>
      <c r="H634" s="203">
        <v>3.48</v>
      </c>
      <c r="I634" s="203">
        <f t="shared" si="47"/>
        <v>36.57</v>
      </c>
      <c r="J634" s="191"/>
    </row>
    <row r="635" spans="1:10" ht="24.95" customHeight="1">
      <c r="A635" s="192"/>
      <c r="B635" s="202" t="s">
        <v>672</v>
      </c>
      <c r="C635" s="189">
        <v>1</v>
      </c>
      <c r="D635" s="189" t="s">
        <v>461</v>
      </c>
      <c r="E635" s="189">
        <v>2</v>
      </c>
      <c r="F635" s="203">
        <v>0.75</v>
      </c>
      <c r="G635" s="203"/>
      <c r="H635" s="203">
        <v>1</v>
      </c>
      <c r="I635" s="203">
        <f t="shared" si="47"/>
        <v>1.5</v>
      </c>
      <c r="J635" s="191"/>
    </row>
    <row r="636" spans="1:10" ht="24.95" customHeight="1">
      <c r="A636" s="192"/>
      <c r="B636" s="202" t="s">
        <v>970</v>
      </c>
      <c r="C636" s="189">
        <v>1</v>
      </c>
      <c r="D636" s="189" t="s">
        <v>461</v>
      </c>
      <c r="E636" s="189">
        <v>1</v>
      </c>
      <c r="F636" s="203">
        <v>5.7</v>
      </c>
      <c r="G636" s="203"/>
      <c r="H636" s="203">
        <v>3.48</v>
      </c>
      <c r="I636" s="203">
        <f t="shared" si="47"/>
        <v>19.84</v>
      </c>
      <c r="J636" s="191"/>
    </row>
    <row r="637" spans="1:10" ht="24.95" customHeight="1">
      <c r="A637" s="192"/>
      <c r="B637" s="202" t="s">
        <v>671</v>
      </c>
      <c r="C637" s="189">
        <v>1</v>
      </c>
      <c r="D637" s="189" t="s">
        <v>461</v>
      </c>
      <c r="E637" s="189">
        <v>1</v>
      </c>
      <c r="F637" s="203">
        <v>6.16</v>
      </c>
      <c r="G637" s="203"/>
      <c r="H637" s="203">
        <v>3.48</v>
      </c>
      <c r="I637" s="203">
        <f t="shared" si="47"/>
        <v>21.44</v>
      </c>
      <c r="J637" s="191"/>
    </row>
    <row r="638" spans="1:10" ht="24.95" customHeight="1">
      <c r="A638" s="192"/>
      <c r="B638" s="202" t="s">
        <v>971</v>
      </c>
      <c r="C638" s="189">
        <v>1</v>
      </c>
      <c r="D638" s="189" t="s">
        <v>461</v>
      </c>
      <c r="E638" s="189">
        <v>1</v>
      </c>
      <c r="F638" s="203">
        <v>9.82</v>
      </c>
      <c r="G638" s="203"/>
      <c r="H638" s="203">
        <v>3.48</v>
      </c>
      <c r="I638" s="203">
        <f t="shared" si="47"/>
        <v>34.17</v>
      </c>
      <c r="J638" s="191"/>
    </row>
    <row r="639" spans="1:10" ht="24.95" customHeight="1">
      <c r="A639" s="192"/>
      <c r="B639" s="202" t="s">
        <v>962</v>
      </c>
      <c r="C639" s="189">
        <v>1</v>
      </c>
      <c r="D639" s="189" t="s">
        <v>461</v>
      </c>
      <c r="E639" s="189">
        <v>2</v>
      </c>
      <c r="F639" s="203">
        <v>0.9</v>
      </c>
      <c r="G639" s="203"/>
      <c r="H639" s="203">
        <v>2.1</v>
      </c>
      <c r="I639" s="203">
        <f t="shared" si="47"/>
        <v>3.78</v>
      </c>
      <c r="J639" s="191"/>
    </row>
    <row r="640" spans="1:10" ht="24.95" customHeight="1">
      <c r="A640" s="192"/>
      <c r="B640" s="202" t="s">
        <v>848</v>
      </c>
      <c r="C640" s="189">
        <v>1</v>
      </c>
      <c r="D640" s="189" t="s">
        <v>461</v>
      </c>
      <c r="E640" s="189">
        <v>2</v>
      </c>
      <c r="F640" s="203">
        <v>6</v>
      </c>
      <c r="G640" s="203"/>
      <c r="H640" s="203">
        <v>3.48</v>
      </c>
      <c r="I640" s="203">
        <f t="shared" si="47"/>
        <v>41.76</v>
      </c>
      <c r="J640" s="191"/>
    </row>
    <row r="641" spans="1:10" ht="24.95" customHeight="1">
      <c r="A641" s="192"/>
      <c r="B641" s="202" t="s">
        <v>972</v>
      </c>
      <c r="C641" s="189">
        <v>1</v>
      </c>
      <c r="D641" s="189" t="s">
        <v>461</v>
      </c>
      <c r="E641" s="189">
        <v>2</v>
      </c>
      <c r="F641" s="203">
        <v>5.7</v>
      </c>
      <c r="G641" s="203"/>
      <c r="H641" s="203">
        <v>3.48</v>
      </c>
      <c r="I641" s="203">
        <f t="shared" si="47"/>
        <v>39.67</v>
      </c>
      <c r="J641" s="191"/>
    </row>
    <row r="642" spans="1:10" ht="24.95" customHeight="1">
      <c r="A642" s="192"/>
      <c r="B642" s="188" t="s">
        <v>623</v>
      </c>
      <c r="C642" s="189"/>
      <c r="D642" s="189"/>
      <c r="E642" s="189"/>
      <c r="F642" s="203"/>
      <c r="G642" s="203"/>
      <c r="H642" s="203"/>
      <c r="I642" s="203"/>
      <c r="J642" s="191"/>
    </row>
    <row r="643" spans="1:10" ht="24.95" customHeight="1">
      <c r="A643" s="192"/>
      <c r="B643" s="202" t="s">
        <v>968</v>
      </c>
      <c r="C643" s="189">
        <v>1</v>
      </c>
      <c r="D643" s="189" t="s">
        <v>461</v>
      </c>
      <c r="E643" s="189">
        <v>1</v>
      </c>
      <c r="F643" s="203">
        <v>22.3</v>
      </c>
      <c r="G643" s="203"/>
      <c r="H643" s="203">
        <v>3.48</v>
      </c>
      <c r="I643" s="203">
        <f t="shared" ref="I643" si="49">PRODUCT(C643:H643)</f>
        <v>77.599999999999994</v>
      </c>
      <c r="J643" s="191"/>
    </row>
    <row r="644" spans="1:10" ht="24.95" customHeight="1">
      <c r="A644" s="192"/>
      <c r="B644" s="202" t="s">
        <v>610</v>
      </c>
      <c r="C644" s="189">
        <v>1</v>
      </c>
      <c r="D644" s="189" t="s">
        <v>461</v>
      </c>
      <c r="E644" s="189">
        <v>1</v>
      </c>
      <c r="F644" s="203">
        <v>19.54</v>
      </c>
      <c r="G644" s="203"/>
      <c r="H644" s="203">
        <v>3.48</v>
      </c>
      <c r="I644" s="203">
        <f>PRODUCT(C644:H644)</f>
        <v>68</v>
      </c>
      <c r="J644" s="191"/>
    </row>
    <row r="645" spans="1:10" ht="24.95" customHeight="1">
      <c r="A645" s="192"/>
      <c r="B645" s="202" t="s">
        <v>973</v>
      </c>
      <c r="C645" s="189">
        <v>1</v>
      </c>
      <c r="D645" s="189" t="s">
        <v>461</v>
      </c>
      <c r="E645" s="189">
        <v>2</v>
      </c>
      <c r="F645" s="203">
        <v>6</v>
      </c>
      <c r="G645" s="203"/>
      <c r="H645" s="203">
        <v>1.2</v>
      </c>
      <c r="I645" s="203">
        <f t="shared" si="47"/>
        <v>14.4</v>
      </c>
      <c r="J645" s="191"/>
    </row>
    <row r="646" spans="1:10" ht="24.95" customHeight="1">
      <c r="A646" s="192"/>
      <c r="B646" s="202" t="s">
        <v>673</v>
      </c>
      <c r="C646" s="189">
        <v>1</v>
      </c>
      <c r="D646" s="189" t="s">
        <v>461</v>
      </c>
      <c r="E646" s="189">
        <v>1</v>
      </c>
      <c r="F646" s="203">
        <v>22.66</v>
      </c>
      <c r="G646" s="203"/>
      <c r="H646" s="203">
        <v>3.48</v>
      </c>
      <c r="I646" s="203">
        <f>PRODUCT(C646:H646)</f>
        <v>78.86</v>
      </c>
      <c r="J646" s="191"/>
    </row>
    <row r="647" spans="1:10" ht="24.95" customHeight="1">
      <c r="A647" s="192"/>
      <c r="B647" s="202" t="s">
        <v>974</v>
      </c>
      <c r="C647" s="189">
        <v>1</v>
      </c>
      <c r="D647" s="189" t="s">
        <v>461</v>
      </c>
      <c r="E647" s="189">
        <v>1</v>
      </c>
      <c r="F647" s="203">
        <v>32.72</v>
      </c>
      <c r="G647" s="203"/>
      <c r="H647" s="203">
        <v>3.48</v>
      </c>
      <c r="I647" s="203">
        <f>PRODUCT(C647:H647)</f>
        <v>113.87</v>
      </c>
      <c r="J647" s="191"/>
    </row>
    <row r="648" spans="1:10" ht="24.95" customHeight="1">
      <c r="A648" s="192"/>
      <c r="B648" s="202" t="s">
        <v>609</v>
      </c>
      <c r="C648" s="189">
        <v>1</v>
      </c>
      <c r="D648" s="189" t="s">
        <v>461</v>
      </c>
      <c r="E648" s="189">
        <v>1</v>
      </c>
      <c r="F648" s="203">
        <v>24</v>
      </c>
      <c r="G648" s="203"/>
      <c r="H648" s="203">
        <v>3.48</v>
      </c>
      <c r="I648" s="203">
        <f t="shared" si="47"/>
        <v>83.52</v>
      </c>
      <c r="J648" s="191"/>
    </row>
    <row r="649" spans="1:10" ht="24.95" customHeight="1">
      <c r="A649" s="192"/>
      <c r="B649" s="202" t="s">
        <v>667</v>
      </c>
      <c r="C649" s="189">
        <v>1</v>
      </c>
      <c r="D649" s="189" t="s">
        <v>461</v>
      </c>
      <c r="E649" s="189">
        <v>1</v>
      </c>
      <c r="F649" s="203">
        <v>27.34</v>
      </c>
      <c r="G649" s="203"/>
      <c r="H649" s="203">
        <v>3.48</v>
      </c>
      <c r="I649" s="203">
        <f t="shared" si="47"/>
        <v>95.14</v>
      </c>
      <c r="J649" s="191"/>
    </row>
    <row r="650" spans="1:10" ht="24.95" customHeight="1">
      <c r="A650" s="192"/>
      <c r="B650" s="202" t="s">
        <v>969</v>
      </c>
      <c r="C650" s="189">
        <v>1</v>
      </c>
      <c r="D650" s="189" t="s">
        <v>461</v>
      </c>
      <c r="E650" s="189">
        <v>1</v>
      </c>
      <c r="F650" s="203">
        <v>5.56</v>
      </c>
      <c r="G650" s="203"/>
      <c r="H650" s="203">
        <v>3.48</v>
      </c>
      <c r="I650" s="203">
        <f t="shared" si="47"/>
        <v>19.350000000000001</v>
      </c>
      <c r="J650" s="191"/>
    </row>
    <row r="651" spans="1:10" ht="24.95" customHeight="1">
      <c r="A651" s="192"/>
      <c r="B651" s="264" t="s">
        <v>672</v>
      </c>
      <c r="C651" s="189">
        <v>1</v>
      </c>
      <c r="D651" s="189" t="s">
        <v>461</v>
      </c>
      <c r="E651" s="189">
        <v>2</v>
      </c>
      <c r="F651" s="203">
        <v>0.75</v>
      </c>
      <c r="G651" s="203"/>
      <c r="H651" s="203">
        <v>1</v>
      </c>
      <c r="I651" s="203">
        <f t="shared" ref="I651" si="50">PRODUCT(C651:H651)</f>
        <v>1.5</v>
      </c>
      <c r="J651" s="191"/>
    </row>
    <row r="652" spans="1:10" ht="24.95" customHeight="1">
      <c r="A652" s="192"/>
      <c r="B652" s="202" t="s">
        <v>509</v>
      </c>
      <c r="C652" s="189">
        <v>1</v>
      </c>
      <c r="D652" s="189" t="s">
        <v>461</v>
      </c>
      <c r="E652" s="189">
        <v>1</v>
      </c>
      <c r="F652" s="203">
        <v>6.16</v>
      </c>
      <c r="G652" s="203"/>
      <c r="H652" s="203">
        <v>3.48</v>
      </c>
      <c r="I652" s="203">
        <f t="shared" si="47"/>
        <v>21.44</v>
      </c>
      <c r="J652" s="191"/>
    </row>
    <row r="653" spans="1:10" ht="24.95" customHeight="1">
      <c r="A653" s="192"/>
      <c r="B653" s="202" t="s">
        <v>670</v>
      </c>
      <c r="C653" s="189">
        <v>1</v>
      </c>
      <c r="D653" s="189" t="s">
        <v>461</v>
      </c>
      <c r="E653" s="189">
        <v>1</v>
      </c>
      <c r="F653" s="203">
        <v>12.98</v>
      </c>
      <c r="G653" s="203"/>
      <c r="H653" s="203">
        <v>3.48</v>
      </c>
      <c r="I653" s="203">
        <f t="shared" si="47"/>
        <v>45.17</v>
      </c>
      <c r="J653" s="191"/>
    </row>
    <row r="654" spans="1:10" ht="24.95" customHeight="1">
      <c r="A654" s="192"/>
      <c r="B654" s="202" t="s">
        <v>962</v>
      </c>
      <c r="C654" s="189">
        <v>1</v>
      </c>
      <c r="D654" s="189" t="s">
        <v>461</v>
      </c>
      <c r="E654" s="189">
        <v>2</v>
      </c>
      <c r="F654" s="203">
        <v>0.9</v>
      </c>
      <c r="G654" s="203"/>
      <c r="H654" s="203">
        <v>2.1</v>
      </c>
      <c r="I654" s="203">
        <f t="shared" si="47"/>
        <v>3.78</v>
      </c>
      <c r="J654" s="191"/>
    </row>
    <row r="655" spans="1:10" ht="24.95" customHeight="1">
      <c r="A655" s="192"/>
      <c r="B655" s="202" t="s">
        <v>975</v>
      </c>
      <c r="C655" s="189">
        <v>1</v>
      </c>
      <c r="D655" s="189" t="s">
        <v>461</v>
      </c>
      <c r="E655" s="189">
        <v>2</v>
      </c>
      <c r="F655" s="203">
        <v>6</v>
      </c>
      <c r="G655" s="203"/>
      <c r="H655" s="203">
        <v>3.48</v>
      </c>
      <c r="I655" s="203">
        <f t="shared" si="47"/>
        <v>41.76</v>
      </c>
      <c r="J655" s="191"/>
    </row>
    <row r="656" spans="1:10" ht="24.95" customHeight="1">
      <c r="A656" s="192"/>
      <c r="B656" s="202" t="s">
        <v>976</v>
      </c>
      <c r="C656" s="189">
        <v>1</v>
      </c>
      <c r="D656" s="189" t="s">
        <v>461</v>
      </c>
      <c r="E656" s="189">
        <v>3</v>
      </c>
      <c r="F656" s="203">
        <v>5.7</v>
      </c>
      <c r="G656" s="203"/>
      <c r="H656" s="203">
        <v>3.48</v>
      </c>
      <c r="I656" s="203">
        <f t="shared" si="47"/>
        <v>59.51</v>
      </c>
      <c r="J656" s="191"/>
    </row>
    <row r="657" spans="1:10" ht="24.95" customHeight="1">
      <c r="A657" s="192"/>
      <c r="B657" s="202" t="s">
        <v>674</v>
      </c>
      <c r="C657" s="189">
        <v>1</v>
      </c>
      <c r="D657" s="189" t="s">
        <v>461</v>
      </c>
      <c r="E657" s="189">
        <v>1</v>
      </c>
      <c r="F657" s="203">
        <v>16.2</v>
      </c>
      <c r="G657" s="203"/>
      <c r="H657" s="203">
        <v>6.75</v>
      </c>
      <c r="I657" s="203">
        <f t="shared" si="47"/>
        <v>109.35</v>
      </c>
      <c r="J657" s="191"/>
    </row>
    <row r="658" spans="1:10" ht="24.95" customHeight="1">
      <c r="A658" s="192"/>
      <c r="B658" s="202" t="s">
        <v>494</v>
      </c>
      <c r="C658" s="189">
        <v>1</v>
      </c>
      <c r="D658" s="189" t="s">
        <v>461</v>
      </c>
      <c r="E658" s="189">
        <v>8</v>
      </c>
      <c r="F658" s="203">
        <v>1.52</v>
      </c>
      <c r="G658" s="203"/>
      <c r="H658" s="203">
        <v>6.75</v>
      </c>
      <c r="I658" s="203">
        <f t="shared" si="47"/>
        <v>82.08</v>
      </c>
      <c r="J658" s="191"/>
    </row>
    <row r="659" spans="1:10" ht="24.95" customHeight="1">
      <c r="A659" s="192"/>
      <c r="B659" s="188" t="s">
        <v>675</v>
      </c>
      <c r="C659" s="189"/>
      <c r="D659" s="189"/>
      <c r="E659" s="189"/>
      <c r="F659" s="203"/>
      <c r="G659" s="203"/>
      <c r="H659" s="203"/>
      <c r="I659" s="203"/>
      <c r="J659" s="191"/>
    </row>
    <row r="660" spans="1:10" ht="24.95" customHeight="1">
      <c r="A660" s="192"/>
      <c r="B660" s="202" t="s">
        <v>515</v>
      </c>
      <c r="C660" s="189">
        <v>2</v>
      </c>
      <c r="D660" s="189" t="s">
        <v>461</v>
      </c>
      <c r="E660" s="189">
        <v>3</v>
      </c>
      <c r="F660" s="203">
        <v>0.45</v>
      </c>
      <c r="G660" s="203"/>
      <c r="H660" s="203">
        <v>2.4</v>
      </c>
      <c r="I660" s="203">
        <f t="shared" ref="I660:I665" si="51">PRODUCT(C660:H660)</f>
        <v>6.48</v>
      </c>
      <c r="J660" s="201"/>
    </row>
    <row r="661" spans="1:10" ht="24.95" customHeight="1">
      <c r="A661" s="192"/>
      <c r="B661" s="202" t="s">
        <v>596</v>
      </c>
      <c r="C661" s="189">
        <v>2</v>
      </c>
      <c r="D661" s="189" t="s">
        <v>461</v>
      </c>
      <c r="E661" s="189">
        <v>5</v>
      </c>
      <c r="F661" s="203">
        <v>0.6</v>
      </c>
      <c r="G661" s="203"/>
      <c r="H661" s="203">
        <v>2.4</v>
      </c>
      <c r="I661" s="203">
        <f t="shared" si="51"/>
        <v>14.4</v>
      </c>
      <c r="J661" s="191"/>
    </row>
    <row r="662" spans="1:10" ht="24.95" customHeight="1">
      <c r="A662" s="192"/>
      <c r="B662" s="202" t="s">
        <v>597</v>
      </c>
      <c r="C662" s="189">
        <v>2</v>
      </c>
      <c r="D662" s="189" t="s">
        <v>461</v>
      </c>
      <c r="E662" s="189">
        <v>18</v>
      </c>
      <c r="F662" s="203">
        <v>0.6</v>
      </c>
      <c r="G662" s="203"/>
      <c r="H662" s="203">
        <v>2.4</v>
      </c>
      <c r="I662" s="203">
        <f t="shared" si="51"/>
        <v>51.84</v>
      </c>
      <c r="J662" s="191"/>
    </row>
    <row r="663" spans="1:10" ht="24.95" customHeight="1">
      <c r="A663" s="192"/>
      <c r="B663" s="202" t="s">
        <v>597</v>
      </c>
      <c r="C663" s="189">
        <v>2</v>
      </c>
      <c r="D663" s="189" t="s">
        <v>461</v>
      </c>
      <c r="E663" s="189">
        <v>2</v>
      </c>
      <c r="F663" s="203">
        <v>0.6</v>
      </c>
      <c r="G663" s="203"/>
      <c r="H663" s="203">
        <v>2.4</v>
      </c>
      <c r="I663" s="203">
        <f t="shared" si="51"/>
        <v>5.76</v>
      </c>
      <c r="J663" s="191"/>
    </row>
    <row r="664" spans="1:10" ht="24.95" customHeight="1">
      <c r="A664" s="192"/>
      <c r="B664" s="202" t="s">
        <v>599</v>
      </c>
      <c r="C664" s="189">
        <v>2</v>
      </c>
      <c r="D664" s="189" t="s">
        <v>461</v>
      </c>
      <c r="E664" s="189">
        <v>3</v>
      </c>
      <c r="F664" s="203">
        <v>0.6</v>
      </c>
      <c r="G664" s="203"/>
      <c r="H664" s="203">
        <v>2.4</v>
      </c>
      <c r="I664" s="203">
        <f t="shared" si="51"/>
        <v>8.64</v>
      </c>
      <c r="J664" s="191"/>
    </row>
    <row r="665" spans="1:10" ht="24.95" customHeight="1">
      <c r="A665" s="192"/>
      <c r="B665" s="202" t="s">
        <v>600</v>
      </c>
      <c r="C665" s="189">
        <v>6</v>
      </c>
      <c r="D665" s="189" t="s">
        <v>461</v>
      </c>
      <c r="E665" s="189">
        <v>5</v>
      </c>
      <c r="F665" s="203">
        <v>0.6</v>
      </c>
      <c r="G665" s="203"/>
      <c r="H665" s="203">
        <v>2.4</v>
      </c>
      <c r="I665" s="203">
        <f t="shared" si="51"/>
        <v>43.2</v>
      </c>
      <c r="J665" s="191"/>
    </row>
    <row r="666" spans="1:10" ht="24.75" customHeight="1">
      <c r="A666" s="192"/>
      <c r="B666" s="188" t="s">
        <v>650</v>
      </c>
      <c r="C666" s="189"/>
      <c r="D666" s="189"/>
      <c r="E666" s="189"/>
      <c r="F666" s="190"/>
      <c r="G666" s="190"/>
      <c r="H666" s="190"/>
      <c r="I666" s="190"/>
      <c r="J666" s="191"/>
    </row>
    <row r="667" spans="1:10" ht="24.75" customHeight="1">
      <c r="A667" s="192"/>
      <c r="B667" s="202" t="s">
        <v>676</v>
      </c>
      <c r="C667" s="189">
        <v>-1</v>
      </c>
      <c r="D667" s="189" t="s">
        <v>461</v>
      </c>
      <c r="E667" s="189">
        <v>1</v>
      </c>
      <c r="F667" s="203">
        <v>1.8</v>
      </c>
      <c r="G667" s="203"/>
      <c r="H667" s="203">
        <v>2.4</v>
      </c>
      <c r="I667" s="203">
        <f t="shared" ref="I667:I694" si="52">PRODUCT(C667:H667)</f>
        <v>-4.32</v>
      </c>
      <c r="J667" s="191"/>
    </row>
    <row r="668" spans="1:10" ht="24.75" customHeight="1">
      <c r="A668" s="192"/>
      <c r="B668" s="202" t="s">
        <v>677</v>
      </c>
      <c r="C668" s="189">
        <v>-1</v>
      </c>
      <c r="D668" s="189" t="s">
        <v>461</v>
      </c>
      <c r="E668" s="189">
        <v>1</v>
      </c>
      <c r="F668" s="203">
        <v>0.75</v>
      </c>
      <c r="G668" s="203"/>
      <c r="H668" s="203">
        <v>2.1</v>
      </c>
      <c r="I668" s="203">
        <f t="shared" si="52"/>
        <v>-1.58</v>
      </c>
      <c r="J668" s="191"/>
    </row>
    <row r="669" spans="1:10" ht="24.75" customHeight="1">
      <c r="A669" s="192"/>
      <c r="B669" s="202" t="s">
        <v>652</v>
      </c>
      <c r="C669" s="189">
        <v>-1</v>
      </c>
      <c r="D669" s="189" t="s">
        <v>461</v>
      </c>
      <c r="E669" s="189">
        <v>2</v>
      </c>
      <c r="F669" s="203">
        <v>0.8</v>
      </c>
      <c r="G669" s="203"/>
      <c r="H669" s="203">
        <v>2.4</v>
      </c>
      <c r="I669" s="203">
        <f t="shared" si="52"/>
        <v>-3.84</v>
      </c>
      <c r="J669" s="191"/>
    </row>
    <row r="670" spans="1:10" ht="24.75" customHeight="1">
      <c r="A670" s="192"/>
      <c r="B670" s="202" t="s">
        <v>653</v>
      </c>
      <c r="C670" s="189">
        <v>-1</v>
      </c>
      <c r="D670" s="189" t="s">
        <v>461</v>
      </c>
      <c r="E670" s="189">
        <v>2</v>
      </c>
      <c r="F670" s="203">
        <v>1.8</v>
      </c>
      <c r="G670" s="203"/>
      <c r="H670" s="203">
        <v>0.6</v>
      </c>
      <c r="I670" s="203">
        <f t="shared" si="52"/>
        <v>-2.16</v>
      </c>
      <c r="J670" s="191"/>
    </row>
    <row r="671" spans="1:10" ht="24.75" customHeight="1">
      <c r="A671" s="192"/>
      <c r="B671" s="202" t="s">
        <v>678</v>
      </c>
      <c r="C671" s="189">
        <v>-1</v>
      </c>
      <c r="D671" s="189" t="s">
        <v>461</v>
      </c>
      <c r="E671" s="189">
        <v>2</v>
      </c>
      <c r="F671" s="203">
        <v>0.75</v>
      </c>
      <c r="G671" s="203"/>
      <c r="H671" s="203">
        <v>2.4</v>
      </c>
      <c r="I671" s="203">
        <f t="shared" si="52"/>
        <v>-3.6</v>
      </c>
      <c r="J671" s="191"/>
    </row>
    <row r="672" spans="1:10" ht="24.75" customHeight="1">
      <c r="A672" s="192"/>
      <c r="B672" s="202" t="s">
        <v>444</v>
      </c>
      <c r="C672" s="189">
        <v>-1</v>
      </c>
      <c r="D672" s="189" t="s">
        <v>461</v>
      </c>
      <c r="E672" s="189">
        <v>1</v>
      </c>
      <c r="F672" s="203">
        <v>1</v>
      </c>
      <c r="G672" s="203"/>
      <c r="H672" s="203">
        <v>2.4</v>
      </c>
      <c r="I672" s="203">
        <f t="shared" si="52"/>
        <v>-2.4</v>
      </c>
      <c r="J672" s="191"/>
    </row>
    <row r="673" spans="1:10" ht="24.75" customHeight="1">
      <c r="A673" s="192"/>
      <c r="B673" s="202" t="s">
        <v>653</v>
      </c>
      <c r="C673" s="189">
        <v>-1</v>
      </c>
      <c r="D673" s="189" t="s">
        <v>461</v>
      </c>
      <c r="E673" s="189">
        <v>2</v>
      </c>
      <c r="F673" s="203">
        <v>1.2</v>
      </c>
      <c r="G673" s="203"/>
      <c r="H673" s="203">
        <v>0.6</v>
      </c>
      <c r="I673" s="203">
        <f t="shared" si="52"/>
        <v>-1.44</v>
      </c>
      <c r="J673" s="191"/>
    </row>
    <row r="674" spans="1:10" ht="24.75" customHeight="1">
      <c r="A674" s="192"/>
      <c r="B674" s="202" t="s">
        <v>653</v>
      </c>
      <c r="C674" s="189">
        <v>-1</v>
      </c>
      <c r="D674" s="189" t="s">
        <v>461</v>
      </c>
      <c r="E674" s="189">
        <v>1</v>
      </c>
      <c r="F674" s="203">
        <v>1.8</v>
      </c>
      <c r="G674" s="203"/>
      <c r="H674" s="203">
        <v>0.6</v>
      </c>
      <c r="I674" s="203">
        <f t="shared" si="52"/>
        <v>-1.08</v>
      </c>
      <c r="J674" s="191"/>
    </row>
    <row r="675" spans="1:10" ht="24.75" customHeight="1">
      <c r="A675" s="192"/>
      <c r="B675" s="202" t="s">
        <v>651</v>
      </c>
      <c r="C675" s="189">
        <v>-1</v>
      </c>
      <c r="D675" s="189" t="s">
        <v>461</v>
      </c>
      <c r="E675" s="189">
        <v>3</v>
      </c>
      <c r="F675" s="203">
        <v>1.2</v>
      </c>
      <c r="G675" s="203"/>
      <c r="H675" s="203">
        <v>2.4</v>
      </c>
      <c r="I675" s="203">
        <f t="shared" si="52"/>
        <v>-8.64</v>
      </c>
      <c r="J675" s="191"/>
    </row>
    <row r="676" spans="1:10" ht="24.75" customHeight="1">
      <c r="A676" s="192"/>
      <c r="B676" s="202" t="s">
        <v>653</v>
      </c>
      <c r="C676" s="189">
        <v>-1</v>
      </c>
      <c r="D676" s="189" t="s">
        <v>461</v>
      </c>
      <c r="E676" s="189">
        <v>3</v>
      </c>
      <c r="F676" s="203">
        <v>1.2</v>
      </c>
      <c r="G676" s="203"/>
      <c r="H676" s="203">
        <v>0.6</v>
      </c>
      <c r="I676" s="203">
        <f t="shared" si="52"/>
        <v>-2.16</v>
      </c>
      <c r="J676" s="191"/>
    </row>
    <row r="677" spans="1:10" ht="24.75" customHeight="1">
      <c r="A677" s="192"/>
      <c r="B677" s="202" t="s">
        <v>679</v>
      </c>
      <c r="C677" s="189">
        <v>-1</v>
      </c>
      <c r="D677" s="189" t="s">
        <v>461</v>
      </c>
      <c r="E677" s="189">
        <v>1</v>
      </c>
      <c r="F677" s="203">
        <v>1.2</v>
      </c>
      <c r="G677" s="203"/>
      <c r="H677" s="203">
        <v>2.4</v>
      </c>
      <c r="I677" s="203">
        <f t="shared" si="52"/>
        <v>-2.88</v>
      </c>
      <c r="J677" s="191"/>
    </row>
    <row r="678" spans="1:10" ht="24.75" customHeight="1">
      <c r="A678" s="192"/>
      <c r="B678" s="202" t="s">
        <v>653</v>
      </c>
      <c r="C678" s="189">
        <v>-1</v>
      </c>
      <c r="D678" s="189" t="s">
        <v>461</v>
      </c>
      <c r="E678" s="189">
        <v>1</v>
      </c>
      <c r="F678" s="203">
        <v>2.1</v>
      </c>
      <c r="G678" s="203"/>
      <c r="H678" s="203">
        <v>0.6</v>
      </c>
      <c r="I678" s="203">
        <f t="shared" si="52"/>
        <v>-1.26</v>
      </c>
      <c r="J678" s="191"/>
    </row>
    <row r="679" spans="1:10" ht="24.75" customHeight="1">
      <c r="A679" s="192"/>
      <c r="B679" s="202" t="s">
        <v>680</v>
      </c>
      <c r="C679" s="189">
        <v>-1</v>
      </c>
      <c r="D679" s="189" t="s">
        <v>461</v>
      </c>
      <c r="E679" s="189">
        <v>2</v>
      </c>
      <c r="F679" s="203">
        <v>1.8</v>
      </c>
      <c r="G679" s="203"/>
      <c r="H679" s="203">
        <v>2.4</v>
      </c>
      <c r="I679" s="203">
        <f t="shared" si="52"/>
        <v>-8.64</v>
      </c>
      <c r="J679" s="191"/>
    </row>
    <row r="680" spans="1:10" ht="24.75" customHeight="1">
      <c r="A680" s="192"/>
      <c r="B680" s="202" t="s">
        <v>653</v>
      </c>
      <c r="C680" s="189">
        <v>-1</v>
      </c>
      <c r="D680" s="189" t="s">
        <v>461</v>
      </c>
      <c r="E680" s="189">
        <v>2</v>
      </c>
      <c r="F680" s="203">
        <v>1.8</v>
      </c>
      <c r="G680" s="203"/>
      <c r="H680" s="203">
        <v>0.6</v>
      </c>
      <c r="I680" s="203">
        <f t="shared" si="52"/>
        <v>-2.16</v>
      </c>
      <c r="J680" s="191"/>
    </row>
    <row r="681" spans="1:10" ht="24.75" customHeight="1">
      <c r="A681" s="192"/>
      <c r="B681" s="202" t="s">
        <v>681</v>
      </c>
      <c r="C681" s="189">
        <v>-1</v>
      </c>
      <c r="D681" s="189" t="s">
        <v>461</v>
      </c>
      <c r="E681" s="189">
        <v>4</v>
      </c>
      <c r="F681" s="203">
        <v>0.9</v>
      </c>
      <c r="G681" s="203"/>
      <c r="H681" s="203">
        <v>2.4</v>
      </c>
      <c r="I681" s="203">
        <f t="shared" si="52"/>
        <v>-8.64</v>
      </c>
      <c r="J681" s="191"/>
    </row>
    <row r="682" spans="1:10" ht="24.75" customHeight="1">
      <c r="A682" s="192"/>
      <c r="B682" s="202" t="s">
        <v>678</v>
      </c>
      <c r="C682" s="189">
        <v>-1</v>
      </c>
      <c r="D682" s="189" t="s">
        <v>461</v>
      </c>
      <c r="E682" s="189">
        <v>7</v>
      </c>
      <c r="F682" s="203">
        <v>1.2</v>
      </c>
      <c r="G682" s="203"/>
      <c r="H682" s="203">
        <v>2.4</v>
      </c>
      <c r="I682" s="203">
        <f t="shared" si="52"/>
        <v>-20.16</v>
      </c>
      <c r="J682" s="191"/>
    </row>
    <row r="683" spans="1:10" ht="24.75" customHeight="1">
      <c r="A683" s="192"/>
      <c r="B683" s="202" t="s">
        <v>653</v>
      </c>
      <c r="C683" s="189">
        <v>-1</v>
      </c>
      <c r="D683" s="189" t="s">
        <v>461</v>
      </c>
      <c r="E683" s="189">
        <v>7</v>
      </c>
      <c r="F683" s="203">
        <v>1.2</v>
      </c>
      <c r="G683" s="203"/>
      <c r="H683" s="203">
        <v>0.6</v>
      </c>
      <c r="I683" s="203">
        <f t="shared" si="52"/>
        <v>-5.04</v>
      </c>
      <c r="J683" s="191"/>
    </row>
    <row r="684" spans="1:10" ht="24.75" customHeight="1">
      <c r="A684" s="192"/>
      <c r="B684" s="202" t="s">
        <v>652</v>
      </c>
      <c r="C684" s="189">
        <v>-1</v>
      </c>
      <c r="D684" s="189" t="s">
        <v>461</v>
      </c>
      <c r="E684" s="189">
        <v>2</v>
      </c>
      <c r="F684" s="203">
        <v>0.75</v>
      </c>
      <c r="G684" s="203"/>
      <c r="H684" s="203">
        <v>2.4</v>
      </c>
      <c r="I684" s="203">
        <f t="shared" si="52"/>
        <v>-3.6</v>
      </c>
      <c r="J684" s="191"/>
    </row>
    <row r="685" spans="1:10" ht="24.75" customHeight="1">
      <c r="A685" s="192"/>
      <c r="B685" s="202" t="s">
        <v>682</v>
      </c>
      <c r="C685" s="189">
        <v>-2</v>
      </c>
      <c r="D685" s="189" t="s">
        <v>461</v>
      </c>
      <c r="E685" s="189">
        <v>6</v>
      </c>
      <c r="F685" s="203">
        <v>0.75</v>
      </c>
      <c r="G685" s="203"/>
      <c r="H685" s="203">
        <v>2.1</v>
      </c>
      <c r="I685" s="203">
        <f t="shared" si="52"/>
        <v>-18.899999999999999</v>
      </c>
      <c r="J685" s="191"/>
    </row>
    <row r="686" spans="1:10" ht="24.75" customHeight="1">
      <c r="A686" s="192"/>
      <c r="B686" s="202" t="s">
        <v>654</v>
      </c>
      <c r="C686" s="189">
        <v>-1</v>
      </c>
      <c r="D686" s="189" t="s">
        <v>461</v>
      </c>
      <c r="E686" s="189">
        <v>2</v>
      </c>
      <c r="F686" s="203">
        <v>1.8</v>
      </c>
      <c r="G686" s="203"/>
      <c r="H686" s="203">
        <v>1.65</v>
      </c>
      <c r="I686" s="203">
        <f t="shared" si="52"/>
        <v>-5.94</v>
      </c>
      <c r="J686" s="191"/>
    </row>
    <row r="687" spans="1:10" ht="24.75" customHeight="1">
      <c r="A687" s="192"/>
      <c r="B687" s="202" t="s">
        <v>655</v>
      </c>
      <c r="C687" s="189">
        <v>-1</v>
      </c>
      <c r="D687" s="189" t="s">
        <v>461</v>
      </c>
      <c r="E687" s="189">
        <v>13</v>
      </c>
      <c r="F687" s="203">
        <v>1.5</v>
      </c>
      <c r="G687" s="203"/>
      <c r="H687" s="203">
        <v>1.65</v>
      </c>
      <c r="I687" s="203">
        <f t="shared" si="52"/>
        <v>-32.18</v>
      </c>
      <c r="J687" s="191"/>
    </row>
    <row r="688" spans="1:10" ht="24.75" customHeight="1">
      <c r="A688" s="192"/>
      <c r="B688" s="202" t="s">
        <v>683</v>
      </c>
      <c r="C688" s="189">
        <v>-1</v>
      </c>
      <c r="D688" s="189" t="s">
        <v>461</v>
      </c>
      <c r="E688" s="189">
        <v>1</v>
      </c>
      <c r="F688" s="203">
        <v>1.35</v>
      </c>
      <c r="G688" s="203"/>
      <c r="H688" s="203">
        <v>1.65</v>
      </c>
      <c r="I688" s="203">
        <f t="shared" si="52"/>
        <v>-2.23</v>
      </c>
      <c r="J688" s="191"/>
    </row>
    <row r="689" spans="1:10" ht="24.75" customHeight="1">
      <c r="A689" s="192"/>
      <c r="B689" s="202" t="s">
        <v>656</v>
      </c>
      <c r="C689" s="189">
        <v>-1</v>
      </c>
      <c r="D689" s="189" t="s">
        <v>461</v>
      </c>
      <c r="E689" s="189">
        <v>10</v>
      </c>
      <c r="F689" s="203">
        <v>0.9</v>
      </c>
      <c r="G689" s="203"/>
      <c r="H689" s="203">
        <v>1.65</v>
      </c>
      <c r="I689" s="203">
        <f t="shared" si="52"/>
        <v>-14.85</v>
      </c>
      <c r="J689" s="191"/>
    </row>
    <row r="690" spans="1:10" ht="24.75" customHeight="1">
      <c r="A690" s="192"/>
      <c r="B690" s="202" t="s">
        <v>657</v>
      </c>
      <c r="C690" s="189">
        <v>-1</v>
      </c>
      <c r="D690" s="189" t="s">
        <v>461</v>
      </c>
      <c r="E690" s="189">
        <v>4</v>
      </c>
      <c r="F690" s="203">
        <v>1.2</v>
      </c>
      <c r="G690" s="203"/>
      <c r="H690" s="203">
        <v>1.65</v>
      </c>
      <c r="I690" s="203">
        <f t="shared" si="52"/>
        <v>-7.92</v>
      </c>
      <c r="J690" s="191"/>
    </row>
    <row r="691" spans="1:10" ht="24.75" customHeight="1">
      <c r="A691" s="192"/>
      <c r="B691" s="202" t="s">
        <v>684</v>
      </c>
      <c r="C691" s="189">
        <v>-1</v>
      </c>
      <c r="D691" s="189" t="s">
        <v>461</v>
      </c>
      <c r="E691" s="189">
        <v>2</v>
      </c>
      <c r="F691" s="203">
        <v>1.2</v>
      </c>
      <c r="G691" s="203"/>
      <c r="H691" s="203">
        <v>1.65</v>
      </c>
      <c r="I691" s="203">
        <f t="shared" si="52"/>
        <v>-3.96</v>
      </c>
      <c r="J691" s="191"/>
    </row>
    <row r="692" spans="1:10" ht="24.75" customHeight="1">
      <c r="A692" s="192"/>
      <c r="B692" s="202" t="s">
        <v>685</v>
      </c>
      <c r="C692" s="189">
        <v>-1</v>
      </c>
      <c r="D692" s="189" t="s">
        <v>461</v>
      </c>
      <c r="E692" s="189">
        <v>2</v>
      </c>
      <c r="F692" s="203">
        <v>1.5</v>
      </c>
      <c r="G692" s="203"/>
      <c r="H692" s="203">
        <v>1.65</v>
      </c>
      <c r="I692" s="203">
        <f t="shared" si="52"/>
        <v>-4.95</v>
      </c>
      <c r="J692" s="191"/>
    </row>
    <row r="693" spans="1:10" ht="24.75" customHeight="1">
      <c r="A693" s="192"/>
      <c r="B693" s="202" t="s">
        <v>686</v>
      </c>
      <c r="C693" s="189">
        <v>-1</v>
      </c>
      <c r="D693" s="189" t="s">
        <v>461</v>
      </c>
      <c r="E693" s="189">
        <v>4</v>
      </c>
      <c r="F693" s="203">
        <v>1.05</v>
      </c>
      <c r="G693" s="203"/>
      <c r="H693" s="203">
        <v>1.65</v>
      </c>
      <c r="I693" s="203">
        <f t="shared" si="52"/>
        <v>-6.93</v>
      </c>
      <c r="J693" s="191"/>
    </row>
    <row r="694" spans="1:10" ht="24.75" customHeight="1">
      <c r="A694" s="192"/>
      <c r="B694" s="202" t="s">
        <v>687</v>
      </c>
      <c r="C694" s="189">
        <v>-1</v>
      </c>
      <c r="D694" s="189" t="s">
        <v>461</v>
      </c>
      <c r="E694" s="189">
        <v>21</v>
      </c>
      <c r="F694" s="203">
        <v>0.9</v>
      </c>
      <c r="G694" s="203"/>
      <c r="H694" s="203">
        <v>0.9</v>
      </c>
      <c r="I694" s="203">
        <f t="shared" si="52"/>
        <v>-17.010000000000002</v>
      </c>
      <c r="J694" s="191"/>
    </row>
    <row r="695" spans="1:10" ht="24.95" customHeight="1">
      <c r="A695" s="192"/>
      <c r="B695" s="188" t="s">
        <v>688</v>
      </c>
      <c r="C695" s="189"/>
      <c r="D695" s="189"/>
      <c r="E695" s="189"/>
      <c r="F695" s="190"/>
      <c r="G695" s="190"/>
      <c r="H695" s="190"/>
      <c r="I695" s="190"/>
      <c r="J695" s="191"/>
    </row>
    <row r="696" spans="1:10" ht="24.95" customHeight="1">
      <c r="A696" s="192"/>
      <c r="B696" s="202" t="s">
        <v>677</v>
      </c>
      <c r="C696" s="189">
        <v>1</v>
      </c>
      <c r="D696" s="189" t="s">
        <v>461</v>
      </c>
      <c r="E696" s="189">
        <v>1</v>
      </c>
      <c r="F696" s="203">
        <v>5.7</v>
      </c>
      <c r="G696" s="203"/>
      <c r="H696" s="203">
        <v>0.18</v>
      </c>
      <c r="I696" s="203">
        <f t="shared" ref="I696:I723" si="53">PRODUCT(C696:H696)</f>
        <v>1.03</v>
      </c>
      <c r="J696" s="191"/>
    </row>
    <row r="697" spans="1:10" ht="24.95" customHeight="1">
      <c r="A697" s="192"/>
      <c r="B697" s="202" t="s">
        <v>652</v>
      </c>
      <c r="C697" s="189">
        <v>1</v>
      </c>
      <c r="D697" s="189" t="s">
        <v>461</v>
      </c>
      <c r="E697" s="189">
        <v>2</v>
      </c>
      <c r="F697" s="203">
        <v>6.4</v>
      </c>
      <c r="G697" s="203"/>
      <c r="H697" s="203">
        <v>0.18</v>
      </c>
      <c r="I697" s="203">
        <f t="shared" si="53"/>
        <v>2.2999999999999998</v>
      </c>
      <c r="J697" s="191"/>
    </row>
    <row r="698" spans="1:10" ht="24.95" customHeight="1">
      <c r="A698" s="192"/>
      <c r="B698" s="202" t="s">
        <v>653</v>
      </c>
      <c r="C698" s="189">
        <v>1</v>
      </c>
      <c r="D698" s="189" t="s">
        <v>461</v>
      </c>
      <c r="E698" s="189">
        <v>2</v>
      </c>
      <c r="F698" s="203">
        <v>2.16</v>
      </c>
      <c r="G698" s="203"/>
      <c r="H698" s="203">
        <v>0.18</v>
      </c>
      <c r="I698" s="203">
        <f t="shared" si="53"/>
        <v>0.78</v>
      </c>
      <c r="J698" s="191"/>
    </row>
    <row r="699" spans="1:10" ht="24.95" customHeight="1">
      <c r="A699" s="192"/>
      <c r="B699" s="202" t="s">
        <v>678</v>
      </c>
      <c r="C699" s="189">
        <v>1</v>
      </c>
      <c r="D699" s="189" t="s">
        <v>461</v>
      </c>
      <c r="E699" s="189">
        <v>2</v>
      </c>
      <c r="F699" s="203">
        <v>6.3</v>
      </c>
      <c r="G699" s="203"/>
      <c r="H699" s="203">
        <v>0.18</v>
      </c>
      <c r="I699" s="203">
        <f t="shared" si="53"/>
        <v>2.27</v>
      </c>
      <c r="J699" s="191"/>
    </row>
    <row r="700" spans="1:10" ht="24.95" customHeight="1">
      <c r="A700" s="192"/>
      <c r="B700" s="202" t="s">
        <v>444</v>
      </c>
      <c r="C700" s="189">
        <v>1</v>
      </c>
      <c r="D700" s="189" t="s">
        <v>461</v>
      </c>
      <c r="E700" s="189">
        <v>1</v>
      </c>
      <c r="F700" s="203">
        <v>6.8</v>
      </c>
      <c r="G700" s="203"/>
      <c r="H700" s="203">
        <v>0.18</v>
      </c>
      <c r="I700" s="203">
        <f t="shared" si="53"/>
        <v>1.22</v>
      </c>
      <c r="J700" s="191"/>
    </row>
    <row r="701" spans="1:10" ht="24.95" customHeight="1">
      <c r="A701" s="192"/>
      <c r="B701" s="202" t="s">
        <v>653</v>
      </c>
      <c r="C701" s="189">
        <v>1</v>
      </c>
      <c r="D701" s="189" t="s">
        <v>461</v>
      </c>
      <c r="E701" s="189">
        <v>2</v>
      </c>
      <c r="F701" s="203">
        <v>3.6</v>
      </c>
      <c r="G701" s="203"/>
      <c r="H701" s="203">
        <v>0.18</v>
      </c>
      <c r="I701" s="203">
        <f t="shared" si="53"/>
        <v>1.3</v>
      </c>
      <c r="J701" s="191"/>
    </row>
    <row r="702" spans="1:10" ht="24.95" customHeight="1">
      <c r="A702" s="192"/>
      <c r="B702" s="202" t="s">
        <v>653</v>
      </c>
      <c r="C702" s="189">
        <v>1</v>
      </c>
      <c r="D702" s="189" t="s">
        <v>461</v>
      </c>
      <c r="E702" s="189">
        <v>1</v>
      </c>
      <c r="F702" s="203">
        <v>4.8</v>
      </c>
      <c r="G702" s="203"/>
      <c r="H702" s="203">
        <v>0.18</v>
      </c>
      <c r="I702" s="203">
        <f t="shared" si="53"/>
        <v>0.86</v>
      </c>
      <c r="J702" s="191"/>
    </row>
    <row r="703" spans="1:10" ht="24.95" customHeight="1">
      <c r="A703" s="192"/>
      <c r="B703" s="202" t="s">
        <v>651</v>
      </c>
      <c r="C703" s="189">
        <v>1</v>
      </c>
      <c r="D703" s="189" t="s">
        <v>461</v>
      </c>
      <c r="E703" s="189">
        <v>3</v>
      </c>
      <c r="F703" s="203">
        <v>7.2</v>
      </c>
      <c r="G703" s="203"/>
      <c r="H703" s="203">
        <v>0.18</v>
      </c>
      <c r="I703" s="203">
        <f t="shared" si="53"/>
        <v>3.89</v>
      </c>
      <c r="J703" s="191"/>
    </row>
    <row r="704" spans="1:10" ht="24.95" customHeight="1">
      <c r="A704" s="192"/>
      <c r="B704" s="202" t="s">
        <v>653</v>
      </c>
      <c r="C704" s="189">
        <v>1</v>
      </c>
      <c r="D704" s="189" t="s">
        <v>461</v>
      </c>
      <c r="E704" s="189">
        <v>3</v>
      </c>
      <c r="F704" s="203">
        <v>3.6</v>
      </c>
      <c r="G704" s="203"/>
      <c r="H704" s="203">
        <v>0.18</v>
      </c>
      <c r="I704" s="203">
        <f t="shared" si="53"/>
        <v>1.94</v>
      </c>
      <c r="J704" s="191"/>
    </row>
    <row r="705" spans="1:10" ht="24.95" customHeight="1">
      <c r="A705" s="192"/>
      <c r="B705" s="202" t="s">
        <v>679</v>
      </c>
      <c r="C705" s="189">
        <v>1</v>
      </c>
      <c r="D705" s="189" t="s">
        <v>461</v>
      </c>
      <c r="E705" s="189">
        <v>1</v>
      </c>
      <c r="F705" s="203">
        <v>7.2</v>
      </c>
      <c r="G705" s="203"/>
      <c r="H705" s="203">
        <v>0.18</v>
      </c>
      <c r="I705" s="203">
        <f t="shared" si="53"/>
        <v>1.3</v>
      </c>
      <c r="J705" s="191"/>
    </row>
    <row r="706" spans="1:10" ht="24.95" customHeight="1">
      <c r="A706" s="192"/>
      <c r="B706" s="202" t="s">
        <v>653</v>
      </c>
      <c r="C706" s="189">
        <v>1</v>
      </c>
      <c r="D706" s="189" t="s">
        <v>461</v>
      </c>
      <c r="E706" s="189">
        <v>1</v>
      </c>
      <c r="F706" s="203">
        <v>5.4</v>
      </c>
      <c r="G706" s="203"/>
      <c r="H706" s="203">
        <v>0.18</v>
      </c>
      <c r="I706" s="203">
        <f t="shared" si="53"/>
        <v>0.97</v>
      </c>
      <c r="J706" s="191"/>
    </row>
    <row r="707" spans="1:10" ht="24.95" customHeight="1">
      <c r="A707" s="192"/>
      <c r="B707" s="202" t="s">
        <v>680</v>
      </c>
      <c r="C707" s="189">
        <v>1</v>
      </c>
      <c r="D707" s="189" t="s">
        <v>461</v>
      </c>
      <c r="E707" s="189">
        <v>2</v>
      </c>
      <c r="F707" s="203">
        <v>8.4</v>
      </c>
      <c r="G707" s="203"/>
      <c r="H707" s="203">
        <v>0.18</v>
      </c>
      <c r="I707" s="203">
        <f t="shared" si="53"/>
        <v>3.02</v>
      </c>
      <c r="J707" s="191"/>
    </row>
    <row r="708" spans="1:10" ht="24.95" customHeight="1">
      <c r="A708" s="192"/>
      <c r="B708" s="202" t="s">
        <v>653</v>
      </c>
      <c r="C708" s="189">
        <v>1</v>
      </c>
      <c r="D708" s="189" t="s">
        <v>461</v>
      </c>
      <c r="E708" s="189">
        <v>2</v>
      </c>
      <c r="F708" s="203">
        <v>4.8</v>
      </c>
      <c r="G708" s="203"/>
      <c r="H708" s="203">
        <v>0.18</v>
      </c>
      <c r="I708" s="203">
        <f t="shared" si="53"/>
        <v>1.73</v>
      </c>
      <c r="J708" s="191"/>
    </row>
    <row r="709" spans="1:10" ht="24.95" customHeight="1">
      <c r="A709" s="192"/>
      <c r="B709" s="202" t="s">
        <v>681</v>
      </c>
      <c r="C709" s="189">
        <v>1</v>
      </c>
      <c r="D709" s="189" t="s">
        <v>461</v>
      </c>
      <c r="E709" s="189">
        <v>4</v>
      </c>
      <c r="F709" s="203">
        <v>6.6</v>
      </c>
      <c r="G709" s="203"/>
      <c r="H709" s="203">
        <v>0.18</v>
      </c>
      <c r="I709" s="203">
        <f t="shared" si="53"/>
        <v>4.75</v>
      </c>
      <c r="J709" s="191"/>
    </row>
    <row r="710" spans="1:10" ht="24.95" customHeight="1">
      <c r="A710" s="192"/>
      <c r="B710" s="202" t="s">
        <v>678</v>
      </c>
      <c r="C710" s="189">
        <v>1</v>
      </c>
      <c r="D710" s="189" t="s">
        <v>461</v>
      </c>
      <c r="E710" s="189">
        <v>7</v>
      </c>
      <c r="F710" s="203">
        <v>7.2</v>
      </c>
      <c r="G710" s="203"/>
      <c r="H710" s="203">
        <v>0.18</v>
      </c>
      <c r="I710" s="203">
        <f t="shared" si="53"/>
        <v>9.07</v>
      </c>
      <c r="J710" s="191"/>
    </row>
    <row r="711" spans="1:10" ht="24.95" customHeight="1">
      <c r="A711" s="192"/>
      <c r="B711" s="202" t="s">
        <v>653</v>
      </c>
      <c r="C711" s="189">
        <v>1</v>
      </c>
      <c r="D711" s="189" t="s">
        <v>461</v>
      </c>
      <c r="E711" s="189">
        <v>7</v>
      </c>
      <c r="F711" s="203">
        <v>3.6</v>
      </c>
      <c r="G711" s="203"/>
      <c r="H711" s="203">
        <v>0.18</v>
      </c>
      <c r="I711" s="203">
        <f t="shared" si="53"/>
        <v>4.54</v>
      </c>
      <c r="J711" s="191"/>
    </row>
    <row r="712" spans="1:10" ht="24.95" customHeight="1">
      <c r="A712" s="192"/>
      <c r="B712" s="202" t="s">
        <v>652</v>
      </c>
      <c r="C712" s="189">
        <v>1</v>
      </c>
      <c r="D712" s="189" t="s">
        <v>461</v>
      </c>
      <c r="E712" s="189">
        <v>2</v>
      </c>
      <c r="F712" s="203">
        <v>6.3</v>
      </c>
      <c r="G712" s="203"/>
      <c r="H712" s="203">
        <v>0.18</v>
      </c>
      <c r="I712" s="203">
        <f t="shared" si="53"/>
        <v>2.27</v>
      </c>
      <c r="J712" s="191"/>
    </row>
    <row r="713" spans="1:10" ht="24.95" customHeight="1">
      <c r="A713" s="192"/>
      <c r="B713" s="202" t="s">
        <v>682</v>
      </c>
      <c r="C713" s="189">
        <v>2</v>
      </c>
      <c r="D713" s="189" t="s">
        <v>461</v>
      </c>
      <c r="E713" s="189">
        <v>6</v>
      </c>
      <c r="F713" s="203">
        <v>5.7</v>
      </c>
      <c r="G713" s="203"/>
      <c r="H713" s="203">
        <v>0.18</v>
      </c>
      <c r="I713" s="203">
        <f t="shared" si="53"/>
        <v>12.31</v>
      </c>
      <c r="J713" s="191"/>
    </row>
    <row r="714" spans="1:10" ht="24.95" customHeight="1">
      <c r="A714" s="192"/>
      <c r="B714" s="202" t="s">
        <v>654</v>
      </c>
      <c r="C714" s="189">
        <v>1</v>
      </c>
      <c r="D714" s="189" t="s">
        <v>461</v>
      </c>
      <c r="E714" s="189">
        <v>2</v>
      </c>
      <c r="F714" s="203">
        <v>6.9</v>
      </c>
      <c r="G714" s="203"/>
      <c r="H714" s="203">
        <v>0.18</v>
      </c>
      <c r="I714" s="203">
        <f t="shared" si="53"/>
        <v>2.48</v>
      </c>
      <c r="J714" s="191"/>
    </row>
    <row r="715" spans="1:10" ht="24.95" customHeight="1">
      <c r="A715" s="192"/>
      <c r="B715" s="202" t="s">
        <v>655</v>
      </c>
      <c r="C715" s="189">
        <v>1</v>
      </c>
      <c r="D715" s="189" t="s">
        <v>461</v>
      </c>
      <c r="E715" s="189">
        <v>13</v>
      </c>
      <c r="F715" s="203">
        <v>6.3</v>
      </c>
      <c r="G715" s="203"/>
      <c r="H715" s="203">
        <v>0.18</v>
      </c>
      <c r="I715" s="203">
        <f t="shared" si="53"/>
        <v>14.74</v>
      </c>
      <c r="J715" s="191"/>
    </row>
    <row r="716" spans="1:10" ht="24.95" customHeight="1">
      <c r="A716" s="192"/>
      <c r="B716" s="202" t="s">
        <v>683</v>
      </c>
      <c r="C716" s="189">
        <v>1</v>
      </c>
      <c r="D716" s="189" t="s">
        <v>461</v>
      </c>
      <c r="E716" s="189">
        <v>1</v>
      </c>
      <c r="F716" s="203">
        <v>6</v>
      </c>
      <c r="G716" s="203"/>
      <c r="H716" s="203">
        <v>0.18</v>
      </c>
      <c r="I716" s="203">
        <f t="shared" si="53"/>
        <v>1.08</v>
      </c>
      <c r="J716" s="191"/>
    </row>
    <row r="717" spans="1:10" ht="24.95" customHeight="1">
      <c r="A717" s="192"/>
      <c r="B717" s="202" t="s">
        <v>656</v>
      </c>
      <c r="C717" s="189">
        <v>1</v>
      </c>
      <c r="D717" s="189" t="s">
        <v>461</v>
      </c>
      <c r="E717" s="189">
        <v>10</v>
      </c>
      <c r="F717" s="203">
        <v>5.0999999999999996</v>
      </c>
      <c r="G717" s="203"/>
      <c r="H717" s="203">
        <v>0.18</v>
      </c>
      <c r="I717" s="203">
        <f t="shared" si="53"/>
        <v>9.18</v>
      </c>
      <c r="J717" s="191"/>
    </row>
    <row r="718" spans="1:10" ht="24.95" customHeight="1">
      <c r="A718" s="192"/>
      <c r="B718" s="202" t="s">
        <v>657</v>
      </c>
      <c r="C718" s="189">
        <v>1</v>
      </c>
      <c r="D718" s="189" t="s">
        <v>461</v>
      </c>
      <c r="E718" s="189">
        <v>4</v>
      </c>
      <c r="F718" s="203">
        <v>5.7</v>
      </c>
      <c r="G718" s="203"/>
      <c r="H718" s="203">
        <v>0.18</v>
      </c>
      <c r="I718" s="203">
        <f t="shared" si="53"/>
        <v>4.0999999999999996</v>
      </c>
      <c r="J718" s="191"/>
    </row>
    <row r="719" spans="1:10" ht="24.95" customHeight="1">
      <c r="A719" s="192"/>
      <c r="B719" s="202" t="s">
        <v>684</v>
      </c>
      <c r="C719" s="189">
        <v>1</v>
      </c>
      <c r="D719" s="189" t="s">
        <v>461</v>
      </c>
      <c r="E719" s="189">
        <v>2</v>
      </c>
      <c r="F719" s="203">
        <v>5.7</v>
      </c>
      <c r="G719" s="203"/>
      <c r="H719" s="203">
        <v>0.18</v>
      </c>
      <c r="I719" s="203">
        <f t="shared" si="53"/>
        <v>2.0499999999999998</v>
      </c>
      <c r="J719" s="191"/>
    </row>
    <row r="720" spans="1:10" ht="24.95" customHeight="1">
      <c r="A720" s="192"/>
      <c r="B720" s="202" t="s">
        <v>685</v>
      </c>
      <c r="C720" s="189">
        <v>1</v>
      </c>
      <c r="D720" s="189" t="s">
        <v>461</v>
      </c>
      <c r="E720" s="189">
        <v>2</v>
      </c>
      <c r="F720" s="203">
        <v>6.3</v>
      </c>
      <c r="G720" s="203"/>
      <c r="H720" s="203">
        <v>0.18</v>
      </c>
      <c r="I720" s="203">
        <f t="shared" si="53"/>
        <v>2.27</v>
      </c>
      <c r="J720" s="191"/>
    </row>
    <row r="721" spans="1:11" ht="24.95" customHeight="1">
      <c r="A721" s="192"/>
      <c r="B721" s="202" t="s">
        <v>686</v>
      </c>
      <c r="C721" s="189">
        <v>1</v>
      </c>
      <c r="D721" s="189" t="s">
        <v>461</v>
      </c>
      <c r="E721" s="189">
        <v>4</v>
      </c>
      <c r="F721" s="203">
        <v>5.4</v>
      </c>
      <c r="G721" s="203"/>
      <c r="H721" s="203">
        <v>0.18</v>
      </c>
      <c r="I721" s="203">
        <f t="shared" si="53"/>
        <v>3.89</v>
      </c>
      <c r="J721" s="191"/>
    </row>
    <row r="722" spans="1:11" ht="24.95" customHeight="1">
      <c r="A722" s="192"/>
      <c r="B722" s="202" t="s">
        <v>687</v>
      </c>
      <c r="C722" s="189">
        <v>1</v>
      </c>
      <c r="D722" s="189" t="s">
        <v>461</v>
      </c>
      <c r="E722" s="189">
        <v>21</v>
      </c>
      <c r="F722" s="203">
        <v>3.6</v>
      </c>
      <c r="G722" s="203"/>
      <c r="H722" s="203">
        <v>0.18</v>
      </c>
      <c r="I722" s="203">
        <f t="shared" si="53"/>
        <v>13.61</v>
      </c>
      <c r="J722" s="191"/>
    </row>
    <row r="723" spans="1:11" ht="24.75" customHeight="1">
      <c r="A723" s="192"/>
      <c r="B723" s="202" t="s">
        <v>662</v>
      </c>
      <c r="C723" s="189">
        <v>1</v>
      </c>
      <c r="D723" s="189" t="s">
        <v>461</v>
      </c>
      <c r="E723" s="189">
        <v>1</v>
      </c>
      <c r="F723" s="203">
        <v>16.2</v>
      </c>
      <c r="G723" s="203"/>
      <c r="H723" s="203">
        <v>6.75</v>
      </c>
      <c r="I723" s="203">
        <f t="shared" si="53"/>
        <v>109.35</v>
      </c>
      <c r="J723" s="191"/>
    </row>
    <row r="724" spans="1:11" ht="24.95" customHeight="1">
      <c r="A724" s="192"/>
      <c r="B724" s="202"/>
      <c r="C724" s="189"/>
      <c r="D724" s="189"/>
      <c r="E724" s="189"/>
      <c r="F724" s="203"/>
      <c r="G724" s="203"/>
      <c r="H724" s="203"/>
      <c r="I724" s="203">
        <f>SUM(I622:I723)</f>
        <v>1878.95</v>
      </c>
      <c r="J724" s="191"/>
      <c r="K724" s="185">
        <v>0.01</v>
      </c>
    </row>
    <row r="725" spans="1:11" ht="24.95" customHeight="1">
      <c r="A725" s="192"/>
      <c r="B725" s="202"/>
      <c r="C725" s="189"/>
      <c r="D725" s="189"/>
      <c r="E725" s="189"/>
      <c r="F725" s="203"/>
      <c r="G725" s="203"/>
      <c r="H725" s="204" t="s">
        <v>261</v>
      </c>
      <c r="I725" s="204">
        <f>ROUNDUP(I724,1-0)</f>
        <v>1879</v>
      </c>
      <c r="J725" s="201" t="s">
        <v>123</v>
      </c>
    </row>
    <row r="726" spans="1:11" ht="24.95" customHeight="1">
      <c r="A726" s="192"/>
      <c r="B726" s="202"/>
      <c r="C726" s="189"/>
      <c r="D726" s="189"/>
      <c r="E726" s="189"/>
      <c r="F726" s="203"/>
      <c r="G726" s="203"/>
      <c r="H726" s="203"/>
      <c r="I726" s="203"/>
      <c r="J726" s="191"/>
    </row>
    <row r="727" spans="1:11" ht="24.95" customHeight="1">
      <c r="A727" s="192"/>
      <c r="B727" s="188" t="s">
        <v>663</v>
      </c>
      <c r="C727" s="189"/>
      <c r="D727" s="189"/>
      <c r="E727" s="189"/>
      <c r="F727" s="203"/>
      <c r="G727" s="203"/>
      <c r="H727" s="203"/>
      <c r="I727" s="203">
        <f>I725</f>
        <v>1879</v>
      </c>
      <c r="J727" s="191"/>
    </row>
    <row r="728" spans="1:11" ht="24.95" customHeight="1">
      <c r="A728" s="192"/>
      <c r="B728" s="188" t="s">
        <v>689</v>
      </c>
      <c r="C728" s="189"/>
      <c r="D728" s="189"/>
      <c r="E728" s="189"/>
      <c r="F728" s="203"/>
      <c r="G728" s="203"/>
      <c r="H728" s="203"/>
      <c r="I728" s="203">
        <f>I619</f>
        <v>1147</v>
      </c>
      <c r="J728" s="191"/>
    </row>
    <row r="729" spans="1:11" ht="24.95" customHeight="1">
      <c r="A729" s="192"/>
      <c r="B729" s="188" t="s">
        <v>119</v>
      </c>
      <c r="C729" s="189"/>
      <c r="D729" s="189"/>
      <c r="E729" s="189"/>
      <c r="F729" s="203"/>
      <c r="G729" s="203"/>
      <c r="H729" s="203"/>
      <c r="I729" s="204">
        <f>SUM(I727:I728)</f>
        <v>3026</v>
      </c>
      <c r="J729" s="201" t="s">
        <v>10</v>
      </c>
    </row>
    <row r="730" spans="1:11" ht="24.95" customHeight="1">
      <c r="A730" s="192"/>
      <c r="B730" s="188"/>
      <c r="C730" s="189"/>
      <c r="D730" s="189"/>
      <c r="E730" s="189"/>
      <c r="F730" s="203"/>
      <c r="G730" s="203"/>
      <c r="H730" s="203"/>
      <c r="I730" s="204"/>
      <c r="J730" s="191"/>
    </row>
    <row r="731" spans="1:11" ht="24.95" customHeight="1">
      <c r="A731" s="213">
        <v>34</v>
      </c>
      <c r="B731" s="188" t="s">
        <v>690</v>
      </c>
      <c r="C731" s="189"/>
      <c r="D731" s="189"/>
      <c r="E731" s="189"/>
      <c r="F731" s="190"/>
      <c r="G731" s="190"/>
      <c r="H731" s="190"/>
      <c r="I731" s="190"/>
      <c r="J731" s="201"/>
    </row>
    <row r="732" spans="1:11" ht="24.95" customHeight="1">
      <c r="A732" s="192"/>
      <c r="B732" s="202" t="s">
        <v>691</v>
      </c>
      <c r="C732" s="189">
        <v>1</v>
      </c>
      <c r="D732" s="189"/>
      <c r="E732" s="189">
        <v>1</v>
      </c>
      <c r="F732" s="203">
        <v>11</v>
      </c>
      <c r="G732" s="203"/>
      <c r="H732" s="203">
        <v>1.5</v>
      </c>
      <c r="I732" s="203">
        <f>PRODUCT(C732:H732)</f>
        <v>16.5</v>
      </c>
      <c r="J732" s="191"/>
    </row>
    <row r="733" spans="1:11" ht="24.95" customHeight="1">
      <c r="A733" s="192"/>
      <c r="B733" s="202"/>
      <c r="C733" s="189">
        <v>1</v>
      </c>
      <c r="D733" s="189"/>
      <c r="E733" s="189">
        <v>1</v>
      </c>
      <c r="F733" s="203">
        <v>11.92</v>
      </c>
      <c r="G733" s="203">
        <v>0.2</v>
      </c>
      <c r="H733" s="203"/>
      <c r="I733" s="203">
        <f>PRODUCT(C733:H733)</f>
        <v>2.38</v>
      </c>
      <c r="J733" s="191"/>
    </row>
    <row r="734" spans="1:11" ht="24.95" customHeight="1">
      <c r="A734" s="192"/>
      <c r="B734" s="202" t="s">
        <v>639</v>
      </c>
      <c r="C734" s="189">
        <v>1</v>
      </c>
      <c r="D734" s="189">
        <v>9</v>
      </c>
      <c r="E734" s="189"/>
      <c r="F734" s="203">
        <v>2.4</v>
      </c>
      <c r="G734" s="203">
        <v>1</v>
      </c>
      <c r="H734" s="203"/>
      <c r="I734" s="203">
        <f>PRODUCT(C734:H734)</f>
        <v>21.6</v>
      </c>
      <c r="J734" s="191"/>
    </row>
    <row r="735" spans="1:11" ht="24.95" customHeight="1">
      <c r="A735" s="192"/>
      <c r="B735" s="202"/>
      <c r="C735" s="189"/>
      <c r="D735" s="189"/>
      <c r="E735" s="189"/>
      <c r="F735" s="203"/>
      <c r="G735" s="203"/>
      <c r="H735" s="203"/>
      <c r="I735" s="203">
        <f>SUM(I732:I734)</f>
        <v>40.479999999999997</v>
      </c>
      <c r="J735" s="191"/>
    </row>
    <row r="736" spans="1:11" ht="24.95" customHeight="1">
      <c r="A736" s="192"/>
      <c r="B736" s="202"/>
      <c r="C736" s="189"/>
      <c r="D736" s="189"/>
      <c r="E736" s="189"/>
      <c r="F736" s="203"/>
      <c r="G736" s="203"/>
      <c r="H736" s="204" t="s">
        <v>261</v>
      </c>
      <c r="I736" s="204">
        <f>ROUNDUP(I735,1-0)</f>
        <v>40.5</v>
      </c>
      <c r="J736" s="191" t="s">
        <v>123</v>
      </c>
    </row>
    <row r="737" spans="1:10" ht="24.95" customHeight="1">
      <c r="A737" s="192"/>
      <c r="B737" s="202"/>
      <c r="C737" s="189"/>
      <c r="D737" s="189"/>
      <c r="E737" s="189"/>
      <c r="F737" s="190"/>
      <c r="G737" s="190"/>
      <c r="H737" s="190"/>
      <c r="I737" s="190"/>
      <c r="J737" s="191"/>
    </row>
    <row r="738" spans="1:10" ht="30" customHeight="1">
      <c r="A738" s="192">
        <v>35</v>
      </c>
      <c r="B738" s="188" t="s">
        <v>692</v>
      </c>
      <c r="C738" s="189"/>
      <c r="D738" s="189"/>
      <c r="E738" s="189"/>
      <c r="F738" s="190"/>
      <c r="G738" s="190"/>
      <c r="H738" s="190"/>
      <c r="I738" s="190"/>
      <c r="J738" s="191"/>
    </row>
    <row r="739" spans="1:10" ht="30" customHeight="1">
      <c r="A739" s="192"/>
      <c r="B739" s="188" t="s">
        <v>977</v>
      </c>
      <c r="C739" s="189"/>
      <c r="D739" s="189"/>
      <c r="E739" s="189"/>
      <c r="F739" s="267"/>
      <c r="G739" s="267"/>
      <c r="H739" s="267"/>
      <c r="I739" s="267"/>
      <c r="J739" s="191"/>
    </row>
    <row r="740" spans="1:10" ht="30" customHeight="1">
      <c r="A740" s="192"/>
      <c r="B740" s="202" t="s">
        <v>693</v>
      </c>
      <c r="C740" s="189">
        <v>1</v>
      </c>
      <c r="D740" s="189" t="s">
        <v>461</v>
      </c>
      <c r="E740" s="189">
        <v>1</v>
      </c>
      <c r="F740" s="190">
        <v>4.5</v>
      </c>
      <c r="G740" s="190">
        <v>3.3</v>
      </c>
      <c r="H740" s="190"/>
      <c r="I740" s="190">
        <f t="shared" ref="I740:I789" si="54">G740*F740*E740*C740</f>
        <v>14.85</v>
      </c>
      <c r="J740" s="191"/>
    </row>
    <row r="741" spans="1:10" ht="30" customHeight="1">
      <c r="A741" s="192"/>
      <c r="B741" s="202" t="s">
        <v>694</v>
      </c>
      <c r="C741" s="189">
        <v>1</v>
      </c>
      <c r="D741" s="189" t="s">
        <v>461</v>
      </c>
      <c r="E741" s="189">
        <v>1</v>
      </c>
      <c r="F741" s="190">
        <v>3.3</v>
      </c>
      <c r="G741" s="190">
        <v>3.3</v>
      </c>
      <c r="H741" s="190"/>
      <c r="I741" s="190">
        <f t="shared" si="54"/>
        <v>10.89</v>
      </c>
      <c r="J741" s="191"/>
    </row>
    <row r="742" spans="1:10" ht="30" customHeight="1">
      <c r="A742" s="192"/>
      <c r="B742" s="202" t="s">
        <v>665</v>
      </c>
      <c r="C742" s="189">
        <v>1</v>
      </c>
      <c r="D742" s="189" t="s">
        <v>461</v>
      </c>
      <c r="E742" s="189">
        <v>1</v>
      </c>
      <c r="F742" s="190">
        <v>3.6</v>
      </c>
      <c r="G742" s="190">
        <v>5</v>
      </c>
      <c r="H742" s="190"/>
      <c r="I742" s="190">
        <f t="shared" si="54"/>
        <v>18</v>
      </c>
      <c r="J742" s="191"/>
    </row>
    <row r="743" spans="1:10" ht="30" customHeight="1">
      <c r="A743" s="192"/>
      <c r="B743" s="202" t="s">
        <v>695</v>
      </c>
      <c r="C743" s="189">
        <v>1</v>
      </c>
      <c r="D743" s="189" t="s">
        <v>461</v>
      </c>
      <c r="E743" s="189">
        <v>1</v>
      </c>
      <c r="F743" s="190">
        <v>3.6</v>
      </c>
      <c r="G743" s="190">
        <v>2</v>
      </c>
      <c r="H743" s="190"/>
      <c r="I743" s="190">
        <f t="shared" si="54"/>
        <v>7.2</v>
      </c>
      <c r="J743" s="191"/>
    </row>
    <row r="744" spans="1:10" ht="30" customHeight="1">
      <c r="A744" s="192"/>
      <c r="B744" s="202" t="s">
        <v>696</v>
      </c>
      <c r="C744" s="189">
        <v>1</v>
      </c>
      <c r="D744" s="189" t="s">
        <v>461</v>
      </c>
      <c r="E744" s="189">
        <v>1</v>
      </c>
      <c r="F744" s="190">
        <v>6</v>
      </c>
      <c r="G744" s="190">
        <v>6</v>
      </c>
      <c r="H744" s="190"/>
      <c r="I744" s="190">
        <f t="shared" si="54"/>
        <v>36</v>
      </c>
      <c r="J744" s="191"/>
    </row>
    <row r="745" spans="1:10" ht="30" customHeight="1">
      <c r="A745" s="192"/>
      <c r="B745" s="202" t="s">
        <v>978</v>
      </c>
      <c r="C745" s="189">
        <v>1</v>
      </c>
      <c r="D745" s="189" t="s">
        <v>461</v>
      </c>
      <c r="E745" s="189">
        <v>1</v>
      </c>
      <c r="F745" s="190">
        <v>3.6</v>
      </c>
      <c r="G745" s="190">
        <v>2.75</v>
      </c>
      <c r="H745" s="190"/>
      <c r="I745" s="190">
        <f t="shared" si="54"/>
        <v>9.9</v>
      </c>
      <c r="J745" s="191"/>
    </row>
    <row r="746" spans="1:10" ht="30" customHeight="1">
      <c r="A746" s="192"/>
      <c r="B746" s="202" t="s">
        <v>668</v>
      </c>
      <c r="C746" s="189">
        <v>1</v>
      </c>
      <c r="D746" s="189" t="s">
        <v>461</v>
      </c>
      <c r="E746" s="189">
        <v>1</v>
      </c>
      <c r="F746" s="190">
        <v>1.8</v>
      </c>
      <c r="G746" s="190">
        <v>14.04</v>
      </c>
      <c r="H746" s="190"/>
      <c r="I746" s="190">
        <f t="shared" si="54"/>
        <v>25.27</v>
      </c>
      <c r="J746" s="191"/>
    </row>
    <row r="747" spans="1:10" ht="30" customHeight="1">
      <c r="A747" s="192"/>
      <c r="B747" s="202"/>
      <c r="C747" s="189">
        <v>1</v>
      </c>
      <c r="D747" s="189" t="s">
        <v>461</v>
      </c>
      <c r="E747" s="189">
        <v>1</v>
      </c>
      <c r="F747" s="267">
        <v>5.03</v>
      </c>
      <c r="G747" s="267">
        <v>2</v>
      </c>
      <c r="H747" s="267"/>
      <c r="I747" s="267">
        <f t="shared" si="54"/>
        <v>10.06</v>
      </c>
      <c r="J747" s="191"/>
    </row>
    <row r="748" spans="1:10" ht="30" customHeight="1">
      <c r="A748" s="192"/>
      <c r="B748" s="202" t="s">
        <v>697</v>
      </c>
      <c r="C748" s="189">
        <v>1</v>
      </c>
      <c r="D748" s="189" t="s">
        <v>461</v>
      </c>
      <c r="E748" s="189">
        <v>1</v>
      </c>
      <c r="F748" s="190">
        <v>1.2</v>
      </c>
      <c r="G748" s="190">
        <v>2.1</v>
      </c>
      <c r="H748" s="190"/>
      <c r="I748" s="190">
        <f t="shared" si="54"/>
        <v>2.52</v>
      </c>
      <c r="J748" s="191"/>
    </row>
    <row r="749" spans="1:10" ht="30" customHeight="1">
      <c r="A749" s="192"/>
      <c r="B749" s="202" t="s">
        <v>698</v>
      </c>
      <c r="C749" s="189">
        <v>1</v>
      </c>
      <c r="D749" s="189" t="s">
        <v>461</v>
      </c>
      <c r="E749" s="189">
        <v>1</v>
      </c>
      <c r="F749" s="190">
        <v>6</v>
      </c>
      <c r="G749" s="190">
        <v>8.0299999999999994</v>
      </c>
      <c r="H749" s="190"/>
      <c r="I749" s="190">
        <f t="shared" si="54"/>
        <v>48.18</v>
      </c>
      <c r="J749" s="191"/>
    </row>
    <row r="750" spans="1:10" ht="30" customHeight="1">
      <c r="A750" s="192"/>
      <c r="B750" s="202" t="s">
        <v>699</v>
      </c>
      <c r="C750" s="189">
        <v>1</v>
      </c>
      <c r="D750" s="189" t="s">
        <v>461</v>
      </c>
      <c r="E750" s="189">
        <v>1</v>
      </c>
      <c r="F750" s="245">
        <v>3.7149999999999999</v>
      </c>
      <c r="G750" s="190">
        <v>5.94</v>
      </c>
      <c r="H750" s="190"/>
      <c r="I750" s="190">
        <f t="shared" si="54"/>
        <v>22.07</v>
      </c>
      <c r="J750" s="191"/>
    </row>
    <row r="751" spans="1:10" ht="30" customHeight="1">
      <c r="A751" s="192"/>
      <c r="B751" s="202" t="s">
        <v>635</v>
      </c>
      <c r="C751" s="189">
        <v>1</v>
      </c>
      <c r="D751" s="189" t="s">
        <v>461</v>
      </c>
      <c r="E751" s="189">
        <v>1</v>
      </c>
      <c r="F751" s="190">
        <v>1.65</v>
      </c>
      <c r="G751" s="190">
        <v>2.66</v>
      </c>
      <c r="H751" s="190"/>
      <c r="I751" s="190">
        <f t="shared" si="54"/>
        <v>4.3899999999999997</v>
      </c>
      <c r="J751" s="191"/>
    </row>
    <row r="752" spans="1:10" ht="24.95" customHeight="1">
      <c r="A752" s="192"/>
      <c r="B752" s="202" t="s">
        <v>700</v>
      </c>
      <c r="C752" s="189">
        <v>1</v>
      </c>
      <c r="D752" s="189" t="s">
        <v>461</v>
      </c>
      <c r="E752" s="189">
        <v>1</v>
      </c>
      <c r="F752" s="190">
        <v>3.75</v>
      </c>
      <c r="G752" s="190">
        <v>1.5</v>
      </c>
      <c r="H752" s="190"/>
      <c r="I752" s="190">
        <f t="shared" si="54"/>
        <v>5.63</v>
      </c>
      <c r="J752" s="191"/>
    </row>
    <row r="753" spans="1:10" ht="24.95" customHeight="1">
      <c r="A753" s="192"/>
      <c r="B753" s="202" t="s">
        <v>640</v>
      </c>
      <c r="C753" s="189">
        <v>1</v>
      </c>
      <c r="D753" s="189" t="s">
        <v>461</v>
      </c>
      <c r="E753" s="189">
        <v>1</v>
      </c>
      <c r="F753" s="190">
        <v>3.65</v>
      </c>
      <c r="G753" s="190">
        <v>1.5</v>
      </c>
      <c r="H753" s="190"/>
      <c r="I753" s="190">
        <f t="shared" si="54"/>
        <v>5.48</v>
      </c>
      <c r="J753" s="201"/>
    </row>
    <row r="754" spans="1:10" ht="24.95" customHeight="1">
      <c r="A754" s="192"/>
      <c r="B754" s="202" t="s">
        <v>701</v>
      </c>
      <c r="C754" s="189">
        <v>1</v>
      </c>
      <c r="D754" s="189" t="s">
        <v>461</v>
      </c>
      <c r="E754" s="189">
        <v>1</v>
      </c>
      <c r="F754" s="190">
        <v>3.45</v>
      </c>
      <c r="G754" s="190">
        <v>1.5</v>
      </c>
      <c r="H754" s="190"/>
      <c r="I754" s="190">
        <f t="shared" si="54"/>
        <v>5.18</v>
      </c>
      <c r="J754" s="191"/>
    </row>
    <row r="755" spans="1:10" ht="24.95" customHeight="1">
      <c r="A755" s="192"/>
      <c r="B755" s="202" t="s">
        <v>702</v>
      </c>
      <c r="C755" s="189">
        <v>1</v>
      </c>
      <c r="D755" s="189" t="s">
        <v>461</v>
      </c>
      <c r="E755" s="189">
        <v>1</v>
      </c>
      <c r="F755" s="190">
        <v>3.65</v>
      </c>
      <c r="G755" s="190">
        <v>2</v>
      </c>
      <c r="H755" s="190"/>
      <c r="I755" s="190">
        <f t="shared" si="54"/>
        <v>7.3</v>
      </c>
      <c r="J755" s="191"/>
    </row>
    <row r="756" spans="1:10" ht="24.95" customHeight="1">
      <c r="A756" s="192"/>
      <c r="B756" s="202" t="s">
        <v>703</v>
      </c>
      <c r="C756" s="189">
        <v>1</v>
      </c>
      <c r="D756" s="189" t="s">
        <v>461</v>
      </c>
      <c r="E756" s="189">
        <v>2</v>
      </c>
      <c r="F756" s="190">
        <v>4.5</v>
      </c>
      <c r="G756" s="190">
        <v>0.45</v>
      </c>
      <c r="H756" s="190"/>
      <c r="I756" s="190">
        <f t="shared" si="54"/>
        <v>4.05</v>
      </c>
      <c r="J756" s="191"/>
    </row>
    <row r="757" spans="1:10" ht="24.95" customHeight="1">
      <c r="A757" s="192"/>
      <c r="B757" s="202" t="s">
        <v>704</v>
      </c>
      <c r="C757" s="189">
        <v>1</v>
      </c>
      <c r="D757" s="189" t="s">
        <v>461</v>
      </c>
      <c r="E757" s="189">
        <v>2</v>
      </c>
      <c r="F757" s="190">
        <v>6</v>
      </c>
      <c r="G757" s="190">
        <v>0.6</v>
      </c>
      <c r="H757" s="190"/>
      <c r="I757" s="190">
        <f t="shared" si="54"/>
        <v>7.2</v>
      </c>
      <c r="J757" s="191"/>
    </row>
    <row r="758" spans="1:10" ht="24.95" customHeight="1">
      <c r="A758" s="192"/>
      <c r="B758" s="202" t="s">
        <v>705</v>
      </c>
      <c r="C758" s="189">
        <v>1</v>
      </c>
      <c r="D758" s="189" t="s">
        <v>461</v>
      </c>
      <c r="E758" s="189">
        <v>2</v>
      </c>
      <c r="F758" s="190">
        <v>25.78</v>
      </c>
      <c r="G758" s="190">
        <v>0.6</v>
      </c>
      <c r="H758" s="190"/>
      <c r="I758" s="190">
        <f t="shared" si="54"/>
        <v>30.94</v>
      </c>
      <c r="J758" s="191"/>
    </row>
    <row r="759" spans="1:10" ht="24.95" customHeight="1">
      <c r="A759" s="192"/>
      <c r="B759" s="202" t="s">
        <v>706</v>
      </c>
      <c r="C759" s="189">
        <v>2</v>
      </c>
      <c r="D759" s="189" t="s">
        <v>461</v>
      </c>
      <c r="E759" s="189">
        <v>2</v>
      </c>
      <c r="F759" s="190">
        <v>16.2</v>
      </c>
      <c r="G759" s="190">
        <v>0.6</v>
      </c>
      <c r="H759" s="190"/>
      <c r="I759" s="190">
        <f t="shared" si="54"/>
        <v>38.880000000000003</v>
      </c>
      <c r="J759" s="191"/>
    </row>
    <row r="760" spans="1:10" ht="24.95" customHeight="1">
      <c r="A760" s="192"/>
      <c r="B760" s="188" t="s">
        <v>623</v>
      </c>
      <c r="C760" s="189"/>
      <c r="D760" s="189"/>
      <c r="E760" s="189"/>
      <c r="F760" s="267"/>
      <c r="G760" s="267"/>
      <c r="H760" s="267"/>
      <c r="I760" s="267"/>
      <c r="J760" s="191"/>
    </row>
    <row r="761" spans="1:10" ht="24.95" customHeight="1">
      <c r="A761" s="192"/>
      <c r="B761" s="202" t="s">
        <v>610</v>
      </c>
      <c r="C761" s="189">
        <v>1</v>
      </c>
      <c r="D761" s="189" t="s">
        <v>461</v>
      </c>
      <c r="E761" s="189">
        <v>1</v>
      </c>
      <c r="F761" s="190">
        <v>3.6</v>
      </c>
      <c r="G761" s="190">
        <v>6.17</v>
      </c>
      <c r="H761" s="190"/>
      <c r="I761" s="190">
        <f t="shared" si="54"/>
        <v>22.21</v>
      </c>
      <c r="J761" s="191"/>
    </row>
    <row r="762" spans="1:10" ht="24.95" customHeight="1">
      <c r="A762" s="192"/>
      <c r="B762" s="202" t="s">
        <v>707</v>
      </c>
      <c r="C762" s="189">
        <v>1</v>
      </c>
      <c r="D762" s="189" t="s">
        <v>461</v>
      </c>
      <c r="E762" s="189">
        <v>1</v>
      </c>
      <c r="F762" s="190">
        <v>3.35</v>
      </c>
      <c r="G762" s="190">
        <v>1.2</v>
      </c>
      <c r="H762" s="190"/>
      <c r="I762" s="190">
        <f t="shared" si="54"/>
        <v>4.0199999999999996</v>
      </c>
      <c r="J762" s="191"/>
    </row>
    <row r="763" spans="1:10" ht="24.95" customHeight="1">
      <c r="A763" s="192"/>
      <c r="B763" s="202" t="s">
        <v>708</v>
      </c>
      <c r="C763" s="189">
        <v>1</v>
      </c>
      <c r="D763" s="189" t="s">
        <v>461</v>
      </c>
      <c r="E763" s="189">
        <v>1</v>
      </c>
      <c r="F763" s="190">
        <v>3.6</v>
      </c>
      <c r="G763" s="190">
        <v>2.75</v>
      </c>
      <c r="H763" s="190"/>
      <c r="I763" s="190">
        <f t="shared" si="54"/>
        <v>9.9</v>
      </c>
      <c r="J763" s="191"/>
    </row>
    <row r="764" spans="1:10" ht="24.95" customHeight="1">
      <c r="A764" s="192"/>
      <c r="B764" s="202" t="s">
        <v>673</v>
      </c>
      <c r="C764" s="189">
        <v>1</v>
      </c>
      <c r="D764" s="189" t="s">
        <v>461</v>
      </c>
      <c r="E764" s="189">
        <v>1</v>
      </c>
      <c r="F764" s="190">
        <v>8.0299999999999994</v>
      </c>
      <c r="G764" s="190">
        <v>3.3</v>
      </c>
      <c r="H764" s="190"/>
      <c r="I764" s="190">
        <f t="shared" si="54"/>
        <v>26.5</v>
      </c>
      <c r="J764" s="191"/>
    </row>
    <row r="765" spans="1:10" ht="24.95" customHeight="1">
      <c r="A765" s="192"/>
      <c r="B765" s="202"/>
      <c r="C765" s="189">
        <v>1</v>
      </c>
      <c r="D765" s="189" t="s">
        <v>461</v>
      </c>
      <c r="E765" s="189">
        <v>1</v>
      </c>
      <c r="F765" s="190">
        <v>1.8</v>
      </c>
      <c r="G765" s="190">
        <v>1.1499999999999999</v>
      </c>
      <c r="H765" s="190"/>
      <c r="I765" s="190">
        <f t="shared" si="54"/>
        <v>2.0699999999999998</v>
      </c>
      <c r="J765" s="191"/>
    </row>
    <row r="766" spans="1:10" ht="24.95" customHeight="1">
      <c r="A766" s="192"/>
      <c r="B766" s="202" t="s">
        <v>979</v>
      </c>
      <c r="C766" s="189">
        <v>1</v>
      </c>
      <c r="D766" s="189" t="s">
        <v>461</v>
      </c>
      <c r="E766" s="189">
        <v>1</v>
      </c>
      <c r="F766" s="190">
        <v>12.77</v>
      </c>
      <c r="G766" s="190">
        <v>1.8</v>
      </c>
      <c r="H766" s="190"/>
      <c r="I766" s="190">
        <f t="shared" si="54"/>
        <v>22.99</v>
      </c>
      <c r="J766" s="191"/>
    </row>
    <row r="767" spans="1:10" ht="24.95" customHeight="1">
      <c r="A767" s="192"/>
      <c r="B767" s="202" t="s">
        <v>609</v>
      </c>
      <c r="C767" s="189">
        <v>1</v>
      </c>
      <c r="D767" s="189" t="s">
        <v>461</v>
      </c>
      <c r="E767" s="189">
        <v>1</v>
      </c>
      <c r="F767" s="190">
        <v>6</v>
      </c>
      <c r="G767" s="190">
        <v>6</v>
      </c>
      <c r="H767" s="190"/>
      <c r="I767" s="190">
        <f t="shared" si="54"/>
        <v>36</v>
      </c>
      <c r="J767" s="191"/>
    </row>
    <row r="768" spans="1:10" ht="24.95" customHeight="1">
      <c r="A768" s="192"/>
      <c r="B768" s="202" t="s">
        <v>611</v>
      </c>
      <c r="C768" s="189">
        <v>1</v>
      </c>
      <c r="D768" s="189" t="s">
        <v>461</v>
      </c>
      <c r="E768" s="189">
        <v>1</v>
      </c>
      <c r="F768" s="190">
        <v>6</v>
      </c>
      <c r="G768" s="190">
        <v>10.36</v>
      </c>
      <c r="H768" s="190"/>
      <c r="I768" s="190">
        <f t="shared" si="54"/>
        <v>62.16</v>
      </c>
      <c r="J768" s="191"/>
    </row>
    <row r="769" spans="1:10" ht="24.95" customHeight="1">
      <c r="A769" s="192"/>
      <c r="B769" s="202" t="s">
        <v>699</v>
      </c>
      <c r="C769" s="189">
        <v>1</v>
      </c>
      <c r="D769" s="189" t="s">
        <v>461</v>
      </c>
      <c r="E769" s="189">
        <v>1</v>
      </c>
      <c r="F769" s="245">
        <v>3.7149999999999999</v>
      </c>
      <c r="G769" s="267">
        <v>5.94</v>
      </c>
      <c r="H769" s="267"/>
      <c r="I769" s="267">
        <f t="shared" ref="I769:I770" si="55">G769*F769*E769*C769</f>
        <v>22.07</v>
      </c>
      <c r="J769" s="191"/>
    </row>
    <row r="770" spans="1:10" ht="24.95" customHeight="1">
      <c r="A770" s="192"/>
      <c r="B770" s="202"/>
      <c r="C770" s="189">
        <v>1</v>
      </c>
      <c r="D770" s="189" t="s">
        <v>461</v>
      </c>
      <c r="E770" s="189">
        <v>1</v>
      </c>
      <c r="F770" s="267">
        <v>1.65</v>
      </c>
      <c r="G770" s="267">
        <v>2.66</v>
      </c>
      <c r="H770" s="267"/>
      <c r="I770" s="267">
        <f t="shared" si="55"/>
        <v>4.3899999999999997</v>
      </c>
      <c r="J770" s="191"/>
    </row>
    <row r="771" spans="1:10" ht="24.95" customHeight="1">
      <c r="A771" s="192"/>
      <c r="B771" s="202" t="s">
        <v>709</v>
      </c>
      <c r="C771" s="189">
        <v>1</v>
      </c>
      <c r="D771" s="189" t="s">
        <v>461</v>
      </c>
      <c r="E771" s="189">
        <v>2</v>
      </c>
      <c r="F771" s="190">
        <v>3.35</v>
      </c>
      <c r="G771" s="190">
        <v>0.6</v>
      </c>
      <c r="H771" s="190"/>
      <c r="I771" s="190">
        <f t="shared" si="54"/>
        <v>4.0199999999999996</v>
      </c>
      <c r="J771" s="191"/>
    </row>
    <row r="772" spans="1:10" ht="24.95" customHeight="1">
      <c r="A772" s="192"/>
      <c r="B772" s="202" t="s">
        <v>710</v>
      </c>
      <c r="C772" s="189">
        <v>1</v>
      </c>
      <c r="D772" s="189" t="s">
        <v>461</v>
      </c>
      <c r="E772" s="189">
        <v>2</v>
      </c>
      <c r="F772" s="190">
        <v>6</v>
      </c>
      <c r="G772" s="190">
        <v>0.6</v>
      </c>
      <c r="H772" s="190"/>
      <c r="I772" s="190">
        <f t="shared" si="54"/>
        <v>7.2</v>
      </c>
      <c r="J772" s="191"/>
    </row>
    <row r="773" spans="1:10" ht="24.95" customHeight="1">
      <c r="A773" s="192"/>
      <c r="B773" s="202" t="s">
        <v>711</v>
      </c>
      <c r="C773" s="189">
        <v>1</v>
      </c>
      <c r="D773" s="189" t="s">
        <v>461</v>
      </c>
      <c r="E773" s="189">
        <v>2</v>
      </c>
      <c r="F773" s="190">
        <v>6</v>
      </c>
      <c r="G773" s="190">
        <v>0.6</v>
      </c>
      <c r="H773" s="190"/>
      <c r="I773" s="190">
        <f t="shared" si="54"/>
        <v>7.2</v>
      </c>
      <c r="J773" s="191"/>
    </row>
    <row r="774" spans="1:10" ht="24.95" customHeight="1">
      <c r="A774" s="192"/>
      <c r="B774" s="202"/>
      <c r="C774" s="189">
        <v>1</v>
      </c>
      <c r="D774" s="189" t="s">
        <v>461</v>
      </c>
      <c r="E774" s="189">
        <v>2</v>
      </c>
      <c r="F774" s="190">
        <f>10.36-0.6</f>
        <v>9.76</v>
      </c>
      <c r="G774" s="190">
        <v>0.6</v>
      </c>
      <c r="H774" s="190"/>
      <c r="I774" s="190">
        <f t="shared" si="54"/>
        <v>11.71</v>
      </c>
      <c r="J774" s="191"/>
    </row>
    <row r="775" spans="1:10" ht="24.95" customHeight="1">
      <c r="A775" s="192"/>
      <c r="B775" s="202" t="s">
        <v>712</v>
      </c>
      <c r="C775" s="189">
        <v>1</v>
      </c>
      <c r="D775" s="189" t="s">
        <v>461</v>
      </c>
      <c r="E775" s="189">
        <v>1</v>
      </c>
      <c r="F775" s="190">
        <v>3.75</v>
      </c>
      <c r="G775" s="190">
        <v>1.5</v>
      </c>
      <c r="H775" s="190"/>
      <c r="I775" s="190">
        <f t="shared" si="54"/>
        <v>5.63</v>
      </c>
      <c r="J775" s="191"/>
    </row>
    <row r="776" spans="1:10" ht="24.95" customHeight="1">
      <c r="A776" s="192"/>
      <c r="B776" s="202" t="s">
        <v>640</v>
      </c>
      <c r="C776" s="189">
        <v>1</v>
      </c>
      <c r="D776" s="189" t="s">
        <v>461</v>
      </c>
      <c r="E776" s="189">
        <v>1</v>
      </c>
      <c r="F776" s="190">
        <v>3.65</v>
      </c>
      <c r="G776" s="190">
        <v>1.5</v>
      </c>
      <c r="H776" s="190"/>
      <c r="I776" s="190">
        <f t="shared" si="54"/>
        <v>5.48</v>
      </c>
      <c r="J776" s="191"/>
    </row>
    <row r="777" spans="1:10" ht="24.95" customHeight="1">
      <c r="A777" s="192"/>
      <c r="B777" s="202" t="s">
        <v>713</v>
      </c>
      <c r="C777" s="189">
        <v>1</v>
      </c>
      <c r="D777" s="189" t="s">
        <v>461</v>
      </c>
      <c r="E777" s="189">
        <v>1</v>
      </c>
      <c r="F777" s="190">
        <v>3.45</v>
      </c>
      <c r="G777" s="190">
        <v>1.5</v>
      </c>
      <c r="H777" s="190"/>
      <c r="I777" s="190">
        <f t="shared" si="54"/>
        <v>5.18</v>
      </c>
      <c r="J777" s="191"/>
    </row>
    <row r="778" spans="1:10" ht="24.95" customHeight="1">
      <c r="A778" s="192"/>
      <c r="B778" s="202" t="s">
        <v>702</v>
      </c>
      <c r="C778" s="189">
        <v>1</v>
      </c>
      <c r="D778" s="189" t="s">
        <v>461</v>
      </c>
      <c r="E778" s="189">
        <v>1</v>
      </c>
      <c r="F778" s="190">
        <v>3.65</v>
      </c>
      <c r="G778" s="190">
        <v>2</v>
      </c>
      <c r="H778" s="190"/>
      <c r="I778" s="190">
        <f t="shared" si="54"/>
        <v>7.3</v>
      </c>
      <c r="J778" s="191"/>
    </row>
    <row r="779" spans="1:10" ht="24.95" customHeight="1">
      <c r="A779" s="192"/>
      <c r="B779" s="202" t="s">
        <v>714</v>
      </c>
      <c r="C779" s="189">
        <v>1</v>
      </c>
      <c r="D779" s="189" t="s">
        <v>461</v>
      </c>
      <c r="E779" s="189">
        <v>1</v>
      </c>
      <c r="F779" s="190">
        <v>0.9</v>
      </c>
      <c r="G779" s="190">
        <v>1.8</v>
      </c>
      <c r="H779" s="190"/>
      <c r="I779" s="190">
        <f t="shared" si="54"/>
        <v>1.62</v>
      </c>
      <c r="J779" s="191"/>
    </row>
    <row r="780" spans="1:10" ht="24.95" customHeight="1">
      <c r="A780" s="192"/>
      <c r="B780" s="202" t="s">
        <v>715</v>
      </c>
      <c r="C780" s="189">
        <v>1</v>
      </c>
      <c r="D780" s="189" t="s">
        <v>461</v>
      </c>
      <c r="E780" s="189">
        <v>1</v>
      </c>
      <c r="F780" s="190">
        <v>11.2</v>
      </c>
      <c r="G780" s="190">
        <v>19.399999999999999</v>
      </c>
      <c r="H780" s="190"/>
      <c r="I780" s="190">
        <f t="shared" si="54"/>
        <v>217.28</v>
      </c>
      <c r="J780" s="191"/>
    </row>
    <row r="781" spans="1:10" ht="24.95" customHeight="1">
      <c r="A781" s="192"/>
      <c r="B781" s="202" t="s">
        <v>716</v>
      </c>
      <c r="C781" s="189">
        <v>1</v>
      </c>
      <c r="D781" s="189" t="s">
        <v>461</v>
      </c>
      <c r="E781" s="189">
        <v>1</v>
      </c>
      <c r="F781" s="190">
        <v>7.55</v>
      </c>
      <c r="G781" s="190">
        <v>3.65</v>
      </c>
      <c r="H781" s="190"/>
      <c r="I781" s="190">
        <f t="shared" si="54"/>
        <v>27.56</v>
      </c>
      <c r="J781" s="191"/>
    </row>
    <row r="782" spans="1:10" ht="24.95" customHeight="1">
      <c r="A782" s="192"/>
      <c r="B782" s="202" t="s">
        <v>717</v>
      </c>
      <c r="C782" s="189">
        <v>2</v>
      </c>
      <c r="D782" s="189" t="s">
        <v>461</v>
      </c>
      <c r="E782" s="189">
        <v>2</v>
      </c>
      <c r="F782" s="190">
        <v>2.2599999999999998</v>
      </c>
      <c r="G782" s="190">
        <v>0.6</v>
      </c>
      <c r="H782" s="190"/>
      <c r="I782" s="190">
        <f t="shared" si="54"/>
        <v>5.42</v>
      </c>
      <c r="J782" s="191"/>
    </row>
    <row r="783" spans="1:10" ht="24.95" customHeight="1">
      <c r="A783" s="192"/>
      <c r="B783" s="202" t="s">
        <v>526</v>
      </c>
      <c r="C783" s="189">
        <v>2</v>
      </c>
      <c r="D783" s="189" t="s">
        <v>461</v>
      </c>
      <c r="E783" s="189">
        <v>13</v>
      </c>
      <c r="F783" s="190">
        <v>1.96</v>
      </c>
      <c r="G783" s="190">
        <v>0.6</v>
      </c>
      <c r="H783" s="190"/>
      <c r="I783" s="190">
        <f t="shared" si="54"/>
        <v>30.58</v>
      </c>
      <c r="J783" s="191"/>
    </row>
    <row r="784" spans="1:10" ht="24.95" customHeight="1">
      <c r="A784" s="192"/>
      <c r="B784" s="202" t="s">
        <v>518</v>
      </c>
      <c r="C784" s="189">
        <v>2</v>
      </c>
      <c r="D784" s="189" t="s">
        <v>461</v>
      </c>
      <c r="E784" s="189">
        <v>1</v>
      </c>
      <c r="F784" s="190">
        <v>1.81</v>
      </c>
      <c r="G784" s="190">
        <v>0.6</v>
      </c>
      <c r="H784" s="190"/>
      <c r="I784" s="190">
        <f t="shared" si="54"/>
        <v>2.17</v>
      </c>
      <c r="J784" s="191"/>
    </row>
    <row r="785" spans="1:11" ht="24.95" customHeight="1">
      <c r="A785" s="192"/>
      <c r="B785" s="202" t="s">
        <v>519</v>
      </c>
      <c r="C785" s="189">
        <v>2</v>
      </c>
      <c r="D785" s="189" t="s">
        <v>461</v>
      </c>
      <c r="E785" s="189">
        <v>10</v>
      </c>
      <c r="F785" s="190">
        <v>1.36</v>
      </c>
      <c r="G785" s="190">
        <v>0.6</v>
      </c>
      <c r="H785" s="190"/>
      <c r="I785" s="190">
        <f t="shared" si="54"/>
        <v>16.32</v>
      </c>
      <c r="J785" s="191"/>
    </row>
    <row r="786" spans="1:11" ht="24.95" customHeight="1">
      <c r="A786" s="192"/>
      <c r="B786" s="202" t="s">
        <v>539</v>
      </c>
      <c r="C786" s="189">
        <v>2</v>
      </c>
      <c r="D786" s="189" t="s">
        <v>461</v>
      </c>
      <c r="E786" s="189">
        <v>4</v>
      </c>
      <c r="F786" s="190">
        <v>1.66</v>
      </c>
      <c r="G786" s="190">
        <v>0.6</v>
      </c>
      <c r="H786" s="190"/>
      <c r="I786" s="190">
        <f t="shared" si="54"/>
        <v>7.97</v>
      </c>
      <c r="J786" s="191"/>
    </row>
    <row r="787" spans="1:11" ht="24.95" customHeight="1">
      <c r="A787" s="192"/>
      <c r="B787" s="202" t="s">
        <v>521</v>
      </c>
      <c r="C787" s="189">
        <v>2</v>
      </c>
      <c r="D787" s="189" t="s">
        <v>461</v>
      </c>
      <c r="E787" s="189">
        <v>2</v>
      </c>
      <c r="F787" s="190">
        <v>1.66</v>
      </c>
      <c r="G787" s="190">
        <v>0.6</v>
      </c>
      <c r="H787" s="190"/>
      <c r="I787" s="190">
        <f t="shared" si="54"/>
        <v>3.98</v>
      </c>
      <c r="J787" s="191"/>
    </row>
    <row r="788" spans="1:11" ht="24.95" customHeight="1">
      <c r="A788" s="192"/>
      <c r="B788" s="202" t="s">
        <v>522</v>
      </c>
      <c r="C788" s="189">
        <v>2</v>
      </c>
      <c r="D788" s="189" t="s">
        <v>461</v>
      </c>
      <c r="E788" s="189">
        <v>2</v>
      </c>
      <c r="F788" s="190">
        <v>1.96</v>
      </c>
      <c r="G788" s="190">
        <v>0.6</v>
      </c>
      <c r="H788" s="190"/>
      <c r="I788" s="190">
        <f t="shared" si="54"/>
        <v>4.7</v>
      </c>
      <c r="J788" s="191"/>
    </row>
    <row r="789" spans="1:11" ht="24.95" customHeight="1">
      <c r="A789" s="192"/>
      <c r="B789" s="202" t="s">
        <v>523</v>
      </c>
      <c r="C789" s="189">
        <v>2</v>
      </c>
      <c r="D789" s="189" t="s">
        <v>461</v>
      </c>
      <c r="E789" s="189">
        <v>2</v>
      </c>
      <c r="F789" s="190">
        <v>1.51</v>
      </c>
      <c r="G789" s="190">
        <v>0.6</v>
      </c>
      <c r="H789" s="190"/>
      <c r="I789" s="190">
        <f t="shared" si="54"/>
        <v>3.62</v>
      </c>
      <c r="J789" s="191"/>
    </row>
    <row r="790" spans="1:11" ht="24.95" customHeight="1">
      <c r="A790" s="192"/>
      <c r="B790" s="202" t="s">
        <v>1419</v>
      </c>
      <c r="C790" s="189">
        <v>1</v>
      </c>
      <c r="D790" s="189" t="s">
        <v>461</v>
      </c>
      <c r="E790" s="189">
        <v>1</v>
      </c>
      <c r="F790" s="523">
        <v>5.26</v>
      </c>
      <c r="G790" s="523">
        <v>1.66</v>
      </c>
      <c r="H790" s="523"/>
      <c r="I790" s="523">
        <f t="shared" ref="I790" si="56">G790*F790*E790*C790</f>
        <v>8.73</v>
      </c>
      <c r="J790" s="191"/>
    </row>
    <row r="791" spans="1:11" ht="24.95" customHeight="1">
      <c r="A791" s="192"/>
      <c r="B791" s="202"/>
      <c r="C791" s="189"/>
      <c r="D791" s="189"/>
      <c r="E791" s="189"/>
      <c r="F791" s="190"/>
      <c r="G791" s="190"/>
      <c r="H791" s="190"/>
      <c r="I791" s="190">
        <f>SUM(I740:I790)</f>
        <v>909.97</v>
      </c>
      <c r="J791" s="191"/>
      <c r="K791" s="185">
        <v>0.04</v>
      </c>
    </row>
    <row r="792" spans="1:11" ht="24.95" customHeight="1">
      <c r="A792" s="192"/>
      <c r="B792" s="202"/>
      <c r="C792" s="189"/>
      <c r="D792" s="189"/>
      <c r="E792" s="189"/>
      <c r="F792" s="190"/>
      <c r="G792" s="190"/>
      <c r="H792" s="204" t="s">
        <v>261</v>
      </c>
      <c r="I792" s="204">
        <f>ROUNDUP(I791,1-0)</f>
        <v>910</v>
      </c>
      <c r="J792" s="201" t="s">
        <v>123</v>
      </c>
    </row>
    <row r="793" spans="1:11" ht="24.95" customHeight="1">
      <c r="A793" s="192"/>
      <c r="B793" s="202"/>
      <c r="C793" s="189"/>
      <c r="D793" s="189"/>
      <c r="E793" s="189"/>
      <c r="F793" s="267"/>
      <c r="G793" s="267"/>
      <c r="H793" s="267"/>
      <c r="I793" s="267"/>
      <c r="J793" s="191"/>
    </row>
    <row r="794" spans="1:11" ht="29.45" customHeight="1">
      <c r="A794" s="213">
        <v>36.1</v>
      </c>
      <c r="B794" s="188" t="s">
        <v>718</v>
      </c>
      <c r="C794" s="189"/>
      <c r="D794" s="189"/>
      <c r="E794" s="189"/>
      <c r="F794" s="190"/>
      <c r="G794" s="190"/>
      <c r="H794" s="190"/>
      <c r="I794" s="190"/>
      <c r="J794" s="201"/>
    </row>
    <row r="795" spans="1:11" ht="24.95" customHeight="1">
      <c r="A795" s="192"/>
      <c r="B795" s="188" t="s">
        <v>719</v>
      </c>
      <c r="C795" s="189"/>
      <c r="D795" s="189"/>
      <c r="E795" s="189"/>
      <c r="F795" s="190"/>
      <c r="G795" s="190"/>
      <c r="H795" s="190"/>
      <c r="I795" s="190"/>
      <c r="J795" s="191"/>
    </row>
    <row r="796" spans="1:11" ht="24.95" customHeight="1">
      <c r="A796" s="192"/>
      <c r="B796" s="202" t="s">
        <v>720</v>
      </c>
      <c r="C796" s="189">
        <v>1</v>
      </c>
      <c r="D796" s="189"/>
      <c r="E796" s="189">
        <v>1</v>
      </c>
      <c r="F796" s="203">
        <v>94.96</v>
      </c>
      <c r="G796" s="203"/>
      <c r="H796" s="203"/>
      <c r="I796" s="203">
        <f>PRODUCT(C796:H796)</f>
        <v>94.96</v>
      </c>
      <c r="J796" s="191"/>
    </row>
    <row r="797" spans="1:11" ht="24.95" customHeight="1">
      <c r="A797" s="192"/>
      <c r="B797" s="202" t="s">
        <v>721</v>
      </c>
      <c r="C797" s="189">
        <v>1</v>
      </c>
      <c r="D797" s="189"/>
      <c r="E797" s="189">
        <v>1</v>
      </c>
      <c r="F797" s="203">
        <v>48.97</v>
      </c>
      <c r="G797" s="203"/>
      <c r="H797" s="203"/>
      <c r="I797" s="203">
        <f>PRODUCT(C797:H797)</f>
        <v>48.97</v>
      </c>
      <c r="J797" s="191"/>
    </row>
    <row r="798" spans="1:11" ht="24.95" customHeight="1">
      <c r="A798" s="192"/>
      <c r="B798" s="202"/>
      <c r="C798" s="189"/>
      <c r="D798" s="189"/>
      <c r="E798" s="189"/>
      <c r="F798" s="203"/>
      <c r="G798" s="203"/>
      <c r="H798" s="203"/>
      <c r="I798" s="203">
        <f>SUM(I796:I797)</f>
        <v>143.93</v>
      </c>
      <c r="J798" s="191"/>
    </row>
    <row r="799" spans="1:11" ht="24.95" customHeight="1">
      <c r="A799" s="192"/>
      <c r="B799" s="202"/>
      <c r="C799" s="189"/>
      <c r="D799" s="189"/>
      <c r="E799" s="189"/>
      <c r="F799" s="190"/>
      <c r="G799" s="190"/>
      <c r="H799" s="204" t="s">
        <v>229</v>
      </c>
      <c r="I799" s="204">
        <f>ROUNDUP(I798,1-0)</f>
        <v>144</v>
      </c>
      <c r="J799" s="201" t="s">
        <v>39</v>
      </c>
    </row>
    <row r="800" spans="1:11" ht="24.95" customHeight="1">
      <c r="A800" s="192"/>
      <c r="B800" s="188" t="s">
        <v>722</v>
      </c>
      <c r="C800" s="189"/>
      <c r="D800" s="189"/>
      <c r="E800" s="189"/>
      <c r="F800" s="190"/>
      <c r="G800" s="190"/>
      <c r="H800" s="190"/>
      <c r="I800" s="190"/>
      <c r="J800" s="191"/>
    </row>
    <row r="801" spans="1:10" ht="24.95" customHeight="1">
      <c r="A801" s="192"/>
      <c r="B801" s="202" t="s">
        <v>720</v>
      </c>
      <c r="C801" s="189">
        <v>1</v>
      </c>
      <c r="D801" s="189"/>
      <c r="E801" s="189">
        <v>1</v>
      </c>
      <c r="F801" s="203">
        <f>F796</f>
        <v>94.96</v>
      </c>
      <c r="G801" s="203"/>
      <c r="H801" s="203"/>
      <c r="I801" s="203">
        <f>PRODUCT(C801:H801)</f>
        <v>94.96</v>
      </c>
      <c r="J801" s="191"/>
    </row>
    <row r="802" spans="1:10" ht="24.95" customHeight="1">
      <c r="A802" s="192"/>
      <c r="B802" s="202" t="s">
        <v>723</v>
      </c>
      <c r="C802" s="189">
        <v>1</v>
      </c>
      <c r="D802" s="189"/>
      <c r="E802" s="189">
        <v>1</v>
      </c>
      <c r="F802" s="203">
        <f>F797</f>
        <v>48.97</v>
      </c>
      <c r="G802" s="203"/>
      <c r="H802" s="203"/>
      <c r="I802" s="203">
        <f>I797</f>
        <v>48.97</v>
      </c>
      <c r="J802" s="191"/>
    </row>
    <row r="803" spans="1:10" ht="24.95" customHeight="1">
      <c r="A803" s="192"/>
      <c r="B803" s="202"/>
      <c r="C803" s="189"/>
      <c r="D803" s="189"/>
      <c r="E803" s="189"/>
      <c r="F803" s="203"/>
      <c r="G803" s="203"/>
      <c r="H803" s="203"/>
      <c r="I803" s="203">
        <f>SUM(I801:I802)</f>
        <v>143.93</v>
      </c>
      <c r="J803" s="191"/>
    </row>
    <row r="804" spans="1:10" ht="24.95" customHeight="1">
      <c r="A804" s="192"/>
      <c r="B804" s="202"/>
      <c r="C804" s="189"/>
      <c r="D804" s="189"/>
      <c r="E804" s="189"/>
      <c r="F804" s="203"/>
      <c r="G804" s="203"/>
      <c r="H804" s="204" t="s">
        <v>261</v>
      </c>
      <c r="I804" s="204">
        <f>ROUNDUP(I803,1-0)</f>
        <v>144</v>
      </c>
      <c r="J804" s="201" t="s">
        <v>39</v>
      </c>
    </row>
    <row r="805" spans="1:10" ht="24.95" customHeight="1">
      <c r="A805" s="192"/>
      <c r="B805" s="188" t="s">
        <v>724</v>
      </c>
      <c r="C805" s="189"/>
      <c r="D805" s="189"/>
      <c r="E805" s="189"/>
      <c r="F805" s="190"/>
      <c r="G805" s="190"/>
      <c r="H805" s="190"/>
      <c r="I805" s="190"/>
      <c r="J805" s="191"/>
    </row>
    <row r="806" spans="1:10" ht="24.95" customHeight="1">
      <c r="A806" s="192"/>
      <c r="B806" s="202" t="s">
        <v>725</v>
      </c>
      <c r="C806" s="189">
        <v>1</v>
      </c>
      <c r="D806" s="189"/>
      <c r="E806" s="189">
        <v>1</v>
      </c>
      <c r="F806" s="203">
        <f>F801</f>
        <v>94.96</v>
      </c>
      <c r="G806" s="203"/>
      <c r="H806" s="203"/>
      <c r="I806" s="203">
        <f>PRODUCT(C806:H806)</f>
        <v>94.96</v>
      </c>
      <c r="J806" s="191"/>
    </row>
    <row r="807" spans="1:10" ht="24.95" customHeight="1">
      <c r="A807" s="192"/>
      <c r="B807" s="202" t="s">
        <v>723</v>
      </c>
      <c r="C807" s="189">
        <v>1</v>
      </c>
      <c r="D807" s="189"/>
      <c r="E807" s="189">
        <v>1</v>
      </c>
      <c r="F807" s="203">
        <f>F802</f>
        <v>48.97</v>
      </c>
      <c r="G807" s="203"/>
      <c r="H807" s="203"/>
      <c r="I807" s="203">
        <f>I802</f>
        <v>48.97</v>
      </c>
      <c r="J807" s="191"/>
    </row>
    <row r="808" spans="1:10" ht="24.95" customHeight="1">
      <c r="A808" s="192"/>
      <c r="B808" s="202"/>
      <c r="C808" s="189"/>
      <c r="D808" s="189"/>
      <c r="E808" s="189"/>
      <c r="F808" s="203"/>
      <c r="G808" s="203"/>
      <c r="H808" s="203"/>
      <c r="I808" s="203">
        <f>SUM(I806:I807)</f>
        <v>143.93</v>
      </c>
      <c r="J808" s="201"/>
    </row>
    <row r="809" spans="1:10" ht="22.5" customHeight="1">
      <c r="A809" s="192"/>
      <c r="B809" s="202"/>
      <c r="C809" s="189"/>
      <c r="D809" s="189"/>
      <c r="E809" s="189"/>
      <c r="F809" s="203"/>
      <c r="G809" s="203"/>
      <c r="H809" s="204" t="s">
        <v>261</v>
      </c>
      <c r="I809" s="204">
        <f>ROUNDUP(I808,1-0)</f>
        <v>144</v>
      </c>
      <c r="J809" s="201" t="s">
        <v>39</v>
      </c>
    </row>
    <row r="810" spans="1:10" ht="24.95" customHeight="1">
      <c r="A810" s="192">
        <v>37.1</v>
      </c>
      <c r="B810" s="188" t="s">
        <v>726</v>
      </c>
      <c r="C810" s="189"/>
      <c r="D810" s="189"/>
      <c r="E810" s="189"/>
      <c r="F810" s="190"/>
      <c r="G810" s="190"/>
      <c r="H810" s="190"/>
      <c r="I810" s="190"/>
      <c r="J810" s="191"/>
    </row>
    <row r="811" spans="1:10" ht="24.95" customHeight="1">
      <c r="A811" s="192"/>
      <c r="B811" s="202" t="s">
        <v>727</v>
      </c>
      <c r="C811" s="189"/>
      <c r="D811" s="189"/>
      <c r="E811" s="189"/>
      <c r="F811" s="190"/>
      <c r="G811" s="190"/>
      <c r="H811" s="190"/>
      <c r="I811" s="190"/>
      <c r="J811" s="191"/>
    </row>
    <row r="812" spans="1:10" ht="24.95" customHeight="1">
      <c r="A812" s="192"/>
      <c r="B812" s="202" t="s">
        <v>728</v>
      </c>
      <c r="C812" s="189">
        <v>1</v>
      </c>
      <c r="D812" s="189"/>
      <c r="E812" s="189">
        <v>1</v>
      </c>
      <c r="F812" s="203">
        <f>I792</f>
        <v>910</v>
      </c>
      <c r="G812" s="203"/>
      <c r="H812" s="203"/>
      <c r="I812" s="204">
        <f>F812*E812</f>
        <v>910</v>
      </c>
      <c r="J812" s="201" t="s">
        <v>123</v>
      </c>
    </row>
    <row r="813" spans="1:10" ht="24.95" customHeight="1">
      <c r="A813" s="192"/>
      <c r="B813" s="202"/>
      <c r="C813" s="189"/>
      <c r="D813" s="189"/>
      <c r="E813" s="189"/>
      <c r="F813" s="190"/>
      <c r="G813" s="190"/>
      <c r="H813" s="190"/>
      <c r="I813" s="190"/>
      <c r="J813" s="191"/>
    </row>
    <row r="814" spans="1:10" ht="33">
      <c r="A814" s="213">
        <v>39</v>
      </c>
      <c r="B814" s="188" t="s">
        <v>729</v>
      </c>
      <c r="C814" s="189"/>
      <c r="D814" s="189"/>
      <c r="E814" s="189"/>
      <c r="F814" s="190"/>
      <c r="G814" s="190"/>
      <c r="H814" s="190"/>
      <c r="I814" s="190"/>
      <c r="J814" s="191"/>
    </row>
    <row r="815" spans="1:10" ht="24.95" customHeight="1">
      <c r="A815" s="192"/>
      <c r="B815" s="202" t="s">
        <v>730</v>
      </c>
      <c r="C815" s="189">
        <v>1</v>
      </c>
      <c r="D815" s="189"/>
      <c r="E815" s="189">
        <v>3</v>
      </c>
      <c r="F815" s="203">
        <v>7</v>
      </c>
      <c r="G815" s="203"/>
      <c r="H815" s="203">
        <v>0.6</v>
      </c>
      <c r="I815" s="203">
        <f>PRODUCT(C815:H815)</f>
        <v>12.6</v>
      </c>
      <c r="J815" s="191"/>
    </row>
    <row r="816" spans="1:10" ht="24.95" customHeight="1">
      <c r="A816" s="192"/>
      <c r="B816" s="202" t="s">
        <v>731</v>
      </c>
      <c r="C816" s="189">
        <v>1</v>
      </c>
      <c r="D816" s="189"/>
      <c r="E816" s="189">
        <v>4</v>
      </c>
      <c r="F816" s="203">
        <v>4</v>
      </c>
      <c r="G816" s="203"/>
      <c r="H816" s="203">
        <v>0.6</v>
      </c>
      <c r="I816" s="203">
        <f>PRODUCT(C816:H816)</f>
        <v>9.6</v>
      </c>
      <c r="J816" s="191"/>
    </row>
    <row r="817" spans="1:10" ht="24.95" customHeight="1">
      <c r="A817" s="192"/>
      <c r="B817" s="202" t="s">
        <v>732</v>
      </c>
      <c r="C817" s="189">
        <v>1</v>
      </c>
      <c r="D817" s="189"/>
      <c r="E817" s="189">
        <v>1</v>
      </c>
      <c r="F817" s="203">
        <v>1</v>
      </c>
      <c r="G817" s="203"/>
      <c r="H817" s="203">
        <v>2.1</v>
      </c>
      <c r="I817" s="203">
        <f>PRODUCT(C817:H817)</f>
        <v>2.1</v>
      </c>
      <c r="J817" s="191"/>
    </row>
    <row r="818" spans="1:10" ht="24.95" customHeight="1">
      <c r="A818" s="192"/>
      <c r="B818" s="202" t="s">
        <v>733</v>
      </c>
      <c r="C818" s="189">
        <v>1</v>
      </c>
      <c r="D818" s="189"/>
      <c r="E818" s="189">
        <v>1</v>
      </c>
      <c r="F818" s="203">
        <v>0.9</v>
      </c>
      <c r="G818" s="203"/>
      <c r="H818" s="203">
        <v>2.1</v>
      </c>
      <c r="I818" s="203">
        <f>PRODUCT(C818:H818)</f>
        <v>1.89</v>
      </c>
      <c r="J818" s="191"/>
    </row>
    <row r="819" spans="1:10" ht="24.95" customHeight="1">
      <c r="A819" s="192"/>
      <c r="B819" s="202" t="s">
        <v>734</v>
      </c>
      <c r="C819" s="189">
        <v>1</v>
      </c>
      <c r="D819" s="189"/>
      <c r="E819" s="189">
        <v>1</v>
      </c>
      <c r="F819" s="203">
        <v>3.14</v>
      </c>
      <c r="G819" s="203">
        <v>0.03</v>
      </c>
      <c r="H819" s="203">
        <v>10</v>
      </c>
      <c r="I819" s="203">
        <f>PRODUCT(C819:H819)</f>
        <v>0.94</v>
      </c>
      <c r="J819" s="191"/>
    </row>
    <row r="820" spans="1:10" ht="24.95" customHeight="1">
      <c r="A820" s="192"/>
      <c r="B820" s="202"/>
      <c r="C820" s="189"/>
      <c r="D820" s="189"/>
      <c r="E820" s="189"/>
      <c r="F820" s="203"/>
      <c r="G820" s="203"/>
      <c r="H820" s="203"/>
      <c r="I820" s="203">
        <f>SUM(I815:I819)</f>
        <v>27.13</v>
      </c>
      <c r="J820" s="191"/>
    </row>
    <row r="821" spans="1:10" ht="24.95" customHeight="1">
      <c r="A821" s="192"/>
      <c r="B821" s="202"/>
      <c r="C821" s="189"/>
      <c r="D821" s="189"/>
      <c r="E821" s="189"/>
      <c r="F821" s="203"/>
      <c r="G821" s="203"/>
      <c r="H821" s="203"/>
      <c r="I821" s="204">
        <f>ROUNDUP(I820,1-0)</f>
        <v>27.2</v>
      </c>
      <c r="J821" s="191"/>
    </row>
    <row r="822" spans="1:10" ht="24.95" customHeight="1">
      <c r="A822" s="192"/>
      <c r="B822" s="202" t="s">
        <v>735</v>
      </c>
      <c r="C822" s="189"/>
      <c r="D822" s="189"/>
      <c r="E822" s="189"/>
      <c r="F822" s="203"/>
      <c r="G822" s="203">
        <f>I821</f>
        <v>27.2</v>
      </c>
      <c r="H822" s="203">
        <v>35</v>
      </c>
      <c r="I822" s="204">
        <f>G822*H822</f>
        <v>952</v>
      </c>
      <c r="J822" s="211" t="s">
        <v>88</v>
      </c>
    </row>
    <row r="823" spans="1:10" ht="24.95" customHeight="1">
      <c r="A823" s="192"/>
      <c r="B823" s="202"/>
      <c r="C823" s="189"/>
      <c r="D823" s="189"/>
      <c r="E823" s="189"/>
      <c r="F823" s="203"/>
      <c r="G823" s="203"/>
      <c r="H823" s="203" t="s">
        <v>480</v>
      </c>
      <c r="I823" s="204">
        <f>ROUNDUP(I822,1-0)</f>
        <v>952</v>
      </c>
      <c r="J823" s="211" t="s">
        <v>88</v>
      </c>
    </row>
    <row r="824" spans="1:10" ht="24.95" customHeight="1">
      <c r="A824" s="192"/>
      <c r="B824" s="202"/>
      <c r="C824" s="189"/>
      <c r="D824" s="189"/>
      <c r="E824" s="189"/>
      <c r="F824" s="203"/>
      <c r="G824" s="203"/>
      <c r="H824" s="203"/>
      <c r="I824" s="204"/>
      <c r="J824" s="211"/>
    </row>
    <row r="825" spans="1:10" ht="24.95" customHeight="1">
      <c r="A825" s="192">
        <v>24</v>
      </c>
      <c r="B825" s="202" t="s">
        <v>736</v>
      </c>
      <c r="C825" s="189"/>
      <c r="D825" s="189"/>
      <c r="E825" s="189"/>
      <c r="F825" s="203"/>
      <c r="G825" s="203"/>
      <c r="H825" s="203"/>
      <c r="I825" s="204"/>
      <c r="J825" s="211"/>
    </row>
    <row r="826" spans="1:10" ht="24.95" customHeight="1">
      <c r="A826" s="192"/>
      <c r="B826" s="188" t="s">
        <v>737</v>
      </c>
      <c r="C826" s="189">
        <v>1</v>
      </c>
      <c r="D826" s="189"/>
      <c r="E826" s="189">
        <v>2</v>
      </c>
      <c r="F826" s="190">
        <v>1.8</v>
      </c>
      <c r="G826" s="190"/>
      <c r="H826" s="190">
        <v>1.65</v>
      </c>
      <c r="I826" s="190">
        <v>5.94</v>
      </c>
      <c r="J826" s="211"/>
    </row>
    <row r="827" spans="1:10" ht="24.95" customHeight="1">
      <c r="A827" s="192"/>
      <c r="B827" s="188" t="s">
        <v>526</v>
      </c>
      <c r="C827" s="189">
        <v>1</v>
      </c>
      <c r="D827" s="189"/>
      <c r="E827" s="189">
        <v>13</v>
      </c>
      <c r="F827" s="190">
        <v>1.5</v>
      </c>
      <c r="G827" s="190"/>
      <c r="H827" s="190">
        <v>1.65</v>
      </c>
      <c r="I827" s="190">
        <v>32.18</v>
      </c>
      <c r="J827" s="211"/>
    </row>
    <row r="828" spans="1:10" ht="24.95" customHeight="1">
      <c r="A828" s="192"/>
      <c r="B828" s="188" t="s">
        <v>518</v>
      </c>
      <c r="C828" s="189">
        <v>1</v>
      </c>
      <c r="D828" s="189"/>
      <c r="E828" s="189">
        <v>1</v>
      </c>
      <c r="F828" s="190">
        <v>1.35</v>
      </c>
      <c r="G828" s="190"/>
      <c r="H828" s="190">
        <v>1.65</v>
      </c>
      <c r="I828" s="190">
        <v>2.23</v>
      </c>
      <c r="J828" s="211"/>
    </row>
    <row r="829" spans="1:10" ht="24.95" customHeight="1">
      <c r="A829" s="192"/>
      <c r="B829" s="188" t="s">
        <v>519</v>
      </c>
      <c r="C829" s="189">
        <v>1</v>
      </c>
      <c r="D829" s="189"/>
      <c r="E829" s="189">
        <v>10</v>
      </c>
      <c r="F829" s="190">
        <v>0.9</v>
      </c>
      <c r="G829" s="190"/>
      <c r="H829" s="190">
        <v>1.65</v>
      </c>
      <c r="I829" s="190">
        <v>14.85</v>
      </c>
      <c r="J829" s="211"/>
    </row>
    <row r="830" spans="1:10" ht="24.95" customHeight="1">
      <c r="A830" s="192"/>
      <c r="B830" s="188" t="s">
        <v>539</v>
      </c>
      <c r="C830" s="189">
        <v>1</v>
      </c>
      <c r="D830" s="189"/>
      <c r="E830" s="189">
        <v>4</v>
      </c>
      <c r="F830" s="190">
        <v>1.2</v>
      </c>
      <c r="G830" s="190"/>
      <c r="H830" s="190">
        <v>1.65</v>
      </c>
      <c r="I830" s="190">
        <v>7.92</v>
      </c>
      <c r="J830" s="211"/>
    </row>
    <row r="831" spans="1:10" ht="24.95" customHeight="1">
      <c r="A831" s="192"/>
      <c r="B831" s="188" t="s">
        <v>521</v>
      </c>
      <c r="C831" s="189">
        <v>1</v>
      </c>
      <c r="D831" s="189"/>
      <c r="E831" s="189">
        <v>2</v>
      </c>
      <c r="F831" s="190">
        <v>1.2</v>
      </c>
      <c r="G831" s="190"/>
      <c r="H831" s="190">
        <v>1.65</v>
      </c>
      <c r="I831" s="190">
        <v>3.96</v>
      </c>
      <c r="J831" s="211"/>
    </row>
    <row r="832" spans="1:10" ht="24.95" customHeight="1">
      <c r="A832" s="192"/>
      <c r="B832" s="188" t="s">
        <v>522</v>
      </c>
      <c r="C832" s="189">
        <v>1</v>
      </c>
      <c r="D832" s="189"/>
      <c r="E832" s="189">
        <v>2</v>
      </c>
      <c r="F832" s="190">
        <v>1.5</v>
      </c>
      <c r="G832" s="190"/>
      <c r="H832" s="190">
        <v>1.65</v>
      </c>
      <c r="I832" s="190">
        <v>4.95</v>
      </c>
      <c r="J832" s="211"/>
    </row>
    <row r="833" spans="1:10" ht="24.95" customHeight="1">
      <c r="A833" s="192"/>
      <c r="B833" s="188" t="s">
        <v>523</v>
      </c>
      <c r="C833" s="189">
        <v>1</v>
      </c>
      <c r="D833" s="189"/>
      <c r="E833" s="189">
        <v>4</v>
      </c>
      <c r="F833" s="190">
        <v>1.05</v>
      </c>
      <c r="G833" s="190"/>
      <c r="H833" s="190">
        <v>1.65</v>
      </c>
      <c r="I833" s="190">
        <v>6.93</v>
      </c>
      <c r="J833" s="211"/>
    </row>
    <row r="834" spans="1:10" ht="24.95" customHeight="1">
      <c r="A834" s="192"/>
      <c r="B834" s="188" t="s">
        <v>558</v>
      </c>
      <c r="C834" s="189">
        <v>1</v>
      </c>
      <c r="D834" s="189"/>
      <c r="E834" s="189">
        <v>2</v>
      </c>
      <c r="F834" s="190">
        <v>0.75</v>
      </c>
      <c r="G834" s="190"/>
      <c r="H834" s="190">
        <v>2.4</v>
      </c>
      <c r="I834" s="190">
        <v>3.6</v>
      </c>
      <c r="J834" s="211"/>
    </row>
    <row r="835" spans="1:10" ht="24.95" customHeight="1">
      <c r="A835" s="192"/>
      <c r="B835" s="188" t="s">
        <v>558</v>
      </c>
      <c r="C835" s="189">
        <v>1</v>
      </c>
      <c r="D835" s="189"/>
      <c r="E835" s="189">
        <v>1</v>
      </c>
      <c r="F835" s="190">
        <v>0.8</v>
      </c>
      <c r="G835" s="190"/>
      <c r="H835" s="190">
        <v>2.1</v>
      </c>
      <c r="I835" s="190">
        <v>1.68</v>
      </c>
      <c r="J835" s="211"/>
    </row>
    <row r="836" spans="1:10" ht="24.95" customHeight="1">
      <c r="A836" s="192"/>
      <c r="B836" s="188" t="s">
        <v>520</v>
      </c>
      <c r="C836" s="189">
        <v>1</v>
      </c>
      <c r="D836" s="189"/>
      <c r="E836" s="189">
        <v>1</v>
      </c>
      <c r="F836" s="190">
        <v>0.75</v>
      </c>
      <c r="G836" s="190"/>
      <c r="H836" s="190">
        <v>2.1</v>
      </c>
      <c r="I836" s="190">
        <v>1.58</v>
      </c>
      <c r="J836" s="211"/>
    </row>
    <row r="837" spans="1:10" ht="24.95" customHeight="1">
      <c r="A837" s="192"/>
      <c r="B837" s="188" t="s">
        <v>620</v>
      </c>
      <c r="C837" s="189">
        <v>1</v>
      </c>
      <c r="D837" s="189"/>
      <c r="E837" s="189">
        <v>3</v>
      </c>
      <c r="F837" s="190">
        <v>1.8</v>
      </c>
      <c r="G837" s="190"/>
      <c r="H837" s="190">
        <v>0.6</v>
      </c>
      <c r="I837" s="190">
        <v>3.24</v>
      </c>
      <c r="J837" s="211"/>
    </row>
    <row r="838" spans="1:10" ht="24.95" customHeight="1">
      <c r="A838" s="192"/>
      <c r="B838" s="188" t="s">
        <v>559</v>
      </c>
      <c r="C838" s="189">
        <v>1</v>
      </c>
      <c r="D838" s="189"/>
      <c r="E838" s="189">
        <v>12</v>
      </c>
      <c r="F838" s="190">
        <v>1.2</v>
      </c>
      <c r="G838" s="190"/>
      <c r="H838" s="190">
        <v>0.6</v>
      </c>
      <c r="I838" s="190">
        <v>8.64</v>
      </c>
      <c r="J838" s="211"/>
    </row>
    <row r="839" spans="1:10" ht="24.95" customHeight="1">
      <c r="A839" s="192"/>
      <c r="B839" s="188" t="s">
        <v>559</v>
      </c>
      <c r="C839" s="189">
        <v>1</v>
      </c>
      <c r="D839" s="189"/>
      <c r="E839" s="189">
        <v>1</v>
      </c>
      <c r="F839" s="190">
        <v>2.1</v>
      </c>
      <c r="G839" s="190"/>
      <c r="H839" s="190">
        <v>0.6</v>
      </c>
      <c r="I839" s="190">
        <v>1.26</v>
      </c>
      <c r="J839" s="211"/>
    </row>
    <row r="840" spans="1:10" ht="24.95" customHeight="1">
      <c r="A840" s="192"/>
      <c r="B840" s="188" t="s">
        <v>622</v>
      </c>
      <c r="C840" s="189">
        <v>1</v>
      </c>
      <c r="D840" s="189"/>
      <c r="E840" s="189">
        <v>13</v>
      </c>
      <c r="F840" s="190">
        <v>0.9</v>
      </c>
      <c r="G840" s="190"/>
      <c r="H840" s="190">
        <v>0.9</v>
      </c>
      <c r="I840" s="190">
        <v>10.53</v>
      </c>
      <c r="J840" s="211"/>
    </row>
    <row r="841" spans="1:10" ht="24.95" customHeight="1">
      <c r="A841" s="192"/>
      <c r="B841" s="188" t="s">
        <v>621</v>
      </c>
      <c r="C841" s="189">
        <v>2</v>
      </c>
      <c r="D841" s="189"/>
      <c r="E841" s="189">
        <v>2</v>
      </c>
      <c r="F841" s="190">
        <v>0.9</v>
      </c>
      <c r="G841" s="190"/>
      <c r="H841" s="190">
        <v>0.9</v>
      </c>
      <c r="I841" s="190">
        <v>3.24</v>
      </c>
      <c r="J841" s="211"/>
    </row>
    <row r="842" spans="1:10" ht="24.95" customHeight="1">
      <c r="A842" s="192"/>
      <c r="B842" s="188" t="s">
        <v>559</v>
      </c>
      <c r="C842" s="189">
        <v>2</v>
      </c>
      <c r="D842" s="189"/>
      <c r="E842" s="189">
        <v>2</v>
      </c>
      <c r="F842" s="190">
        <v>0.9</v>
      </c>
      <c r="G842" s="190"/>
      <c r="H842" s="190">
        <v>0.9</v>
      </c>
      <c r="I842" s="190">
        <v>3.24</v>
      </c>
      <c r="J842" s="211"/>
    </row>
    <row r="843" spans="1:10" ht="24.95" customHeight="1">
      <c r="A843" s="192"/>
      <c r="B843" s="202"/>
      <c r="C843" s="189"/>
      <c r="D843" s="189"/>
      <c r="E843" s="189"/>
      <c r="F843" s="203"/>
      <c r="G843" s="203"/>
      <c r="H843" s="203"/>
      <c r="I843" s="204">
        <f>+SUM(I826:I842)</f>
        <v>115.97</v>
      </c>
      <c r="J843" s="211"/>
    </row>
    <row r="844" spans="1:10" ht="24.95" customHeight="1">
      <c r="A844" s="192"/>
      <c r="B844" s="202"/>
      <c r="C844" s="189"/>
      <c r="D844" s="189"/>
      <c r="E844" s="189"/>
      <c r="F844" s="203"/>
      <c r="G844" s="203"/>
      <c r="H844" s="203"/>
      <c r="I844" s="204">
        <f>ROUNDUP(I843,1-0)</f>
        <v>116</v>
      </c>
      <c r="J844" s="211"/>
    </row>
    <row r="845" spans="1:10" ht="24.95" customHeight="1">
      <c r="A845" s="192"/>
      <c r="B845" s="202"/>
      <c r="C845" s="189"/>
      <c r="D845" s="189"/>
      <c r="E845" s="189"/>
      <c r="F845" s="203"/>
      <c r="G845" s="203">
        <f>I844</f>
        <v>116</v>
      </c>
      <c r="H845" s="203">
        <v>35</v>
      </c>
      <c r="I845" s="204">
        <f>G845*H845</f>
        <v>4060</v>
      </c>
      <c r="J845" s="211" t="s">
        <v>88</v>
      </c>
    </row>
    <row r="846" spans="1:10" ht="24.95" customHeight="1">
      <c r="A846" s="192"/>
      <c r="B846" s="202"/>
      <c r="C846" s="189"/>
      <c r="D846" s="189"/>
      <c r="E846" s="189"/>
      <c r="F846" s="203"/>
      <c r="G846" s="203"/>
      <c r="H846" s="203"/>
      <c r="I846" s="204"/>
      <c r="J846" s="211"/>
    </row>
    <row r="847" spans="1:10" ht="24.95" customHeight="1">
      <c r="A847" s="213">
        <v>40</v>
      </c>
      <c r="B847" s="188" t="s">
        <v>738</v>
      </c>
      <c r="C847" s="189"/>
      <c r="D847" s="189"/>
      <c r="E847" s="189"/>
      <c r="F847" s="190"/>
      <c r="G847" s="190"/>
      <c r="H847" s="190"/>
      <c r="I847" s="190"/>
      <c r="J847" s="201"/>
    </row>
    <row r="848" spans="1:10" ht="24.95" customHeight="1">
      <c r="A848" s="192"/>
      <c r="B848" s="202" t="s">
        <v>739</v>
      </c>
      <c r="C848" s="189">
        <v>1</v>
      </c>
      <c r="D848" s="189"/>
      <c r="E848" s="189">
        <v>8</v>
      </c>
      <c r="F848" s="203">
        <v>1.2</v>
      </c>
      <c r="G848" s="203"/>
      <c r="H848" s="203">
        <v>2.4</v>
      </c>
      <c r="I848" s="203">
        <f>SUM(C848:H848)</f>
        <v>12.6</v>
      </c>
      <c r="J848" s="191"/>
    </row>
    <row r="849" spans="1:10" ht="24.95" customHeight="1">
      <c r="A849" s="192"/>
      <c r="B849" s="202" t="s">
        <v>739</v>
      </c>
      <c r="C849" s="189">
        <v>1</v>
      </c>
      <c r="D849" s="189"/>
      <c r="E849" s="189">
        <v>7</v>
      </c>
      <c r="F849" s="203">
        <v>0.9</v>
      </c>
      <c r="G849" s="203"/>
      <c r="H849" s="203">
        <v>2.4</v>
      </c>
      <c r="I849" s="203">
        <f>SUM(C849:H849)</f>
        <v>11.3</v>
      </c>
      <c r="J849" s="191"/>
    </row>
    <row r="850" spans="1:10" ht="24.95" customHeight="1">
      <c r="A850" s="192"/>
      <c r="B850" s="202"/>
      <c r="C850" s="189"/>
      <c r="D850" s="189"/>
      <c r="E850" s="189"/>
      <c r="F850" s="563" t="s">
        <v>740</v>
      </c>
      <c r="G850" s="563"/>
      <c r="H850" s="563"/>
      <c r="I850" s="203">
        <f>SUM(I848:I849)</f>
        <v>23.9</v>
      </c>
      <c r="J850" s="191"/>
    </row>
    <row r="851" spans="1:10" ht="24.95" customHeight="1">
      <c r="A851" s="192"/>
      <c r="B851" s="202"/>
      <c r="C851" s="189"/>
      <c r="D851" s="189"/>
      <c r="E851" s="189"/>
      <c r="F851" s="190"/>
      <c r="G851" s="190"/>
      <c r="H851" s="204" t="s">
        <v>261</v>
      </c>
      <c r="I851" s="204">
        <v>62.15</v>
      </c>
      <c r="J851" s="201" t="s">
        <v>123</v>
      </c>
    </row>
    <row r="852" spans="1:10" ht="24.95" customHeight="1">
      <c r="A852" s="213">
        <v>41</v>
      </c>
      <c r="B852" s="188" t="s">
        <v>741</v>
      </c>
      <c r="C852" s="189"/>
      <c r="D852" s="189"/>
      <c r="E852" s="189"/>
      <c r="F852" s="190"/>
      <c r="G852" s="190"/>
      <c r="H852" s="190"/>
      <c r="I852" s="190"/>
      <c r="J852" s="191"/>
    </row>
    <row r="853" spans="1:10" ht="24.95" customHeight="1">
      <c r="A853" s="192"/>
      <c r="B853" s="202" t="s">
        <v>737</v>
      </c>
      <c r="C853" s="189">
        <v>1</v>
      </c>
      <c r="D853" s="189"/>
      <c r="E853" s="189">
        <v>2</v>
      </c>
      <c r="F853" s="190">
        <v>1.8</v>
      </c>
      <c r="G853" s="190"/>
      <c r="H853" s="190">
        <v>1.65</v>
      </c>
      <c r="I853" s="190">
        <v>5.94</v>
      </c>
      <c r="J853" s="191"/>
    </row>
    <row r="854" spans="1:10" ht="24.95" customHeight="1">
      <c r="A854" s="192"/>
      <c r="B854" s="202" t="s">
        <v>526</v>
      </c>
      <c r="C854" s="189">
        <v>1</v>
      </c>
      <c r="D854" s="189"/>
      <c r="E854" s="189">
        <v>13</v>
      </c>
      <c r="F854" s="190">
        <v>1.5</v>
      </c>
      <c r="G854" s="190"/>
      <c r="H854" s="190">
        <v>1.65</v>
      </c>
      <c r="I854" s="190">
        <v>32.18</v>
      </c>
      <c r="J854" s="191"/>
    </row>
    <row r="855" spans="1:10" ht="24.95" customHeight="1">
      <c r="A855" s="192"/>
      <c r="B855" s="202" t="s">
        <v>518</v>
      </c>
      <c r="C855" s="189">
        <v>1</v>
      </c>
      <c r="D855" s="189"/>
      <c r="E855" s="189">
        <v>1</v>
      </c>
      <c r="F855" s="190">
        <v>1.35</v>
      </c>
      <c r="G855" s="190"/>
      <c r="H855" s="190">
        <v>1.65</v>
      </c>
      <c r="I855" s="190">
        <v>2.23</v>
      </c>
      <c r="J855" s="191"/>
    </row>
    <row r="856" spans="1:10" ht="24.95" customHeight="1">
      <c r="A856" s="192"/>
      <c r="B856" s="202" t="s">
        <v>519</v>
      </c>
      <c r="C856" s="189">
        <v>1</v>
      </c>
      <c r="D856" s="189"/>
      <c r="E856" s="189">
        <v>10</v>
      </c>
      <c r="F856" s="190">
        <v>0.9</v>
      </c>
      <c r="G856" s="190"/>
      <c r="H856" s="190">
        <v>1.65</v>
      </c>
      <c r="I856" s="190">
        <v>14.85</v>
      </c>
      <c r="J856" s="191"/>
    </row>
    <row r="857" spans="1:10" ht="24.95" customHeight="1">
      <c r="A857" s="192"/>
      <c r="B857" s="202" t="s">
        <v>539</v>
      </c>
      <c r="C857" s="189">
        <v>1</v>
      </c>
      <c r="D857" s="189"/>
      <c r="E857" s="189">
        <v>4</v>
      </c>
      <c r="F857" s="190">
        <v>1.2</v>
      </c>
      <c r="G857" s="190"/>
      <c r="H857" s="190">
        <v>1.65</v>
      </c>
      <c r="I857" s="190">
        <v>7.92</v>
      </c>
      <c r="J857" s="191"/>
    </row>
    <row r="858" spans="1:10" ht="24.95" customHeight="1">
      <c r="A858" s="192"/>
      <c r="B858" s="202" t="s">
        <v>521</v>
      </c>
      <c r="C858" s="189">
        <v>1</v>
      </c>
      <c r="D858" s="189"/>
      <c r="E858" s="189">
        <v>2</v>
      </c>
      <c r="F858" s="190">
        <v>1.2</v>
      </c>
      <c r="G858" s="190"/>
      <c r="H858" s="190">
        <v>1.65</v>
      </c>
      <c r="I858" s="190">
        <v>3.96</v>
      </c>
      <c r="J858" s="191"/>
    </row>
    <row r="859" spans="1:10" ht="24.95" customHeight="1">
      <c r="A859" s="192"/>
      <c r="B859" s="202" t="s">
        <v>522</v>
      </c>
      <c r="C859" s="189">
        <v>1</v>
      </c>
      <c r="D859" s="189"/>
      <c r="E859" s="189">
        <v>2</v>
      </c>
      <c r="F859" s="190">
        <v>1.5</v>
      </c>
      <c r="G859" s="190"/>
      <c r="H859" s="190">
        <v>1.65</v>
      </c>
      <c r="I859" s="190">
        <v>4.95</v>
      </c>
      <c r="J859" s="191"/>
    </row>
    <row r="860" spans="1:10" ht="24.95" customHeight="1">
      <c r="A860" s="192"/>
      <c r="B860" s="202" t="s">
        <v>523</v>
      </c>
      <c r="C860" s="189">
        <v>1</v>
      </c>
      <c r="D860" s="189"/>
      <c r="E860" s="189">
        <v>4</v>
      </c>
      <c r="F860" s="190">
        <v>1.05</v>
      </c>
      <c r="G860" s="190"/>
      <c r="H860" s="190">
        <v>1.65</v>
      </c>
      <c r="I860" s="190">
        <v>6.93</v>
      </c>
      <c r="J860" s="191"/>
    </row>
    <row r="861" spans="1:10" ht="24.95" customHeight="1">
      <c r="A861" s="192"/>
      <c r="B861" s="202" t="s">
        <v>558</v>
      </c>
      <c r="C861" s="189">
        <v>1</v>
      </c>
      <c r="D861" s="189"/>
      <c r="E861" s="189">
        <v>2</v>
      </c>
      <c r="F861" s="190">
        <v>0.75</v>
      </c>
      <c r="G861" s="190"/>
      <c r="H861" s="190">
        <v>2.4</v>
      </c>
      <c r="I861" s="190">
        <v>3.6</v>
      </c>
      <c r="J861" s="191"/>
    </row>
    <row r="862" spans="1:10" ht="24.95" customHeight="1">
      <c r="A862" s="192"/>
      <c r="B862" s="202" t="s">
        <v>558</v>
      </c>
      <c r="C862" s="189">
        <v>1</v>
      </c>
      <c r="D862" s="189"/>
      <c r="E862" s="189">
        <v>1</v>
      </c>
      <c r="F862" s="190">
        <v>0.8</v>
      </c>
      <c r="G862" s="190"/>
      <c r="H862" s="190">
        <v>2.1</v>
      </c>
      <c r="I862" s="190">
        <v>1.68</v>
      </c>
      <c r="J862" s="191"/>
    </row>
    <row r="863" spans="1:10" ht="24.95" customHeight="1">
      <c r="A863" s="192"/>
      <c r="B863" s="202" t="s">
        <v>520</v>
      </c>
      <c r="C863" s="189">
        <v>1</v>
      </c>
      <c r="D863" s="189"/>
      <c r="E863" s="189">
        <v>1</v>
      </c>
      <c r="F863" s="190">
        <v>0.75</v>
      </c>
      <c r="G863" s="190"/>
      <c r="H863" s="190">
        <v>2.1</v>
      </c>
      <c r="I863" s="190">
        <v>1.58</v>
      </c>
      <c r="J863" s="191"/>
    </row>
    <row r="864" spans="1:10" ht="24.95" customHeight="1">
      <c r="A864" s="192"/>
      <c r="B864" s="202" t="s">
        <v>620</v>
      </c>
      <c r="C864" s="189">
        <v>1</v>
      </c>
      <c r="D864" s="189"/>
      <c r="E864" s="189">
        <v>3</v>
      </c>
      <c r="F864" s="190">
        <v>1.8</v>
      </c>
      <c r="G864" s="190"/>
      <c r="H864" s="190">
        <v>0.6</v>
      </c>
      <c r="I864" s="190">
        <v>3.24</v>
      </c>
      <c r="J864" s="191"/>
    </row>
    <row r="865" spans="1:10" ht="24.95" customHeight="1">
      <c r="A865" s="192"/>
      <c r="B865" s="202" t="s">
        <v>559</v>
      </c>
      <c r="C865" s="189">
        <v>1</v>
      </c>
      <c r="D865" s="189"/>
      <c r="E865" s="189">
        <v>12</v>
      </c>
      <c r="F865" s="190">
        <v>1.2</v>
      </c>
      <c r="G865" s="190"/>
      <c r="H865" s="190">
        <v>0.6</v>
      </c>
      <c r="I865" s="190">
        <v>8.64</v>
      </c>
      <c r="J865" s="191"/>
    </row>
    <row r="866" spans="1:10" ht="24.95" customHeight="1">
      <c r="A866" s="192"/>
      <c r="B866" s="202" t="s">
        <v>559</v>
      </c>
      <c r="C866" s="189">
        <v>1</v>
      </c>
      <c r="D866" s="189"/>
      <c r="E866" s="189">
        <v>1</v>
      </c>
      <c r="F866" s="190">
        <v>2.1</v>
      </c>
      <c r="G866" s="190"/>
      <c r="H866" s="190">
        <v>0.6</v>
      </c>
      <c r="I866" s="190">
        <v>1.26</v>
      </c>
      <c r="J866" s="191"/>
    </row>
    <row r="867" spans="1:10" ht="24.95" customHeight="1">
      <c r="A867" s="192"/>
      <c r="B867" s="202" t="s">
        <v>622</v>
      </c>
      <c r="C867" s="189">
        <v>1</v>
      </c>
      <c r="D867" s="189"/>
      <c r="E867" s="189">
        <v>13</v>
      </c>
      <c r="F867" s="190">
        <v>0.9</v>
      </c>
      <c r="G867" s="190"/>
      <c r="H867" s="190">
        <v>0.9</v>
      </c>
      <c r="I867" s="190">
        <v>10.53</v>
      </c>
      <c r="J867" s="191"/>
    </row>
    <row r="868" spans="1:10" ht="24.95" customHeight="1">
      <c r="A868" s="192"/>
      <c r="B868" s="202" t="s">
        <v>621</v>
      </c>
      <c r="C868" s="189">
        <v>2</v>
      </c>
      <c r="D868" s="189"/>
      <c r="E868" s="189">
        <v>2</v>
      </c>
      <c r="F868" s="190">
        <v>0.9</v>
      </c>
      <c r="G868" s="190"/>
      <c r="H868" s="190">
        <v>0.9</v>
      </c>
      <c r="I868" s="190">
        <v>3.24</v>
      </c>
      <c r="J868" s="191"/>
    </row>
    <row r="869" spans="1:10" ht="24.95" customHeight="1">
      <c r="A869" s="192"/>
      <c r="B869" s="202" t="s">
        <v>559</v>
      </c>
      <c r="C869" s="189">
        <v>2</v>
      </c>
      <c r="D869" s="189"/>
      <c r="E869" s="189">
        <v>2</v>
      </c>
      <c r="F869" s="190">
        <v>0.9</v>
      </c>
      <c r="G869" s="190"/>
      <c r="H869" s="190">
        <v>0.9</v>
      </c>
      <c r="I869" s="190">
        <v>3.24</v>
      </c>
      <c r="J869" s="191"/>
    </row>
    <row r="870" spans="1:10" ht="24.95" customHeight="1">
      <c r="A870" s="192"/>
      <c r="B870" s="202" t="s">
        <v>730</v>
      </c>
      <c r="C870" s="189">
        <v>1</v>
      </c>
      <c r="D870" s="189"/>
      <c r="E870" s="189">
        <v>3</v>
      </c>
      <c r="F870" s="190">
        <v>7</v>
      </c>
      <c r="G870" s="190"/>
      <c r="H870" s="190">
        <v>0.6</v>
      </c>
      <c r="I870" s="190">
        <v>12.6</v>
      </c>
      <c r="J870" s="191"/>
    </row>
    <row r="871" spans="1:10" ht="24.95" customHeight="1">
      <c r="A871" s="192"/>
      <c r="B871" s="202" t="s">
        <v>731</v>
      </c>
      <c r="C871" s="189">
        <v>1</v>
      </c>
      <c r="D871" s="189"/>
      <c r="E871" s="189">
        <v>4</v>
      </c>
      <c r="F871" s="190">
        <v>4</v>
      </c>
      <c r="G871" s="190"/>
      <c r="H871" s="190">
        <v>0.6</v>
      </c>
      <c r="I871" s="190">
        <v>9.6</v>
      </c>
      <c r="J871" s="191"/>
    </row>
    <row r="872" spans="1:10" ht="24.95" customHeight="1">
      <c r="A872" s="192"/>
      <c r="B872" s="202" t="s">
        <v>742</v>
      </c>
      <c r="C872" s="189">
        <v>1</v>
      </c>
      <c r="D872" s="189"/>
      <c r="E872" s="189">
        <v>1</v>
      </c>
      <c r="F872" s="203">
        <v>3.14</v>
      </c>
      <c r="G872" s="203">
        <v>0.03</v>
      </c>
      <c r="H872" s="203">
        <f>$I$889</f>
        <v>50</v>
      </c>
      <c r="I872" s="203">
        <f>PRODUCT(C872:H872)</f>
        <v>4.71</v>
      </c>
      <c r="J872" s="201"/>
    </row>
    <row r="873" spans="1:10" ht="24.95" customHeight="1">
      <c r="A873" s="192"/>
      <c r="B873" s="202" t="s">
        <v>743</v>
      </c>
      <c r="C873" s="189">
        <v>1</v>
      </c>
      <c r="D873" s="189"/>
      <c r="E873" s="189">
        <v>1</v>
      </c>
      <c r="F873" s="203">
        <v>3.14</v>
      </c>
      <c r="G873" s="203">
        <v>2.5000000000000001E-2</v>
      </c>
      <c r="H873" s="203">
        <f>I892</f>
        <v>60</v>
      </c>
      <c r="I873" s="203">
        <f>PRODUCT(C873:H873)</f>
        <v>4.71</v>
      </c>
      <c r="J873" s="191"/>
    </row>
    <row r="874" spans="1:10" ht="24.95" customHeight="1">
      <c r="A874" s="192"/>
      <c r="B874" s="202"/>
      <c r="C874" s="189"/>
      <c r="D874" s="189"/>
      <c r="E874" s="189"/>
      <c r="F874" s="203"/>
      <c r="G874" s="203"/>
      <c r="H874" s="203"/>
      <c r="I874" s="203">
        <f>SUM(I853:I873)</f>
        <v>147.59</v>
      </c>
      <c r="J874" s="191"/>
    </row>
    <row r="875" spans="1:10" ht="24.95" customHeight="1">
      <c r="A875" s="192"/>
      <c r="B875" s="202"/>
      <c r="C875" s="189"/>
      <c r="D875" s="189"/>
      <c r="E875" s="189"/>
      <c r="F875" s="203"/>
      <c r="G875" s="203"/>
      <c r="H875" s="204" t="s">
        <v>261</v>
      </c>
      <c r="I875" s="204">
        <f>ROUNDUP(I874,1-0)</f>
        <v>147.6</v>
      </c>
      <c r="J875" s="201" t="s">
        <v>123</v>
      </c>
    </row>
    <row r="876" spans="1:10" ht="24.95" customHeight="1">
      <c r="A876" s="192"/>
      <c r="B876" s="202"/>
      <c r="C876" s="189"/>
      <c r="D876" s="189"/>
      <c r="E876" s="189"/>
      <c r="F876" s="203"/>
      <c r="G876" s="203"/>
      <c r="H876" s="204"/>
      <c r="I876" s="204"/>
      <c r="J876" s="201"/>
    </row>
    <row r="877" spans="1:10" ht="24.95" customHeight="1">
      <c r="A877" s="192"/>
      <c r="B877" s="202"/>
      <c r="C877" s="189"/>
      <c r="D877" s="189"/>
      <c r="E877" s="189"/>
      <c r="F877" s="203"/>
      <c r="G877" s="203"/>
      <c r="H877" s="204"/>
      <c r="I877" s="204"/>
      <c r="J877" s="201"/>
    </row>
    <row r="878" spans="1:10" ht="24" customHeight="1">
      <c r="A878" s="247">
        <v>46</v>
      </c>
      <c r="B878" s="202" t="s">
        <v>744</v>
      </c>
      <c r="C878" s="189">
        <v>1</v>
      </c>
      <c r="D878" s="189"/>
      <c r="E878" s="189">
        <v>4</v>
      </c>
      <c r="F878" s="203">
        <v>2</v>
      </c>
      <c r="G878" s="203"/>
      <c r="H878" s="203"/>
      <c r="I878" s="204">
        <f>PRODUCT(C878:H878)</f>
        <v>8</v>
      </c>
      <c r="J878" s="201" t="s">
        <v>39</v>
      </c>
    </row>
    <row r="879" spans="1:10" ht="24.95" customHeight="1">
      <c r="A879" s="247">
        <v>47</v>
      </c>
      <c r="B879" s="202" t="s">
        <v>745</v>
      </c>
      <c r="C879" s="189">
        <v>1</v>
      </c>
      <c r="D879" s="189"/>
      <c r="E879" s="189">
        <v>8</v>
      </c>
      <c r="F879" s="203"/>
      <c r="G879" s="203"/>
      <c r="H879" s="203"/>
      <c r="I879" s="204">
        <f>PRODUCT(C879:H879)</f>
        <v>8</v>
      </c>
      <c r="J879" s="201" t="s">
        <v>69</v>
      </c>
    </row>
    <row r="880" spans="1:10" ht="24.95" customHeight="1">
      <c r="A880" s="247">
        <v>48</v>
      </c>
      <c r="B880" s="202" t="s">
        <v>746</v>
      </c>
      <c r="C880" s="189">
        <v>1</v>
      </c>
      <c r="D880" s="189"/>
      <c r="E880" s="189">
        <v>10</v>
      </c>
      <c r="F880" s="203"/>
      <c r="G880" s="203"/>
      <c r="H880" s="203"/>
      <c r="I880" s="204">
        <f>PRODUCT(C880:H880)</f>
        <v>10</v>
      </c>
      <c r="J880" s="201" t="s">
        <v>69</v>
      </c>
    </row>
    <row r="881" spans="1:10" ht="35.25" customHeight="1">
      <c r="A881" s="247">
        <v>49</v>
      </c>
      <c r="B881" s="202" t="s">
        <v>747</v>
      </c>
      <c r="C881" s="189"/>
      <c r="D881" s="189"/>
      <c r="E881" s="189"/>
      <c r="F881" s="190"/>
      <c r="G881" s="190"/>
      <c r="H881" s="190"/>
      <c r="I881" s="190"/>
      <c r="J881" s="191"/>
    </row>
    <row r="882" spans="1:10" ht="24.95" customHeight="1">
      <c r="A882" s="247"/>
      <c r="B882" s="202" t="s">
        <v>748</v>
      </c>
      <c r="C882" s="189">
        <v>20</v>
      </c>
      <c r="D882" s="189"/>
      <c r="E882" s="189">
        <v>5</v>
      </c>
      <c r="F882" s="190"/>
      <c r="G882" s="203"/>
      <c r="H882" s="203"/>
      <c r="I882" s="204">
        <f>PRODUCT(C882:H882)</f>
        <v>100</v>
      </c>
      <c r="J882" s="201" t="s">
        <v>69</v>
      </c>
    </row>
    <row r="883" spans="1:10" ht="24.95" customHeight="1">
      <c r="A883" s="247">
        <v>50.3</v>
      </c>
      <c r="B883" s="202" t="s">
        <v>749</v>
      </c>
      <c r="C883" s="189">
        <v>1</v>
      </c>
      <c r="D883" s="189"/>
      <c r="E883" s="189">
        <v>15</v>
      </c>
      <c r="F883" s="190"/>
      <c r="G883" s="203"/>
      <c r="H883" s="203"/>
      <c r="I883" s="204">
        <f>PRODUCT(C883:H883)</f>
        <v>15</v>
      </c>
      <c r="J883" s="201" t="s">
        <v>69</v>
      </c>
    </row>
    <row r="884" spans="1:10" ht="24.95" customHeight="1">
      <c r="A884" s="247">
        <v>50.4</v>
      </c>
      <c r="B884" s="202" t="s">
        <v>750</v>
      </c>
      <c r="C884" s="189">
        <v>1</v>
      </c>
      <c r="D884" s="189"/>
      <c r="E884" s="189">
        <f>E883</f>
        <v>15</v>
      </c>
      <c r="F884" s="190"/>
      <c r="G884" s="203"/>
      <c r="H884" s="203"/>
      <c r="I884" s="204">
        <f>PRODUCT(C884:H884)</f>
        <v>15</v>
      </c>
      <c r="J884" s="201" t="s">
        <v>69</v>
      </c>
    </row>
    <row r="885" spans="1:10" ht="37.5" customHeight="1">
      <c r="A885" s="247" t="s">
        <v>751</v>
      </c>
      <c r="B885" s="202" t="s">
        <v>21</v>
      </c>
      <c r="C885" s="189">
        <v>1</v>
      </c>
      <c r="D885" s="189"/>
      <c r="E885" s="189">
        <v>1</v>
      </c>
      <c r="F885" s="190"/>
      <c r="G885" s="203"/>
      <c r="H885" s="203"/>
      <c r="I885" s="204">
        <f>PRODUCT(C885:H885)</f>
        <v>1</v>
      </c>
      <c r="J885" s="201" t="s">
        <v>69</v>
      </c>
    </row>
    <row r="886" spans="1:10" ht="24.95" customHeight="1">
      <c r="A886" s="247">
        <v>52.2</v>
      </c>
      <c r="B886" s="202" t="s">
        <v>752</v>
      </c>
      <c r="C886" s="189"/>
      <c r="D886" s="189"/>
      <c r="E886" s="189"/>
      <c r="F886" s="190"/>
      <c r="G886" s="190"/>
      <c r="H886" s="190"/>
      <c r="I886" s="190"/>
      <c r="J886" s="201"/>
    </row>
    <row r="887" spans="1:10" ht="24.95" customHeight="1">
      <c r="A887" s="248"/>
      <c r="B887" s="202" t="s">
        <v>753</v>
      </c>
      <c r="C887" s="189"/>
      <c r="D887" s="189"/>
      <c r="E887" s="189"/>
      <c r="F887" s="190"/>
      <c r="G887" s="190"/>
      <c r="H887" s="190"/>
      <c r="I887" s="190"/>
      <c r="J887" s="191"/>
    </row>
    <row r="888" spans="1:10" ht="24.95" customHeight="1">
      <c r="A888" s="192"/>
      <c r="B888" s="202" t="s">
        <v>754</v>
      </c>
      <c r="C888" s="189">
        <v>1</v>
      </c>
      <c r="D888" s="189"/>
      <c r="E888" s="189">
        <v>1</v>
      </c>
      <c r="F888" s="203">
        <v>50</v>
      </c>
      <c r="G888" s="203"/>
      <c r="H888" s="203"/>
      <c r="I888" s="203">
        <f>PRODUCT(C888:H888)</f>
        <v>50</v>
      </c>
      <c r="J888" s="191"/>
    </row>
    <row r="889" spans="1:10" ht="24.95" customHeight="1">
      <c r="A889" s="192"/>
      <c r="B889" s="202"/>
      <c r="C889" s="189"/>
      <c r="D889" s="189"/>
      <c r="E889" s="189"/>
      <c r="F889" s="203"/>
      <c r="G889" s="203"/>
      <c r="H889" s="204" t="s">
        <v>261</v>
      </c>
      <c r="I889" s="204">
        <f>I888</f>
        <v>50</v>
      </c>
      <c r="J889" s="201" t="s">
        <v>39</v>
      </c>
    </row>
    <row r="890" spans="1:10" ht="24.95" customHeight="1">
      <c r="A890" s="192"/>
      <c r="B890" s="188" t="s">
        <v>755</v>
      </c>
      <c r="C890" s="189"/>
      <c r="D890" s="189"/>
      <c r="E890" s="189"/>
      <c r="F890" s="203"/>
      <c r="G890" s="203"/>
      <c r="H890" s="203"/>
      <c r="I890" s="203"/>
      <c r="J890" s="191"/>
    </row>
    <row r="891" spans="1:10" ht="24.95" customHeight="1">
      <c r="A891" s="192"/>
      <c r="B891" s="202" t="s">
        <v>756</v>
      </c>
      <c r="C891" s="189">
        <v>1</v>
      </c>
      <c r="D891" s="189"/>
      <c r="E891" s="189">
        <v>1</v>
      </c>
      <c r="F891" s="203">
        <v>60</v>
      </c>
      <c r="G891" s="203"/>
      <c r="H891" s="203"/>
      <c r="I891" s="203">
        <f>PRODUCT(C891:H891)</f>
        <v>60</v>
      </c>
      <c r="J891" s="191"/>
    </row>
    <row r="892" spans="1:10" ht="24.95" customHeight="1">
      <c r="A892" s="192"/>
      <c r="B892" s="202"/>
      <c r="C892" s="189"/>
      <c r="D892" s="189"/>
      <c r="E892" s="189"/>
      <c r="F892" s="203"/>
      <c r="G892" s="203"/>
      <c r="H892" s="204" t="s">
        <v>261</v>
      </c>
      <c r="I892" s="204">
        <f>I891</f>
        <v>60</v>
      </c>
      <c r="J892" s="201" t="s">
        <v>39</v>
      </c>
    </row>
    <row r="893" spans="1:10" ht="24.95" customHeight="1">
      <c r="A893" s="213"/>
      <c r="B893" s="188" t="s">
        <v>757</v>
      </c>
      <c r="C893" s="189"/>
      <c r="D893" s="189"/>
      <c r="E893" s="189"/>
      <c r="F893" s="190"/>
      <c r="G893" s="190"/>
      <c r="H893" s="190"/>
      <c r="I893" s="190"/>
      <c r="J893" s="191"/>
    </row>
    <row r="894" spans="1:10" ht="24.95" customHeight="1">
      <c r="A894" s="192"/>
      <c r="B894" s="202" t="s">
        <v>758</v>
      </c>
      <c r="C894" s="189">
        <v>2</v>
      </c>
      <c r="D894" s="189"/>
      <c r="E894" s="189">
        <v>3</v>
      </c>
      <c r="F894" s="203">
        <v>10</v>
      </c>
      <c r="G894" s="203"/>
      <c r="H894" s="203"/>
      <c r="I894" s="203">
        <f>PRODUCT(C894:H894)</f>
        <v>60</v>
      </c>
      <c r="J894" s="191"/>
    </row>
    <row r="895" spans="1:10" ht="24.95" customHeight="1">
      <c r="A895" s="192"/>
      <c r="B895" s="202"/>
      <c r="C895" s="189"/>
      <c r="D895" s="189"/>
      <c r="E895" s="189"/>
      <c r="F895" s="203"/>
      <c r="G895" s="203"/>
      <c r="H895" s="204" t="s">
        <v>261</v>
      </c>
      <c r="I895" s="204">
        <f>I894</f>
        <v>60</v>
      </c>
      <c r="J895" s="201" t="s">
        <v>39</v>
      </c>
    </row>
    <row r="896" spans="1:10" ht="24.95" customHeight="1">
      <c r="A896" s="213">
        <v>52.1</v>
      </c>
      <c r="B896" s="188" t="s">
        <v>759</v>
      </c>
      <c r="C896" s="189"/>
      <c r="D896" s="189"/>
      <c r="E896" s="189"/>
      <c r="F896" s="203"/>
      <c r="G896" s="203"/>
      <c r="H896" s="203"/>
      <c r="I896" s="203"/>
      <c r="J896" s="191"/>
    </row>
    <row r="897" spans="1:10" ht="24.95" customHeight="1">
      <c r="A897" s="192"/>
      <c r="B897" s="202" t="s">
        <v>980</v>
      </c>
      <c r="C897" s="189">
        <v>1</v>
      </c>
      <c r="D897" s="189"/>
      <c r="E897" s="189">
        <v>2</v>
      </c>
      <c r="F897" s="203">
        <v>3</v>
      </c>
      <c r="G897" s="203"/>
      <c r="H897" s="203"/>
      <c r="I897" s="204">
        <f>PRODUCT(C897:H897)</f>
        <v>6</v>
      </c>
      <c r="J897" s="201" t="s">
        <v>39</v>
      </c>
    </row>
    <row r="898" spans="1:10" ht="24.95" customHeight="1">
      <c r="A898" s="192"/>
      <c r="B898" s="202"/>
      <c r="C898" s="189"/>
      <c r="D898" s="189"/>
      <c r="E898" s="189"/>
      <c r="F898" s="203"/>
      <c r="G898" s="203"/>
      <c r="H898" s="203"/>
      <c r="I898" s="204"/>
      <c r="J898" s="201"/>
    </row>
    <row r="899" spans="1:10" ht="27.75" customHeight="1">
      <c r="A899" s="187">
        <v>60.1</v>
      </c>
      <c r="B899" s="243" t="s">
        <v>761</v>
      </c>
      <c r="C899" s="199"/>
      <c r="D899" s="199"/>
      <c r="E899" s="199"/>
      <c r="F899" s="197"/>
      <c r="G899" s="197"/>
      <c r="H899" s="197"/>
      <c r="I899" s="210"/>
      <c r="J899" s="211"/>
    </row>
    <row r="900" spans="1:10" ht="24.95" customHeight="1">
      <c r="A900" s="192"/>
      <c r="B900" s="202" t="s">
        <v>762</v>
      </c>
      <c r="C900" s="189">
        <v>2</v>
      </c>
      <c r="D900" s="189"/>
      <c r="E900" s="189">
        <v>11</v>
      </c>
      <c r="F900" s="203"/>
      <c r="G900" s="203"/>
      <c r="H900" s="203"/>
      <c r="I900" s="204">
        <f>PRODUCT(C900:H900)</f>
        <v>22</v>
      </c>
      <c r="J900" s="201" t="s">
        <v>69</v>
      </c>
    </row>
    <row r="901" spans="1:10" ht="24.95" customHeight="1">
      <c r="A901" s="192"/>
      <c r="B901" s="188" t="s">
        <v>777</v>
      </c>
      <c r="C901" s="189"/>
      <c r="D901" s="189"/>
      <c r="E901" s="189"/>
      <c r="F901" s="190"/>
      <c r="G901" s="190"/>
      <c r="H901" s="190"/>
      <c r="I901" s="190"/>
      <c r="J901" s="201"/>
    </row>
    <row r="902" spans="1:10" ht="65.25" customHeight="1">
      <c r="A902" s="213" t="s">
        <v>874</v>
      </c>
      <c r="B902" s="188" t="s">
        <v>875</v>
      </c>
      <c r="C902" s="189"/>
      <c r="D902" s="189"/>
      <c r="E902" s="189"/>
      <c r="F902" s="190"/>
      <c r="G902" s="190"/>
      <c r="H902" s="190"/>
      <c r="I902" s="190"/>
      <c r="J902" s="191"/>
    </row>
    <row r="903" spans="1:10" ht="24.95" customHeight="1">
      <c r="A903" s="192"/>
      <c r="B903" s="188" t="s">
        <v>876</v>
      </c>
      <c r="C903" s="189"/>
      <c r="D903" s="189"/>
      <c r="E903" s="189"/>
      <c r="F903" s="190"/>
      <c r="G903" s="190"/>
      <c r="H903" s="190"/>
      <c r="I903" s="190"/>
      <c r="J903" s="191"/>
    </row>
    <row r="904" spans="1:10" ht="24.95" customHeight="1">
      <c r="A904" s="192"/>
      <c r="B904" s="202" t="s">
        <v>637</v>
      </c>
      <c r="C904" s="189">
        <v>2</v>
      </c>
      <c r="D904" s="189"/>
      <c r="E904" s="189">
        <v>3</v>
      </c>
      <c r="F904" s="190"/>
      <c r="G904" s="190"/>
      <c r="H904" s="203"/>
      <c r="I904" s="203">
        <f t="shared" ref="I904:I919" si="57">PRODUCT(C904:H904)</f>
        <v>6</v>
      </c>
      <c r="J904" s="191"/>
    </row>
    <row r="905" spans="1:10" ht="24.95" customHeight="1">
      <c r="A905" s="192"/>
      <c r="B905" s="202" t="s">
        <v>877</v>
      </c>
      <c r="C905" s="189">
        <v>2</v>
      </c>
      <c r="D905" s="189"/>
      <c r="E905" s="189">
        <v>3</v>
      </c>
      <c r="F905" s="190"/>
      <c r="G905" s="190"/>
      <c r="H905" s="203"/>
      <c r="I905" s="203">
        <f t="shared" si="57"/>
        <v>6</v>
      </c>
      <c r="J905" s="191"/>
    </row>
    <row r="906" spans="1:10" ht="24.95" customHeight="1">
      <c r="A906" s="192"/>
      <c r="B906" s="202" t="s">
        <v>665</v>
      </c>
      <c r="C906" s="189">
        <v>1</v>
      </c>
      <c r="D906" s="189"/>
      <c r="E906" s="189">
        <v>2</v>
      </c>
      <c r="F906" s="190"/>
      <c r="G906" s="190"/>
      <c r="H906" s="203"/>
      <c r="I906" s="203">
        <f t="shared" si="57"/>
        <v>2</v>
      </c>
      <c r="J906" s="191"/>
    </row>
    <row r="907" spans="1:10" ht="24.95" customHeight="1">
      <c r="A907" s="192"/>
      <c r="B907" s="202" t="s">
        <v>666</v>
      </c>
      <c r="C907" s="189">
        <v>1</v>
      </c>
      <c r="D907" s="189"/>
      <c r="E907" s="189">
        <v>1</v>
      </c>
      <c r="F907" s="190"/>
      <c r="G907" s="190"/>
      <c r="H907" s="203"/>
      <c r="I907" s="203">
        <f t="shared" si="57"/>
        <v>1</v>
      </c>
      <c r="J907" s="201"/>
    </row>
    <row r="908" spans="1:10" ht="24.95" customHeight="1">
      <c r="A908" s="192"/>
      <c r="B908" s="202" t="s">
        <v>878</v>
      </c>
      <c r="C908" s="189">
        <v>2</v>
      </c>
      <c r="D908" s="189"/>
      <c r="E908" s="189">
        <v>1</v>
      </c>
      <c r="F908" s="190"/>
      <c r="G908" s="190"/>
      <c r="H908" s="203"/>
      <c r="I908" s="203">
        <f t="shared" si="57"/>
        <v>2</v>
      </c>
      <c r="J908" s="191"/>
    </row>
    <row r="909" spans="1:10" ht="24.95" customHeight="1">
      <c r="A909" s="192"/>
      <c r="B909" s="202" t="s">
        <v>634</v>
      </c>
      <c r="C909" s="189">
        <v>2</v>
      </c>
      <c r="D909" s="189"/>
      <c r="E909" s="189">
        <v>3</v>
      </c>
      <c r="F909" s="190"/>
      <c r="G909" s="190"/>
      <c r="H909" s="203"/>
      <c r="I909" s="203">
        <f t="shared" si="57"/>
        <v>6</v>
      </c>
      <c r="J909" s="191"/>
    </row>
    <row r="910" spans="1:10" ht="24.95" customHeight="1">
      <c r="A910" s="192"/>
      <c r="B910" s="202" t="s">
        <v>879</v>
      </c>
      <c r="C910" s="189">
        <v>1</v>
      </c>
      <c r="D910" s="189"/>
      <c r="E910" s="189">
        <v>2</v>
      </c>
      <c r="F910" s="190"/>
      <c r="G910" s="190"/>
      <c r="H910" s="203"/>
      <c r="I910" s="203">
        <f t="shared" si="57"/>
        <v>2</v>
      </c>
      <c r="J910" s="191"/>
    </row>
    <row r="911" spans="1:10" ht="24.95" customHeight="1">
      <c r="A911" s="192"/>
      <c r="B911" s="202" t="s">
        <v>843</v>
      </c>
      <c r="C911" s="189">
        <v>2</v>
      </c>
      <c r="D911" s="189"/>
      <c r="E911" s="189">
        <v>3</v>
      </c>
      <c r="F911" s="190"/>
      <c r="G911" s="190"/>
      <c r="H911" s="203"/>
      <c r="I911" s="203">
        <f t="shared" si="57"/>
        <v>6</v>
      </c>
      <c r="J911" s="191"/>
    </row>
    <row r="912" spans="1:10" ht="24.95" customHeight="1">
      <c r="A912" s="192"/>
      <c r="B912" s="202" t="s">
        <v>515</v>
      </c>
      <c r="C912" s="189">
        <v>1</v>
      </c>
      <c r="D912" s="189"/>
      <c r="E912" s="189">
        <v>1</v>
      </c>
      <c r="F912" s="190"/>
      <c r="G912" s="190"/>
      <c r="H912" s="203"/>
      <c r="I912" s="203">
        <f t="shared" si="57"/>
        <v>1</v>
      </c>
      <c r="J912" s="191"/>
    </row>
    <row r="913" spans="1:10" ht="24.95" customHeight="1">
      <c r="A913" s="192"/>
      <c r="B913" s="202" t="s">
        <v>476</v>
      </c>
      <c r="C913" s="189">
        <v>1</v>
      </c>
      <c r="D913" s="189"/>
      <c r="E913" s="189">
        <v>2</v>
      </c>
      <c r="F913" s="190"/>
      <c r="G913" s="190"/>
      <c r="H913" s="203"/>
      <c r="I913" s="203">
        <f t="shared" si="57"/>
        <v>2</v>
      </c>
      <c r="J913" s="191"/>
    </row>
    <row r="914" spans="1:10" ht="24.95" customHeight="1">
      <c r="A914" s="192"/>
      <c r="B914" s="202" t="s">
        <v>473</v>
      </c>
      <c r="C914" s="189">
        <v>1</v>
      </c>
      <c r="D914" s="189"/>
      <c r="E914" s="189">
        <v>1</v>
      </c>
      <c r="F914" s="190"/>
      <c r="G914" s="190"/>
      <c r="H914" s="203"/>
      <c r="I914" s="203">
        <f t="shared" si="57"/>
        <v>1</v>
      </c>
      <c r="J914" s="191"/>
    </row>
    <row r="915" spans="1:10" ht="24.95" customHeight="1">
      <c r="A915" s="192"/>
      <c r="B915" s="202" t="s">
        <v>880</v>
      </c>
      <c r="C915" s="189">
        <v>2</v>
      </c>
      <c r="D915" s="189"/>
      <c r="E915" s="189">
        <v>3</v>
      </c>
      <c r="F915" s="190"/>
      <c r="G915" s="190"/>
      <c r="H915" s="203"/>
      <c r="I915" s="203">
        <f t="shared" si="57"/>
        <v>6</v>
      </c>
      <c r="J915" s="191"/>
    </row>
    <row r="916" spans="1:10" ht="24.95" customHeight="1">
      <c r="A916" s="192"/>
      <c r="B916" s="202" t="s">
        <v>610</v>
      </c>
      <c r="C916" s="189">
        <v>1</v>
      </c>
      <c r="D916" s="189"/>
      <c r="E916" s="189">
        <v>1</v>
      </c>
      <c r="F916" s="190"/>
      <c r="G916" s="190"/>
      <c r="H916" s="203"/>
      <c r="I916" s="203">
        <f t="shared" si="57"/>
        <v>1</v>
      </c>
      <c r="J916" s="191"/>
    </row>
    <row r="917" spans="1:10" ht="24.95" customHeight="1">
      <c r="A917" s="192"/>
      <c r="B917" s="202" t="s">
        <v>787</v>
      </c>
      <c r="C917" s="189">
        <v>2</v>
      </c>
      <c r="D917" s="189"/>
      <c r="E917" s="189">
        <v>2</v>
      </c>
      <c r="F917" s="190"/>
      <c r="G917" s="190"/>
      <c r="H917" s="203"/>
      <c r="I917" s="203">
        <f t="shared" si="57"/>
        <v>4</v>
      </c>
      <c r="J917" s="191"/>
    </row>
    <row r="918" spans="1:10" ht="24.95" customHeight="1">
      <c r="A918" s="192"/>
      <c r="B918" s="202" t="s">
        <v>844</v>
      </c>
      <c r="C918" s="189">
        <v>1</v>
      </c>
      <c r="D918" s="189"/>
      <c r="E918" s="189">
        <v>2</v>
      </c>
      <c r="F918" s="190"/>
      <c r="G918" s="190"/>
      <c r="H918" s="203"/>
      <c r="I918" s="203">
        <f t="shared" si="57"/>
        <v>2</v>
      </c>
      <c r="J918" s="191"/>
    </row>
    <row r="919" spans="1:10" ht="24.95" customHeight="1">
      <c r="A919" s="192"/>
      <c r="B919" s="202" t="s">
        <v>881</v>
      </c>
      <c r="C919" s="189">
        <v>1</v>
      </c>
      <c r="D919" s="189"/>
      <c r="E919" s="189">
        <v>2</v>
      </c>
      <c r="F919" s="190"/>
      <c r="G919" s="190"/>
      <c r="H919" s="203"/>
      <c r="I919" s="203">
        <f t="shared" si="57"/>
        <v>2</v>
      </c>
      <c r="J919" s="191"/>
    </row>
    <row r="920" spans="1:10" ht="24.95" customHeight="1">
      <c r="A920" s="192"/>
      <c r="B920" s="202"/>
      <c r="C920" s="189"/>
      <c r="D920" s="189"/>
      <c r="E920" s="189"/>
      <c r="F920" s="190"/>
      <c r="G920" s="190"/>
      <c r="H920" s="204" t="s">
        <v>261</v>
      </c>
      <c r="I920" s="204">
        <f>SUM(I904:I919)</f>
        <v>50</v>
      </c>
      <c r="J920" s="201" t="s">
        <v>69</v>
      </c>
    </row>
    <row r="921" spans="1:10" ht="24.95" customHeight="1">
      <c r="A921" s="192"/>
      <c r="B921" s="188" t="s">
        <v>882</v>
      </c>
      <c r="C921" s="189"/>
      <c r="D921" s="189"/>
      <c r="E921" s="189"/>
      <c r="F921" s="190"/>
      <c r="G921" s="190"/>
      <c r="H921" s="190"/>
      <c r="I921" s="190"/>
      <c r="J921" s="191"/>
    </row>
    <row r="922" spans="1:10" ht="24.95" customHeight="1">
      <c r="A922" s="192"/>
      <c r="B922" s="202" t="s">
        <v>637</v>
      </c>
      <c r="C922" s="189">
        <v>2</v>
      </c>
      <c r="D922" s="189"/>
      <c r="E922" s="189">
        <v>2</v>
      </c>
      <c r="F922" s="190"/>
      <c r="G922" s="190"/>
      <c r="H922" s="203"/>
      <c r="I922" s="203">
        <f t="shared" ref="I922:I933" si="58">PRODUCT(C922:H922)</f>
        <v>4</v>
      </c>
      <c r="J922" s="191"/>
    </row>
    <row r="923" spans="1:10" ht="24.95" customHeight="1">
      <c r="A923" s="192"/>
      <c r="B923" s="202" t="s">
        <v>665</v>
      </c>
      <c r="C923" s="189">
        <v>1</v>
      </c>
      <c r="D923" s="189"/>
      <c r="E923" s="189">
        <v>2</v>
      </c>
      <c r="F923" s="190"/>
      <c r="G923" s="190"/>
      <c r="H923" s="203"/>
      <c r="I923" s="203">
        <f t="shared" si="58"/>
        <v>2</v>
      </c>
      <c r="J923" s="191"/>
    </row>
    <row r="924" spans="1:10" ht="24.95" customHeight="1">
      <c r="A924" s="192"/>
      <c r="B924" s="202" t="s">
        <v>666</v>
      </c>
      <c r="C924" s="189">
        <v>1</v>
      </c>
      <c r="D924" s="189"/>
      <c r="E924" s="189">
        <v>1</v>
      </c>
      <c r="F924" s="190"/>
      <c r="G924" s="190"/>
      <c r="H924" s="203"/>
      <c r="I924" s="203">
        <f t="shared" si="58"/>
        <v>1</v>
      </c>
      <c r="J924" s="201"/>
    </row>
    <row r="925" spans="1:10" ht="24.95" customHeight="1">
      <c r="A925" s="192"/>
      <c r="B925" s="202" t="s">
        <v>634</v>
      </c>
      <c r="C925" s="189">
        <v>2</v>
      </c>
      <c r="D925" s="189"/>
      <c r="E925" s="189">
        <v>3</v>
      </c>
      <c r="F925" s="190"/>
      <c r="G925" s="190"/>
      <c r="H925" s="203"/>
      <c r="I925" s="203">
        <f t="shared" si="58"/>
        <v>6</v>
      </c>
      <c r="J925" s="191"/>
    </row>
    <row r="926" spans="1:10" ht="24.95" customHeight="1">
      <c r="A926" s="192"/>
      <c r="B926" s="202" t="s">
        <v>843</v>
      </c>
      <c r="C926" s="189">
        <v>2</v>
      </c>
      <c r="D926" s="189"/>
      <c r="E926" s="189">
        <v>5</v>
      </c>
      <c r="F926" s="190"/>
      <c r="G926" s="190"/>
      <c r="H926" s="203"/>
      <c r="I926" s="203">
        <f t="shared" si="58"/>
        <v>10</v>
      </c>
      <c r="J926" s="191"/>
    </row>
    <row r="927" spans="1:10" ht="24.95" customHeight="1">
      <c r="A927" s="192"/>
      <c r="B927" s="202" t="s">
        <v>515</v>
      </c>
      <c r="C927" s="189">
        <v>1</v>
      </c>
      <c r="D927" s="189"/>
      <c r="E927" s="189">
        <v>1</v>
      </c>
      <c r="F927" s="190"/>
      <c r="G927" s="190"/>
      <c r="H927" s="203"/>
      <c r="I927" s="203">
        <f t="shared" si="58"/>
        <v>1</v>
      </c>
      <c r="J927" s="191"/>
    </row>
    <row r="928" spans="1:10" ht="24.95" customHeight="1">
      <c r="A928" s="192"/>
      <c r="B928" s="202" t="s">
        <v>476</v>
      </c>
      <c r="C928" s="189">
        <v>1</v>
      </c>
      <c r="D928" s="189"/>
      <c r="E928" s="189">
        <v>1</v>
      </c>
      <c r="F928" s="190"/>
      <c r="G928" s="190"/>
      <c r="H928" s="203"/>
      <c r="I928" s="203">
        <f t="shared" si="58"/>
        <v>1</v>
      </c>
      <c r="J928" s="191"/>
    </row>
    <row r="929" spans="1:10" ht="24.95" customHeight="1">
      <c r="A929" s="192"/>
      <c r="B929" s="202" t="s">
        <v>473</v>
      </c>
      <c r="C929" s="189">
        <v>1</v>
      </c>
      <c r="D929" s="189"/>
      <c r="E929" s="189">
        <v>1</v>
      </c>
      <c r="F929" s="190"/>
      <c r="G929" s="190"/>
      <c r="H929" s="203"/>
      <c r="I929" s="203">
        <f t="shared" si="58"/>
        <v>1</v>
      </c>
      <c r="J929" s="191"/>
    </row>
    <row r="930" spans="1:10" ht="24.95" customHeight="1">
      <c r="A930" s="192"/>
      <c r="B930" s="202" t="s">
        <v>880</v>
      </c>
      <c r="C930" s="189">
        <v>2</v>
      </c>
      <c r="D930" s="189"/>
      <c r="E930" s="189">
        <v>5</v>
      </c>
      <c r="F930" s="190"/>
      <c r="G930" s="190"/>
      <c r="H930" s="203"/>
      <c r="I930" s="203">
        <f t="shared" si="58"/>
        <v>10</v>
      </c>
      <c r="J930" s="191"/>
    </row>
    <row r="931" spans="1:10" ht="24.95" customHeight="1">
      <c r="A931" s="192"/>
      <c r="B931" s="202" t="s">
        <v>610</v>
      </c>
      <c r="C931" s="189">
        <v>1</v>
      </c>
      <c r="D931" s="189"/>
      <c r="E931" s="189">
        <v>1</v>
      </c>
      <c r="F931" s="190"/>
      <c r="G931" s="190"/>
      <c r="H931" s="203"/>
      <c r="I931" s="203">
        <f t="shared" si="58"/>
        <v>1</v>
      </c>
      <c r="J931" s="191"/>
    </row>
    <row r="932" spans="1:10" ht="24.95" customHeight="1">
      <c r="A932" s="192"/>
      <c r="B932" s="202" t="s">
        <v>787</v>
      </c>
      <c r="C932" s="189">
        <v>1</v>
      </c>
      <c r="D932" s="189"/>
      <c r="E932" s="189">
        <v>3</v>
      </c>
      <c r="F932" s="190"/>
      <c r="G932" s="190"/>
      <c r="H932" s="203"/>
      <c r="I932" s="203">
        <f t="shared" si="58"/>
        <v>3</v>
      </c>
      <c r="J932" s="191"/>
    </row>
    <row r="933" spans="1:10" ht="24.95" customHeight="1">
      <c r="A933" s="192"/>
      <c r="B933" s="202" t="s">
        <v>844</v>
      </c>
      <c r="C933" s="189">
        <v>1</v>
      </c>
      <c r="D933" s="189"/>
      <c r="E933" s="189">
        <v>1</v>
      </c>
      <c r="F933" s="190"/>
      <c r="G933" s="190"/>
      <c r="H933" s="203"/>
      <c r="I933" s="203">
        <f t="shared" si="58"/>
        <v>1</v>
      </c>
      <c r="J933" s="191"/>
    </row>
    <row r="934" spans="1:10" ht="24.95" customHeight="1">
      <c r="A934" s="192"/>
      <c r="B934" s="202"/>
      <c r="C934" s="189"/>
      <c r="D934" s="189"/>
      <c r="E934" s="189"/>
      <c r="F934" s="190"/>
      <c r="G934" s="190"/>
      <c r="H934" s="204" t="s">
        <v>480</v>
      </c>
      <c r="I934" s="204">
        <f>SUM(I922:I933)</f>
        <v>41</v>
      </c>
      <c r="J934" s="201" t="s">
        <v>92</v>
      </c>
    </row>
    <row r="935" spans="1:10" ht="24.95" customHeight="1">
      <c r="A935" s="192"/>
      <c r="B935" s="202"/>
      <c r="C935" s="189"/>
      <c r="D935" s="189"/>
      <c r="E935" s="189"/>
      <c r="F935" s="190"/>
      <c r="G935" s="190"/>
      <c r="H935" s="203"/>
      <c r="I935" s="203"/>
      <c r="J935" s="191"/>
    </row>
    <row r="936" spans="1:10" ht="24.95" customHeight="1">
      <c r="A936" s="192"/>
      <c r="B936" s="188" t="s">
        <v>883</v>
      </c>
      <c r="C936" s="189">
        <v>1</v>
      </c>
      <c r="D936" s="189"/>
      <c r="E936" s="189">
        <v>1</v>
      </c>
      <c r="F936" s="190"/>
      <c r="G936" s="190"/>
      <c r="H936" s="204"/>
      <c r="I936" s="204">
        <v>2</v>
      </c>
      <c r="J936" s="201" t="s">
        <v>69</v>
      </c>
    </row>
    <row r="937" spans="1:10" ht="24.95" customHeight="1">
      <c r="A937" s="192"/>
      <c r="B937" s="188"/>
      <c r="C937" s="189"/>
      <c r="D937" s="189"/>
      <c r="E937" s="189"/>
      <c r="F937" s="267"/>
      <c r="G937" s="267"/>
      <c r="H937" s="267"/>
      <c r="I937" s="267"/>
      <c r="J937" s="201"/>
    </row>
    <row r="938" spans="1:10" ht="87" customHeight="1">
      <c r="A938" s="213" t="s">
        <v>884</v>
      </c>
      <c r="B938" s="188" t="s">
        <v>885</v>
      </c>
      <c r="C938" s="189"/>
      <c r="D938" s="189"/>
      <c r="E938" s="189"/>
      <c r="F938" s="190"/>
      <c r="G938" s="190"/>
      <c r="H938" s="190"/>
      <c r="I938" s="190"/>
      <c r="J938" s="191"/>
    </row>
    <row r="939" spans="1:10" ht="24.95" customHeight="1">
      <c r="A939" s="192"/>
      <c r="B939" s="202" t="s">
        <v>784</v>
      </c>
      <c r="C939" s="189">
        <v>1</v>
      </c>
      <c r="D939" s="189"/>
      <c r="E939" s="189">
        <v>1</v>
      </c>
      <c r="F939" s="190"/>
      <c r="G939" s="203"/>
      <c r="H939" s="203"/>
      <c r="I939" s="203">
        <f t="shared" ref="I939:I947" si="59">PRODUCT(C939:H939)</f>
        <v>1</v>
      </c>
      <c r="J939" s="191"/>
    </row>
    <row r="940" spans="1:10" ht="24.95" customHeight="1">
      <c r="A940" s="192"/>
      <c r="B940" s="202" t="s">
        <v>476</v>
      </c>
      <c r="C940" s="189">
        <v>1</v>
      </c>
      <c r="D940" s="189"/>
      <c r="E940" s="189">
        <v>2</v>
      </c>
      <c r="F940" s="190"/>
      <c r="G940" s="203"/>
      <c r="H940" s="203"/>
      <c r="I940" s="203">
        <f t="shared" si="59"/>
        <v>2</v>
      </c>
      <c r="J940" s="191"/>
    </row>
    <row r="941" spans="1:10" ht="24.95" customHeight="1">
      <c r="A941" s="192"/>
      <c r="B941" s="202" t="s">
        <v>597</v>
      </c>
      <c r="C941" s="189">
        <v>1</v>
      </c>
      <c r="D941" s="189"/>
      <c r="E941" s="189">
        <v>2</v>
      </c>
      <c r="F941" s="190"/>
      <c r="G941" s="203"/>
      <c r="H941" s="203"/>
      <c r="I941" s="203">
        <f t="shared" si="59"/>
        <v>2</v>
      </c>
      <c r="J941" s="191"/>
    </row>
    <row r="942" spans="1:10" ht="24.95" customHeight="1">
      <c r="A942" s="192"/>
      <c r="B942" s="202" t="s">
        <v>597</v>
      </c>
      <c r="C942" s="189">
        <v>1</v>
      </c>
      <c r="D942" s="189"/>
      <c r="E942" s="189">
        <v>1</v>
      </c>
      <c r="F942" s="190"/>
      <c r="G942" s="203"/>
      <c r="H942" s="203"/>
      <c r="I942" s="203">
        <f t="shared" si="59"/>
        <v>1</v>
      </c>
      <c r="J942" s="191"/>
    </row>
    <row r="943" spans="1:10" ht="24.95" customHeight="1">
      <c r="A943" s="192"/>
      <c r="B943" s="202" t="s">
        <v>785</v>
      </c>
      <c r="C943" s="189">
        <v>1</v>
      </c>
      <c r="D943" s="189"/>
      <c r="E943" s="189">
        <v>1</v>
      </c>
      <c r="F943" s="190"/>
      <c r="G943" s="203"/>
      <c r="H943" s="203"/>
      <c r="I943" s="203">
        <f t="shared" si="59"/>
        <v>1</v>
      </c>
      <c r="J943" s="191"/>
    </row>
    <row r="944" spans="1:10" ht="24.95" customHeight="1">
      <c r="A944" s="192"/>
      <c r="B944" s="202" t="s">
        <v>786</v>
      </c>
      <c r="C944" s="189">
        <v>1</v>
      </c>
      <c r="D944" s="189"/>
      <c r="E944" s="189">
        <v>1</v>
      </c>
      <c r="F944" s="190"/>
      <c r="G944" s="203"/>
      <c r="H944" s="203"/>
      <c r="I944" s="203">
        <f t="shared" si="59"/>
        <v>1</v>
      </c>
      <c r="J944" s="191"/>
    </row>
    <row r="945" spans="1:10" ht="24.95" customHeight="1">
      <c r="A945" s="192"/>
      <c r="B945" s="202" t="s">
        <v>673</v>
      </c>
      <c r="C945" s="189">
        <v>1</v>
      </c>
      <c r="D945" s="189"/>
      <c r="E945" s="189">
        <v>1</v>
      </c>
      <c r="F945" s="190"/>
      <c r="G945" s="203"/>
      <c r="H945" s="203"/>
      <c r="I945" s="203">
        <f t="shared" si="59"/>
        <v>1</v>
      </c>
      <c r="J945" s="191"/>
    </row>
    <row r="946" spans="1:10" ht="24.95" customHeight="1">
      <c r="A946" s="192"/>
      <c r="B946" s="202" t="s">
        <v>785</v>
      </c>
      <c r="C946" s="189">
        <v>1</v>
      </c>
      <c r="D946" s="189"/>
      <c r="E946" s="189">
        <v>1</v>
      </c>
      <c r="F946" s="190"/>
      <c r="G946" s="203"/>
      <c r="H946" s="203"/>
      <c r="I946" s="203">
        <f t="shared" si="59"/>
        <v>1</v>
      </c>
      <c r="J946" s="191"/>
    </row>
    <row r="947" spans="1:10" ht="24.95" customHeight="1">
      <c r="A947" s="192"/>
      <c r="B947" s="202" t="s">
        <v>787</v>
      </c>
      <c r="C947" s="189">
        <v>3</v>
      </c>
      <c r="D947" s="189"/>
      <c r="E947" s="189">
        <v>2</v>
      </c>
      <c r="F947" s="190"/>
      <c r="G947" s="203"/>
      <c r="H947" s="203"/>
      <c r="I947" s="203">
        <f t="shared" si="59"/>
        <v>6</v>
      </c>
      <c r="J947" s="191"/>
    </row>
    <row r="948" spans="1:10" ht="24.95" customHeight="1">
      <c r="A948" s="192"/>
      <c r="B948" s="202"/>
      <c r="C948" s="189"/>
      <c r="D948" s="189"/>
      <c r="E948" s="189"/>
      <c r="F948" s="190"/>
      <c r="G948" s="203"/>
      <c r="H948" s="204" t="s">
        <v>480</v>
      </c>
      <c r="I948" s="204">
        <f>SUM(I939:I947)</f>
        <v>16</v>
      </c>
      <c r="J948" s="201" t="s">
        <v>92</v>
      </c>
    </row>
    <row r="949" spans="1:10" ht="24.95" customHeight="1">
      <c r="A949" s="192">
        <v>66</v>
      </c>
      <c r="B949" s="202" t="s">
        <v>13</v>
      </c>
      <c r="C949" s="189"/>
      <c r="D949" s="189"/>
      <c r="E949" s="189"/>
      <c r="F949" s="190"/>
      <c r="G949" s="203"/>
      <c r="H949" s="204"/>
      <c r="I949" s="204"/>
      <c r="J949" s="201"/>
    </row>
    <row r="950" spans="1:10" ht="24.95" customHeight="1">
      <c r="A950" s="192"/>
      <c r="B950" s="202" t="s">
        <v>529</v>
      </c>
      <c r="C950" s="189">
        <v>1</v>
      </c>
      <c r="D950" s="189" t="s">
        <v>461</v>
      </c>
      <c r="E950" s="189">
        <v>2</v>
      </c>
      <c r="F950" s="190">
        <v>1</v>
      </c>
      <c r="G950" s="203"/>
      <c r="H950" s="204"/>
      <c r="I950" s="203">
        <f>PRODUCT(C950:H950)</f>
        <v>2</v>
      </c>
      <c r="J950" s="201" t="s">
        <v>72</v>
      </c>
    </row>
    <row r="951" spans="1:10" ht="99" customHeight="1">
      <c r="A951" s="213" t="s">
        <v>886</v>
      </c>
      <c r="B951" s="188" t="s">
        <v>887</v>
      </c>
      <c r="C951" s="189"/>
      <c r="D951" s="189"/>
      <c r="E951" s="189"/>
      <c r="F951" s="190"/>
      <c r="G951" s="190"/>
      <c r="H951" s="190"/>
      <c r="I951" s="190"/>
      <c r="J951" s="191"/>
    </row>
    <row r="952" spans="1:10" ht="24.95" customHeight="1">
      <c r="A952" s="192"/>
      <c r="B952" s="202" t="s">
        <v>784</v>
      </c>
      <c r="C952" s="189">
        <v>1</v>
      </c>
      <c r="D952" s="189"/>
      <c r="E952" s="189">
        <v>1</v>
      </c>
      <c r="F952" s="190"/>
      <c r="G952" s="203"/>
      <c r="H952" s="203"/>
      <c r="I952" s="203">
        <v>1</v>
      </c>
      <c r="J952" s="191"/>
    </row>
    <row r="953" spans="1:10" ht="24.95" customHeight="1">
      <c r="A953" s="192"/>
      <c r="B953" s="202" t="s">
        <v>476</v>
      </c>
      <c r="C953" s="189">
        <v>1</v>
      </c>
      <c r="D953" s="189"/>
      <c r="E953" s="189">
        <v>2</v>
      </c>
      <c r="F953" s="190"/>
      <c r="G953" s="203"/>
      <c r="H953" s="203"/>
      <c r="I953" s="203">
        <v>2</v>
      </c>
      <c r="J953" s="201"/>
    </row>
    <row r="954" spans="1:10" ht="24.95" customHeight="1">
      <c r="A954" s="192"/>
      <c r="B954" s="202" t="s">
        <v>597</v>
      </c>
      <c r="C954" s="189">
        <v>1</v>
      </c>
      <c r="D954" s="189"/>
      <c r="E954" s="189">
        <v>2</v>
      </c>
      <c r="F954" s="190"/>
      <c r="G954" s="203"/>
      <c r="H954" s="203"/>
      <c r="I954" s="203">
        <v>2</v>
      </c>
      <c r="J954" s="191"/>
    </row>
    <row r="955" spans="1:10" ht="24.95" customHeight="1">
      <c r="A955" s="192"/>
      <c r="B955" s="202" t="s">
        <v>597</v>
      </c>
      <c r="C955" s="189">
        <v>1</v>
      </c>
      <c r="D955" s="189"/>
      <c r="E955" s="189">
        <v>1</v>
      </c>
      <c r="F955" s="190"/>
      <c r="G955" s="203"/>
      <c r="H955" s="203"/>
      <c r="I955" s="203">
        <v>1</v>
      </c>
      <c r="J955" s="191"/>
    </row>
    <row r="956" spans="1:10" ht="24.95" customHeight="1">
      <c r="A956" s="192"/>
      <c r="B956" s="202" t="s">
        <v>785</v>
      </c>
      <c r="C956" s="189">
        <v>1</v>
      </c>
      <c r="D956" s="189"/>
      <c r="E956" s="189">
        <v>1</v>
      </c>
      <c r="F956" s="190"/>
      <c r="G956" s="203"/>
      <c r="H956" s="203"/>
      <c r="I956" s="203">
        <v>1</v>
      </c>
      <c r="J956" s="191"/>
    </row>
    <row r="957" spans="1:10" ht="24.95" customHeight="1">
      <c r="A957" s="192"/>
      <c r="B957" s="202" t="s">
        <v>786</v>
      </c>
      <c r="C957" s="189">
        <v>1</v>
      </c>
      <c r="D957" s="189"/>
      <c r="E957" s="189">
        <v>1</v>
      </c>
      <c r="F957" s="190"/>
      <c r="G957" s="203"/>
      <c r="H957" s="203"/>
      <c r="I957" s="203">
        <v>1</v>
      </c>
      <c r="J957" s="191"/>
    </row>
    <row r="958" spans="1:10" ht="24.95" customHeight="1">
      <c r="A958" s="192"/>
      <c r="B958" s="202" t="s">
        <v>673</v>
      </c>
      <c r="C958" s="189">
        <v>1</v>
      </c>
      <c r="D958" s="189"/>
      <c r="E958" s="189">
        <v>1</v>
      </c>
      <c r="F958" s="190"/>
      <c r="G958" s="203"/>
      <c r="H958" s="203"/>
      <c r="I958" s="203">
        <v>1</v>
      </c>
      <c r="J958" s="191"/>
    </row>
    <row r="959" spans="1:10" ht="24.95" customHeight="1">
      <c r="A959" s="192"/>
      <c r="B959" s="202" t="s">
        <v>785</v>
      </c>
      <c r="C959" s="189">
        <v>1</v>
      </c>
      <c r="D959" s="189"/>
      <c r="E959" s="189">
        <v>1</v>
      </c>
      <c r="F959" s="190"/>
      <c r="G959" s="203"/>
      <c r="H959" s="203"/>
      <c r="I959" s="203">
        <v>1</v>
      </c>
      <c r="J959" s="191"/>
    </row>
    <row r="960" spans="1:10" ht="24.95" customHeight="1">
      <c r="A960" s="192"/>
      <c r="B960" s="202" t="s">
        <v>787</v>
      </c>
      <c r="C960" s="189">
        <v>3</v>
      </c>
      <c r="D960" s="189"/>
      <c r="E960" s="189">
        <v>2</v>
      </c>
      <c r="F960" s="190"/>
      <c r="G960" s="203"/>
      <c r="H960" s="203"/>
      <c r="I960" s="203">
        <v>6</v>
      </c>
      <c r="J960" s="191"/>
    </row>
    <row r="961" spans="1:11" ht="24.95" customHeight="1">
      <c r="A961" s="192"/>
      <c r="B961" s="202"/>
      <c r="C961" s="189"/>
      <c r="D961" s="189"/>
      <c r="E961" s="189"/>
      <c r="F961" s="190"/>
      <c r="G961" s="203"/>
      <c r="H961" s="203" t="s">
        <v>480</v>
      </c>
      <c r="I961" s="203">
        <f>SUM(I952:I960)</f>
        <v>16</v>
      </c>
      <c r="J961" s="191" t="s">
        <v>92</v>
      </c>
    </row>
    <row r="962" spans="1:11" ht="96" customHeight="1">
      <c r="A962" s="213" t="s">
        <v>888</v>
      </c>
      <c r="B962" s="188" t="s">
        <v>889</v>
      </c>
      <c r="C962" s="189"/>
      <c r="D962" s="189"/>
      <c r="E962" s="189"/>
      <c r="F962" s="190"/>
      <c r="G962" s="190"/>
      <c r="H962" s="190"/>
      <c r="I962" s="190"/>
      <c r="J962" s="191"/>
    </row>
    <row r="963" spans="1:11" ht="24.95" customHeight="1">
      <c r="A963" s="192"/>
      <c r="B963" s="202" t="s">
        <v>784</v>
      </c>
      <c r="C963" s="189">
        <v>1</v>
      </c>
      <c r="D963" s="189"/>
      <c r="E963" s="189">
        <v>1</v>
      </c>
      <c r="F963" s="190"/>
      <c r="G963" s="190"/>
      <c r="H963" s="203"/>
      <c r="I963" s="203">
        <v>1</v>
      </c>
      <c r="J963" s="191"/>
    </row>
    <row r="964" spans="1:11" ht="24.95" customHeight="1">
      <c r="A964" s="192"/>
      <c r="B964" s="202" t="s">
        <v>476</v>
      </c>
      <c r="C964" s="189">
        <v>1</v>
      </c>
      <c r="D964" s="189"/>
      <c r="E964" s="189">
        <v>2</v>
      </c>
      <c r="F964" s="190"/>
      <c r="G964" s="190"/>
      <c r="H964" s="203"/>
      <c r="I964" s="203">
        <v>2</v>
      </c>
      <c r="J964" s="191"/>
    </row>
    <row r="965" spans="1:11" ht="24.95" customHeight="1">
      <c r="A965" s="192"/>
      <c r="B965" s="202" t="s">
        <v>597</v>
      </c>
      <c r="C965" s="189">
        <v>1</v>
      </c>
      <c r="D965" s="189"/>
      <c r="E965" s="189">
        <v>1</v>
      </c>
      <c r="F965" s="190"/>
      <c r="G965" s="190"/>
      <c r="H965" s="203"/>
      <c r="I965" s="203">
        <v>2</v>
      </c>
      <c r="J965" s="191"/>
    </row>
    <row r="966" spans="1:11" ht="24.95" customHeight="1">
      <c r="A966" s="192"/>
      <c r="B966" s="202" t="s">
        <v>597</v>
      </c>
      <c r="C966" s="189">
        <v>1</v>
      </c>
      <c r="D966" s="189"/>
      <c r="E966" s="189">
        <v>1</v>
      </c>
      <c r="F966" s="190"/>
      <c r="G966" s="190"/>
      <c r="H966" s="203"/>
      <c r="I966" s="203">
        <v>1</v>
      </c>
      <c r="J966" s="191"/>
    </row>
    <row r="967" spans="1:11" ht="24.95" customHeight="1">
      <c r="A967" s="192"/>
      <c r="B967" s="202" t="s">
        <v>786</v>
      </c>
      <c r="C967" s="189">
        <v>1</v>
      </c>
      <c r="D967" s="189"/>
      <c r="E967" s="189">
        <v>1</v>
      </c>
      <c r="F967" s="190"/>
      <c r="G967" s="190"/>
      <c r="H967" s="203"/>
      <c r="I967" s="203">
        <v>1</v>
      </c>
      <c r="J967" s="191"/>
    </row>
    <row r="968" spans="1:11" ht="24.95" customHeight="1">
      <c r="A968" s="192"/>
      <c r="B968" s="202" t="s">
        <v>673</v>
      </c>
      <c r="C968" s="189">
        <v>1</v>
      </c>
      <c r="D968" s="189"/>
      <c r="E968" s="189">
        <v>1</v>
      </c>
      <c r="F968" s="190"/>
      <c r="G968" s="190"/>
      <c r="H968" s="203"/>
      <c r="I968" s="203">
        <v>1</v>
      </c>
      <c r="J968" s="191"/>
    </row>
    <row r="969" spans="1:11" ht="24.95" customHeight="1">
      <c r="A969" s="192"/>
      <c r="B969" s="202" t="s">
        <v>787</v>
      </c>
      <c r="C969" s="189">
        <v>3</v>
      </c>
      <c r="D969" s="189"/>
      <c r="E969" s="189">
        <v>2</v>
      </c>
      <c r="F969" s="190"/>
      <c r="G969" s="190"/>
      <c r="H969" s="203"/>
      <c r="I969" s="203">
        <v>6</v>
      </c>
      <c r="J969" s="191"/>
    </row>
    <row r="970" spans="1:11" ht="24.95" customHeight="1">
      <c r="A970" s="192"/>
      <c r="B970" s="202"/>
      <c r="C970" s="189"/>
      <c r="D970" s="189"/>
      <c r="E970" s="189"/>
      <c r="F970" s="190"/>
      <c r="G970" s="190"/>
      <c r="H970" s="203" t="s">
        <v>480</v>
      </c>
      <c r="I970" s="203">
        <f>SUM(I963:I969)</f>
        <v>14</v>
      </c>
      <c r="J970" s="191"/>
    </row>
    <row r="971" spans="1:11" ht="24.95" customHeight="1">
      <c r="A971" s="192"/>
      <c r="B971" s="188"/>
      <c r="C971" s="189"/>
      <c r="D971" s="189"/>
      <c r="E971" s="189"/>
      <c r="F971" s="267"/>
      <c r="G971" s="267"/>
      <c r="H971" s="267"/>
      <c r="I971" s="267"/>
      <c r="J971" s="201"/>
    </row>
    <row r="972" spans="1:11" ht="24.95" customHeight="1">
      <c r="A972" s="213">
        <v>69.099999999999994</v>
      </c>
      <c r="B972" s="202" t="s">
        <v>778</v>
      </c>
      <c r="C972" s="189"/>
      <c r="D972" s="189"/>
      <c r="E972" s="189"/>
      <c r="F972" s="190"/>
      <c r="G972" s="190"/>
      <c r="H972" s="190"/>
      <c r="I972" s="190"/>
      <c r="J972" s="191"/>
    </row>
    <row r="973" spans="1:11" ht="24.95" customHeight="1">
      <c r="A973" s="192"/>
      <c r="B973" s="202" t="s">
        <v>596</v>
      </c>
      <c r="C973" s="189">
        <v>1</v>
      </c>
      <c r="D973" s="189"/>
      <c r="E973" s="189">
        <v>1</v>
      </c>
      <c r="F973" s="190"/>
      <c r="G973" s="190"/>
      <c r="H973" s="190"/>
      <c r="I973" s="218">
        <v>1</v>
      </c>
      <c r="J973" s="191"/>
    </row>
    <row r="974" spans="1:11" ht="24.95" customHeight="1">
      <c r="A974" s="192"/>
      <c r="B974" s="202" t="s">
        <v>779</v>
      </c>
      <c r="C974" s="189">
        <v>2</v>
      </c>
      <c r="D974" s="189"/>
      <c r="E974" s="189">
        <v>3</v>
      </c>
      <c r="F974" s="190"/>
      <c r="G974" s="190"/>
      <c r="H974" s="190"/>
      <c r="I974" s="218">
        <v>6</v>
      </c>
      <c r="J974" s="191"/>
    </row>
    <row r="975" spans="1:11" ht="24.95" customHeight="1">
      <c r="A975" s="192"/>
      <c r="B975" s="202" t="s">
        <v>780</v>
      </c>
      <c r="C975" s="189">
        <v>2</v>
      </c>
      <c r="D975" s="189"/>
      <c r="E975" s="189">
        <v>1</v>
      </c>
      <c r="F975" s="190"/>
      <c r="G975" s="203"/>
      <c r="H975" s="203"/>
      <c r="I975" s="218">
        <f>PRODUCT(C975:H975)</f>
        <v>2</v>
      </c>
      <c r="J975" s="201"/>
      <c r="K975" s="233"/>
    </row>
    <row r="976" spans="1:11" ht="24.95" customHeight="1">
      <c r="A976" s="192"/>
      <c r="B976" s="202" t="s">
        <v>781</v>
      </c>
      <c r="C976" s="189">
        <v>1</v>
      </c>
      <c r="D976" s="189"/>
      <c r="E976" s="189">
        <v>4</v>
      </c>
      <c r="F976" s="190"/>
      <c r="G976" s="203"/>
      <c r="H976" s="203"/>
      <c r="I976" s="218">
        <f>PRODUCT(C976:H976)</f>
        <v>4</v>
      </c>
      <c r="J976" s="201"/>
      <c r="K976" s="233"/>
    </row>
    <row r="977" spans="1:11" ht="24.95" customHeight="1">
      <c r="A977" s="192"/>
      <c r="B977" s="202" t="s">
        <v>780</v>
      </c>
      <c r="C977" s="189">
        <v>3</v>
      </c>
      <c r="D977" s="189"/>
      <c r="E977" s="189">
        <v>2</v>
      </c>
      <c r="F977" s="190"/>
      <c r="G977" s="203"/>
      <c r="H977" s="203"/>
      <c r="I977" s="218">
        <v>6</v>
      </c>
      <c r="J977" s="201"/>
      <c r="K977" s="233"/>
    </row>
    <row r="978" spans="1:11" ht="24.95" customHeight="1">
      <c r="A978" s="192"/>
      <c r="B978" s="202" t="s">
        <v>782</v>
      </c>
      <c r="C978" s="189">
        <v>1</v>
      </c>
      <c r="D978" s="189"/>
      <c r="E978" s="189">
        <v>1</v>
      </c>
      <c r="F978" s="190"/>
      <c r="G978" s="203"/>
      <c r="H978" s="203"/>
      <c r="I978" s="218">
        <v>1</v>
      </c>
      <c r="J978" s="201"/>
      <c r="K978" s="233"/>
    </row>
    <row r="979" spans="1:11" ht="24.95" customHeight="1">
      <c r="A979" s="192"/>
      <c r="B979" s="202"/>
      <c r="C979" s="189"/>
      <c r="D979" s="189"/>
      <c r="E979" s="189"/>
      <c r="F979" s="190"/>
      <c r="G979" s="203"/>
      <c r="H979" s="204" t="s">
        <v>480</v>
      </c>
      <c r="I979" s="249">
        <f>SUM(I973:I978)</f>
        <v>20</v>
      </c>
      <c r="J979" s="201" t="s">
        <v>92</v>
      </c>
      <c r="K979" s="233"/>
    </row>
    <row r="980" spans="1:11" ht="24.95" customHeight="1">
      <c r="A980" s="192"/>
      <c r="B980" s="202"/>
      <c r="C980" s="189"/>
      <c r="D980" s="189"/>
      <c r="E980" s="189"/>
      <c r="F980" s="190"/>
      <c r="G980" s="190"/>
      <c r="H980" s="203"/>
      <c r="I980" s="203"/>
      <c r="J980" s="191"/>
    </row>
    <row r="981" spans="1:11" ht="24.95" customHeight="1">
      <c r="A981" s="192">
        <v>70.099999999999994</v>
      </c>
      <c r="B981" s="202" t="s">
        <v>96</v>
      </c>
      <c r="C981" s="189">
        <v>2</v>
      </c>
      <c r="D981" s="189" t="s">
        <v>461</v>
      </c>
      <c r="E981" s="189">
        <v>3</v>
      </c>
      <c r="F981" s="190">
        <v>1</v>
      </c>
      <c r="G981" s="190"/>
      <c r="H981" s="203"/>
      <c r="I981" s="204">
        <v>6</v>
      </c>
      <c r="J981" s="201" t="s">
        <v>72</v>
      </c>
    </row>
    <row r="982" spans="1:11" ht="24.95" customHeight="1">
      <c r="A982" s="192"/>
      <c r="B982" s="202"/>
      <c r="C982" s="189"/>
      <c r="D982" s="189"/>
      <c r="E982" s="189"/>
      <c r="F982" s="267"/>
      <c r="G982" s="267"/>
      <c r="H982" s="203"/>
      <c r="I982" s="204"/>
      <c r="J982" s="201"/>
    </row>
    <row r="983" spans="1:11" ht="24.95" customHeight="1">
      <c r="A983" s="229">
        <v>70.2</v>
      </c>
      <c r="B983" s="229" t="s">
        <v>890</v>
      </c>
      <c r="C983" s="225"/>
      <c r="D983" s="225"/>
      <c r="E983" s="226"/>
      <c r="F983" s="226"/>
      <c r="G983" s="226"/>
      <c r="H983" s="226"/>
      <c r="I983" s="203"/>
      <c r="J983" s="191"/>
    </row>
    <row r="984" spans="1:11" ht="24.95" customHeight="1">
      <c r="A984" s="229"/>
      <c r="B984" s="228" t="s">
        <v>891</v>
      </c>
      <c r="C984" s="225">
        <v>1</v>
      </c>
      <c r="D984" s="189" t="s">
        <v>461</v>
      </c>
      <c r="E984" s="225">
        <v>10</v>
      </c>
      <c r="F984" s="226"/>
      <c r="G984" s="226"/>
      <c r="H984" s="226"/>
      <c r="I984" s="226">
        <f t="shared" ref="I984:I998" si="60">PRODUCT(C984:H984)</f>
        <v>10</v>
      </c>
      <c r="J984" s="191"/>
    </row>
    <row r="985" spans="1:11" ht="24.95" customHeight="1">
      <c r="A985" s="229"/>
      <c r="B985" s="228" t="s">
        <v>892</v>
      </c>
      <c r="C985" s="225">
        <v>1</v>
      </c>
      <c r="D985" s="189" t="s">
        <v>461</v>
      </c>
      <c r="E985" s="225">
        <v>2</v>
      </c>
      <c r="F985" s="226"/>
      <c r="G985" s="226"/>
      <c r="H985" s="226"/>
      <c r="I985" s="226">
        <f t="shared" si="60"/>
        <v>2</v>
      </c>
      <c r="J985" s="191"/>
    </row>
    <row r="986" spans="1:11" ht="24.95" customHeight="1">
      <c r="A986" s="229"/>
      <c r="B986" s="228" t="s">
        <v>842</v>
      </c>
      <c r="C986" s="225">
        <v>1</v>
      </c>
      <c r="D986" s="189" t="s">
        <v>461</v>
      </c>
      <c r="E986" s="225">
        <v>2</v>
      </c>
      <c r="F986" s="226"/>
      <c r="G986" s="226"/>
      <c r="H986" s="226"/>
      <c r="I986" s="226">
        <f t="shared" si="60"/>
        <v>2</v>
      </c>
      <c r="J986" s="191"/>
    </row>
    <row r="987" spans="1:11" ht="24.95" customHeight="1">
      <c r="A987" s="229"/>
      <c r="B987" s="228" t="s">
        <v>843</v>
      </c>
      <c r="C987" s="225">
        <v>1</v>
      </c>
      <c r="D987" s="189" t="s">
        <v>461</v>
      </c>
      <c r="E987" s="225">
        <v>10</v>
      </c>
      <c r="F987" s="226"/>
      <c r="G987" s="226"/>
      <c r="H987" s="226"/>
      <c r="I987" s="226">
        <f t="shared" si="60"/>
        <v>10</v>
      </c>
      <c r="J987" s="191"/>
    </row>
    <row r="988" spans="1:11" ht="24.95" customHeight="1">
      <c r="A988" s="229"/>
      <c r="B988" s="228" t="s">
        <v>665</v>
      </c>
      <c r="C988" s="225">
        <v>1</v>
      </c>
      <c r="D988" s="189" t="s">
        <v>461</v>
      </c>
      <c r="E988" s="225">
        <v>2</v>
      </c>
      <c r="F988" s="226"/>
      <c r="G988" s="226"/>
      <c r="H988" s="226"/>
      <c r="I988" s="226">
        <f t="shared" si="60"/>
        <v>2</v>
      </c>
      <c r="J988" s="191"/>
    </row>
    <row r="989" spans="1:11" ht="24.95" customHeight="1">
      <c r="A989" s="229"/>
      <c r="B989" s="228" t="s">
        <v>893</v>
      </c>
      <c r="C989" s="225">
        <v>1</v>
      </c>
      <c r="D989" s="189" t="s">
        <v>461</v>
      </c>
      <c r="E989" s="225">
        <v>2</v>
      </c>
      <c r="F989" s="226"/>
      <c r="G989" s="226"/>
      <c r="H989" s="226"/>
      <c r="I989" s="226">
        <f t="shared" si="60"/>
        <v>2</v>
      </c>
      <c r="J989" s="191"/>
    </row>
    <row r="990" spans="1:11" ht="24.95" customHeight="1">
      <c r="A990" s="229"/>
      <c r="B990" s="228" t="s">
        <v>894</v>
      </c>
      <c r="C990" s="225">
        <v>1</v>
      </c>
      <c r="D990" s="189" t="s">
        <v>461</v>
      </c>
      <c r="E990" s="225">
        <v>4</v>
      </c>
      <c r="F990" s="226"/>
      <c r="G990" s="226"/>
      <c r="H990" s="226"/>
      <c r="I990" s="226">
        <f t="shared" si="60"/>
        <v>4</v>
      </c>
      <c r="J990" s="191"/>
    </row>
    <row r="991" spans="1:11" ht="24.95" customHeight="1">
      <c r="A991" s="229"/>
      <c r="B991" s="228" t="s">
        <v>634</v>
      </c>
      <c r="C991" s="225">
        <v>2</v>
      </c>
      <c r="D991" s="189" t="s">
        <v>461</v>
      </c>
      <c r="E991" s="225">
        <v>4</v>
      </c>
      <c r="F991" s="226"/>
      <c r="G991" s="226"/>
      <c r="H991" s="226"/>
      <c r="I991" s="226">
        <f t="shared" si="60"/>
        <v>8</v>
      </c>
      <c r="J991" s="191"/>
    </row>
    <row r="992" spans="1:11" ht="24.95" customHeight="1">
      <c r="A992" s="229"/>
      <c r="B992" s="228" t="s">
        <v>895</v>
      </c>
      <c r="C992" s="225">
        <v>1</v>
      </c>
      <c r="D992" s="189" t="s">
        <v>461</v>
      </c>
      <c r="E992" s="225">
        <v>4</v>
      </c>
      <c r="F992" s="226"/>
      <c r="G992" s="226"/>
      <c r="H992" s="226"/>
      <c r="I992" s="226">
        <f t="shared" si="60"/>
        <v>4</v>
      </c>
      <c r="J992" s="191"/>
    </row>
    <row r="993" spans="1:10" ht="24.95" customHeight="1">
      <c r="A993" s="229"/>
      <c r="B993" s="228" t="s">
        <v>787</v>
      </c>
      <c r="C993" s="225">
        <v>1</v>
      </c>
      <c r="D993" s="189" t="s">
        <v>461</v>
      </c>
      <c r="E993" s="225">
        <v>4</v>
      </c>
      <c r="F993" s="226"/>
      <c r="G993" s="226"/>
      <c r="H993" s="226"/>
      <c r="I993" s="226">
        <f t="shared" si="60"/>
        <v>4</v>
      </c>
      <c r="J993" s="191"/>
    </row>
    <row r="994" spans="1:10" ht="24.95" customHeight="1">
      <c r="A994" s="229"/>
      <c r="B994" s="228" t="s">
        <v>610</v>
      </c>
      <c r="C994" s="225">
        <v>1</v>
      </c>
      <c r="D994" s="189" t="s">
        <v>461</v>
      </c>
      <c r="E994" s="225">
        <v>2</v>
      </c>
      <c r="F994" s="226"/>
      <c r="G994" s="226"/>
      <c r="H994" s="226"/>
      <c r="I994" s="226">
        <f t="shared" si="60"/>
        <v>2</v>
      </c>
      <c r="J994" s="191"/>
    </row>
    <row r="995" spans="1:10" ht="24.95" customHeight="1">
      <c r="A995" s="229"/>
      <c r="B995" s="228" t="s">
        <v>896</v>
      </c>
      <c r="C995" s="225">
        <v>1</v>
      </c>
      <c r="D995" s="189" t="s">
        <v>461</v>
      </c>
      <c r="E995" s="225">
        <v>5</v>
      </c>
      <c r="F995" s="226"/>
      <c r="G995" s="226"/>
      <c r="H995" s="226"/>
      <c r="I995" s="226">
        <f t="shared" si="60"/>
        <v>5</v>
      </c>
      <c r="J995" s="191"/>
    </row>
    <row r="996" spans="1:10" ht="24.95" customHeight="1">
      <c r="A996" s="229"/>
      <c r="B996" s="228" t="s">
        <v>893</v>
      </c>
      <c r="C996" s="225">
        <v>1</v>
      </c>
      <c r="D996" s="189" t="s">
        <v>461</v>
      </c>
      <c r="E996" s="225">
        <v>2</v>
      </c>
      <c r="F996" s="226"/>
      <c r="G996" s="226"/>
      <c r="H996" s="226"/>
      <c r="I996" s="226">
        <f t="shared" si="60"/>
        <v>2</v>
      </c>
      <c r="J996" s="191"/>
    </row>
    <row r="997" spans="1:10" ht="25.5" customHeight="1">
      <c r="A997" s="229"/>
      <c r="B997" s="228" t="s">
        <v>787</v>
      </c>
      <c r="C997" s="225">
        <v>2</v>
      </c>
      <c r="D997" s="189" t="s">
        <v>461</v>
      </c>
      <c r="E997" s="225">
        <v>4</v>
      </c>
      <c r="F997" s="226"/>
      <c r="G997" s="226"/>
      <c r="H997" s="226"/>
      <c r="I997" s="226">
        <f t="shared" si="60"/>
        <v>8</v>
      </c>
      <c r="J997" s="191"/>
    </row>
    <row r="998" spans="1:10" ht="24.95" customHeight="1">
      <c r="A998" s="229"/>
      <c r="B998" s="228" t="s">
        <v>897</v>
      </c>
      <c r="C998" s="225">
        <v>2</v>
      </c>
      <c r="D998" s="189" t="s">
        <v>461</v>
      </c>
      <c r="E998" s="225">
        <v>4</v>
      </c>
      <c r="F998" s="226"/>
      <c r="G998" s="226"/>
      <c r="H998" s="226"/>
      <c r="I998" s="226">
        <f t="shared" si="60"/>
        <v>8</v>
      </c>
      <c r="J998" s="191"/>
    </row>
    <row r="999" spans="1:10" ht="24.95" customHeight="1">
      <c r="A999" s="229"/>
      <c r="B999" s="228"/>
      <c r="C999" s="225"/>
      <c r="D999" s="218"/>
      <c r="E999" s="225"/>
      <c r="F999" s="226"/>
      <c r="G999" s="226"/>
      <c r="H999" s="226"/>
      <c r="I999" s="256">
        <f>+SUM(I984:I998)</f>
        <v>73</v>
      </c>
      <c r="J999" s="201" t="s">
        <v>72</v>
      </c>
    </row>
    <row r="1000" spans="1:10" ht="24.95" customHeight="1">
      <c r="A1000" s="192"/>
      <c r="B1000" s="202"/>
      <c r="C1000" s="189"/>
      <c r="D1000" s="189"/>
      <c r="E1000" s="189"/>
      <c r="F1000" s="267"/>
      <c r="G1000" s="267"/>
      <c r="H1000" s="203"/>
      <c r="I1000" s="204"/>
      <c r="J1000" s="201"/>
    </row>
    <row r="1001" spans="1:10" ht="42" customHeight="1">
      <c r="A1001" s="213">
        <v>71.2</v>
      </c>
      <c r="B1001" s="188" t="s">
        <v>1032</v>
      </c>
      <c r="C1001" s="189"/>
      <c r="D1001" s="189"/>
      <c r="E1001" s="189"/>
      <c r="F1001" s="190"/>
      <c r="G1001" s="203"/>
      <c r="H1001" s="203"/>
      <c r="I1001" s="203"/>
      <c r="J1001" s="201"/>
    </row>
    <row r="1002" spans="1:10" ht="24.95" customHeight="1">
      <c r="A1002" s="192"/>
      <c r="B1002" s="202"/>
      <c r="C1002" s="189">
        <v>1</v>
      </c>
      <c r="D1002" s="189"/>
      <c r="E1002" s="189">
        <v>2</v>
      </c>
      <c r="F1002" s="190"/>
      <c r="G1002" s="203"/>
      <c r="H1002" s="204" t="s">
        <v>261</v>
      </c>
      <c r="I1002" s="204">
        <f>PRODUCT(C1002:H1002)</f>
        <v>2</v>
      </c>
      <c r="J1002" s="201" t="s">
        <v>69</v>
      </c>
    </row>
    <row r="1003" spans="1:10" ht="24.95" customHeight="1">
      <c r="A1003" s="213">
        <v>72</v>
      </c>
      <c r="B1003" s="188" t="s">
        <v>783</v>
      </c>
      <c r="C1003" s="189"/>
      <c r="D1003" s="189"/>
      <c r="E1003" s="189"/>
      <c r="F1003" s="190"/>
      <c r="G1003" s="190"/>
      <c r="H1003" s="190"/>
      <c r="I1003" s="190"/>
      <c r="J1003" s="191"/>
    </row>
    <row r="1004" spans="1:10" ht="24.95" customHeight="1">
      <c r="A1004" s="192"/>
      <c r="B1004" s="202" t="s">
        <v>784</v>
      </c>
      <c r="C1004" s="189">
        <v>1</v>
      </c>
      <c r="D1004" s="189"/>
      <c r="E1004" s="189">
        <v>1</v>
      </c>
      <c r="F1004" s="190"/>
      <c r="G1004" s="190"/>
      <c r="H1004" s="190"/>
      <c r="I1004" s="190">
        <v>1</v>
      </c>
      <c r="J1004" s="191"/>
    </row>
    <row r="1005" spans="1:10" ht="24.95" customHeight="1">
      <c r="A1005" s="192"/>
      <c r="B1005" s="202" t="s">
        <v>476</v>
      </c>
      <c r="C1005" s="189">
        <v>1</v>
      </c>
      <c r="D1005" s="189"/>
      <c r="E1005" s="189">
        <v>2</v>
      </c>
      <c r="F1005" s="190"/>
      <c r="G1005" s="190"/>
      <c r="H1005" s="190"/>
      <c r="I1005" s="190">
        <v>2</v>
      </c>
      <c r="J1005" s="191"/>
    </row>
    <row r="1006" spans="1:10" ht="24.95" customHeight="1">
      <c r="A1006" s="192"/>
      <c r="B1006" s="202" t="s">
        <v>597</v>
      </c>
      <c r="C1006" s="189">
        <v>1</v>
      </c>
      <c r="D1006" s="189"/>
      <c r="E1006" s="189">
        <v>2</v>
      </c>
      <c r="F1006" s="190"/>
      <c r="G1006" s="190"/>
      <c r="H1006" s="190"/>
      <c r="I1006" s="190">
        <v>2</v>
      </c>
      <c r="J1006" s="191"/>
    </row>
    <row r="1007" spans="1:10" ht="24.95" customHeight="1">
      <c r="A1007" s="192"/>
      <c r="B1007" s="202" t="s">
        <v>597</v>
      </c>
      <c r="C1007" s="189">
        <v>1</v>
      </c>
      <c r="D1007" s="189"/>
      <c r="E1007" s="189">
        <v>1</v>
      </c>
      <c r="F1007" s="190"/>
      <c r="G1007" s="190"/>
      <c r="H1007" s="190"/>
      <c r="I1007" s="190">
        <v>1</v>
      </c>
      <c r="J1007" s="191"/>
    </row>
    <row r="1008" spans="1:10" ht="24.95" customHeight="1">
      <c r="A1008" s="192"/>
      <c r="B1008" s="202" t="s">
        <v>785</v>
      </c>
      <c r="C1008" s="189">
        <v>1</v>
      </c>
      <c r="D1008" s="189"/>
      <c r="E1008" s="189">
        <v>1</v>
      </c>
      <c r="F1008" s="190"/>
      <c r="G1008" s="190"/>
      <c r="H1008" s="190"/>
      <c r="I1008" s="190">
        <v>1</v>
      </c>
      <c r="J1008" s="191"/>
    </row>
    <row r="1009" spans="1:10" ht="24.95" customHeight="1">
      <c r="A1009" s="192"/>
      <c r="B1009" s="202" t="s">
        <v>786</v>
      </c>
      <c r="C1009" s="189">
        <v>1</v>
      </c>
      <c r="D1009" s="189"/>
      <c r="E1009" s="189">
        <v>1</v>
      </c>
      <c r="F1009" s="190"/>
      <c r="G1009" s="190"/>
      <c r="H1009" s="190"/>
      <c r="I1009" s="190">
        <v>1</v>
      </c>
      <c r="J1009" s="191"/>
    </row>
    <row r="1010" spans="1:10" ht="24.95" customHeight="1">
      <c r="A1010" s="192"/>
      <c r="B1010" s="202" t="s">
        <v>673</v>
      </c>
      <c r="C1010" s="189">
        <v>1</v>
      </c>
      <c r="D1010" s="189"/>
      <c r="E1010" s="189">
        <v>1</v>
      </c>
      <c r="F1010" s="190"/>
      <c r="G1010" s="190"/>
      <c r="H1010" s="190"/>
      <c r="I1010" s="190">
        <v>1</v>
      </c>
      <c r="J1010" s="191"/>
    </row>
    <row r="1011" spans="1:10" ht="24.95" customHeight="1">
      <c r="A1011" s="192"/>
      <c r="B1011" s="202" t="s">
        <v>785</v>
      </c>
      <c r="C1011" s="189">
        <v>1</v>
      </c>
      <c r="D1011" s="189"/>
      <c r="E1011" s="189">
        <v>1</v>
      </c>
      <c r="F1011" s="190"/>
      <c r="G1011" s="190"/>
      <c r="H1011" s="190"/>
      <c r="I1011" s="190">
        <v>1</v>
      </c>
      <c r="J1011" s="191"/>
    </row>
    <row r="1012" spans="1:10" ht="33.75" customHeight="1">
      <c r="A1012" s="192"/>
      <c r="B1012" s="202" t="s">
        <v>787</v>
      </c>
      <c r="C1012" s="189">
        <v>3</v>
      </c>
      <c r="D1012" s="189"/>
      <c r="E1012" s="189">
        <v>2</v>
      </c>
      <c r="F1012" s="190"/>
      <c r="G1012" s="190"/>
      <c r="H1012" s="190"/>
      <c r="I1012" s="190">
        <v>6</v>
      </c>
      <c r="J1012" s="191"/>
    </row>
    <row r="1013" spans="1:10" ht="29.25" customHeight="1">
      <c r="A1013" s="192"/>
      <c r="B1013" s="202"/>
      <c r="C1013" s="189"/>
      <c r="D1013" s="189"/>
      <c r="E1013" s="189"/>
      <c r="F1013" s="190"/>
      <c r="G1013" s="190"/>
      <c r="H1013" s="186" t="s">
        <v>480</v>
      </c>
      <c r="I1013" s="186">
        <v>16</v>
      </c>
      <c r="J1013" s="201" t="s">
        <v>92</v>
      </c>
    </row>
    <row r="1014" spans="1:10" ht="29.25" customHeight="1">
      <c r="A1014" s="213">
        <v>73.099999999999994</v>
      </c>
      <c r="B1014" s="188" t="s">
        <v>1033</v>
      </c>
      <c r="C1014" s="189">
        <v>1</v>
      </c>
      <c r="D1014" s="189"/>
      <c r="E1014" s="189">
        <v>2</v>
      </c>
      <c r="F1014" s="203"/>
      <c r="G1014" s="203"/>
      <c r="H1014" s="204" t="s">
        <v>261</v>
      </c>
      <c r="I1014" s="204">
        <f>E1014</f>
        <v>2</v>
      </c>
      <c r="J1014" s="201" t="s">
        <v>69</v>
      </c>
    </row>
    <row r="1015" spans="1:10" ht="29.25" customHeight="1">
      <c r="A1015" s="213">
        <v>74</v>
      </c>
      <c r="B1015" s="188" t="s">
        <v>788</v>
      </c>
      <c r="C1015" s="189"/>
      <c r="D1015" s="189"/>
      <c r="E1015" s="189"/>
      <c r="F1015" s="190"/>
      <c r="G1015" s="190"/>
      <c r="H1015" s="190"/>
      <c r="I1015" s="190"/>
      <c r="J1015" s="201"/>
    </row>
    <row r="1016" spans="1:10" ht="29.25" customHeight="1">
      <c r="A1016" s="192"/>
      <c r="B1016" s="202" t="s">
        <v>784</v>
      </c>
      <c r="C1016" s="189">
        <v>1</v>
      </c>
      <c r="D1016" s="189"/>
      <c r="E1016" s="189">
        <v>1</v>
      </c>
      <c r="F1016" s="190"/>
      <c r="G1016" s="190"/>
      <c r="H1016" s="190"/>
      <c r="I1016" s="190">
        <v>1</v>
      </c>
      <c r="J1016" s="201"/>
    </row>
    <row r="1017" spans="1:10" ht="24.95" customHeight="1">
      <c r="A1017" s="192"/>
      <c r="B1017" s="202" t="s">
        <v>476</v>
      </c>
      <c r="C1017" s="189">
        <v>1</v>
      </c>
      <c r="D1017" s="189"/>
      <c r="E1017" s="189">
        <v>2</v>
      </c>
      <c r="F1017" s="190"/>
      <c r="G1017" s="190"/>
      <c r="H1017" s="190"/>
      <c r="I1017" s="190">
        <v>2</v>
      </c>
      <c r="J1017" s="201"/>
    </row>
    <row r="1018" spans="1:10" ht="24.95" customHeight="1">
      <c r="A1018" s="192"/>
      <c r="B1018" s="202" t="s">
        <v>597</v>
      </c>
      <c r="C1018" s="189">
        <v>1</v>
      </c>
      <c r="D1018" s="189"/>
      <c r="E1018" s="189">
        <v>2</v>
      </c>
      <c r="F1018" s="190"/>
      <c r="G1018" s="190"/>
      <c r="H1018" s="190"/>
      <c r="I1018" s="190">
        <v>2</v>
      </c>
      <c r="J1018" s="201"/>
    </row>
    <row r="1019" spans="1:10" ht="24.95" customHeight="1">
      <c r="A1019" s="192"/>
      <c r="B1019" s="202" t="s">
        <v>597</v>
      </c>
      <c r="C1019" s="189">
        <v>1</v>
      </c>
      <c r="D1019" s="189"/>
      <c r="E1019" s="189">
        <v>1</v>
      </c>
      <c r="F1019" s="190"/>
      <c r="G1019" s="190"/>
      <c r="H1019" s="190"/>
      <c r="I1019" s="190">
        <v>1</v>
      </c>
      <c r="J1019" s="201"/>
    </row>
    <row r="1020" spans="1:10" ht="24.95" customHeight="1">
      <c r="A1020" s="192"/>
      <c r="B1020" s="202" t="s">
        <v>785</v>
      </c>
      <c r="C1020" s="189">
        <v>1</v>
      </c>
      <c r="D1020" s="189"/>
      <c r="E1020" s="189">
        <v>1</v>
      </c>
      <c r="F1020" s="190"/>
      <c r="G1020" s="190"/>
      <c r="H1020" s="190"/>
      <c r="I1020" s="190">
        <v>1</v>
      </c>
      <c r="J1020" s="201"/>
    </row>
    <row r="1021" spans="1:10" ht="24.95" customHeight="1">
      <c r="A1021" s="192"/>
      <c r="B1021" s="202" t="s">
        <v>786</v>
      </c>
      <c r="C1021" s="189">
        <v>1</v>
      </c>
      <c r="D1021" s="189"/>
      <c r="E1021" s="189">
        <v>1</v>
      </c>
      <c r="F1021" s="190"/>
      <c r="G1021" s="190"/>
      <c r="H1021" s="190"/>
      <c r="I1021" s="190">
        <v>1</v>
      </c>
      <c r="J1021" s="201"/>
    </row>
    <row r="1022" spans="1:10" ht="24.95" customHeight="1">
      <c r="A1022" s="192"/>
      <c r="B1022" s="202" t="s">
        <v>673</v>
      </c>
      <c r="C1022" s="189">
        <v>1</v>
      </c>
      <c r="D1022" s="189"/>
      <c r="E1022" s="189">
        <v>1</v>
      </c>
      <c r="F1022" s="190"/>
      <c r="G1022" s="190"/>
      <c r="H1022" s="190"/>
      <c r="I1022" s="190">
        <v>1</v>
      </c>
      <c r="J1022" s="201"/>
    </row>
    <row r="1023" spans="1:10" ht="24.95" customHeight="1">
      <c r="A1023" s="192"/>
      <c r="B1023" s="202" t="s">
        <v>785</v>
      </c>
      <c r="C1023" s="189">
        <v>1</v>
      </c>
      <c r="D1023" s="189"/>
      <c r="E1023" s="189">
        <v>1</v>
      </c>
      <c r="F1023" s="190"/>
      <c r="G1023" s="190"/>
      <c r="H1023" s="190"/>
      <c r="I1023" s="190">
        <v>1</v>
      </c>
      <c r="J1023" s="201"/>
    </row>
    <row r="1024" spans="1:10" ht="24.95" customHeight="1">
      <c r="A1024" s="192"/>
      <c r="B1024" s="202" t="s">
        <v>787</v>
      </c>
      <c r="C1024" s="189">
        <v>3</v>
      </c>
      <c r="D1024" s="189"/>
      <c r="E1024" s="189">
        <v>2</v>
      </c>
      <c r="F1024" s="190"/>
      <c r="G1024" s="190"/>
      <c r="H1024" s="190"/>
      <c r="I1024" s="190">
        <v>6</v>
      </c>
      <c r="J1024" s="201"/>
    </row>
    <row r="1025" spans="1:10" ht="24.95" customHeight="1">
      <c r="A1025" s="192"/>
      <c r="B1025" s="188"/>
      <c r="C1025" s="189"/>
      <c r="D1025" s="189"/>
      <c r="E1025" s="189"/>
      <c r="F1025" s="190"/>
      <c r="G1025" s="190"/>
      <c r="H1025" s="190" t="s">
        <v>480</v>
      </c>
      <c r="I1025" s="190">
        <f>SUM(I1016:I1024)</f>
        <v>16</v>
      </c>
      <c r="J1025" s="201" t="s">
        <v>92</v>
      </c>
    </row>
    <row r="1026" spans="1:10" ht="24.95" customHeight="1">
      <c r="A1026" s="192"/>
      <c r="B1026" s="202"/>
      <c r="C1026" s="189"/>
      <c r="D1026" s="189"/>
      <c r="E1026" s="189"/>
      <c r="F1026" s="203"/>
      <c r="G1026" s="203"/>
      <c r="H1026" s="204"/>
      <c r="I1026" s="250"/>
      <c r="J1026" s="201"/>
    </row>
    <row r="1027" spans="1:10" ht="24.95" customHeight="1">
      <c r="A1027" s="213">
        <v>76</v>
      </c>
      <c r="B1027" s="188" t="s">
        <v>789</v>
      </c>
      <c r="C1027" s="189">
        <v>1</v>
      </c>
      <c r="D1027" s="189"/>
      <c r="E1027" s="189">
        <v>1</v>
      </c>
      <c r="F1027" s="203">
        <v>23</v>
      </c>
      <c r="G1027" s="203"/>
      <c r="H1027" s="203"/>
      <c r="I1027" s="204">
        <f>PRODUCT(C1027:H1027)</f>
        <v>23</v>
      </c>
      <c r="J1027" s="201" t="s">
        <v>39</v>
      </c>
    </row>
    <row r="1028" spans="1:10" ht="24.95" customHeight="1">
      <c r="A1028" s="213">
        <v>77.3</v>
      </c>
      <c r="B1028" s="188" t="s">
        <v>790</v>
      </c>
      <c r="C1028" s="189"/>
      <c r="D1028" s="189"/>
      <c r="E1028" s="189"/>
      <c r="F1028" s="203"/>
      <c r="G1028" s="203"/>
      <c r="H1028" s="203"/>
      <c r="I1028" s="203"/>
      <c r="J1028" s="191"/>
    </row>
    <row r="1029" spans="1:10" ht="24.95" customHeight="1">
      <c r="A1029" s="192"/>
      <c r="B1029" s="202" t="s">
        <v>791</v>
      </c>
      <c r="C1029" s="189">
        <v>2</v>
      </c>
      <c r="D1029" s="189"/>
      <c r="E1029" s="189">
        <v>1</v>
      </c>
      <c r="F1029" s="203"/>
      <c r="G1029" s="203"/>
      <c r="H1029" s="203"/>
      <c r="I1029" s="203">
        <f>PRODUCT(C1029:H1029)</f>
        <v>2</v>
      </c>
      <c r="J1029" s="191"/>
    </row>
    <row r="1030" spans="1:10" ht="24.95" customHeight="1">
      <c r="A1030" s="192"/>
      <c r="B1030" s="202" t="s">
        <v>787</v>
      </c>
      <c r="C1030" s="189">
        <v>3</v>
      </c>
      <c r="D1030" s="189"/>
      <c r="E1030" s="189">
        <v>1</v>
      </c>
      <c r="F1030" s="203"/>
      <c r="G1030" s="203"/>
      <c r="H1030" s="203"/>
      <c r="I1030" s="203">
        <f>PRODUCT(C1030:H1030)</f>
        <v>3</v>
      </c>
      <c r="J1030" s="191"/>
    </row>
    <row r="1031" spans="1:10" ht="24.95" customHeight="1">
      <c r="A1031" s="192"/>
      <c r="B1031" s="202"/>
      <c r="C1031" s="189"/>
      <c r="D1031" s="189"/>
      <c r="E1031" s="189"/>
      <c r="F1031" s="203"/>
      <c r="G1031" s="203"/>
      <c r="H1031" s="203"/>
      <c r="I1031" s="204">
        <f>SUM(I1029:I1030)</f>
        <v>5</v>
      </c>
      <c r="J1031" s="201" t="s">
        <v>72</v>
      </c>
    </row>
    <row r="1032" spans="1:10" ht="47.25" customHeight="1">
      <c r="A1032" s="213">
        <v>77.400000000000006</v>
      </c>
      <c r="B1032" s="188" t="s">
        <v>792</v>
      </c>
      <c r="C1032" s="189"/>
      <c r="D1032" s="189"/>
      <c r="E1032" s="189"/>
      <c r="F1032" s="190"/>
      <c r="G1032" s="190"/>
      <c r="H1032" s="190"/>
      <c r="I1032" s="190"/>
      <c r="J1032" s="191"/>
    </row>
    <row r="1033" spans="1:10" ht="24.95" customHeight="1">
      <c r="A1033" s="192"/>
      <c r="B1033" s="202" t="s">
        <v>793</v>
      </c>
      <c r="C1033" s="189">
        <v>1</v>
      </c>
      <c r="D1033" s="189"/>
      <c r="E1033" s="189">
        <v>1</v>
      </c>
      <c r="F1033" s="218">
        <v>6</v>
      </c>
      <c r="G1033" s="218"/>
      <c r="H1033" s="218"/>
      <c r="I1033" s="204">
        <f>PRODUCT(C1033:H1033)</f>
        <v>6</v>
      </c>
      <c r="J1033" s="201"/>
    </row>
    <row r="1034" spans="1:10" ht="24.95" customHeight="1">
      <c r="A1034" s="192"/>
      <c r="B1034" s="202" t="s">
        <v>794</v>
      </c>
      <c r="C1034" s="189">
        <v>4</v>
      </c>
      <c r="D1034" s="189"/>
      <c r="E1034" s="189">
        <v>1</v>
      </c>
      <c r="F1034" s="218">
        <v>6</v>
      </c>
      <c r="G1034" s="218"/>
      <c r="H1034" s="218"/>
      <c r="I1034" s="204">
        <f>PRODUCT(C1034:H1034)</f>
        <v>24</v>
      </c>
      <c r="J1034" s="201"/>
    </row>
    <row r="1035" spans="1:10" ht="24.95" customHeight="1">
      <c r="A1035" s="192"/>
      <c r="B1035" s="202"/>
      <c r="C1035" s="189"/>
      <c r="D1035" s="189"/>
      <c r="E1035" s="189"/>
      <c r="F1035" s="218"/>
      <c r="G1035" s="218"/>
      <c r="H1035" s="218" t="s">
        <v>480</v>
      </c>
      <c r="I1035" s="204">
        <f>SUM(I1033:I1034)</f>
        <v>30</v>
      </c>
      <c r="J1035" s="201" t="s">
        <v>39</v>
      </c>
    </row>
    <row r="1036" spans="1:10" ht="24.95" customHeight="1">
      <c r="A1036" s="192"/>
      <c r="B1036" s="202"/>
      <c r="C1036" s="189"/>
      <c r="D1036" s="189"/>
      <c r="E1036" s="189"/>
      <c r="F1036" s="218"/>
      <c r="G1036" s="218"/>
      <c r="H1036" s="218"/>
      <c r="I1036" s="204"/>
      <c r="J1036" s="201"/>
    </row>
    <row r="1037" spans="1:10" ht="24.95" customHeight="1">
      <c r="A1037" s="213">
        <v>78</v>
      </c>
      <c r="B1037" s="188" t="s">
        <v>795</v>
      </c>
      <c r="C1037" s="189">
        <v>1</v>
      </c>
      <c r="D1037" s="189"/>
      <c r="E1037" s="189">
        <v>2</v>
      </c>
      <c r="F1037" s="218"/>
      <c r="G1037" s="218"/>
      <c r="H1037" s="218"/>
      <c r="I1037" s="204">
        <f>PRODUCT(C1037:H1037)</f>
        <v>2</v>
      </c>
      <c r="J1037" s="201" t="s">
        <v>69</v>
      </c>
    </row>
    <row r="1038" spans="1:10" ht="24.95" customHeight="1">
      <c r="A1038" s="213">
        <v>81</v>
      </c>
      <c r="B1038" s="188" t="s">
        <v>796</v>
      </c>
      <c r="C1038" s="189">
        <v>1</v>
      </c>
      <c r="D1038" s="189"/>
      <c r="E1038" s="189">
        <v>1</v>
      </c>
      <c r="F1038" s="218">
        <v>1</v>
      </c>
      <c r="G1038" s="218"/>
      <c r="H1038" s="218">
        <v>0.75</v>
      </c>
      <c r="I1038" s="204">
        <f>PRODUCT(C1038:H1038)</f>
        <v>0.75</v>
      </c>
      <c r="J1038" s="201" t="s">
        <v>123</v>
      </c>
    </row>
    <row r="1039" spans="1:10" ht="24.95" customHeight="1">
      <c r="A1039" s="213">
        <v>86</v>
      </c>
      <c r="B1039" s="188" t="s">
        <v>797</v>
      </c>
      <c r="C1039" s="189"/>
      <c r="D1039" s="189"/>
      <c r="E1039" s="189"/>
      <c r="F1039" s="218"/>
      <c r="G1039" s="218"/>
      <c r="H1039" s="218"/>
      <c r="I1039" s="203"/>
      <c r="J1039" s="201"/>
    </row>
    <row r="1040" spans="1:10" ht="24.95" customHeight="1">
      <c r="A1040" s="192"/>
      <c r="B1040" s="202" t="s">
        <v>798</v>
      </c>
      <c r="C1040" s="189">
        <v>1</v>
      </c>
      <c r="D1040" s="189"/>
      <c r="E1040" s="189">
        <v>1</v>
      </c>
      <c r="F1040" s="203">
        <v>239.23</v>
      </c>
      <c r="G1040" s="203"/>
      <c r="H1040" s="203"/>
      <c r="I1040" s="203">
        <f>PRODUCT(C1040:H1040)</f>
        <v>239.23</v>
      </c>
      <c r="J1040" s="201"/>
    </row>
    <row r="1041" spans="1:10" ht="24.95" customHeight="1">
      <c r="A1041" s="192"/>
      <c r="B1041" s="202"/>
      <c r="C1041" s="189"/>
      <c r="D1041" s="189"/>
      <c r="E1041" s="189"/>
      <c r="F1041" s="203"/>
      <c r="G1041" s="203"/>
      <c r="H1041" s="204" t="s">
        <v>261</v>
      </c>
      <c r="I1041" s="204">
        <f>ROUNDUP(I1040,1-0)</f>
        <v>239.3</v>
      </c>
      <c r="J1041" s="201" t="s">
        <v>123</v>
      </c>
    </row>
    <row r="1042" spans="1:10" ht="24.95" customHeight="1">
      <c r="A1042" s="213">
        <v>87.1</v>
      </c>
      <c r="B1042" s="188" t="s">
        <v>799</v>
      </c>
      <c r="C1042" s="189">
        <v>1</v>
      </c>
      <c r="D1042" s="189"/>
      <c r="E1042" s="189">
        <v>2</v>
      </c>
      <c r="F1042" s="203"/>
      <c r="G1042" s="203"/>
      <c r="H1042" s="203"/>
      <c r="I1042" s="204">
        <f>PRODUCT(C1042:H1042)</f>
        <v>2</v>
      </c>
      <c r="J1042" s="201" t="s">
        <v>69</v>
      </c>
    </row>
    <row r="1043" spans="1:10" ht="24.95" customHeight="1">
      <c r="A1043" s="187"/>
      <c r="B1043" s="188"/>
      <c r="C1043" s="189"/>
      <c r="D1043" s="189"/>
      <c r="E1043" s="189"/>
      <c r="F1043" s="203"/>
      <c r="G1043" s="203"/>
      <c r="H1043" s="203"/>
      <c r="I1043" s="204"/>
      <c r="J1043" s="201"/>
    </row>
    <row r="1044" spans="1:10" ht="24.95" customHeight="1">
      <c r="A1044" s="213">
        <v>112.1</v>
      </c>
      <c r="B1044" s="252" t="s">
        <v>920</v>
      </c>
      <c r="C1044" s="189"/>
      <c r="D1044" s="189"/>
      <c r="E1044" s="189"/>
      <c r="F1044" s="190"/>
      <c r="G1044" s="190"/>
      <c r="H1044" s="190"/>
      <c r="I1044" s="190"/>
      <c r="J1044" s="191"/>
    </row>
    <row r="1045" spans="1:10" ht="24.95" customHeight="1">
      <c r="A1045" s="192"/>
      <c r="B1045" s="202" t="s">
        <v>921</v>
      </c>
      <c r="C1045" s="189">
        <v>1</v>
      </c>
      <c r="D1045" s="189">
        <v>3</v>
      </c>
      <c r="E1045" s="189"/>
      <c r="F1045" s="190"/>
      <c r="G1045" s="190"/>
      <c r="H1045" s="190"/>
      <c r="I1045" s="190">
        <v>3</v>
      </c>
      <c r="J1045" s="191"/>
    </row>
    <row r="1046" spans="1:10" ht="24.95" customHeight="1">
      <c r="A1046" s="192"/>
      <c r="B1046" s="202" t="s">
        <v>806</v>
      </c>
      <c r="C1046" s="189">
        <v>1</v>
      </c>
      <c r="D1046" s="189">
        <v>1</v>
      </c>
      <c r="E1046" s="189"/>
      <c r="F1046" s="190"/>
      <c r="G1046" s="190"/>
      <c r="H1046" s="190"/>
      <c r="I1046" s="190">
        <v>1</v>
      </c>
      <c r="J1046" s="191"/>
    </row>
    <row r="1047" spans="1:10" ht="24.95" customHeight="1">
      <c r="A1047" s="192"/>
      <c r="B1047" s="202" t="s">
        <v>922</v>
      </c>
      <c r="C1047" s="189">
        <v>1</v>
      </c>
      <c r="D1047" s="189">
        <v>3</v>
      </c>
      <c r="E1047" s="189"/>
      <c r="F1047" s="190"/>
      <c r="G1047" s="190"/>
      <c r="H1047" s="190"/>
      <c r="I1047" s="190">
        <v>3</v>
      </c>
      <c r="J1047" s="191"/>
    </row>
    <row r="1048" spans="1:10" ht="24.95" customHeight="1">
      <c r="A1048" s="192"/>
      <c r="B1048" s="202"/>
      <c r="C1048" s="189"/>
      <c r="D1048" s="189"/>
      <c r="E1048" s="189"/>
      <c r="F1048" s="190"/>
      <c r="G1048" s="190"/>
      <c r="H1048" s="190"/>
      <c r="I1048" s="190">
        <f>SUM(I1045:I1047)</f>
        <v>7</v>
      </c>
      <c r="J1048" s="191" t="s">
        <v>923</v>
      </c>
    </row>
    <row r="1049" spans="1:10" ht="24.95" customHeight="1">
      <c r="A1049" s="192"/>
      <c r="B1049" s="301" t="s">
        <v>46</v>
      </c>
      <c r="C1049" s="189"/>
      <c r="D1049" s="189"/>
      <c r="E1049" s="189"/>
      <c r="F1049" s="190"/>
      <c r="G1049" s="190"/>
      <c r="H1049" s="190"/>
      <c r="I1049" s="190"/>
      <c r="J1049" s="191"/>
    </row>
    <row r="1050" spans="1:10" ht="24.95" customHeight="1">
      <c r="A1050" s="187">
        <v>14.1</v>
      </c>
      <c r="B1050" s="188" t="s">
        <v>606</v>
      </c>
      <c r="C1050" s="189"/>
      <c r="D1050" s="189"/>
      <c r="E1050" s="189"/>
      <c r="F1050" s="190"/>
      <c r="G1050" s="190"/>
      <c r="H1050" s="190"/>
      <c r="I1050" s="190"/>
      <c r="J1050" s="191"/>
    </row>
    <row r="1051" spans="1:10" ht="24.95" customHeight="1">
      <c r="A1051" s="192"/>
      <c r="B1051" s="188" t="s">
        <v>506</v>
      </c>
      <c r="C1051" s="189"/>
      <c r="D1051" s="189"/>
      <c r="E1051" s="189"/>
      <c r="F1051" s="190"/>
      <c r="G1051" s="190"/>
      <c r="H1051" s="190"/>
      <c r="I1051" s="190"/>
      <c r="J1051" s="191"/>
    </row>
    <row r="1052" spans="1:10" ht="24.95" customHeight="1">
      <c r="A1052" s="192"/>
      <c r="B1052" s="202" t="s">
        <v>515</v>
      </c>
      <c r="C1052" s="189">
        <v>1</v>
      </c>
      <c r="D1052" s="189" t="s">
        <v>461</v>
      </c>
      <c r="E1052" s="189">
        <v>4</v>
      </c>
      <c r="F1052" s="203">
        <v>4.5</v>
      </c>
      <c r="G1052" s="203">
        <v>0.45</v>
      </c>
      <c r="H1052" s="203"/>
      <c r="I1052" s="203">
        <f t="shared" ref="I1052:I1057" si="61">PRODUCT(C1052:H1052)</f>
        <v>8.1</v>
      </c>
      <c r="J1052" s="201"/>
    </row>
    <row r="1053" spans="1:10" ht="24.95" customHeight="1">
      <c r="A1053" s="192"/>
      <c r="B1053" s="202" t="s">
        <v>596</v>
      </c>
      <c r="C1053" s="189">
        <v>1</v>
      </c>
      <c r="D1053" s="189" t="s">
        <v>461</v>
      </c>
      <c r="E1053" s="189">
        <v>4</v>
      </c>
      <c r="F1053" s="203">
        <v>6</v>
      </c>
      <c r="G1053" s="203">
        <v>0.6</v>
      </c>
      <c r="H1053" s="203"/>
      <c r="I1053" s="203">
        <f t="shared" si="61"/>
        <v>14.4</v>
      </c>
      <c r="J1053" s="191"/>
    </row>
    <row r="1054" spans="1:10" ht="24.95" customHeight="1">
      <c r="A1054" s="192"/>
      <c r="B1054" s="202" t="s">
        <v>597</v>
      </c>
      <c r="C1054" s="189">
        <v>1</v>
      </c>
      <c r="D1054" s="189" t="s">
        <v>461</v>
      </c>
      <c r="E1054" s="189">
        <v>4</v>
      </c>
      <c r="F1054" s="203">
        <v>6</v>
      </c>
      <c r="G1054" s="203">
        <v>0.6</v>
      </c>
      <c r="H1054" s="203"/>
      <c r="I1054" s="203">
        <f t="shared" si="61"/>
        <v>14.4</v>
      </c>
      <c r="J1054" s="191"/>
    </row>
    <row r="1055" spans="1:10" ht="24.95" customHeight="1">
      <c r="A1055" s="192"/>
      <c r="B1055" s="202" t="s">
        <v>597</v>
      </c>
      <c r="C1055" s="189">
        <v>1</v>
      </c>
      <c r="D1055" s="189" t="s">
        <v>461</v>
      </c>
      <c r="E1055" s="189">
        <v>4</v>
      </c>
      <c r="F1055" s="203">
        <v>7.43</v>
      </c>
      <c r="G1055" s="203">
        <v>0.6</v>
      </c>
      <c r="H1055" s="203"/>
      <c r="I1055" s="203">
        <f t="shared" si="61"/>
        <v>17.829999999999998</v>
      </c>
      <c r="J1055" s="191"/>
    </row>
    <row r="1056" spans="1:10" ht="24.95" customHeight="1">
      <c r="A1056" s="192"/>
      <c r="B1056" s="202" t="s">
        <v>607</v>
      </c>
      <c r="C1056" s="189">
        <v>2</v>
      </c>
      <c r="D1056" s="189"/>
      <c r="E1056" s="189">
        <v>12</v>
      </c>
      <c r="F1056" s="203">
        <v>1.5</v>
      </c>
      <c r="G1056" s="203">
        <v>0.6</v>
      </c>
      <c r="H1056" s="203"/>
      <c r="I1056" s="203">
        <f t="shared" si="61"/>
        <v>21.6</v>
      </c>
      <c r="J1056" s="201"/>
    </row>
    <row r="1057" spans="1:14" ht="24.95" customHeight="1">
      <c r="A1057" s="192"/>
      <c r="B1057" s="202" t="s">
        <v>608</v>
      </c>
      <c r="C1057" s="189">
        <v>3</v>
      </c>
      <c r="D1057" s="189"/>
      <c r="E1057" s="189">
        <v>4</v>
      </c>
      <c r="F1057" s="203">
        <v>1.2</v>
      </c>
      <c r="G1057" s="203">
        <v>0.45</v>
      </c>
      <c r="H1057" s="203"/>
      <c r="I1057" s="203">
        <f t="shared" si="61"/>
        <v>6.48</v>
      </c>
      <c r="J1057" s="191"/>
    </row>
    <row r="1058" spans="1:14" ht="24.95" customHeight="1">
      <c r="A1058" s="192"/>
      <c r="B1058" s="202"/>
      <c r="C1058" s="189"/>
      <c r="D1058" s="189"/>
      <c r="E1058" s="189"/>
      <c r="F1058" s="203"/>
      <c r="G1058" s="203"/>
      <c r="H1058" s="203"/>
      <c r="I1058" s="203">
        <f>SUM(I1052:I1057)</f>
        <v>82.81</v>
      </c>
      <c r="J1058" s="191"/>
    </row>
    <row r="1059" spans="1:14" ht="24.95" customHeight="1">
      <c r="A1059" s="192"/>
      <c r="B1059" s="202"/>
      <c r="C1059" s="189"/>
      <c r="D1059" s="189"/>
      <c r="E1059" s="189"/>
      <c r="F1059" s="203"/>
      <c r="G1059" s="203"/>
      <c r="H1059" s="204" t="s">
        <v>261</v>
      </c>
      <c r="I1059" s="204">
        <f>ROUNDUP(I1058,1-0)</f>
        <v>82.9</v>
      </c>
      <c r="J1059" s="201" t="s">
        <v>123</v>
      </c>
    </row>
    <row r="1060" spans="1:14" ht="24.95" customHeight="1">
      <c r="A1060" s="192"/>
      <c r="B1060" s="188" t="s">
        <v>598</v>
      </c>
      <c r="C1060" s="189"/>
      <c r="D1060" s="189"/>
      <c r="E1060" s="189"/>
      <c r="F1060" s="203"/>
      <c r="G1060" s="203"/>
      <c r="H1060" s="204"/>
      <c r="I1060" s="203"/>
      <c r="J1060" s="201"/>
    </row>
    <row r="1061" spans="1:14" ht="24.95" customHeight="1">
      <c r="A1061" s="192"/>
      <c r="B1061" s="202" t="s">
        <v>609</v>
      </c>
      <c r="C1061" s="189">
        <v>1</v>
      </c>
      <c r="D1061" s="189" t="s">
        <v>461</v>
      </c>
      <c r="E1061" s="189">
        <v>4</v>
      </c>
      <c r="F1061" s="203">
        <v>6</v>
      </c>
      <c r="G1061" s="203">
        <v>0.6</v>
      </c>
      <c r="H1061" s="204"/>
      <c r="I1061" s="203">
        <f>PRODUCT(C1061:H1061)</f>
        <v>14.4</v>
      </c>
      <c r="J1061" s="201"/>
    </row>
    <row r="1062" spans="1:14" ht="24.95" customHeight="1">
      <c r="A1062" s="192"/>
      <c r="B1062" s="202" t="s">
        <v>610</v>
      </c>
      <c r="C1062" s="189">
        <v>1</v>
      </c>
      <c r="D1062" s="189" t="s">
        <v>461</v>
      </c>
      <c r="E1062" s="189">
        <v>4</v>
      </c>
      <c r="F1062" s="203">
        <v>3.35</v>
      </c>
      <c r="G1062" s="203">
        <v>0.6</v>
      </c>
      <c r="H1062" s="204"/>
      <c r="I1062" s="203">
        <f>PRODUCT(C1062:H1062)</f>
        <v>8.0399999999999991</v>
      </c>
      <c r="J1062" s="201"/>
    </row>
    <row r="1063" spans="1:14" ht="27.75" customHeight="1">
      <c r="A1063" s="192"/>
      <c r="B1063" s="202" t="s">
        <v>611</v>
      </c>
      <c r="C1063" s="189">
        <v>1</v>
      </c>
      <c r="D1063" s="189" t="s">
        <v>461</v>
      </c>
      <c r="E1063" s="189">
        <v>4</v>
      </c>
      <c r="F1063" s="203">
        <v>5.7</v>
      </c>
      <c r="G1063" s="203">
        <v>0.6</v>
      </c>
      <c r="H1063" s="204"/>
      <c r="I1063" s="203">
        <f>PRODUCT(C1063:H1063)</f>
        <v>13.68</v>
      </c>
      <c r="J1063" s="201"/>
    </row>
    <row r="1064" spans="1:14" ht="24.95" customHeight="1">
      <c r="A1064" s="192"/>
      <c r="B1064" s="202"/>
      <c r="C1064" s="189"/>
      <c r="D1064" s="189"/>
      <c r="E1064" s="189"/>
      <c r="F1064" s="203"/>
      <c r="G1064" s="203"/>
      <c r="H1064" s="204"/>
      <c r="I1064" s="203">
        <f>SUM(I1061:I1063)</f>
        <v>36.119999999999997</v>
      </c>
      <c r="J1064" s="201"/>
    </row>
    <row r="1065" spans="1:14" ht="24.95" customHeight="1">
      <c r="A1065" s="192"/>
      <c r="B1065" s="202"/>
      <c r="C1065" s="189"/>
      <c r="D1065" s="189"/>
      <c r="E1065" s="189"/>
      <c r="F1065" s="203"/>
      <c r="G1065" s="203"/>
      <c r="H1065" s="204" t="s">
        <v>261</v>
      </c>
      <c r="I1065" s="204">
        <f>ROUNDUP(I1064,1-0)</f>
        <v>36.200000000000003</v>
      </c>
      <c r="J1065" s="201" t="s">
        <v>123</v>
      </c>
      <c r="M1065" s="185">
        <f>G1088+F1088</f>
        <v>5.6</v>
      </c>
      <c r="N1065" s="185">
        <f>M1065*2</f>
        <v>11.2</v>
      </c>
    </row>
    <row r="1066" spans="1:14" ht="32.25" customHeight="1">
      <c r="A1066" s="192" t="s">
        <v>60</v>
      </c>
      <c r="B1066" s="188" t="s">
        <v>612</v>
      </c>
      <c r="C1066" s="189"/>
      <c r="D1066" s="189"/>
      <c r="E1066" s="189"/>
      <c r="F1066" s="203"/>
      <c r="G1066" s="203"/>
      <c r="H1066" s="204"/>
      <c r="I1066" s="204"/>
      <c r="J1066" s="201"/>
      <c r="M1066" s="185">
        <f>G1089+F1089</f>
        <v>7.2</v>
      </c>
      <c r="N1066" s="185">
        <f>M1066*2</f>
        <v>14.4</v>
      </c>
    </row>
    <row r="1067" spans="1:14" ht="24.95" customHeight="1">
      <c r="A1067" s="234" t="s">
        <v>613</v>
      </c>
      <c r="B1067" s="235" t="s">
        <v>614</v>
      </c>
      <c r="C1067" s="225"/>
      <c r="D1067" s="225"/>
      <c r="E1067" s="226"/>
      <c r="F1067" s="226"/>
      <c r="G1067" s="226"/>
      <c r="H1067" s="227"/>
      <c r="I1067" s="204"/>
      <c r="J1067" s="201"/>
      <c r="M1067" s="185">
        <f>G1090+F1090</f>
        <v>8</v>
      </c>
      <c r="N1067" s="185">
        <f>M1067*2</f>
        <v>16</v>
      </c>
    </row>
    <row r="1068" spans="1:14" ht="24.95" customHeight="1">
      <c r="A1068" s="234"/>
      <c r="B1068" s="236" t="s">
        <v>615</v>
      </c>
      <c r="C1068" s="237">
        <v>1</v>
      </c>
      <c r="D1068" s="238" t="s">
        <v>461</v>
      </c>
      <c r="E1068" s="237">
        <v>9</v>
      </c>
      <c r="F1068" s="239">
        <v>1.06</v>
      </c>
      <c r="G1068" s="239">
        <v>1.06</v>
      </c>
      <c r="H1068" s="239"/>
      <c r="I1068" s="240">
        <f>PRODUCT(C1068:H1068)</f>
        <v>10.11</v>
      </c>
      <c r="J1068" s="201"/>
      <c r="M1068" s="185">
        <f>G1091+F1091</f>
        <v>8</v>
      </c>
      <c r="N1068" s="185">
        <f>M1068*2</f>
        <v>16</v>
      </c>
    </row>
    <row r="1069" spans="1:14" ht="24.95" customHeight="1">
      <c r="A1069" s="192"/>
      <c r="B1069" s="202"/>
      <c r="C1069" s="189"/>
      <c r="D1069" s="189"/>
      <c r="E1069" s="189"/>
      <c r="F1069" s="203"/>
      <c r="G1069" s="203"/>
      <c r="H1069" s="204" t="s">
        <v>261</v>
      </c>
      <c r="I1069" s="204">
        <f>ROUNDUP(I1068,1-0)</f>
        <v>10.199999999999999</v>
      </c>
      <c r="J1069" s="201" t="s">
        <v>123</v>
      </c>
    </row>
    <row r="1070" spans="1:14" ht="24.95" customHeight="1">
      <c r="A1070" s="241" t="s">
        <v>616</v>
      </c>
      <c r="B1070" s="242" t="s">
        <v>617</v>
      </c>
      <c r="C1070" s="189"/>
      <c r="D1070" s="189"/>
      <c r="E1070" s="189"/>
      <c r="F1070" s="203"/>
      <c r="G1070" s="203"/>
      <c r="H1070" s="204"/>
      <c r="I1070" s="204"/>
      <c r="J1070" s="201"/>
    </row>
    <row r="1071" spans="1:14" ht="27" customHeight="1">
      <c r="A1071" s="192"/>
      <c r="B1071" s="202" t="s">
        <v>515</v>
      </c>
      <c r="C1071" s="189">
        <v>1</v>
      </c>
      <c r="D1071" s="189" t="s">
        <v>461</v>
      </c>
      <c r="E1071" s="189">
        <v>4</v>
      </c>
      <c r="F1071" s="203">
        <v>4.5</v>
      </c>
      <c r="G1071" s="203">
        <v>0.45</v>
      </c>
      <c r="H1071" s="203"/>
      <c r="I1071" s="203">
        <f t="shared" ref="I1071:I1076" si="62">PRODUCT(C1071:H1071)</f>
        <v>8.1</v>
      </c>
      <c r="J1071" s="201"/>
    </row>
    <row r="1072" spans="1:14" ht="24.95" customHeight="1">
      <c r="A1072" s="192"/>
      <c r="B1072" s="202" t="s">
        <v>596</v>
      </c>
      <c r="C1072" s="189">
        <v>1</v>
      </c>
      <c r="D1072" s="189" t="s">
        <v>461</v>
      </c>
      <c r="E1072" s="189">
        <v>4</v>
      </c>
      <c r="F1072" s="203">
        <v>6</v>
      </c>
      <c r="G1072" s="203">
        <v>0.6</v>
      </c>
      <c r="H1072" s="203"/>
      <c r="I1072" s="203">
        <f t="shared" si="62"/>
        <v>14.4</v>
      </c>
      <c r="J1072" s="191"/>
    </row>
    <row r="1073" spans="1:10" ht="24.95" customHeight="1">
      <c r="A1073" s="192"/>
      <c r="B1073" s="202" t="s">
        <v>597</v>
      </c>
      <c r="C1073" s="189">
        <v>1</v>
      </c>
      <c r="D1073" s="189" t="s">
        <v>461</v>
      </c>
      <c r="E1073" s="189">
        <v>4</v>
      </c>
      <c r="F1073" s="203">
        <v>6</v>
      </c>
      <c r="G1073" s="203">
        <v>0.6</v>
      </c>
      <c r="H1073" s="203"/>
      <c r="I1073" s="203">
        <f t="shared" si="62"/>
        <v>14.4</v>
      </c>
      <c r="J1073" s="191"/>
    </row>
    <row r="1074" spans="1:10" ht="24.95" customHeight="1">
      <c r="A1074" s="192"/>
      <c r="B1074" s="202" t="s">
        <v>597</v>
      </c>
      <c r="C1074" s="189">
        <v>1</v>
      </c>
      <c r="D1074" s="189" t="s">
        <v>461</v>
      </c>
      <c r="E1074" s="189">
        <v>4</v>
      </c>
      <c r="F1074" s="203">
        <v>7.43</v>
      </c>
      <c r="G1074" s="203">
        <v>0.6</v>
      </c>
      <c r="H1074" s="203"/>
      <c r="I1074" s="203">
        <f t="shared" si="62"/>
        <v>17.829999999999998</v>
      </c>
      <c r="J1074" s="191"/>
    </row>
    <row r="1075" spans="1:10" ht="24.95" customHeight="1">
      <c r="A1075" s="192"/>
      <c r="B1075" s="202" t="s">
        <v>607</v>
      </c>
      <c r="C1075" s="189">
        <v>2</v>
      </c>
      <c r="D1075" s="189"/>
      <c r="E1075" s="189">
        <v>12</v>
      </c>
      <c r="F1075" s="203">
        <v>1.5</v>
      </c>
      <c r="G1075" s="203">
        <v>0.6</v>
      </c>
      <c r="H1075" s="203"/>
      <c r="I1075" s="203">
        <f t="shared" si="62"/>
        <v>21.6</v>
      </c>
      <c r="J1075" s="201"/>
    </row>
    <row r="1076" spans="1:10" ht="24.95" customHeight="1">
      <c r="A1076" s="192"/>
      <c r="B1076" s="202" t="s">
        <v>608</v>
      </c>
      <c r="C1076" s="189">
        <v>3</v>
      </c>
      <c r="D1076" s="189"/>
      <c r="E1076" s="189">
        <v>4</v>
      </c>
      <c r="F1076" s="203">
        <v>1.2</v>
      </c>
      <c r="G1076" s="203">
        <v>0.45</v>
      </c>
      <c r="H1076" s="203"/>
      <c r="I1076" s="203">
        <f t="shared" si="62"/>
        <v>6.48</v>
      </c>
      <c r="J1076" s="191"/>
    </row>
    <row r="1077" spans="1:10" ht="24.95" customHeight="1">
      <c r="A1077" s="192"/>
      <c r="B1077" s="202"/>
      <c r="C1077" s="189"/>
      <c r="D1077" s="189"/>
      <c r="E1077" s="189"/>
      <c r="F1077" s="203"/>
      <c r="G1077" s="203"/>
      <c r="H1077" s="203"/>
      <c r="I1077" s="203">
        <f>SUM(I1071:I1076)</f>
        <v>82.81</v>
      </c>
      <c r="J1077" s="191"/>
    </row>
    <row r="1078" spans="1:10" ht="24.95" customHeight="1">
      <c r="A1078" s="192"/>
      <c r="B1078" s="202"/>
      <c r="C1078" s="189"/>
      <c r="D1078" s="189"/>
      <c r="E1078" s="189"/>
      <c r="F1078" s="203"/>
      <c r="G1078" s="203"/>
      <c r="H1078" s="204" t="s">
        <v>261</v>
      </c>
      <c r="I1078" s="204">
        <f>ROUNDUP(I1077,1-0)</f>
        <v>82.9</v>
      </c>
      <c r="J1078" s="201" t="s">
        <v>123</v>
      </c>
    </row>
    <row r="1079" spans="1:10" ht="24.95" customHeight="1">
      <c r="A1079" s="241"/>
      <c r="B1079" s="188" t="s">
        <v>598</v>
      </c>
      <c r="C1079" s="189"/>
      <c r="D1079" s="189"/>
      <c r="E1079" s="189"/>
      <c r="F1079" s="203"/>
      <c r="G1079" s="203"/>
      <c r="H1079" s="204"/>
      <c r="I1079" s="203"/>
      <c r="J1079" s="201"/>
    </row>
    <row r="1080" spans="1:10" ht="24.95" customHeight="1">
      <c r="A1080" s="241"/>
      <c r="B1080" s="202" t="s">
        <v>609</v>
      </c>
      <c r="C1080" s="189">
        <v>1</v>
      </c>
      <c r="D1080" s="189" t="s">
        <v>461</v>
      </c>
      <c r="E1080" s="189">
        <v>4</v>
      </c>
      <c r="F1080" s="203">
        <v>6</v>
      </c>
      <c r="G1080" s="203">
        <v>0.6</v>
      </c>
      <c r="H1080" s="204"/>
      <c r="I1080" s="203">
        <f>PRODUCT(C1080:H1080)</f>
        <v>14.4</v>
      </c>
      <c r="J1080" s="201"/>
    </row>
    <row r="1081" spans="1:10" ht="24.95" customHeight="1">
      <c r="A1081" s="241"/>
      <c r="B1081" s="202" t="s">
        <v>610</v>
      </c>
      <c r="C1081" s="189">
        <v>1</v>
      </c>
      <c r="D1081" s="189" t="s">
        <v>461</v>
      </c>
      <c r="E1081" s="189">
        <v>4</v>
      </c>
      <c r="F1081" s="203">
        <v>3.35</v>
      </c>
      <c r="G1081" s="203">
        <v>0.6</v>
      </c>
      <c r="H1081" s="204"/>
      <c r="I1081" s="203">
        <f>PRODUCT(C1081:H1081)</f>
        <v>8.0399999999999991</v>
      </c>
      <c r="J1081" s="201"/>
    </row>
    <row r="1082" spans="1:10" ht="24.95" customHeight="1">
      <c r="A1082" s="241"/>
      <c r="B1082" s="202" t="s">
        <v>611</v>
      </c>
      <c r="C1082" s="189">
        <v>1</v>
      </c>
      <c r="D1082" s="189" t="s">
        <v>461</v>
      </c>
      <c r="E1082" s="189">
        <v>4</v>
      </c>
      <c r="F1082" s="203">
        <v>5.7</v>
      </c>
      <c r="G1082" s="203">
        <v>0.6</v>
      </c>
      <c r="H1082" s="204"/>
      <c r="I1082" s="203">
        <f>PRODUCT(C1082:H1082)</f>
        <v>13.68</v>
      </c>
      <c r="J1082" s="201"/>
    </row>
    <row r="1083" spans="1:10" ht="30" customHeight="1">
      <c r="A1083" s="241"/>
      <c r="B1083" s="202"/>
      <c r="C1083" s="189"/>
      <c r="D1083" s="189"/>
      <c r="E1083" s="189"/>
      <c r="F1083" s="203"/>
      <c r="G1083" s="203"/>
      <c r="H1083" s="204"/>
      <c r="I1083" s="203">
        <f>SUM(I1080:I1082)</f>
        <v>36.119999999999997</v>
      </c>
      <c r="J1083" s="201"/>
    </row>
    <row r="1084" spans="1:10" ht="24.95" customHeight="1">
      <c r="A1084" s="192"/>
      <c r="B1084" s="202"/>
      <c r="C1084" s="189"/>
      <c r="D1084" s="189"/>
      <c r="E1084" s="189"/>
      <c r="F1084" s="203"/>
      <c r="G1084" s="203"/>
      <c r="H1084" s="204" t="s">
        <v>261</v>
      </c>
      <c r="I1084" s="204">
        <f>ROUNDUP(I1083,1-0)</f>
        <v>36.200000000000003</v>
      </c>
      <c r="J1084" s="201" t="s">
        <v>123</v>
      </c>
    </row>
    <row r="1085" spans="1:10" ht="24.95" customHeight="1">
      <c r="A1085" s="192"/>
      <c r="B1085" s="188" t="s">
        <v>7</v>
      </c>
      <c r="C1085" s="189"/>
      <c r="D1085" s="189"/>
      <c r="E1085" s="189"/>
      <c r="F1085" s="190"/>
      <c r="G1085" s="190"/>
      <c r="H1085" s="190"/>
      <c r="I1085" s="190"/>
      <c r="J1085" s="191"/>
    </row>
    <row r="1086" spans="1:10" ht="48" customHeight="1">
      <c r="A1086" s="213">
        <v>18.100000000000001</v>
      </c>
      <c r="B1086" s="188" t="s">
        <v>800</v>
      </c>
      <c r="C1086" s="189"/>
      <c r="D1086" s="189"/>
      <c r="E1086" s="189"/>
      <c r="F1086" s="190"/>
      <c r="G1086" s="190"/>
      <c r="H1086" s="190"/>
      <c r="I1086" s="190"/>
      <c r="J1086" s="191"/>
    </row>
    <row r="1087" spans="1:10" ht="24.95" customHeight="1">
      <c r="A1087" s="192"/>
      <c r="B1087" s="188" t="s">
        <v>459</v>
      </c>
      <c r="C1087" s="189"/>
      <c r="D1087" s="189"/>
      <c r="E1087" s="189"/>
      <c r="F1087" s="190"/>
      <c r="G1087" s="190"/>
      <c r="H1087" s="190"/>
      <c r="I1087" s="190"/>
      <c r="J1087" s="191"/>
    </row>
    <row r="1088" spans="1:10" ht="24.95" customHeight="1">
      <c r="A1088" s="192"/>
      <c r="B1088" s="202" t="s">
        <v>801</v>
      </c>
      <c r="C1088" s="189">
        <v>1</v>
      </c>
      <c r="D1088" s="189" t="s">
        <v>461</v>
      </c>
      <c r="E1088" s="189">
        <v>14</v>
      </c>
      <c r="F1088" s="203">
        <v>5.6</v>
      </c>
      <c r="G1088" s="203"/>
      <c r="H1088" s="203">
        <v>0.38</v>
      </c>
      <c r="I1088" s="203">
        <f>PRODUCT(C1088:H1088)</f>
        <v>29.79</v>
      </c>
      <c r="J1088" s="191"/>
    </row>
    <row r="1089" spans="1:10" ht="24.95" customHeight="1">
      <c r="A1089" s="192"/>
      <c r="B1089" s="202" t="s">
        <v>462</v>
      </c>
      <c r="C1089" s="189">
        <v>1</v>
      </c>
      <c r="D1089" s="189" t="s">
        <v>461</v>
      </c>
      <c r="E1089" s="189">
        <v>4</v>
      </c>
      <c r="F1089" s="203">
        <v>7.2</v>
      </c>
      <c r="G1089" s="203"/>
      <c r="H1089" s="203">
        <v>0.45</v>
      </c>
      <c r="I1089" s="203">
        <f>PRODUCT(C1089:H1089)</f>
        <v>12.96</v>
      </c>
      <c r="J1089" s="191"/>
    </row>
    <row r="1090" spans="1:10" ht="24.95" customHeight="1">
      <c r="A1090" s="192"/>
      <c r="B1090" s="202" t="s">
        <v>802</v>
      </c>
      <c r="C1090" s="189">
        <v>1</v>
      </c>
      <c r="D1090" s="189" t="s">
        <v>461</v>
      </c>
      <c r="E1090" s="189">
        <v>7</v>
      </c>
      <c r="F1090" s="203">
        <v>8</v>
      </c>
      <c r="G1090" s="203"/>
      <c r="H1090" s="203">
        <v>0.45</v>
      </c>
      <c r="I1090" s="203">
        <f>PRODUCT(C1090:H1090)</f>
        <v>25.2</v>
      </c>
      <c r="J1090" s="191"/>
    </row>
    <row r="1091" spans="1:10" ht="24.95" customHeight="1">
      <c r="A1091" s="192"/>
      <c r="B1091" s="202" t="s">
        <v>803</v>
      </c>
      <c r="C1091" s="189">
        <v>1</v>
      </c>
      <c r="D1091" s="189" t="s">
        <v>461</v>
      </c>
      <c r="E1091" s="189">
        <v>2</v>
      </c>
      <c r="F1091" s="203">
        <v>8</v>
      </c>
      <c r="G1091" s="203"/>
      <c r="H1091" s="203">
        <v>0.6</v>
      </c>
      <c r="I1091" s="203">
        <f>PRODUCT(C1091:H1091)</f>
        <v>9.6</v>
      </c>
      <c r="J1091" s="191"/>
    </row>
    <row r="1092" spans="1:10" ht="24.95" customHeight="1">
      <c r="A1092" s="192"/>
      <c r="B1092" s="202"/>
      <c r="C1092" s="189"/>
      <c r="D1092" s="189"/>
      <c r="E1092" s="189"/>
      <c r="F1092" s="203"/>
      <c r="G1092" s="203"/>
      <c r="H1092" s="203"/>
      <c r="I1092" s="203"/>
      <c r="J1092" s="191"/>
    </row>
    <row r="1093" spans="1:10" ht="24.95" customHeight="1">
      <c r="A1093" s="192"/>
      <c r="B1093" s="188" t="s">
        <v>482</v>
      </c>
      <c r="C1093" s="189"/>
      <c r="D1093" s="189"/>
      <c r="E1093" s="189"/>
      <c r="F1093" s="203"/>
      <c r="G1093" s="203"/>
      <c r="H1093" s="203"/>
      <c r="I1093" s="203"/>
      <c r="J1093" s="191"/>
    </row>
    <row r="1094" spans="1:10" ht="24.95" customHeight="1">
      <c r="A1094" s="192"/>
      <c r="B1094" s="202" t="s">
        <v>981</v>
      </c>
      <c r="C1094" s="189">
        <v>1</v>
      </c>
      <c r="D1094" s="189" t="s">
        <v>461</v>
      </c>
      <c r="E1094" s="189">
        <v>1</v>
      </c>
      <c r="F1094" s="203">
        <v>65.8</v>
      </c>
      <c r="G1094" s="203"/>
      <c r="H1094" s="203">
        <v>0.38</v>
      </c>
      <c r="I1094" s="203">
        <f t="shared" ref="I1094:I1110" si="63">PRODUCT(C1094:H1094)</f>
        <v>25</v>
      </c>
      <c r="J1094" s="191"/>
    </row>
    <row r="1095" spans="1:10" ht="24.95" customHeight="1">
      <c r="A1095" s="192"/>
      <c r="B1095" s="202" t="s">
        <v>982</v>
      </c>
      <c r="C1095" s="189">
        <v>1</v>
      </c>
      <c r="D1095" s="189" t="s">
        <v>461</v>
      </c>
      <c r="E1095" s="189">
        <v>1</v>
      </c>
      <c r="F1095" s="203">
        <v>19.68</v>
      </c>
      <c r="G1095" s="203"/>
      <c r="H1095" s="203">
        <v>0.38</v>
      </c>
      <c r="I1095" s="203">
        <f t="shared" si="63"/>
        <v>7.48</v>
      </c>
      <c r="J1095" s="191"/>
    </row>
    <row r="1096" spans="1:10" ht="24.95" customHeight="1">
      <c r="A1096" s="192"/>
      <c r="B1096" s="202" t="s">
        <v>983</v>
      </c>
      <c r="C1096" s="189">
        <v>1</v>
      </c>
      <c r="D1096" s="189" t="s">
        <v>461</v>
      </c>
      <c r="E1096" s="189">
        <v>1</v>
      </c>
      <c r="F1096" s="203">
        <v>17.559999999999999</v>
      </c>
      <c r="G1096" s="203"/>
      <c r="H1096" s="203">
        <v>0.38</v>
      </c>
      <c r="I1096" s="203">
        <f t="shared" si="63"/>
        <v>6.67</v>
      </c>
      <c r="J1096" s="191"/>
    </row>
    <row r="1097" spans="1:10" ht="24.95" customHeight="1">
      <c r="A1097" s="192"/>
      <c r="B1097" s="202" t="s">
        <v>984</v>
      </c>
      <c r="C1097" s="189">
        <v>1</v>
      </c>
      <c r="D1097" s="189" t="s">
        <v>461</v>
      </c>
      <c r="E1097" s="189">
        <v>1</v>
      </c>
      <c r="F1097" s="203">
        <v>10.74</v>
      </c>
      <c r="G1097" s="203"/>
      <c r="H1097" s="203">
        <v>0.38</v>
      </c>
      <c r="I1097" s="203">
        <f t="shared" si="63"/>
        <v>4.08</v>
      </c>
      <c r="J1097" s="191"/>
    </row>
    <row r="1098" spans="1:10" ht="24.95" customHeight="1">
      <c r="A1098" s="192"/>
      <c r="B1098" s="202" t="s">
        <v>985</v>
      </c>
      <c r="C1098" s="189">
        <v>1</v>
      </c>
      <c r="D1098" s="189" t="s">
        <v>461</v>
      </c>
      <c r="E1098" s="189">
        <v>1</v>
      </c>
      <c r="F1098" s="203">
        <v>19.54</v>
      </c>
      <c r="G1098" s="203"/>
      <c r="H1098" s="203">
        <v>0.38</v>
      </c>
      <c r="I1098" s="203">
        <f t="shared" si="63"/>
        <v>7.43</v>
      </c>
      <c r="J1098" s="191"/>
    </row>
    <row r="1099" spans="1:10" ht="24.95" customHeight="1">
      <c r="A1099" s="192"/>
      <c r="B1099" s="202" t="s">
        <v>986</v>
      </c>
      <c r="C1099" s="189">
        <v>1</v>
      </c>
      <c r="D1099" s="189" t="s">
        <v>461</v>
      </c>
      <c r="E1099" s="189">
        <v>1</v>
      </c>
      <c r="F1099" s="203">
        <v>36.78</v>
      </c>
      <c r="G1099" s="203"/>
      <c r="H1099" s="203">
        <v>0.38</v>
      </c>
      <c r="I1099" s="203">
        <f t="shared" si="63"/>
        <v>13.98</v>
      </c>
      <c r="J1099" s="191"/>
    </row>
    <row r="1100" spans="1:10" ht="24.95" customHeight="1">
      <c r="A1100" s="192"/>
      <c r="B1100" s="202" t="s">
        <v>787</v>
      </c>
      <c r="C1100" s="189">
        <v>1</v>
      </c>
      <c r="D1100" s="189" t="s">
        <v>461</v>
      </c>
      <c r="E1100" s="189">
        <v>1</v>
      </c>
      <c r="F1100" s="203">
        <v>28.06</v>
      </c>
      <c r="G1100" s="203"/>
      <c r="H1100" s="203">
        <v>0.38</v>
      </c>
      <c r="I1100" s="203">
        <f t="shared" si="63"/>
        <v>10.66</v>
      </c>
      <c r="J1100" s="191"/>
    </row>
    <row r="1101" spans="1:10" ht="33.75" customHeight="1">
      <c r="A1101" s="192"/>
      <c r="B1101" s="202" t="s">
        <v>944</v>
      </c>
      <c r="C1101" s="189">
        <v>1</v>
      </c>
      <c r="D1101" s="189" t="s">
        <v>461</v>
      </c>
      <c r="E1101" s="189">
        <v>1</v>
      </c>
      <c r="F1101" s="203">
        <v>16</v>
      </c>
      <c r="G1101" s="203"/>
      <c r="H1101" s="203">
        <v>0.38</v>
      </c>
      <c r="I1101" s="203">
        <f t="shared" si="63"/>
        <v>6.08</v>
      </c>
      <c r="J1101" s="191"/>
    </row>
    <row r="1102" spans="1:10" ht="24.95" customHeight="1">
      <c r="A1102" s="192"/>
      <c r="B1102" s="202" t="s">
        <v>806</v>
      </c>
      <c r="C1102" s="189">
        <v>1</v>
      </c>
      <c r="D1102" s="189" t="s">
        <v>461</v>
      </c>
      <c r="E1102" s="189">
        <v>1</v>
      </c>
      <c r="F1102" s="203">
        <v>24</v>
      </c>
      <c r="G1102" s="203"/>
      <c r="H1102" s="203">
        <v>0.38</v>
      </c>
      <c r="I1102" s="203">
        <f t="shared" si="63"/>
        <v>9.1199999999999992</v>
      </c>
      <c r="J1102" s="191"/>
    </row>
    <row r="1103" spans="1:10" ht="24.95" customHeight="1">
      <c r="A1103" s="192"/>
      <c r="B1103" s="202" t="s">
        <v>805</v>
      </c>
      <c r="C1103" s="189">
        <v>1</v>
      </c>
      <c r="D1103" s="189" t="s">
        <v>461</v>
      </c>
      <c r="E1103" s="189">
        <v>1</v>
      </c>
      <c r="F1103" s="203">
        <v>15.6</v>
      </c>
      <c r="G1103" s="203"/>
      <c r="H1103" s="203">
        <v>0.38</v>
      </c>
      <c r="I1103" s="203">
        <f t="shared" si="63"/>
        <v>5.93</v>
      </c>
      <c r="J1103" s="191"/>
    </row>
    <row r="1104" spans="1:10" ht="30" customHeight="1">
      <c r="A1104" s="192"/>
      <c r="B1104" s="202" t="s">
        <v>473</v>
      </c>
      <c r="C1104" s="189">
        <v>1</v>
      </c>
      <c r="D1104" s="189" t="s">
        <v>461</v>
      </c>
      <c r="E1104" s="189">
        <v>1</v>
      </c>
      <c r="F1104" s="203">
        <v>13.2</v>
      </c>
      <c r="G1104" s="203"/>
      <c r="H1104" s="203">
        <v>0.38</v>
      </c>
      <c r="I1104" s="203">
        <f t="shared" si="63"/>
        <v>5.0199999999999996</v>
      </c>
      <c r="J1104" s="191"/>
    </row>
    <row r="1105" spans="1:10" ht="24.95" customHeight="1">
      <c r="A1105" s="192"/>
      <c r="B1105" s="202" t="s">
        <v>987</v>
      </c>
      <c r="C1105" s="189">
        <v>1</v>
      </c>
      <c r="D1105" s="189" t="s">
        <v>461</v>
      </c>
      <c r="E1105" s="189">
        <v>1</v>
      </c>
      <c r="F1105" s="203">
        <v>39.4</v>
      </c>
      <c r="G1105" s="203"/>
      <c r="H1105" s="203">
        <v>0.38</v>
      </c>
      <c r="I1105" s="203">
        <f t="shared" si="63"/>
        <v>14.97</v>
      </c>
      <c r="J1105" s="191"/>
    </row>
    <row r="1106" spans="1:10" ht="24.95" customHeight="1">
      <c r="A1106" s="192"/>
      <c r="B1106" s="202" t="s">
        <v>988</v>
      </c>
      <c r="C1106" s="189">
        <v>1</v>
      </c>
      <c r="D1106" s="189" t="s">
        <v>461</v>
      </c>
      <c r="E1106" s="189">
        <v>1</v>
      </c>
      <c r="F1106" s="203">
        <v>23.52</v>
      </c>
      <c r="G1106" s="203"/>
      <c r="H1106" s="203">
        <v>0.38</v>
      </c>
      <c r="I1106" s="203">
        <f t="shared" si="63"/>
        <v>8.94</v>
      </c>
      <c r="J1106" s="191"/>
    </row>
    <row r="1107" spans="1:10" ht="24.95" customHeight="1">
      <c r="A1107" s="192"/>
      <c r="B1107" s="202"/>
      <c r="C1107" s="189">
        <v>1</v>
      </c>
      <c r="D1107" s="189" t="s">
        <v>461</v>
      </c>
      <c r="E1107" s="189">
        <v>1</v>
      </c>
      <c r="F1107" s="203">
        <v>25.36</v>
      </c>
      <c r="G1107" s="203"/>
      <c r="H1107" s="203">
        <v>0.38</v>
      </c>
      <c r="I1107" s="203">
        <f t="shared" si="63"/>
        <v>9.64</v>
      </c>
      <c r="J1107" s="191"/>
    </row>
    <row r="1108" spans="1:10" ht="24.95" customHeight="1">
      <c r="A1108" s="192"/>
      <c r="B1108" s="202"/>
      <c r="C1108" s="189">
        <v>1</v>
      </c>
      <c r="D1108" s="189" t="s">
        <v>461</v>
      </c>
      <c r="E1108" s="189">
        <v>1</v>
      </c>
      <c r="F1108" s="203">
        <v>181</v>
      </c>
      <c r="G1108" s="203"/>
      <c r="H1108" s="203">
        <v>0.38</v>
      </c>
      <c r="I1108" s="203">
        <f t="shared" si="63"/>
        <v>68.78</v>
      </c>
      <c r="J1108" s="191"/>
    </row>
    <row r="1109" spans="1:10" ht="24.95" customHeight="1">
      <c r="A1109" s="192"/>
      <c r="B1109" s="202"/>
      <c r="C1109" s="189">
        <v>1</v>
      </c>
      <c r="D1109" s="189" t="s">
        <v>461</v>
      </c>
      <c r="E1109" s="189">
        <v>1</v>
      </c>
      <c r="F1109" s="203">
        <v>19.72</v>
      </c>
      <c r="G1109" s="203"/>
      <c r="H1109" s="203">
        <v>0.38</v>
      </c>
      <c r="I1109" s="203">
        <f t="shared" si="63"/>
        <v>7.49</v>
      </c>
      <c r="J1109" s="191"/>
    </row>
    <row r="1110" spans="1:10" ht="24.95" customHeight="1">
      <c r="A1110" s="192"/>
      <c r="B1110" s="202"/>
      <c r="C1110" s="189">
        <v>1</v>
      </c>
      <c r="D1110" s="189" t="s">
        <v>461</v>
      </c>
      <c r="E1110" s="189">
        <v>1</v>
      </c>
      <c r="F1110" s="203">
        <v>20.32</v>
      </c>
      <c r="G1110" s="203"/>
      <c r="H1110" s="203">
        <v>0.38</v>
      </c>
      <c r="I1110" s="203">
        <f t="shared" si="63"/>
        <v>7.72</v>
      </c>
      <c r="J1110" s="191"/>
    </row>
    <row r="1111" spans="1:10" ht="24.95" customHeight="1">
      <c r="A1111" s="192"/>
      <c r="B1111" s="202"/>
      <c r="C1111" s="189">
        <v>1</v>
      </c>
      <c r="D1111" s="189" t="s">
        <v>461</v>
      </c>
      <c r="E1111" s="189">
        <v>1</v>
      </c>
      <c r="F1111" s="203">
        <v>22</v>
      </c>
      <c r="G1111" s="203"/>
      <c r="H1111" s="203">
        <v>0.38</v>
      </c>
      <c r="I1111" s="203">
        <f t="shared" ref="I1111" si="64">PRODUCT(C1111:H1111)</f>
        <v>8.36</v>
      </c>
      <c r="J1111" s="191"/>
    </row>
    <row r="1112" spans="1:10" ht="24.95" customHeight="1">
      <c r="A1112" s="192"/>
      <c r="B1112" s="188" t="s">
        <v>807</v>
      </c>
      <c r="C1112" s="189"/>
      <c r="D1112" s="189"/>
      <c r="E1112" s="189"/>
      <c r="F1112" s="203"/>
      <c r="G1112" s="203"/>
      <c r="H1112" s="203"/>
      <c r="I1112" s="203"/>
      <c r="J1112" s="191"/>
    </row>
    <row r="1113" spans="1:10" ht="24.95" customHeight="1">
      <c r="A1113" s="192"/>
      <c r="B1113" s="193" t="s">
        <v>934</v>
      </c>
      <c r="C1113" s="194">
        <v>1</v>
      </c>
      <c r="D1113" s="194" t="s">
        <v>461</v>
      </c>
      <c r="E1113" s="194">
        <v>1</v>
      </c>
      <c r="F1113" s="195">
        <v>64.88</v>
      </c>
      <c r="G1113" s="203"/>
      <c r="H1113" s="203">
        <v>0.1</v>
      </c>
      <c r="I1113" s="203">
        <f t="shared" ref="I1113:I1123" si="65">PRODUCT(C1113:H1113)</f>
        <v>6.49</v>
      </c>
      <c r="J1113" s="191"/>
    </row>
    <row r="1114" spans="1:10" ht="24.95" customHeight="1">
      <c r="A1114" s="192"/>
      <c r="B1114" s="193" t="s">
        <v>935</v>
      </c>
      <c r="C1114" s="194">
        <v>2</v>
      </c>
      <c r="D1114" s="194" t="s">
        <v>461</v>
      </c>
      <c r="E1114" s="194">
        <v>1</v>
      </c>
      <c r="F1114" s="195">
        <v>20.12</v>
      </c>
      <c r="G1114" s="203"/>
      <c r="H1114" s="203">
        <v>0.1</v>
      </c>
      <c r="I1114" s="203">
        <f t="shared" si="65"/>
        <v>4.0199999999999996</v>
      </c>
      <c r="J1114" s="191"/>
    </row>
    <row r="1115" spans="1:10" ht="24.95" customHeight="1">
      <c r="A1115" s="192"/>
      <c r="B1115" s="193"/>
      <c r="C1115" s="194">
        <v>2</v>
      </c>
      <c r="D1115" s="194" t="s">
        <v>461</v>
      </c>
      <c r="E1115" s="194">
        <v>1</v>
      </c>
      <c r="F1115" s="195">
        <v>16.59</v>
      </c>
      <c r="G1115" s="203"/>
      <c r="H1115" s="203">
        <v>0.1</v>
      </c>
      <c r="I1115" s="203">
        <f t="shared" si="65"/>
        <v>3.32</v>
      </c>
      <c r="J1115" s="191"/>
    </row>
    <row r="1116" spans="1:10" ht="24.95" customHeight="1">
      <c r="A1116" s="192"/>
      <c r="B1116" s="193" t="s">
        <v>936</v>
      </c>
      <c r="C1116" s="194">
        <v>2</v>
      </c>
      <c r="D1116" s="194" t="s">
        <v>461</v>
      </c>
      <c r="E1116" s="194">
        <v>1</v>
      </c>
      <c r="F1116" s="195">
        <v>3.3</v>
      </c>
      <c r="G1116" s="203"/>
      <c r="H1116" s="203">
        <v>0.1</v>
      </c>
      <c r="I1116" s="203">
        <f t="shared" si="65"/>
        <v>0.66</v>
      </c>
      <c r="J1116" s="191"/>
    </row>
    <row r="1117" spans="1:10" ht="24.95" customHeight="1">
      <c r="A1117" s="192"/>
      <c r="B1117" s="193" t="s">
        <v>937</v>
      </c>
      <c r="C1117" s="194">
        <v>2</v>
      </c>
      <c r="D1117" s="194" t="s">
        <v>461</v>
      </c>
      <c r="E1117" s="194">
        <v>3</v>
      </c>
      <c r="F1117" s="195">
        <v>3.6</v>
      </c>
      <c r="G1117" s="203"/>
      <c r="H1117" s="203">
        <v>0.1</v>
      </c>
      <c r="I1117" s="203">
        <f t="shared" si="65"/>
        <v>2.16</v>
      </c>
      <c r="J1117" s="191"/>
    </row>
    <row r="1118" spans="1:10" ht="24.95" customHeight="1">
      <c r="A1118" s="192"/>
      <c r="B1118" s="193" t="s">
        <v>938</v>
      </c>
      <c r="C1118" s="194">
        <v>2</v>
      </c>
      <c r="D1118" s="194" t="s">
        <v>461</v>
      </c>
      <c r="E1118" s="194">
        <v>2</v>
      </c>
      <c r="F1118" s="195">
        <v>6</v>
      </c>
      <c r="G1118" s="203"/>
      <c r="H1118" s="203">
        <v>0.1</v>
      </c>
      <c r="I1118" s="203">
        <f t="shared" si="65"/>
        <v>2.4</v>
      </c>
      <c r="J1118" s="191"/>
    </row>
    <row r="1119" spans="1:10" ht="24.95" customHeight="1">
      <c r="A1119" s="192"/>
      <c r="B1119" s="193" t="s">
        <v>939</v>
      </c>
      <c r="C1119" s="194">
        <v>2</v>
      </c>
      <c r="D1119" s="194" t="s">
        <v>461</v>
      </c>
      <c r="E1119" s="194">
        <v>1</v>
      </c>
      <c r="F1119" s="195">
        <v>8.0299999999999994</v>
      </c>
      <c r="G1119" s="203"/>
      <c r="H1119" s="203">
        <v>0.1</v>
      </c>
      <c r="I1119" s="203">
        <f t="shared" si="65"/>
        <v>1.61</v>
      </c>
      <c r="J1119" s="191"/>
    </row>
    <row r="1120" spans="1:10" ht="24.95" customHeight="1">
      <c r="A1120" s="192"/>
      <c r="B1120" s="193" t="s">
        <v>940</v>
      </c>
      <c r="C1120" s="194">
        <v>2</v>
      </c>
      <c r="D1120" s="199" t="s">
        <v>461</v>
      </c>
      <c r="E1120" s="199">
        <v>2</v>
      </c>
      <c r="F1120" s="197">
        <v>17</v>
      </c>
      <c r="G1120" s="203"/>
      <c r="H1120" s="203">
        <v>0.1</v>
      </c>
      <c r="I1120" s="203">
        <f t="shared" si="65"/>
        <v>6.8</v>
      </c>
      <c r="J1120" s="191"/>
    </row>
    <row r="1121" spans="1:10" ht="24.95" customHeight="1">
      <c r="A1121" s="192"/>
      <c r="B1121" s="193" t="s">
        <v>941</v>
      </c>
      <c r="C1121" s="194">
        <v>2</v>
      </c>
      <c r="D1121" s="199" t="s">
        <v>461</v>
      </c>
      <c r="E1121" s="199">
        <v>4</v>
      </c>
      <c r="F1121" s="197">
        <v>10.97</v>
      </c>
      <c r="G1121" s="203"/>
      <c r="H1121" s="203">
        <v>0.1</v>
      </c>
      <c r="I1121" s="203">
        <f t="shared" si="65"/>
        <v>8.7799999999999994</v>
      </c>
      <c r="J1121" s="191"/>
    </row>
    <row r="1122" spans="1:10" ht="24.95" customHeight="1">
      <c r="A1122" s="192"/>
      <c r="B1122" s="193" t="s">
        <v>946</v>
      </c>
      <c r="C1122" s="194">
        <v>2</v>
      </c>
      <c r="D1122" s="199" t="s">
        <v>461</v>
      </c>
      <c r="E1122" s="199">
        <v>1</v>
      </c>
      <c r="F1122" s="197">
        <v>2</v>
      </c>
      <c r="G1122" s="203"/>
      <c r="H1122" s="203">
        <v>0.1</v>
      </c>
      <c r="I1122" s="203">
        <f t="shared" si="65"/>
        <v>0.4</v>
      </c>
      <c r="J1122" s="191"/>
    </row>
    <row r="1123" spans="1:10" ht="24.95" customHeight="1">
      <c r="A1123" s="192"/>
      <c r="B1123" s="193" t="s">
        <v>947</v>
      </c>
      <c r="C1123" s="194">
        <v>2</v>
      </c>
      <c r="D1123" s="199" t="s">
        <v>461</v>
      </c>
      <c r="E1123" s="199">
        <v>1</v>
      </c>
      <c r="F1123" s="197">
        <v>21.32</v>
      </c>
      <c r="G1123" s="203"/>
      <c r="H1123" s="203">
        <v>0.1</v>
      </c>
      <c r="I1123" s="203">
        <f t="shared" si="65"/>
        <v>4.26</v>
      </c>
      <c r="J1123" s="191"/>
    </row>
    <row r="1124" spans="1:10" ht="24.95" customHeight="1">
      <c r="A1124" s="192"/>
      <c r="B1124" s="202"/>
      <c r="C1124" s="189"/>
      <c r="D1124" s="189"/>
      <c r="E1124" s="189"/>
      <c r="F1124" s="203"/>
      <c r="G1124" s="203"/>
      <c r="H1124" s="203"/>
      <c r="I1124" s="203">
        <f>SUM(I1088:I1123)</f>
        <v>345.8</v>
      </c>
      <c r="J1124" s="191"/>
    </row>
    <row r="1125" spans="1:10" ht="24.95" customHeight="1">
      <c r="A1125" s="192"/>
      <c r="B1125" s="202"/>
      <c r="C1125" s="189"/>
      <c r="D1125" s="189"/>
      <c r="E1125" s="189"/>
      <c r="F1125" s="203"/>
      <c r="G1125" s="203"/>
      <c r="H1125" s="204" t="s">
        <v>261</v>
      </c>
      <c r="I1125" s="204">
        <f>ROUNDUP(I1124,1-0)</f>
        <v>345.8</v>
      </c>
      <c r="J1125" s="201" t="s">
        <v>123</v>
      </c>
    </row>
    <row r="1126" spans="1:10" ht="65.25" customHeight="1">
      <c r="A1126" s="192"/>
      <c r="B1126" s="188" t="s">
        <v>808</v>
      </c>
      <c r="C1126" s="189"/>
      <c r="D1126" s="189"/>
      <c r="E1126" s="189"/>
      <c r="F1126" s="190"/>
      <c r="G1126" s="190"/>
      <c r="H1126" s="190"/>
      <c r="I1126" s="190"/>
      <c r="J1126" s="191"/>
    </row>
    <row r="1127" spans="1:10" ht="24.95" customHeight="1">
      <c r="A1127" s="192"/>
      <c r="B1127" s="188" t="str">
        <f>B182</f>
        <v>LintelBeam</v>
      </c>
      <c r="C1127" s="189"/>
      <c r="D1127" s="189"/>
      <c r="E1127" s="189"/>
      <c r="F1127" s="190"/>
      <c r="G1127" s="190"/>
      <c r="H1127" s="190"/>
      <c r="I1127" s="190"/>
      <c r="J1127" s="191"/>
    </row>
    <row r="1128" spans="1:10" ht="24.95" customHeight="1">
      <c r="A1128" s="192"/>
      <c r="B1128" s="188" t="s">
        <v>619</v>
      </c>
      <c r="C1128" s="189"/>
      <c r="D1128" s="189"/>
      <c r="E1128" s="189"/>
      <c r="F1128" s="267"/>
      <c r="G1128" s="267"/>
      <c r="H1128" s="267"/>
      <c r="I1128" s="267"/>
      <c r="J1128" s="191"/>
    </row>
    <row r="1129" spans="1:10" ht="24.95" customHeight="1">
      <c r="A1129" s="192"/>
      <c r="B1129" s="193" t="s">
        <v>934</v>
      </c>
      <c r="C1129" s="194">
        <v>2</v>
      </c>
      <c r="D1129" s="194" t="s">
        <v>461</v>
      </c>
      <c r="E1129" s="194">
        <v>1</v>
      </c>
      <c r="F1129" s="195">
        <v>64.88</v>
      </c>
      <c r="G1129" s="267"/>
      <c r="H1129" s="203">
        <v>0.15</v>
      </c>
      <c r="I1129" s="203">
        <f t="shared" ref="I1129:I1137" si="66">PRODUCT(C1129:H1129)</f>
        <v>19.46</v>
      </c>
      <c r="J1129" s="191"/>
    </row>
    <row r="1130" spans="1:10" ht="24.95" customHeight="1">
      <c r="A1130" s="192"/>
      <c r="B1130" s="193" t="s">
        <v>935</v>
      </c>
      <c r="C1130" s="194">
        <v>2</v>
      </c>
      <c r="D1130" s="194" t="s">
        <v>461</v>
      </c>
      <c r="E1130" s="194">
        <v>1</v>
      </c>
      <c r="F1130" s="195">
        <v>20.12</v>
      </c>
      <c r="G1130" s="267"/>
      <c r="H1130" s="203">
        <v>0.15</v>
      </c>
      <c r="I1130" s="203">
        <f t="shared" si="66"/>
        <v>6.04</v>
      </c>
      <c r="J1130" s="191"/>
    </row>
    <row r="1131" spans="1:10" ht="24.95" customHeight="1">
      <c r="A1131" s="192"/>
      <c r="B1131" s="193"/>
      <c r="C1131" s="194">
        <v>2</v>
      </c>
      <c r="D1131" s="194" t="s">
        <v>461</v>
      </c>
      <c r="E1131" s="194">
        <v>1</v>
      </c>
      <c r="F1131" s="195">
        <v>16.59</v>
      </c>
      <c r="G1131" s="267"/>
      <c r="H1131" s="203">
        <v>0.15</v>
      </c>
      <c r="I1131" s="203">
        <f t="shared" si="66"/>
        <v>4.9800000000000004</v>
      </c>
      <c r="J1131" s="191"/>
    </row>
    <row r="1132" spans="1:10" ht="24.95" customHeight="1">
      <c r="A1132" s="192"/>
      <c r="B1132" s="193" t="s">
        <v>936</v>
      </c>
      <c r="C1132" s="194">
        <v>2</v>
      </c>
      <c r="D1132" s="194" t="s">
        <v>461</v>
      </c>
      <c r="E1132" s="194">
        <v>1</v>
      </c>
      <c r="F1132" s="195">
        <v>3.3</v>
      </c>
      <c r="G1132" s="267"/>
      <c r="H1132" s="203">
        <v>0.15</v>
      </c>
      <c r="I1132" s="203">
        <f t="shared" si="66"/>
        <v>0.99</v>
      </c>
      <c r="J1132" s="191"/>
    </row>
    <row r="1133" spans="1:10" ht="24.95" customHeight="1">
      <c r="A1133" s="192"/>
      <c r="B1133" s="193" t="s">
        <v>937</v>
      </c>
      <c r="C1133" s="194">
        <v>2</v>
      </c>
      <c r="D1133" s="194" t="s">
        <v>461</v>
      </c>
      <c r="E1133" s="194">
        <v>3</v>
      </c>
      <c r="F1133" s="195">
        <v>3.6</v>
      </c>
      <c r="G1133" s="267"/>
      <c r="H1133" s="203">
        <v>0.15</v>
      </c>
      <c r="I1133" s="203">
        <f t="shared" si="66"/>
        <v>3.24</v>
      </c>
      <c r="J1133" s="191"/>
    </row>
    <row r="1134" spans="1:10" ht="24.95" customHeight="1">
      <c r="A1134" s="192"/>
      <c r="B1134" s="193" t="s">
        <v>938</v>
      </c>
      <c r="C1134" s="194">
        <v>2</v>
      </c>
      <c r="D1134" s="194" t="s">
        <v>461</v>
      </c>
      <c r="E1134" s="194">
        <v>2</v>
      </c>
      <c r="F1134" s="195">
        <v>6</v>
      </c>
      <c r="G1134" s="267"/>
      <c r="H1134" s="203">
        <v>0.15</v>
      </c>
      <c r="I1134" s="203">
        <f t="shared" si="66"/>
        <v>3.6</v>
      </c>
      <c r="J1134" s="191"/>
    </row>
    <row r="1135" spans="1:10" ht="24.95" customHeight="1">
      <c r="A1135" s="192"/>
      <c r="B1135" s="193" t="s">
        <v>939</v>
      </c>
      <c r="C1135" s="194">
        <v>2</v>
      </c>
      <c r="D1135" s="194" t="s">
        <v>461</v>
      </c>
      <c r="E1135" s="194">
        <v>1</v>
      </c>
      <c r="F1135" s="195">
        <v>8.0299999999999994</v>
      </c>
      <c r="G1135" s="267"/>
      <c r="H1135" s="203">
        <v>0.15</v>
      </c>
      <c r="I1135" s="203">
        <f t="shared" si="66"/>
        <v>2.41</v>
      </c>
      <c r="J1135" s="191"/>
    </row>
    <row r="1136" spans="1:10" ht="24.95" customHeight="1">
      <c r="A1136" s="192"/>
      <c r="B1136" s="193" t="s">
        <v>946</v>
      </c>
      <c r="C1136" s="194">
        <v>2</v>
      </c>
      <c r="D1136" s="199" t="s">
        <v>461</v>
      </c>
      <c r="E1136" s="199">
        <v>1</v>
      </c>
      <c r="F1136" s="197">
        <v>2</v>
      </c>
      <c r="G1136" s="267"/>
      <c r="H1136" s="203">
        <v>0.15</v>
      </c>
      <c r="I1136" s="203">
        <f t="shared" si="66"/>
        <v>0.6</v>
      </c>
      <c r="J1136" s="191"/>
    </row>
    <row r="1137" spans="1:10" ht="24.95" customHeight="1">
      <c r="A1137" s="192"/>
      <c r="B1137" s="193" t="s">
        <v>947</v>
      </c>
      <c r="C1137" s="194">
        <v>2</v>
      </c>
      <c r="D1137" s="199" t="s">
        <v>461</v>
      </c>
      <c r="E1137" s="199">
        <v>1</v>
      </c>
      <c r="F1137" s="197">
        <v>21.32</v>
      </c>
      <c r="G1137" s="267"/>
      <c r="H1137" s="203">
        <v>0.1</v>
      </c>
      <c r="I1137" s="203">
        <f t="shared" si="66"/>
        <v>4.26</v>
      </c>
      <c r="J1137" s="191"/>
    </row>
    <row r="1138" spans="1:10" ht="24.95" customHeight="1">
      <c r="A1138" s="192"/>
      <c r="B1138" s="188" t="s">
        <v>514</v>
      </c>
      <c r="C1138" s="189"/>
      <c r="D1138" s="189"/>
      <c r="E1138" s="189"/>
      <c r="F1138" s="203"/>
      <c r="G1138" s="203"/>
      <c r="H1138" s="203"/>
      <c r="I1138" s="203"/>
      <c r="J1138" s="191"/>
    </row>
    <row r="1139" spans="1:10" ht="24.95" customHeight="1">
      <c r="A1139" s="192"/>
      <c r="B1139" s="202" t="s">
        <v>515</v>
      </c>
      <c r="C1139" s="189">
        <v>1</v>
      </c>
      <c r="D1139" s="189" t="s">
        <v>461</v>
      </c>
      <c r="E1139" s="189">
        <v>2</v>
      </c>
      <c r="F1139" s="203">
        <v>4.96</v>
      </c>
      <c r="G1139" s="203"/>
      <c r="H1139" s="203">
        <v>0.05</v>
      </c>
      <c r="I1139" s="203">
        <f t="shared" ref="I1139:I1187" si="67">PRODUCT(C1139:H1139)</f>
        <v>0.5</v>
      </c>
      <c r="J1139" s="191"/>
    </row>
    <row r="1140" spans="1:10" ht="24.95" customHeight="1">
      <c r="A1140" s="192"/>
      <c r="B1140" s="202" t="s">
        <v>476</v>
      </c>
      <c r="C1140" s="189">
        <v>1</v>
      </c>
      <c r="D1140" s="189" t="s">
        <v>461</v>
      </c>
      <c r="E1140" s="189">
        <v>2</v>
      </c>
      <c r="F1140" s="203">
        <v>6.46</v>
      </c>
      <c r="G1140" s="203"/>
      <c r="H1140" s="203">
        <v>0.05</v>
      </c>
      <c r="I1140" s="203">
        <f t="shared" si="67"/>
        <v>0.65</v>
      </c>
      <c r="J1140" s="191"/>
    </row>
    <row r="1141" spans="1:10" ht="24.95" customHeight="1">
      <c r="A1141" s="192"/>
      <c r="B1141" s="202" t="s">
        <v>949</v>
      </c>
      <c r="C1141" s="189">
        <v>2</v>
      </c>
      <c r="D1141" s="189" t="s">
        <v>461</v>
      </c>
      <c r="E1141" s="189">
        <v>2</v>
      </c>
      <c r="F1141" s="203">
        <v>5.56</v>
      </c>
      <c r="G1141" s="203"/>
      <c r="H1141" s="203">
        <v>0.05</v>
      </c>
      <c r="I1141" s="203">
        <f t="shared" si="67"/>
        <v>1.1100000000000001</v>
      </c>
      <c r="J1141" s="191"/>
    </row>
    <row r="1142" spans="1:10" ht="24.95" customHeight="1">
      <c r="A1142" s="192"/>
      <c r="B1142" s="202" t="s">
        <v>516</v>
      </c>
      <c r="C1142" s="189">
        <v>2</v>
      </c>
      <c r="D1142" s="189" t="s">
        <v>461</v>
      </c>
      <c r="E1142" s="189">
        <v>2</v>
      </c>
      <c r="F1142" s="203">
        <v>7.19</v>
      </c>
      <c r="G1142" s="203"/>
      <c r="H1142" s="203">
        <v>0.05</v>
      </c>
      <c r="I1142" s="203">
        <f t="shared" si="67"/>
        <v>1.44</v>
      </c>
      <c r="J1142" s="191"/>
    </row>
    <row r="1143" spans="1:10" ht="24.95" customHeight="1">
      <c r="A1143" s="192"/>
      <c r="B1143" s="202" t="s">
        <v>517</v>
      </c>
      <c r="C1143" s="189">
        <v>1</v>
      </c>
      <c r="D1143" s="189" t="s">
        <v>461</v>
      </c>
      <c r="E1143" s="189">
        <v>7</v>
      </c>
      <c r="F1143" s="203">
        <v>4.38</v>
      </c>
      <c r="G1143" s="203"/>
      <c r="H1143" s="203">
        <v>0.05</v>
      </c>
      <c r="I1143" s="203">
        <f t="shared" si="67"/>
        <v>1.53</v>
      </c>
      <c r="J1143" s="191"/>
    </row>
    <row r="1144" spans="1:10" ht="24.95" customHeight="1">
      <c r="A1144" s="192"/>
      <c r="B1144" s="202" t="s">
        <v>518</v>
      </c>
      <c r="C1144" s="189">
        <v>1</v>
      </c>
      <c r="D1144" s="189" t="s">
        <v>461</v>
      </c>
      <c r="E1144" s="189">
        <v>1</v>
      </c>
      <c r="F1144" s="203">
        <v>4.08</v>
      </c>
      <c r="G1144" s="203"/>
      <c r="H1144" s="203">
        <v>0.05</v>
      </c>
      <c r="I1144" s="203">
        <f t="shared" si="67"/>
        <v>0.2</v>
      </c>
      <c r="J1144" s="191"/>
    </row>
    <row r="1145" spans="1:10" ht="24.95" customHeight="1">
      <c r="A1145" s="192"/>
      <c r="B1145" s="202" t="s">
        <v>519</v>
      </c>
      <c r="C1145" s="189">
        <v>1</v>
      </c>
      <c r="D1145" s="189" t="s">
        <v>461</v>
      </c>
      <c r="E1145" s="189">
        <v>3</v>
      </c>
      <c r="F1145" s="203">
        <v>3.18</v>
      </c>
      <c r="G1145" s="203"/>
      <c r="H1145" s="203">
        <v>0.05</v>
      </c>
      <c r="I1145" s="203">
        <f t="shared" si="67"/>
        <v>0.48</v>
      </c>
      <c r="J1145" s="191"/>
    </row>
    <row r="1146" spans="1:10" ht="24.95" customHeight="1">
      <c r="A1146" s="192"/>
      <c r="B1146" s="202" t="s">
        <v>520</v>
      </c>
      <c r="C1146" s="189">
        <v>1</v>
      </c>
      <c r="D1146" s="189" t="s">
        <v>461</v>
      </c>
      <c r="E1146" s="189">
        <v>1</v>
      </c>
      <c r="F1146" s="203">
        <v>2.88</v>
      </c>
      <c r="G1146" s="203"/>
      <c r="H1146" s="203">
        <v>0.05</v>
      </c>
      <c r="I1146" s="203">
        <f t="shared" si="67"/>
        <v>0.14000000000000001</v>
      </c>
      <c r="J1146" s="191"/>
    </row>
    <row r="1147" spans="1:10" ht="24.95" customHeight="1">
      <c r="A1147" s="192"/>
      <c r="B1147" s="202" t="s">
        <v>521</v>
      </c>
      <c r="C1147" s="189">
        <v>1</v>
      </c>
      <c r="D1147" s="189" t="s">
        <v>461</v>
      </c>
      <c r="E1147" s="189">
        <v>1</v>
      </c>
      <c r="F1147" s="203">
        <v>3.78</v>
      </c>
      <c r="G1147" s="203"/>
      <c r="H1147" s="203">
        <v>0.05</v>
      </c>
      <c r="I1147" s="203">
        <f t="shared" si="67"/>
        <v>0.19</v>
      </c>
      <c r="J1147" s="191"/>
    </row>
    <row r="1148" spans="1:10" ht="24.95" customHeight="1">
      <c r="A1148" s="192"/>
      <c r="B1148" s="202" t="s">
        <v>522</v>
      </c>
      <c r="C1148" s="189">
        <v>1</v>
      </c>
      <c r="D1148" s="189" t="s">
        <v>461</v>
      </c>
      <c r="E1148" s="189">
        <v>1</v>
      </c>
      <c r="F1148" s="203">
        <v>4.38</v>
      </c>
      <c r="G1148" s="203"/>
      <c r="H1148" s="203">
        <v>0.05</v>
      </c>
      <c r="I1148" s="203">
        <f t="shared" si="67"/>
        <v>0.22</v>
      </c>
      <c r="J1148" s="191"/>
    </row>
    <row r="1149" spans="1:10" ht="24.95" customHeight="1">
      <c r="A1149" s="192"/>
      <c r="B1149" s="202" t="s">
        <v>523</v>
      </c>
      <c r="C1149" s="189">
        <v>1</v>
      </c>
      <c r="D1149" s="189" t="s">
        <v>461</v>
      </c>
      <c r="E1149" s="189">
        <v>2</v>
      </c>
      <c r="F1149" s="203">
        <v>3.48</v>
      </c>
      <c r="G1149" s="203"/>
      <c r="H1149" s="203">
        <v>0.05</v>
      </c>
      <c r="I1149" s="203">
        <f t="shared" si="67"/>
        <v>0.35</v>
      </c>
      <c r="J1149" s="191"/>
    </row>
    <row r="1150" spans="1:10" ht="24.95" customHeight="1">
      <c r="A1150" s="192"/>
      <c r="B1150" s="202" t="s">
        <v>524</v>
      </c>
      <c r="C1150" s="189">
        <v>1</v>
      </c>
      <c r="D1150" s="189" t="s">
        <v>461</v>
      </c>
      <c r="E1150" s="189">
        <v>1</v>
      </c>
      <c r="F1150" s="203">
        <v>4.68</v>
      </c>
      <c r="G1150" s="203"/>
      <c r="H1150" s="203">
        <v>0.05</v>
      </c>
      <c r="I1150" s="203">
        <f t="shared" si="67"/>
        <v>0.23</v>
      </c>
      <c r="J1150" s="191"/>
    </row>
    <row r="1151" spans="1:10" ht="24.95" customHeight="1">
      <c r="A1151" s="192"/>
      <c r="B1151" s="202" t="s">
        <v>809</v>
      </c>
      <c r="C1151" s="189">
        <v>2</v>
      </c>
      <c r="D1151" s="189" t="s">
        <v>461</v>
      </c>
      <c r="E1151" s="189">
        <v>2</v>
      </c>
      <c r="F1151" s="203">
        <v>16.2</v>
      </c>
      <c r="G1151" s="203"/>
      <c r="H1151" s="203">
        <v>0.05</v>
      </c>
      <c r="I1151" s="203">
        <f t="shared" si="67"/>
        <v>3.24</v>
      </c>
      <c r="J1151" s="191"/>
    </row>
    <row r="1152" spans="1:10" ht="24.95" customHeight="1">
      <c r="A1152" s="192"/>
      <c r="B1152" s="202" t="s">
        <v>528</v>
      </c>
      <c r="C1152" s="189">
        <v>2</v>
      </c>
      <c r="D1152" s="189" t="s">
        <v>461</v>
      </c>
      <c r="E1152" s="189">
        <v>1</v>
      </c>
      <c r="F1152" s="203">
        <v>3.75</v>
      </c>
      <c r="G1152" s="203"/>
      <c r="H1152" s="203">
        <v>1.5</v>
      </c>
      <c r="I1152" s="203">
        <f t="shared" si="67"/>
        <v>11.25</v>
      </c>
      <c r="J1152" s="191"/>
    </row>
    <row r="1153" spans="1:10" ht="24.95" customHeight="1">
      <c r="A1153" s="192"/>
      <c r="B1153" s="202" t="s">
        <v>529</v>
      </c>
      <c r="C1153" s="189">
        <v>2</v>
      </c>
      <c r="D1153" s="189" t="s">
        <v>461</v>
      </c>
      <c r="E1153" s="189">
        <v>1</v>
      </c>
      <c r="F1153" s="203">
        <v>4.1100000000000003</v>
      </c>
      <c r="G1153" s="203"/>
      <c r="H1153" s="203">
        <v>1.5</v>
      </c>
      <c r="I1153" s="203">
        <f t="shared" si="67"/>
        <v>12.33</v>
      </c>
      <c r="J1153" s="191"/>
    </row>
    <row r="1154" spans="1:10" ht="24.95" customHeight="1">
      <c r="A1154" s="192"/>
      <c r="B1154" s="202" t="s">
        <v>530</v>
      </c>
      <c r="C1154" s="189">
        <v>2</v>
      </c>
      <c r="D1154" s="189" t="s">
        <v>461</v>
      </c>
      <c r="E1154" s="189">
        <v>1</v>
      </c>
      <c r="F1154" s="203">
        <v>3.45</v>
      </c>
      <c r="G1154" s="203"/>
      <c r="H1154" s="203">
        <v>1.5</v>
      </c>
      <c r="I1154" s="203">
        <f t="shared" si="67"/>
        <v>10.35</v>
      </c>
      <c r="J1154" s="191"/>
    </row>
    <row r="1155" spans="1:10" ht="24.95" customHeight="1">
      <c r="A1155" s="192"/>
      <c r="B1155" s="202" t="s">
        <v>531</v>
      </c>
      <c r="C1155" s="189">
        <v>2</v>
      </c>
      <c r="D1155" s="189" t="s">
        <v>461</v>
      </c>
      <c r="E1155" s="219">
        <v>23</v>
      </c>
      <c r="F1155" s="203">
        <v>0.45</v>
      </c>
      <c r="G1155" s="203"/>
      <c r="H1155" s="203">
        <v>1.5</v>
      </c>
      <c r="I1155" s="203">
        <f t="shared" si="67"/>
        <v>31.05</v>
      </c>
      <c r="J1155" s="191"/>
    </row>
    <row r="1156" spans="1:10" ht="24.95" customHeight="1">
      <c r="A1156" s="192"/>
      <c r="B1156" s="202" t="s">
        <v>532</v>
      </c>
      <c r="C1156" s="189">
        <v>2</v>
      </c>
      <c r="D1156" s="189" t="s">
        <v>461</v>
      </c>
      <c r="E1156" s="189">
        <v>2</v>
      </c>
      <c r="F1156" s="203">
        <v>4.1100000000000003</v>
      </c>
      <c r="G1156" s="203"/>
      <c r="H1156" s="203">
        <v>0.3</v>
      </c>
      <c r="I1156" s="203">
        <f t="shared" si="67"/>
        <v>4.93</v>
      </c>
      <c r="J1156" s="191"/>
    </row>
    <row r="1157" spans="1:10" ht="33.75" customHeight="1">
      <c r="A1157" s="192"/>
      <c r="B1157" s="188" t="s">
        <v>623</v>
      </c>
      <c r="C1157" s="189"/>
      <c r="D1157" s="189"/>
      <c r="E1157" s="189"/>
      <c r="F1157" s="203"/>
      <c r="G1157" s="203"/>
      <c r="H1157" s="203"/>
      <c r="I1157" s="203"/>
      <c r="J1157" s="191"/>
    </row>
    <row r="1158" spans="1:10" ht="36.75" customHeight="1">
      <c r="A1158" s="192"/>
      <c r="B1158" s="193" t="s">
        <v>934</v>
      </c>
      <c r="C1158" s="194">
        <v>2</v>
      </c>
      <c r="D1158" s="194" t="s">
        <v>461</v>
      </c>
      <c r="E1158" s="194">
        <v>1</v>
      </c>
      <c r="F1158" s="195">
        <v>64.88</v>
      </c>
      <c r="G1158" s="203"/>
      <c r="H1158" s="203">
        <v>0.15</v>
      </c>
      <c r="I1158" s="203">
        <f t="shared" si="67"/>
        <v>19.46</v>
      </c>
      <c r="J1158" s="191"/>
    </row>
    <row r="1159" spans="1:10" ht="24.95" customHeight="1">
      <c r="A1159" s="192"/>
      <c r="B1159" s="193" t="s">
        <v>935</v>
      </c>
      <c r="C1159" s="194">
        <v>2</v>
      </c>
      <c r="D1159" s="194" t="s">
        <v>461</v>
      </c>
      <c r="E1159" s="194">
        <v>1</v>
      </c>
      <c r="F1159" s="195">
        <v>20.12</v>
      </c>
      <c r="G1159" s="203"/>
      <c r="H1159" s="203">
        <v>0.15</v>
      </c>
      <c r="I1159" s="203">
        <f t="shared" si="67"/>
        <v>6.04</v>
      </c>
      <c r="J1159" s="191"/>
    </row>
    <row r="1160" spans="1:10" ht="24.95" customHeight="1">
      <c r="A1160" s="192"/>
      <c r="B1160" s="193"/>
      <c r="C1160" s="194">
        <v>2</v>
      </c>
      <c r="D1160" s="194" t="s">
        <v>461</v>
      </c>
      <c r="E1160" s="194">
        <v>1</v>
      </c>
      <c r="F1160" s="195">
        <v>16.59</v>
      </c>
      <c r="G1160" s="203"/>
      <c r="H1160" s="203">
        <v>0.15</v>
      </c>
      <c r="I1160" s="203">
        <f t="shared" si="67"/>
        <v>4.9800000000000004</v>
      </c>
      <c r="J1160" s="191"/>
    </row>
    <row r="1161" spans="1:10" ht="24.95" customHeight="1">
      <c r="A1161" s="192"/>
      <c r="B1161" s="193" t="s">
        <v>937</v>
      </c>
      <c r="C1161" s="194">
        <v>2</v>
      </c>
      <c r="D1161" s="194" t="s">
        <v>461</v>
      </c>
      <c r="E1161" s="194">
        <v>3</v>
      </c>
      <c r="F1161" s="195">
        <v>3.6</v>
      </c>
      <c r="G1161" s="203"/>
      <c r="H1161" s="203">
        <v>0.15</v>
      </c>
      <c r="I1161" s="203">
        <f t="shared" si="67"/>
        <v>3.24</v>
      </c>
      <c r="J1161" s="191"/>
    </row>
    <row r="1162" spans="1:10" ht="24.95" customHeight="1">
      <c r="A1162" s="192"/>
      <c r="B1162" s="193" t="s">
        <v>951</v>
      </c>
      <c r="C1162" s="194">
        <v>2</v>
      </c>
      <c r="D1162" s="194" t="s">
        <v>461</v>
      </c>
      <c r="E1162" s="194">
        <v>2</v>
      </c>
      <c r="F1162" s="195">
        <v>6</v>
      </c>
      <c r="G1162" s="203"/>
      <c r="H1162" s="203">
        <v>0.15</v>
      </c>
      <c r="I1162" s="203">
        <f t="shared" si="67"/>
        <v>3.6</v>
      </c>
      <c r="J1162" s="191"/>
    </row>
    <row r="1163" spans="1:10" ht="24.95" customHeight="1">
      <c r="A1163" s="192"/>
      <c r="B1163" s="193" t="s">
        <v>952</v>
      </c>
      <c r="C1163" s="194">
        <v>2</v>
      </c>
      <c r="D1163" s="194" t="s">
        <v>461</v>
      </c>
      <c r="E1163" s="194">
        <v>1</v>
      </c>
      <c r="F1163" s="195">
        <v>8.0299999999999994</v>
      </c>
      <c r="G1163" s="203"/>
      <c r="H1163" s="203">
        <v>0.15</v>
      </c>
      <c r="I1163" s="203">
        <f t="shared" si="67"/>
        <v>2.41</v>
      </c>
      <c r="J1163" s="191"/>
    </row>
    <row r="1164" spans="1:10" ht="24.95" customHeight="1">
      <c r="A1164" s="192"/>
      <c r="B1164" s="193" t="s">
        <v>947</v>
      </c>
      <c r="C1164" s="194">
        <v>2</v>
      </c>
      <c r="D1164" s="199" t="s">
        <v>461</v>
      </c>
      <c r="E1164" s="199">
        <v>1</v>
      </c>
      <c r="F1164" s="197">
        <v>21.32</v>
      </c>
      <c r="G1164" s="203"/>
      <c r="H1164" s="203">
        <v>0.15</v>
      </c>
      <c r="I1164" s="203">
        <f t="shared" si="67"/>
        <v>6.4</v>
      </c>
      <c r="J1164" s="191"/>
    </row>
    <row r="1165" spans="1:10" ht="24.95" customHeight="1">
      <c r="A1165" s="192"/>
      <c r="B1165" s="188" t="s">
        <v>535</v>
      </c>
      <c r="C1165" s="189">
        <v>2</v>
      </c>
      <c r="D1165" s="189" t="s">
        <v>461</v>
      </c>
      <c r="E1165" s="189">
        <v>1</v>
      </c>
      <c r="F1165" s="203">
        <v>3.81</v>
      </c>
      <c r="G1165" s="203"/>
      <c r="H1165" s="203">
        <v>0.05</v>
      </c>
      <c r="I1165" s="203">
        <f t="shared" si="67"/>
        <v>0.38</v>
      </c>
      <c r="J1165" s="191"/>
    </row>
    <row r="1166" spans="1:10" ht="24.95" customHeight="1">
      <c r="A1166" s="192"/>
      <c r="B1166" s="202" t="s">
        <v>536</v>
      </c>
      <c r="C1166" s="189">
        <v>2</v>
      </c>
      <c r="D1166" s="189" t="s">
        <v>461</v>
      </c>
      <c r="E1166" s="189">
        <v>1</v>
      </c>
      <c r="F1166" s="203">
        <v>6.46</v>
      </c>
      <c r="G1166" s="203"/>
      <c r="H1166" s="203">
        <v>0.05</v>
      </c>
      <c r="I1166" s="203">
        <f t="shared" si="67"/>
        <v>0.65</v>
      </c>
      <c r="J1166" s="191"/>
    </row>
    <row r="1167" spans="1:10" ht="31.15" customHeight="1">
      <c r="A1167" s="192"/>
      <c r="B1167" s="202" t="s">
        <v>536</v>
      </c>
      <c r="C1167" s="189">
        <v>2</v>
      </c>
      <c r="D1167" s="189" t="s">
        <v>461</v>
      </c>
      <c r="E1167" s="189">
        <v>1</v>
      </c>
      <c r="F1167" s="203">
        <v>6.16</v>
      </c>
      <c r="G1167" s="203"/>
      <c r="H1167" s="203">
        <v>0.05</v>
      </c>
      <c r="I1167" s="203">
        <f t="shared" si="67"/>
        <v>0.62</v>
      </c>
      <c r="J1167" s="191"/>
    </row>
    <row r="1168" spans="1:10" ht="24.95" customHeight="1">
      <c r="A1168" s="192"/>
      <c r="B1168" s="202" t="s">
        <v>536</v>
      </c>
      <c r="C1168" s="189">
        <v>2</v>
      </c>
      <c r="D1168" s="189" t="s">
        <v>461</v>
      </c>
      <c r="E1168" s="189">
        <v>1</v>
      </c>
      <c r="F1168" s="203">
        <v>5.56</v>
      </c>
      <c r="G1168" s="203"/>
      <c r="H1168" s="203">
        <v>0.05</v>
      </c>
      <c r="I1168" s="203">
        <f t="shared" si="67"/>
        <v>0.56000000000000005</v>
      </c>
      <c r="J1168" s="191"/>
    </row>
    <row r="1169" spans="1:10" ht="39" customHeight="1">
      <c r="A1169" s="192"/>
      <c r="B1169" s="202" t="s">
        <v>538</v>
      </c>
      <c r="C1169" s="189">
        <v>1</v>
      </c>
      <c r="D1169" s="189" t="s">
        <v>461</v>
      </c>
      <c r="E1169" s="189">
        <v>2</v>
      </c>
      <c r="F1169" s="203">
        <v>4.9800000000000004</v>
      </c>
      <c r="G1169" s="203"/>
      <c r="H1169" s="203">
        <v>0.05</v>
      </c>
      <c r="I1169" s="203">
        <f t="shared" si="67"/>
        <v>0.5</v>
      </c>
      <c r="J1169" s="191"/>
    </row>
    <row r="1170" spans="1:10" ht="37.5" customHeight="1">
      <c r="A1170" s="192"/>
      <c r="B1170" s="202" t="s">
        <v>526</v>
      </c>
      <c r="C1170" s="189">
        <v>1</v>
      </c>
      <c r="D1170" s="189" t="s">
        <v>461</v>
      </c>
      <c r="E1170" s="189">
        <v>6</v>
      </c>
      <c r="F1170" s="203">
        <v>4.38</v>
      </c>
      <c r="G1170" s="203"/>
      <c r="H1170" s="203">
        <v>0.05</v>
      </c>
      <c r="I1170" s="203">
        <f t="shared" si="67"/>
        <v>1.31</v>
      </c>
      <c r="J1170" s="191"/>
    </row>
    <row r="1171" spans="1:10" ht="24.95" customHeight="1">
      <c r="A1171" s="192"/>
      <c r="B1171" s="202" t="s">
        <v>519</v>
      </c>
      <c r="C1171" s="189">
        <v>1</v>
      </c>
      <c r="D1171" s="189" t="s">
        <v>461</v>
      </c>
      <c r="E1171" s="189">
        <v>6</v>
      </c>
      <c r="F1171" s="203">
        <v>3.18</v>
      </c>
      <c r="G1171" s="203"/>
      <c r="H1171" s="203">
        <v>0.05</v>
      </c>
      <c r="I1171" s="203">
        <f t="shared" si="67"/>
        <v>0.95</v>
      </c>
      <c r="J1171" s="191"/>
    </row>
    <row r="1172" spans="1:10" ht="24.95" customHeight="1">
      <c r="A1172" s="192"/>
      <c r="B1172" s="202" t="s">
        <v>539</v>
      </c>
      <c r="C1172" s="189">
        <v>1</v>
      </c>
      <c r="D1172" s="189" t="s">
        <v>461</v>
      </c>
      <c r="E1172" s="189">
        <v>4</v>
      </c>
      <c r="F1172" s="203">
        <v>3.78</v>
      </c>
      <c r="G1172" s="203"/>
      <c r="H1172" s="203">
        <v>0.05</v>
      </c>
      <c r="I1172" s="203">
        <f t="shared" si="67"/>
        <v>0.76</v>
      </c>
      <c r="J1172" s="191"/>
    </row>
    <row r="1173" spans="1:10" ht="24.95" customHeight="1">
      <c r="A1173" s="192"/>
      <c r="B1173" s="202" t="s">
        <v>521</v>
      </c>
      <c r="C1173" s="189">
        <v>1</v>
      </c>
      <c r="D1173" s="189" t="s">
        <v>461</v>
      </c>
      <c r="E1173" s="189">
        <v>1</v>
      </c>
      <c r="F1173" s="203">
        <v>3.78</v>
      </c>
      <c r="G1173" s="203"/>
      <c r="H1173" s="203">
        <v>0.05</v>
      </c>
      <c r="I1173" s="203">
        <f t="shared" si="67"/>
        <v>0.19</v>
      </c>
      <c r="J1173" s="191"/>
    </row>
    <row r="1174" spans="1:10" ht="24.95" customHeight="1">
      <c r="A1174" s="192"/>
      <c r="B1174" s="202" t="s">
        <v>522</v>
      </c>
      <c r="C1174" s="189">
        <v>1</v>
      </c>
      <c r="D1174" s="189" t="s">
        <v>461</v>
      </c>
      <c r="E1174" s="189">
        <v>1</v>
      </c>
      <c r="F1174" s="203">
        <v>4.38</v>
      </c>
      <c r="G1174" s="203"/>
      <c r="H1174" s="203">
        <v>0.05</v>
      </c>
      <c r="I1174" s="203">
        <f t="shared" si="67"/>
        <v>0.22</v>
      </c>
      <c r="J1174" s="191"/>
    </row>
    <row r="1175" spans="1:10" ht="24.95" customHeight="1">
      <c r="A1175" s="192"/>
      <c r="B1175" s="202" t="s">
        <v>523</v>
      </c>
      <c r="C1175" s="189">
        <v>1</v>
      </c>
      <c r="D1175" s="189" t="s">
        <v>461</v>
      </c>
      <c r="E1175" s="189">
        <v>2</v>
      </c>
      <c r="F1175" s="203">
        <v>3.48</v>
      </c>
      <c r="G1175" s="203"/>
      <c r="H1175" s="203">
        <v>0.05</v>
      </c>
      <c r="I1175" s="203">
        <f t="shared" si="67"/>
        <v>0.35</v>
      </c>
      <c r="J1175" s="191"/>
    </row>
    <row r="1176" spans="1:10" ht="24.95" customHeight="1">
      <c r="A1176" s="192"/>
      <c r="B1176" s="202" t="s">
        <v>540</v>
      </c>
      <c r="C1176" s="189">
        <v>1</v>
      </c>
      <c r="D1176" s="189" t="s">
        <v>461</v>
      </c>
      <c r="E1176" s="189">
        <v>1</v>
      </c>
      <c r="F1176" s="203">
        <v>4.9800000000000004</v>
      </c>
      <c r="G1176" s="203"/>
      <c r="H1176" s="203">
        <v>0.05</v>
      </c>
      <c r="I1176" s="203">
        <f t="shared" si="67"/>
        <v>0.25</v>
      </c>
      <c r="J1176" s="191"/>
    </row>
    <row r="1177" spans="1:10" ht="24.95" customHeight="1">
      <c r="A1177" s="192"/>
      <c r="B1177" s="202" t="s">
        <v>542</v>
      </c>
      <c r="C1177" s="189">
        <v>1</v>
      </c>
      <c r="D1177" s="189" t="s">
        <v>461</v>
      </c>
      <c r="E1177" s="189">
        <v>4</v>
      </c>
      <c r="F1177" s="203">
        <v>1.22</v>
      </c>
      <c r="G1177" s="203"/>
      <c r="H1177" s="206">
        <v>1.2</v>
      </c>
      <c r="I1177" s="203">
        <f t="shared" si="67"/>
        <v>5.86</v>
      </c>
      <c r="J1177" s="191"/>
    </row>
    <row r="1178" spans="1:10" ht="24.95" customHeight="1">
      <c r="A1178" s="192"/>
      <c r="B1178" s="202" t="s">
        <v>543</v>
      </c>
      <c r="C1178" s="189">
        <v>1</v>
      </c>
      <c r="D1178" s="189" t="s">
        <v>461</v>
      </c>
      <c r="E1178" s="189">
        <v>1</v>
      </c>
      <c r="F1178" s="203">
        <v>1.36</v>
      </c>
      <c r="G1178" s="203"/>
      <c r="H1178" s="206">
        <v>1.2</v>
      </c>
      <c r="I1178" s="203">
        <f t="shared" si="67"/>
        <v>1.63</v>
      </c>
      <c r="J1178" s="191"/>
    </row>
    <row r="1179" spans="1:10" ht="24.95" customHeight="1">
      <c r="A1179" s="192"/>
      <c r="B1179" s="188" t="s">
        <v>544</v>
      </c>
      <c r="C1179" s="189">
        <v>1</v>
      </c>
      <c r="D1179" s="189" t="s">
        <v>461</v>
      </c>
      <c r="E1179" s="189">
        <v>1</v>
      </c>
      <c r="F1179" s="203">
        <v>1.66</v>
      </c>
      <c r="G1179" s="203"/>
      <c r="H1179" s="206">
        <v>1.2</v>
      </c>
      <c r="I1179" s="203">
        <f t="shared" si="67"/>
        <v>1.99</v>
      </c>
      <c r="J1179" s="191"/>
    </row>
    <row r="1180" spans="1:10" ht="24.95" customHeight="1">
      <c r="A1180" s="192"/>
      <c r="B1180" s="202" t="s">
        <v>545</v>
      </c>
      <c r="C1180" s="189">
        <v>1</v>
      </c>
      <c r="D1180" s="189" t="s">
        <v>461</v>
      </c>
      <c r="E1180" s="189">
        <v>2</v>
      </c>
      <c r="F1180" s="203">
        <v>1.36</v>
      </c>
      <c r="G1180" s="203"/>
      <c r="H1180" s="206">
        <v>1.2</v>
      </c>
      <c r="I1180" s="203">
        <f t="shared" si="67"/>
        <v>3.26</v>
      </c>
      <c r="J1180" s="191"/>
    </row>
    <row r="1181" spans="1:10" ht="24.95" customHeight="1">
      <c r="A1181" s="192"/>
      <c r="B1181" s="202" t="s">
        <v>546</v>
      </c>
      <c r="C1181" s="189">
        <v>1</v>
      </c>
      <c r="D1181" s="189" t="s">
        <v>461</v>
      </c>
      <c r="E1181" s="189">
        <v>2</v>
      </c>
      <c r="F1181" s="203">
        <v>1.8</v>
      </c>
      <c r="G1181" s="203"/>
      <c r="H1181" s="206">
        <v>1.2</v>
      </c>
      <c r="I1181" s="203">
        <f t="shared" si="67"/>
        <v>4.32</v>
      </c>
      <c r="J1181" s="191"/>
    </row>
    <row r="1182" spans="1:10" ht="24.95" customHeight="1">
      <c r="A1182" s="192"/>
      <c r="B1182" s="202" t="s">
        <v>547</v>
      </c>
      <c r="C1182" s="189">
        <v>1</v>
      </c>
      <c r="D1182" s="189" t="s">
        <v>461</v>
      </c>
      <c r="E1182" s="189">
        <v>1</v>
      </c>
      <c r="F1182" s="203">
        <v>1.52</v>
      </c>
      <c r="G1182" s="203"/>
      <c r="H1182" s="206">
        <v>1.2</v>
      </c>
      <c r="I1182" s="203">
        <f t="shared" si="67"/>
        <v>1.82</v>
      </c>
      <c r="J1182" s="191"/>
    </row>
    <row r="1183" spans="1:10" ht="24.95" customHeight="1">
      <c r="A1183" s="192"/>
      <c r="B1183" s="202" t="s">
        <v>548</v>
      </c>
      <c r="C1183" s="189">
        <v>1</v>
      </c>
      <c r="D1183" s="189" t="s">
        <v>461</v>
      </c>
      <c r="E1183" s="189">
        <v>1</v>
      </c>
      <c r="F1183" s="203">
        <v>3.75</v>
      </c>
      <c r="G1183" s="203"/>
      <c r="H1183" s="203">
        <v>1.5</v>
      </c>
      <c r="I1183" s="203">
        <f t="shared" si="67"/>
        <v>5.63</v>
      </c>
      <c r="J1183" s="191"/>
    </row>
    <row r="1184" spans="1:10" ht="24.95" customHeight="1">
      <c r="A1184" s="192"/>
      <c r="B1184" s="202" t="s">
        <v>529</v>
      </c>
      <c r="C1184" s="189">
        <v>1</v>
      </c>
      <c r="D1184" s="189" t="s">
        <v>461</v>
      </c>
      <c r="E1184" s="189">
        <v>1</v>
      </c>
      <c r="F1184" s="203">
        <v>4.1100000000000003</v>
      </c>
      <c r="G1184" s="203"/>
      <c r="H1184" s="203">
        <v>1.5</v>
      </c>
      <c r="I1184" s="203">
        <f t="shared" si="67"/>
        <v>6.17</v>
      </c>
      <c r="J1184" s="191"/>
    </row>
    <row r="1185" spans="1:10" ht="24.95" customHeight="1">
      <c r="A1185" s="192"/>
      <c r="B1185" s="202" t="s">
        <v>549</v>
      </c>
      <c r="C1185" s="189">
        <v>1</v>
      </c>
      <c r="D1185" s="189" t="s">
        <v>461</v>
      </c>
      <c r="E1185" s="189">
        <v>1</v>
      </c>
      <c r="F1185" s="203">
        <v>3.45</v>
      </c>
      <c r="G1185" s="203"/>
      <c r="H1185" s="203">
        <v>1.5</v>
      </c>
      <c r="I1185" s="203">
        <f t="shared" si="67"/>
        <v>5.18</v>
      </c>
      <c r="J1185" s="191"/>
    </row>
    <row r="1186" spans="1:10" ht="24.95" customHeight="1">
      <c r="A1186" s="192"/>
      <c r="B1186" s="202" t="s">
        <v>531</v>
      </c>
      <c r="C1186" s="189">
        <v>1</v>
      </c>
      <c r="D1186" s="189" t="s">
        <v>461</v>
      </c>
      <c r="E1186" s="219">
        <v>23</v>
      </c>
      <c r="F1186" s="203">
        <v>0.45</v>
      </c>
      <c r="G1186" s="203"/>
      <c r="H1186" s="203">
        <v>1.5</v>
      </c>
      <c r="I1186" s="203">
        <f t="shared" si="67"/>
        <v>15.53</v>
      </c>
      <c r="J1186" s="191"/>
    </row>
    <row r="1187" spans="1:10" ht="24.95" customHeight="1">
      <c r="A1187" s="192"/>
      <c r="B1187" s="202" t="s">
        <v>550</v>
      </c>
      <c r="C1187" s="189">
        <v>1</v>
      </c>
      <c r="D1187" s="189" t="s">
        <v>461</v>
      </c>
      <c r="E1187" s="189">
        <v>2</v>
      </c>
      <c r="F1187" s="203">
        <v>4.1100000000000003</v>
      </c>
      <c r="G1187" s="203"/>
      <c r="H1187" s="203">
        <v>0.3</v>
      </c>
      <c r="I1187" s="203">
        <f t="shared" si="67"/>
        <v>2.4700000000000002</v>
      </c>
      <c r="J1187" s="191"/>
    </row>
    <row r="1188" spans="1:10" ht="24.95" customHeight="1">
      <c r="A1188" s="192"/>
      <c r="B1188" s="188" t="s">
        <v>810</v>
      </c>
      <c r="C1188" s="189"/>
      <c r="D1188" s="189"/>
      <c r="E1188" s="189"/>
      <c r="F1188" s="203"/>
      <c r="G1188" s="203"/>
      <c r="H1188" s="203"/>
      <c r="I1188" s="203"/>
      <c r="J1188" s="191"/>
    </row>
    <row r="1189" spans="1:10" ht="24.95" customHeight="1">
      <c r="A1189" s="192"/>
      <c r="B1189" s="193" t="s">
        <v>934</v>
      </c>
      <c r="C1189" s="194">
        <v>2</v>
      </c>
      <c r="D1189" s="194" t="s">
        <v>461</v>
      </c>
      <c r="E1189" s="194">
        <v>1</v>
      </c>
      <c r="F1189" s="195">
        <v>64.88</v>
      </c>
      <c r="G1189" s="203"/>
      <c r="H1189" s="203">
        <v>0.45</v>
      </c>
      <c r="I1189" s="203">
        <f t="shared" ref="I1189:I1209" si="68">PRODUCT(C1189:H1189)</f>
        <v>58.39</v>
      </c>
      <c r="J1189" s="191"/>
    </row>
    <row r="1190" spans="1:10" ht="24.95" customHeight="1">
      <c r="A1190" s="192"/>
      <c r="B1190" s="193" t="s">
        <v>935</v>
      </c>
      <c r="C1190" s="194">
        <v>2</v>
      </c>
      <c r="D1190" s="194" t="s">
        <v>461</v>
      </c>
      <c r="E1190" s="194">
        <v>1</v>
      </c>
      <c r="F1190" s="195">
        <v>20.12</v>
      </c>
      <c r="G1190" s="203"/>
      <c r="H1190" s="203">
        <v>0.45</v>
      </c>
      <c r="I1190" s="203">
        <f t="shared" si="68"/>
        <v>18.11</v>
      </c>
      <c r="J1190" s="191"/>
    </row>
    <row r="1191" spans="1:10" ht="24.95" customHeight="1">
      <c r="A1191" s="192"/>
      <c r="B1191" s="193"/>
      <c r="C1191" s="194">
        <v>2</v>
      </c>
      <c r="D1191" s="194" t="s">
        <v>461</v>
      </c>
      <c r="E1191" s="194">
        <v>1</v>
      </c>
      <c r="F1191" s="195">
        <v>16.59</v>
      </c>
      <c r="G1191" s="203"/>
      <c r="H1191" s="203">
        <v>0.45</v>
      </c>
      <c r="I1191" s="203">
        <f t="shared" si="68"/>
        <v>14.93</v>
      </c>
      <c r="J1191" s="191"/>
    </row>
    <row r="1192" spans="1:10" ht="24.95" customHeight="1">
      <c r="A1192" s="192"/>
      <c r="B1192" s="193" t="s">
        <v>936</v>
      </c>
      <c r="C1192" s="194">
        <v>2</v>
      </c>
      <c r="D1192" s="194" t="s">
        <v>461</v>
      </c>
      <c r="E1192" s="194">
        <v>1</v>
      </c>
      <c r="F1192" s="195">
        <v>3.3</v>
      </c>
      <c r="G1192" s="203"/>
      <c r="H1192" s="203">
        <v>0.45</v>
      </c>
      <c r="I1192" s="203">
        <f t="shared" si="68"/>
        <v>2.97</v>
      </c>
      <c r="J1192" s="191"/>
    </row>
    <row r="1193" spans="1:10" ht="24.95" customHeight="1">
      <c r="A1193" s="192"/>
      <c r="B1193" s="193" t="s">
        <v>937</v>
      </c>
      <c r="C1193" s="194">
        <v>2</v>
      </c>
      <c r="D1193" s="194" t="s">
        <v>461</v>
      </c>
      <c r="E1193" s="194">
        <v>3</v>
      </c>
      <c r="F1193" s="195">
        <v>3.6</v>
      </c>
      <c r="G1193" s="203"/>
      <c r="H1193" s="203">
        <v>0.45</v>
      </c>
      <c r="I1193" s="203">
        <f t="shared" si="68"/>
        <v>9.7200000000000006</v>
      </c>
      <c r="J1193" s="191"/>
    </row>
    <row r="1194" spans="1:10" ht="24.95" customHeight="1">
      <c r="A1194" s="192"/>
      <c r="B1194" s="193" t="s">
        <v>938</v>
      </c>
      <c r="C1194" s="194">
        <v>2</v>
      </c>
      <c r="D1194" s="194" t="s">
        <v>461</v>
      </c>
      <c r="E1194" s="194">
        <v>2</v>
      </c>
      <c r="F1194" s="195">
        <v>6</v>
      </c>
      <c r="G1194" s="203"/>
      <c r="H1194" s="203">
        <v>0.45</v>
      </c>
      <c r="I1194" s="203">
        <f t="shared" si="68"/>
        <v>10.8</v>
      </c>
      <c r="J1194" s="191"/>
    </row>
    <row r="1195" spans="1:10" ht="24.95" customHeight="1">
      <c r="A1195" s="192"/>
      <c r="B1195" s="193" t="s">
        <v>946</v>
      </c>
      <c r="C1195" s="194">
        <v>2</v>
      </c>
      <c r="D1195" s="199" t="s">
        <v>461</v>
      </c>
      <c r="E1195" s="199">
        <v>1</v>
      </c>
      <c r="F1195" s="197">
        <v>2</v>
      </c>
      <c r="G1195" s="203"/>
      <c r="H1195" s="203">
        <v>0.45</v>
      </c>
      <c r="I1195" s="203">
        <f t="shared" si="68"/>
        <v>1.8</v>
      </c>
      <c r="J1195" s="191"/>
    </row>
    <row r="1196" spans="1:10" ht="24.95" customHeight="1">
      <c r="A1196" s="192"/>
      <c r="B1196" s="202" t="s">
        <v>948</v>
      </c>
      <c r="C1196" s="194">
        <v>2</v>
      </c>
      <c r="D1196" s="189" t="s">
        <v>461</v>
      </c>
      <c r="E1196" s="189">
        <v>1</v>
      </c>
      <c r="F1196" s="203">
        <v>3.6</v>
      </c>
      <c r="G1196" s="203"/>
      <c r="H1196" s="203">
        <v>0.45</v>
      </c>
      <c r="I1196" s="203">
        <f t="shared" si="68"/>
        <v>3.24</v>
      </c>
      <c r="J1196" s="191"/>
    </row>
    <row r="1197" spans="1:10" ht="24.95" customHeight="1">
      <c r="A1197" s="192"/>
      <c r="B1197" s="188" t="s">
        <v>989</v>
      </c>
      <c r="C1197" s="189"/>
      <c r="D1197" s="189"/>
      <c r="E1197" s="189"/>
      <c r="F1197" s="203"/>
      <c r="G1197" s="203"/>
      <c r="H1197" s="203"/>
      <c r="I1197" s="203"/>
      <c r="J1197" s="191"/>
    </row>
    <row r="1198" spans="1:10" ht="24.95" customHeight="1">
      <c r="A1198" s="192"/>
      <c r="B1198" s="193" t="s">
        <v>934</v>
      </c>
      <c r="C1198" s="194">
        <v>1</v>
      </c>
      <c r="D1198" s="194" t="s">
        <v>461</v>
      </c>
      <c r="E1198" s="194">
        <v>1</v>
      </c>
      <c r="F1198" s="195">
        <v>64.88</v>
      </c>
      <c r="G1198" s="203"/>
      <c r="H1198" s="203">
        <v>0.45</v>
      </c>
      <c r="I1198" s="203">
        <f t="shared" si="68"/>
        <v>29.2</v>
      </c>
      <c r="J1198" s="191"/>
    </row>
    <row r="1199" spans="1:10" ht="24.95" customHeight="1">
      <c r="A1199" s="192"/>
      <c r="B1199" s="193" t="s">
        <v>955</v>
      </c>
      <c r="C1199" s="194">
        <v>-1</v>
      </c>
      <c r="D1199" s="194" t="s">
        <v>461</v>
      </c>
      <c r="E1199" s="194">
        <v>1</v>
      </c>
      <c r="F1199" s="195">
        <v>17</v>
      </c>
      <c r="G1199" s="203"/>
      <c r="H1199" s="203">
        <v>0.45</v>
      </c>
      <c r="I1199" s="203">
        <f t="shared" si="68"/>
        <v>-7.65</v>
      </c>
      <c r="J1199" s="191"/>
    </row>
    <row r="1200" spans="1:10" ht="24.95" customHeight="1">
      <c r="A1200" s="192"/>
      <c r="B1200" s="193" t="s">
        <v>935</v>
      </c>
      <c r="C1200" s="194">
        <v>1</v>
      </c>
      <c r="D1200" s="194" t="s">
        <v>461</v>
      </c>
      <c r="E1200" s="194">
        <v>1</v>
      </c>
      <c r="F1200" s="195">
        <v>20.12</v>
      </c>
      <c r="G1200" s="203"/>
      <c r="H1200" s="203">
        <v>0.45</v>
      </c>
      <c r="I1200" s="203">
        <f t="shared" si="68"/>
        <v>9.0500000000000007</v>
      </c>
      <c r="J1200" s="191"/>
    </row>
    <row r="1201" spans="1:19" ht="24.95" customHeight="1">
      <c r="A1201" s="192"/>
      <c r="B1201" s="193"/>
      <c r="C1201" s="194">
        <v>1</v>
      </c>
      <c r="D1201" s="194" t="s">
        <v>461</v>
      </c>
      <c r="E1201" s="194">
        <v>1</v>
      </c>
      <c r="F1201" s="195">
        <v>16.59</v>
      </c>
      <c r="G1201" s="203"/>
      <c r="H1201" s="203">
        <v>0.45</v>
      </c>
      <c r="I1201" s="203">
        <f t="shared" si="68"/>
        <v>7.47</v>
      </c>
      <c r="J1201" s="191"/>
    </row>
    <row r="1202" spans="1:19" ht="24.95" customHeight="1">
      <c r="A1202" s="192"/>
      <c r="B1202" s="193" t="s">
        <v>937</v>
      </c>
      <c r="C1202" s="194">
        <v>1</v>
      </c>
      <c r="D1202" s="194" t="s">
        <v>461</v>
      </c>
      <c r="E1202" s="194">
        <v>3</v>
      </c>
      <c r="F1202" s="195">
        <v>3.6</v>
      </c>
      <c r="G1202" s="203"/>
      <c r="H1202" s="203">
        <v>0.45</v>
      </c>
      <c r="I1202" s="203">
        <f t="shared" si="68"/>
        <v>4.8600000000000003</v>
      </c>
      <c r="J1202" s="191"/>
    </row>
    <row r="1203" spans="1:19" ht="36.75" customHeight="1">
      <c r="A1203" s="192"/>
      <c r="B1203" s="193" t="s">
        <v>951</v>
      </c>
      <c r="C1203" s="194">
        <v>1</v>
      </c>
      <c r="D1203" s="194" t="s">
        <v>461</v>
      </c>
      <c r="E1203" s="194">
        <v>2</v>
      </c>
      <c r="F1203" s="195">
        <v>6</v>
      </c>
      <c r="G1203" s="203"/>
      <c r="H1203" s="203">
        <v>0.45</v>
      </c>
      <c r="I1203" s="203">
        <f t="shared" si="68"/>
        <v>5.4</v>
      </c>
      <c r="J1203" s="191"/>
    </row>
    <row r="1204" spans="1:19" ht="24.95" customHeight="1">
      <c r="A1204" s="192"/>
      <c r="B1204" s="193" t="s">
        <v>952</v>
      </c>
      <c r="C1204" s="194">
        <v>1</v>
      </c>
      <c r="D1204" s="194" t="s">
        <v>461</v>
      </c>
      <c r="E1204" s="194">
        <v>1</v>
      </c>
      <c r="F1204" s="195">
        <v>8.0299999999999994</v>
      </c>
      <c r="G1204" s="203"/>
      <c r="H1204" s="203">
        <v>0.45</v>
      </c>
      <c r="I1204" s="203">
        <f t="shared" si="68"/>
        <v>3.61</v>
      </c>
      <c r="J1204" s="191"/>
      <c r="L1204" s="185" t="s">
        <v>490</v>
      </c>
    </row>
    <row r="1205" spans="1:19" ht="24.95" customHeight="1">
      <c r="A1205" s="192"/>
      <c r="B1205" s="193" t="s">
        <v>954</v>
      </c>
      <c r="C1205" s="199">
        <v>1</v>
      </c>
      <c r="D1205" s="199" t="s">
        <v>461</v>
      </c>
      <c r="E1205" s="199">
        <v>1</v>
      </c>
      <c r="F1205" s="197">
        <f>3.6+0.46</f>
        <v>4.0599999999999996</v>
      </c>
      <c r="G1205" s="203"/>
      <c r="H1205" s="203">
        <v>0.45</v>
      </c>
      <c r="I1205" s="203">
        <f t="shared" si="68"/>
        <v>1.83</v>
      </c>
      <c r="J1205" s="191"/>
      <c r="L1205" s="185" t="s">
        <v>815</v>
      </c>
      <c r="M1205" s="185">
        <v>1</v>
      </c>
      <c r="N1205" s="185" t="s">
        <v>461</v>
      </c>
      <c r="O1205" s="185">
        <v>2</v>
      </c>
      <c r="P1205" s="185">
        <v>0.23</v>
      </c>
      <c r="Q1205" s="185">
        <v>0.38</v>
      </c>
      <c r="R1205" s="185">
        <v>1.02</v>
      </c>
      <c r="S1205" s="185">
        <v>0.18</v>
      </c>
    </row>
    <row r="1206" spans="1:19" ht="61.5" customHeight="1">
      <c r="A1206" s="192"/>
      <c r="B1206" s="202" t="s">
        <v>956</v>
      </c>
      <c r="C1206" s="189">
        <v>1</v>
      </c>
      <c r="D1206" s="189" t="s">
        <v>461</v>
      </c>
      <c r="E1206" s="189">
        <v>3</v>
      </c>
      <c r="F1206" s="203">
        <v>19.399999999999999</v>
      </c>
      <c r="G1206" s="203"/>
      <c r="H1206" s="203">
        <v>0.6</v>
      </c>
      <c r="I1206" s="203">
        <f t="shared" si="68"/>
        <v>34.92</v>
      </c>
      <c r="J1206" s="191"/>
      <c r="L1206" s="185" t="s">
        <v>462</v>
      </c>
      <c r="M1206" s="185">
        <v>1</v>
      </c>
      <c r="N1206" s="185" t="s">
        <v>461</v>
      </c>
      <c r="O1206" s="185">
        <v>6</v>
      </c>
      <c r="P1206" s="185">
        <v>0.23</v>
      </c>
      <c r="Q1206" s="185">
        <v>0.3</v>
      </c>
      <c r="R1206" s="185">
        <v>1.02</v>
      </c>
      <c r="S1206" s="185">
        <v>0.42</v>
      </c>
    </row>
    <row r="1207" spans="1:19" ht="24.95" customHeight="1">
      <c r="A1207" s="192"/>
      <c r="B1207" s="202" t="s">
        <v>957</v>
      </c>
      <c r="C1207" s="189">
        <v>1</v>
      </c>
      <c r="D1207" s="189" t="s">
        <v>461</v>
      </c>
      <c r="E1207" s="189">
        <v>4</v>
      </c>
      <c r="F1207" s="203">
        <v>11.2</v>
      </c>
      <c r="G1207" s="203"/>
      <c r="H1207" s="203">
        <v>0.6</v>
      </c>
      <c r="I1207" s="203">
        <f t="shared" si="68"/>
        <v>26.88</v>
      </c>
      <c r="J1207" s="191"/>
      <c r="L1207" s="185" t="s">
        <v>468</v>
      </c>
      <c r="M1207" s="185">
        <v>1</v>
      </c>
      <c r="N1207" s="185" t="s">
        <v>461</v>
      </c>
      <c r="O1207" s="185">
        <v>4</v>
      </c>
      <c r="P1207" s="185">
        <v>0.38</v>
      </c>
      <c r="Q1207" s="185">
        <v>0.38</v>
      </c>
      <c r="R1207" s="185">
        <v>0.97</v>
      </c>
      <c r="S1207" s="185">
        <v>0.56000000000000005</v>
      </c>
    </row>
    <row r="1208" spans="1:19" ht="24.95" customHeight="1">
      <c r="A1208" s="192"/>
      <c r="B1208" s="202" t="s">
        <v>996</v>
      </c>
      <c r="C1208" s="189">
        <v>1</v>
      </c>
      <c r="D1208" s="189" t="s">
        <v>461</v>
      </c>
      <c r="E1208" s="189">
        <v>1</v>
      </c>
      <c r="F1208" s="203">
        <v>24.12</v>
      </c>
      <c r="G1208" s="203"/>
      <c r="H1208" s="203">
        <v>0.3</v>
      </c>
      <c r="I1208" s="203">
        <f t="shared" si="68"/>
        <v>7.24</v>
      </c>
      <c r="J1208" s="191"/>
      <c r="L1208" s="185" t="s">
        <v>803</v>
      </c>
      <c r="M1208" s="185">
        <v>1</v>
      </c>
      <c r="N1208" s="185" t="s">
        <v>461</v>
      </c>
      <c r="O1208" s="185">
        <v>6</v>
      </c>
      <c r="P1208" s="185">
        <v>0.23</v>
      </c>
      <c r="Q1208" s="185">
        <v>0.38</v>
      </c>
      <c r="R1208" s="185">
        <v>0.97</v>
      </c>
      <c r="S1208" s="185">
        <v>0.51</v>
      </c>
    </row>
    <row r="1209" spans="1:19" ht="24.95" customHeight="1">
      <c r="A1209" s="192"/>
      <c r="B1209" s="202" t="s">
        <v>997</v>
      </c>
      <c r="C1209" s="189">
        <v>1</v>
      </c>
      <c r="D1209" s="189" t="s">
        <v>461</v>
      </c>
      <c r="E1209" s="189">
        <v>1</v>
      </c>
      <c r="F1209" s="203">
        <v>223</v>
      </c>
      <c r="G1209" s="203"/>
      <c r="H1209" s="203">
        <v>0.3</v>
      </c>
      <c r="I1209" s="203">
        <f t="shared" si="68"/>
        <v>66.900000000000006</v>
      </c>
      <c r="J1209" s="191"/>
      <c r="L1209" s="185" t="s">
        <v>469</v>
      </c>
      <c r="M1209" s="185">
        <v>1</v>
      </c>
      <c r="N1209" s="185" t="s">
        <v>461</v>
      </c>
      <c r="O1209" s="185">
        <v>1</v>
      </c>
      <c r="P1209" s="185">
        <v>0.23</v>
      </c>
      <c r="Q1209" s="185">
        <v>0.23</v>
      </c>
      <c r="R1209" s="185">
        <v>1.1200000000000001</v>
      </c>
      <c r="S1209" s="185">
        <v>0.06</v>
      </c>
    </row>
    <row r="1210" spans="1:19" ht="24.95" customHeight="1">
      <c r="A1210" s="192"/>
      <c r="B1210" s="188" t="s">
        <v>990</v>
      </c>
      <c r="C1210" s="189"/>
      <c r="D1210" s="189"/>
      <c r="E1210" s="189"/>
      <c r="F1210" s="203"/>
      <c r="G1210" s="203"/>
      <c r="H1210" s="203"/>
      <c r="I1210" s="203"/>
      <c r="J1210" s="191"/>
    </row>
    <row r="1211" spans="1:19" ht="24.95" customHeight="1">
      <c r="A1211" s="192"/>
      <c r="B1211" s="202" t="s">
        <v>991</v>
      </c>
      <c r="C1211" s="189">
        <v>1</v>
      </c>
      <c r="D1211" s="189" t="s">
        <v>461</v>
      </c>
      <c r="E1211" s="189">
        <v>1</v>
      </c>
      <c r="F1211" s="203">
        <v>12.32</v>
      </c>
      <c r="G1211" s="203">
        <v>20.58</v>
      </c>
      <c r="H1211" s="203"/>
      <c r="I1211" s="203">
        <f t="shared" ref="I1211:I1217" si="69">PRODUCT(C1211:H1211)</f>
        <v>253.55</v>
      </c>
      <c r="J1211" s="191"/>
    </row>
    <row r="1212" spans="1:19" ht="24.95" customHeight="1">
      <c r="A1212" s="192"/>
      <c r="B1212" s="202" t="s">
        <v>992</v>
      </c>
      <c r="C1212" s="189">
        <v>1</v>
      </c>
      <c r="D1212" s="189" t="s">
        <v>461</v>
      </c>
      <c r="E1212" s="189">
        <v>1</v>
      </c>
      <c r="F1212" s="203">
        <v>12.32</v>
      </c>
      <c r="G1212" s="203">
        <v>20.58</v>
      </c>
      <c r="H1212" s="203"/>
      <c r="I1212" s="203">
        <f t="shared" si="69"/>
        <v>253.55</v>
      </c>
      <c r="J1212" s="191"/>
    </row>
    <row r="1213" spans="1:19" ht="24.95" customHeight="1">
      <c r="A1213" s="192"/>
      <c r="B1213" s="202" t="s">
        <v>993</v>
      </c>
      <c r="C1213" s="189">
        <v>1</v>
      </c>
      <c r="D1213" s="189" t="s">
        <v>461</v>
      </c>
      <c r="E1213" s="189">
        <v>1</v>
      </c>
      <c r="F1213" s="203">
        <v>4.0599999999999996</v>
      </c>
      <c r="G1213" s="203">
        <v>1.2</v>
      </c>
      <c r="H1213" s="203"/>
      <c r="I1213" s="203">
        <f t="shared" si="69"/>
        <v>4.87</v>
      </c>
      <c r="J1213" s="191"/>
    </row>
    <row r="1214" spans="1:19" ht="24.95" customHeight="1">
      <c r="A1214" s="192"/>
      <c r="B1214" s="202" t="s">
        <v>994</v>
      </c>
      <c r="C1214" s="189">
        <v>1</v>
      </c>
      <c r="D1214" s="189" t="s">
        <v>461</v>
      </c>
      <c r="E1214" s="189">
        <v>1</v>
      </c>
      <c r="F1214" s="203">
        <v>4.0599999999999996</v>
      </c>
      <c r="G1214" s="203">
        <v>1.2</v>
      </c>
      <c r="H1214" s="203"/>
      <c r="I1214" s="203">
        <f t="shared" si="69"/>
        <v>4.87</v>
      </c>
      <c r="J1214" s="191"/>
    </row>
    <row r="1215" spans="1:19" ht="24.95" customHeight="1">
      <c r="A1215" s="192"/>
      <c r="B1215" s="202" t="s">
        <v>891</v>
      </c>
      <c r="C1215" s="189">
        <v>1</v>
      </c>
      <c r="D1215" s="189" t="s">
        <v>461</v>
      </c>
      <c r="E1215" s="189">
        <v>1</v>
      </c>
      <c r="F1215" s="203">
        <v>11.2</v>
      </c>
      <c r="G1215" s="203">
        <v>17</v>
      </c>
      <c r="H1215" s="203"/>
      <c r="I1215" s="203">
        <f t="shared" si="69"/>
        <v>190.4</v>
      </c>
      <c r="J1215" s="191"/>
    </row>
    <row r="1216" spans="1:19" ht="24.95" customHeight="1">
      <c r="A1216" s="192"/>
      <c r="B1216" s="202" t="s">
        <v>812</v>
      </c>
      <c r="C1216" s="189">
        <v>2</v>
      </c>
      <c r="D1216" s="189" t="s">
        <v>461</v>
      </c>
      <c r="E1216" s="189">
        <v>1</v>
      </c>
      <c r="F1216" s="203">
        <v>1.96</v>
      </c>
      <c r="G1216" s="203"/>
      <c r="H1216" s="203">
        <v>1.05</v>
      </c>
      <c r="I1216" s="203">
        <f t="shared" si="69"/>
        <v>4.12</v>
      </c>
      <c r="J1216" s="191"/>
    </row>
    <row r="1217" spans="1:15" ht="24.95" customHeight="1">
      <c r="A1217" s="192"/>
      <c r="B1217" s="202" t="s">
        <v>995</v>
      </c>
      <c r="C1217" s="189">
        <v>1</v>
      </c>
      <c r="D1217" s="189" t="s">
        <v>461</v>
      </c>
      <c r="E1217" s="189">
        <v>1</v>
      </c>
      <c r="F1217" s="203">
        <v>4.0599999999999996</v>
      </c>
      <c r="G1217" s="203">
        <v>8</v>
      </c>
      <c r="H1217" s="203"/>
      <c r="I1217" s="203">
        <f t="shared" si="69"/>
        <v>32.479999999999997</v>
      </c>
      <c r="J1217" s="191"/>
    </row>
    <row r="1218" spans="1:15" ht="24.95" customHeight="1">
      <c r="A1218" s="192"/>
      <c r="B1218" s="273" t="s">
        <v>1004</v>
      </c>
      <c r="C1218" s="269"/>
      <c r="D1218" s="270"/>
      <c r="E1218" s="269"/>
      <c r="F1218" s="271"/>
      <c r="G1218" s="271"/>
      <c r="H1218" s="271"/>
      <c r="I1218" s="271"/>
      <c r="J1218" s="191"/>
    </row>
    <row r="1219" spans="1:15" ht="24.95" customHeight="1">
      <c r="A1219" s="192"/>
      <c r="B1219" s="268" t="s">
        <v>1415</v>
      </c>
      <c r="C1219" s="269">
        <v>1</v>
      </c>
      <c r="D1219" s="270" t="s">
        <v>461</v>
      </c>
      <c r="E1219" s="269">
        <v>1</v>
      </c>
      <c r="F1219" s="271">
        <v>5.23</v>
      </c>
      <c r="G1219" s="271">
        <v>1.66</v>
      </c>
      <c r="H1219" s="274" t="s">
        <v>78</v>
      </c>
      <c r="I1219" s="271">
        <f t="shared" ref="I1219:I1222" si="70">PRODUCT(C1219:H1219)</f>
        <v>8.68</v>
      </c>
      <c r="J1219" s="191"/>
      <c r="K1219" s="185">
        <f>5.26+1.66</f>
        <v>6.92</v>
      </c>
    </row>
    <row r="1220" spans="1:15" ht="24.95" customHeight="1">
      <c r="A1220" s="192"/>
      <c r="B1220" s="272" t="s">
        <v>1001</v>
      </c>
      <c r="C1220" s="269">
        <v>1</v>
      </c>
      <c r="D1220" s="270" t="s">
        <v>461</v>
      </c>
      <c r="E1220" s="269">
        <v>2</v>
      </c>
      <c r="F1220" s="271">
        <v>4.8</v>
      </c>
      <c r="G1220" s="271">
        <v>0.23</v>
      </c>
      <c r="H1220" s="271"/>
      <c r="I1220" s="271">
        <f t="shared" si="70"/>
        <v>2.21</v>
      </c>
      <c r="J1220" s="191"/>
      <c r="K1220" s="185">
        <f>K1219*2</f>
        <v>13.84</v>
      </c>
    </row>
    <row r="1221" spans="1:15" ht="24.95" customHeight="1">
      <c r="A1221" s="192"/>
      <c r="B1221" s="272" t="s">
        <v>1002</v>
      </c>
      <c r="C1221" s="269">
        <v>1</v>
      </c>
      <c r="D1221" s="270" t="s">
        <v>461</v>
      </c>
      <c r="E1221" s="269">
        <v>2</v>
      </c>
      <c r="F1221" s="271">
        <f>F1219</f>
        <v>5.23</v>
      </c>
      <c r="G1221" s="271"/>
      <c r="H1221" s="271">
        <v>0.15</v>
      </c>
      <c r="I1221" s="271">
        <f t="shared" si="70"/>
        <v>1.57</v>
      </c>
      <c r="J1221" s="191"/>
    </row>
    <row r="1222" spans="1:15" ht="24.95" customHeight="1">
      <c r="A1222" s="192"/>
      <c r="B1222" s="268" t="s">
        <v>1003</v>
      </c>
      <c r="C1222" s="269">
        <v>1</v>
      </c>
      <c r="D1222" s="270" t="s">
        <v>461</v>
      </c>
      <c r="E1222" s="269">
        <v>1</v>
      </c>
      <c r="F1222" s="271">
        <v>13.84</v>
      </c>
      <c r="G1222" s="274" t="s">
        <v>78</v>
      </c>
      <c r="H1222" s="275">
        <v>0.15</v>
      </c>
      <c r="I1222" s="271">
        <f t="shared" si="70"/>
        <v>2.08</v>
      </c>
      <c r="J1222" s="191"/>
    </row>
    <row r="1223" spans="1:15" ht="24.95" customHeight="1">
      <c r="A1223" s="192"/>
      <c r="B1223" s="202"/>
      <c r="C1223" s="189"/>
      <c r="D1223" s="189"/>
      <c r="E1223" s="189"/>
      <c r="F1223" s="203"/>
      <c r="G1223" s="203"/>
      <c r="H1223" s="203"/>
      <c r="I1223" s="203">
        <f>SUM(I1129:I1222)</f>
        <v>1300.55</v>
      </c>
      <c r="J1223" s="191"/>
      <c r="O1223" s="202"/>
    </row>
    <row r="1224" spans="1:15" ht="24.95" customHeight="1">
      <c r="A1224" s="192"/>
      <c r="B1224" s="202"/>
      <c r="C1224" s="189"/>
      <c r="D1224" s="189"/>
      <c r="E1224" s="189"/>
      <c r="F1224" s="203"/>
      <c r="G1224" s="203"/>
      <c r="H1224" s="204" t="s">
        <v>261</v>
      </c>
      <c r="I1224" s="204">
        <f>ROUNDUP(I1223,1-0)</f>
        <v>1300.5999999999999</v>
      </c>
      <c r="J1224" s="201" t="s">
        <v>123</v>
      </c>
      <c r="O1224" s="202"/>
    </row>
    <row r="1225" spans="1:15" ht="24.95" customHeight="1">
      <c r="A1225" s="192"/>
      <c r="B1225" s="202"/>
      <c r="C1225" s="189"/>
      <c r="D1225" s="189"/>
      <c r="E1225" s="189"/>
      <c r="F1225" s="203"/>
      <c r="G1225" s="203"/>
      <c r="H1225" s="203"/>
      <c r="I1225" s="203"/>
      <c r="J1225" s="191"/>
      <c r="O1225" s="202"/>
    </row>
    <row r="1226" spans="1:15" ht="54.75" customHeight="1">
      <c r="A1226" s="192"/>
      <c r="B1226" s="188" t="s">
        <v>813</v>
      </c>
      <c r="C1226" s="189"/>
      <c r="D1226" s="189"/>
      <c r="E1226" s="189"/>
      <c r="F1226" s="190"/>
      <c r="G1226" s="190"/>
      <c r="H1226" s="190"/>
      <c r="I1226" s="190"/>
      <c r="J1226" s="191"/>
    </row>
    <row r="1227" spans="1:15" ht="24.95" customHeight="1">
      <c r="A1227" s="192"/>
      <c r="B1227" s="188" t="s">
        <v>814</v>
      </c>
      <c r="C1227" s="189"/>
      <c r="D1227" s="189"/>
      <c r="E1227" s="189"/>
      <c r="F1227" s="203"/>
      <c r="G1227" s="203"/>
      <c r="H1227" s="203"/>
      <c r="I1227" s="203"/>
      <c r="J1227" s="191"/>
    </row>
    <row r="1228" spans="1:15" ht="24.95" customHeight="1">
      <c r="A1228" s="192"/>
      <c r="B1228" s="202" t="s">
        <v>504</v>
      </c>
      <c r="C1228" s="194">
        <v>1</v>
      </c>
      <c r="D1228" s="194" t="s">
        <v>461</v>
      </c>
      <c r="E1228" s="194">
        <v>5</v>
      </c>
      <c r="F1228" s="195">
        <v>1.22</v>
      </c>
      <c r="G1228" s="195"/>
      <c r="H1228" s="195">
        <f>2-0.1-0.38-0.4</f>
        <v>1.1200000000000001</v>
      </c>
      <c r="I1228" s="195">
        <f t="shared" ref="I1228:I1233" si="71">PRODUCT(C1228:H1228)</f>
        <v>6.83</v>
      </c>
      <c r="J1228" s="191"/>
    </row>
    <row r="1229" spans="1:15" ht="24.95" customHeight="1">
      <c r="A1229" s="192"/>
      <c r="B1229" s="202" t="s">
        <v>487</v>
      </c>
      <c r="C1229" s="194">
        <v>1</v>
      </c>
      <c r="D1229" s="194" t="s">
        <v>461</v>
      </c>
      <c r="E1229" s="194">
        <v>4</v>
      </c>
      <c r="F1229" s="195">
        <v>1.36</v>
      </c>
      <c r="G1229" s="195"/>
      <c r="H1229" s="195">
        <f>2-0.1-0.45-0.4</f>
        <v>1.05</v>
      </c>
      <c r="I1229" s="195">
        <f t="shared" si="71"/>
        <v>5.71</v>
      </c>
      <c r="J1229" s="191"/>
    </row>
    <row r="1230" spans="1:15" ht="24.95" customHeight="1">
      <c r="A1230" s="192"/>
      <c r="B1230" s="202" t="s">
        <v>505</v>
      </c>
      <c r="C1230" s="194">
        <v>1</v>
      </c>
      <c r="D1230" s="194" t="s">
        <v>461</v>
      </c>
      <c r="E1230" s="194">
        <v>3</v>
      </c>
      <c r="F1230" s="195">
        <v>1.66</v>
      </c>
      <c r="G1230" s="195"/>
      <c r="H1230" s="195">
        <v>1.05</v>
      </c>
      <c r="I1230" s="195">
        <f t="shared" si="71"/>
        <v>5.23</v>
      </c>
      <c r="J1230" s="191"/>
    </row>
    <row r="1231" spans="1:15" ht="24.95" customHeight="1">
      <c r="A1231" s="192"/>
      <c r="B1231" s="202" t="s">
        <v>489</v>
      </c>
      <c r="C1231" s="194">
        <v>1</v>
      </c>
      <c r="D1231" s="194" t="s">
        <v>461</v>
      </c>
      <c r="E1231" s="194">
        <v>2</v>
      </c>
      <c r="F1231" s="195">
        <v>1.36</v>
      </c>
      <c r="G1231" s="195"/>
      <c r="H1231" s="195">
        <f>2-0.1-0.6-0.4</f>
        <v>0.9</v>
      </c>
      <c r="I1231" s="195">
        <f t="shared" si="71"/>
        <v>2.4500000000000002</v>
      </c>
      <c r="J1231" s="191"/>
    </row>
    <row r="1232" spans="1:15" ht="24.95" customHeight="1">
      <c r="A1232" s="192"/>
      <c r="B1232" s="202" t="s">
        <v>493</v>
      </c>
      <c r="C1232" s="194">
        <v>1</v>
      </c>
      <c r="D1232" s="194" t="s">
        <v>461</v>
      </c>
      <c r="E1232" s="194">
        <v>4</v>
      </c>
      <c r="F1232" s="195">
        <v>1.8</v>
      </c>
      <c r="G1232" s="195"/>
      <c r="H1232" s="195">
        <v>1.05</v>
      </c>
      <c r="I1232" s="195">
        <f t="shared" si="71"/>
        <v>7.56</v>
      </c>
      <c r="J1232" s="191"/>
    </row>
    <row r="1233" spans="1:10" ht="24.95" customHeight="1">
      <c r="A1233" s="192"/>
      <c r="B1233" s="202" t="s">
        <v>494</v>
      </c>
      <c r="C1233" s="194">
        <v>1</v>
      </c>
      <c r="D1233" s="194" t="s">
        <v>461</v>
      </c>
      <c r="E1233" s="194">
        <v>9</v>
      </c>
      <c r="F1233" s="195">
        <v>1.52</v>
      </c>
      <c r="G1233" s="195"/>
      <c r="H1233" s="195">
        <f>H1228</f>
        <v>1.1200000000000001</v>
      </c>
      <c r="I1233" s="195">
        <f t="shared" si="71"/>
        <v>15.32</v>
      </c>
      <c r="J1233" s="191"/>
    </row>
    <row r="1234" spans="1:10" ht="24.95" customHeight="1">
      <c r="A1234" s="192"/>
      <c r="B1234" s="188" t="s">
        <v>816</v>
      </c>
      <c r="C1234" s="189"/>
      <c r="D1234" s="189"/>
      <c r="E1234" s="189"/>
      <c r="F1234" s="203"/>
      <c r="G1234" s="203"/>
      <c r="H1234" s="203"/>
      <c r="I1234" s="203"/>
      <c r="J1234" s="191"/>
    </row>
    <row r="1235" spans="1:10" ht="24.95" customHeight="1">
      <c r="A1235" s="192"/>
      <c r="B1235" s="202" t="s">
        <v>504</v>
      </c>
      <c r="C1235" s="194">
        <v>1</v>
      </c>
      <c r="D1235" s="194" t="s">
        <v>461</v>
      </c>
      <c r="E1235" s="194">
        <v>5</v>
      </c>
      <c r="F1235" s="195">
        <v>1.22</v>
      </c>
      <c r="G1235" s="195"/>
      <c r="H1235" s="195">
        <v>1.45</v>
      </c>
      <c r="I1235" s="195">
        <f t="shared" ref="I1235:I1240" si="72">PRODUCT(C1235:H1235)</f>
        <v>8.85</v>
      </c>
      <c r="J1235" s="191"/>
    </row>
    <row r="1236" spans="1:10" ht="24.95" customHeight="1">
      <c r="A1236" s="192"/>
      <c r="B1236" s="202" t="s">
        <v>487</v>
      </c>
      <c r="C1236" s="194">
        <v>1</v>
      </c>
      <c r="D1236" s="194" t="s">
        <v>461</v>
      </c>
      <c r="E1236" s="194">
        <v>4</v>
      </c>
      <c r="F1236" s="195">
        <v>1.36</v>
      </c>
      <c r="G1236" s="195"/>
      <c r="H1236" s="195">
        <v>1.45</v>
      </c>
      <c r="I1236" s="195">
        <f t="shared" si="72"/>
        <v>7.89</v>
      </c>
      <c r="J1236" s="191"/>
    </row>
    <row r="1237" spans="1:10" ht="24.95" customHeight="1">
      <c r="A1237" s="192"/>
      <c r="B1237" s="202" t="s">
        <v>505</v>
      </c>
      <c r="C1237" s="194">
        <v>1</v>
      </c>
      <c r="D1237" s="194" t="s">
        <v>461</v>
      </c>
      <c r="E1237" s="194">
        <v>3</v>
      </c>
      <c r="F1237" s="195">
        <v>1.66</v>
      </c>
      <c r="G1237" s="195"/>
      <c r="H1237" s="195">
        <v>1.45</v>
      </c>
      <c r="I1237" s="195">
        <f t="shared" si="72"/>
        <v>7.22</v>
      </c>
      <c r="J1237" s="191"/>
    </row>
    <row r="1238" spans="1:10" ht="24.95" customHeight="1">
      <c r="A1238" s="192"/>
      <c r="B1238" s="202" t="s">
        <v>489</v>
      </c>
      <c r="C1238" s="194">
        <v>1</v>
      </c>
      <c r="D1238" s="194" t="s">
        <v>461</v>
      </c>
      <c r="E1238" s="194">
        <v>2</v>
      </c>
      <c r="F1238" s="195">
        <v>1.36</v>
      </c>
      <c r="G1238" s="195"/>
      <c r="H1238" s="195">
        <v>1.45</v>
      </c>
      <c r="I1238" s="195">
        <f t="shared" si="72"/>
        <v>3.94</v>
      </c>
      <c r="J1238" s="191"/>
    </row>
    <row r="1239" spans="1:10" ht="24.95" customHeight="1">
      <c r="A1239" s="192"/>
      <c r="B1239" s="202" t="s">
        <v>493</v>
      </c>
      <c r="C1239" s="194">
        <v>1</v>
      </c>
      <c r="D1239" s="194" t="s">
        <v>461</v>
      </c>
      <c r="E1239" s="194">
        <v>4</v>
      </c>
      <c r="F1239" s="195">
        <v>1.8</v>
      </c>
      <c r="G1239" s="195"/>
      <c r="H1239" s="195">
        <v>1.45</v>
      </c>
      <c r="I1239" s="195">
        <f t="shared" si="72"/>
        <v>10.44</v>
      </c>
      <c r="J1239" s="191"/>
    </row>
    <row r="1240" spans="1:10" ht="24.95" customHeight="1">
      <c r="A1240" s="192"/>
      <c r="B1240" s="202" t="s">
        <v>494</v>
      </c>
      <c r="C1240" s="194">
        <v>1</v>
      </c>
      <c r="D1240" s="194" t="s">
        <v>461</v>
      </c>
      <c r="E1240" s="194">
        <v>9</v>
      </c>
      <c r="F1240" s="195">
        <v>1.52</v>
      </c>
      <c r="G1240" s="195"/>
      <c r="H1240" s="195">
        <v>1.45</v>
      </c>
      <c r="I1240" s="195">
        <f t="shared" si="72"/>
        <v>19.84</v>
      </c>
      <c r="J1240" s="191"/>
    </row>
    <row r="1241" spans="1:10" ht="24.95" customHeight="1">
      <c r="A1241" s="192"/>
      <c r="B1241" s="188" t="s">
        <v>817</v>
      </c>
      <c r="C1241" s="189"/>
      <c r="D1241" s="189"/>
      <c r="E1241" s="189"/>
      <c r="F1241" s="203"/>
      <c r="G1241" s="203"/>
      <c r="H1241" s="203"/>
      <c r="I1241" s="203"/>
      <c r="J1241" s="191"/>
    </row>
    <row r="1242" spans="1:10" ht="34.5" customHeight="1">
      <c r="A1242" s="192"/>
      <c r="B1242" s="202" t="s">
        <v>504</v>
      </c>
      <c r="C1242" s="189">
        <v>1</v>
      </c>
      <c r="D1242" s="189" t="s">
        <v>461</v>
      </c>
      <c r="E1242" s="189">
        <v>5</v>
      </c>
      <c r="F1242" s="203">
        <v>1.22</v>
      </c>
      <c r="G1242" s="203"/>
      <c r="H1242" s="203">
        <v>3.15</v>
      </c>
      <c r="I1242" s="203">
        <f t="shared" ref="I1242:I1248" si="73">PRODUCT(C1242:H1242)</f>
        <v>19.22</v>
      </c>
      <c r="J1242" s="191"/>
    </row>
    <row r="1243" spans="1:10" ht="24.95" customHeight="1">
      <c r="A1243" s="192"/>
      <c r="B1243" s="202" t="s">
        <v>487</v>
      </c>
      <c r="C1243" s="189">
        <v>1</v>
      </c>
      <c r="D1243" s="189" t="s">
        <v>461</v>
      </c>
      <c r="E1243" s="189">
        <v>1</v>
      </c>
      <c r="F1243" s="203">
        <v>1.36</v>
      </c>
      <c r="G1243" s="203"/>
      <c r="H1243" s="203">
        <v>3</v>
      </c>
      <c r="I1243" s="203">
        <f t="shared" si="73"/>
        <v>4.08</v>
      </c>
      <c r="J1243" s="191"/>
    </row>
    <row r="1244" spans="1:10" ht="24.95" customHeight="1">
      <c r="A1244" s="192"/>
      <c r="B1244" s="202" t="s">
        <v>487</v>
      </c>
      <c r="C1244" s="189">
        <v>1</v>
      </c>
      <c r="D1244" s="189" t="s">
        <v>461</v>
      </c>
      <c r="E1244" s="189">
        <v>3</v>
      </c>
      <c r="F1244" s="203">
        <v>1.36</v>
      </c>
      <c r="G1244" s="203"/>
      <c r="H1244" s="203">
        <v>3.15</v>
      </c>
      <c r="I1244" s="203">
        <f t="shared" si="73"/>
        <v>12.85</v>
      </c>
      <c r="J1244" s="191"/>
    </row>
    <row r="1245" spans="1:10" ht="24.95" customHeight="1">
      <c r="A1245" s="192"/>
      <c r="B1245" s="202" t="s">
        <v>505</v>
      </c>
      <c r="C1245" s="189">
        <v>1</v>
      </c>
      <c r="D1245" s="189" t="s">
        <v>461</v>
      </c>
      <c r="E1245" s="189">
        <v>3</v>
      </c>
      <c r="F1245" s="203">
        <v>1.66</v>
      </c>
      <c r="G1245" s="203"/>
      <c r="H1245" s="203">
        <v>3</v>
      </c>
      <c r="I1245" s="203">
        <f t="shared" si="73"/>
        <v>14.94</v>
      </c>
      <c r="J1245" s="191"/>
    </row>
    <row r="1246" spans="1:10" ht="24.95" customHeight="1">
      <c r="A1246" s="192"/>
      <c r="B1246" s="202" t="s">
        <v>489</v>
      </c>
      <c r="C1246" s="189">
        <v>1</v>
      </c>
      <c r="D1246" s="189" t="s">
        <v>461</v>
      </c>
      <c r="E1246" s="189">
        <v>2</v>
      </c>
      <c r="F1246" s="203">
        <v>1.36</v>
      </c>
      <c r="G1246" s="203"/>
      <c r="H1246" s="203">
        <v>3</v>
      </c>
      <c r="I1246" s="203">
        <f t="shared" si="73"/>
        <v>8.16</v>
      </c>
      <c r="J1246" s="191"/>
    </row>
    <row r="1247" spans="1:10" ht="24.95" customHeight="1">
      <c r="A1247" s="192"/>
      <c r="B1247" s="202" t="s">
        <v>493</v>
      </c>
      <c r="C1247" s="189">
        <v>1</v>
      </c>
      <c r="D1247" s="189" t="s">
        <v>461</v>
      </c>
      <c r="E1247" s="189">
        <v>4</v>
      </c>
      <c r="F1247" s="203">
        <v>1.8</v>
      </c>
      <c r="G1247" s="203"/>
      <c r="H1247" s="203">
        <v>3.15</v>
      </c>
      <c r="I1247" s="203">
        <f t="shared" si="73"/>
        <v>22.68</v>
      </c>
      <c r="J1247" s="191"/>
    </row>
    <row r="1248" spans="1:10" ht="24.95" customHeight="1">
      <c r="A1248" s="192"/>
      <c r="B1248" s="202" t="s">
        <v>494</v>
      </c>
      <c r="C1248" s="189">
        <v>1</v>
      </c>
      <c r="D1248" s="189" t="s">
        <v>461</v>
      </c>
      <c r="E1248" s="189">
        <v>9</v>
      </c>
      <c r="F1248" s="203">
        <v>1.52</v>
      </c>
      <c r="G1248" s="203"/>
      <c r="H1248" s="203">
        <v>3.15</v>
      </c>
      <c r="I1248" s="203">
        <f t="shared" si="73"/>
        <v>43.09</v>
      </c>
      <c r="J1248" s="191"/>
    </row>
    <row r="1249" spans="1:11" ht="24.95" customHeight="1">
      <c r="A1249" s="192"/>
      <c r="B1249" s="188" t="s">
        <v>818</v>
      </c>
      <c r="C1249" s="194"/>
      <c r="D1249" s="194"/>
      <c r="E1249" s="194"/>
      <c r="F1249" s="195"/>
      <c r="G1249" s="195"/>
      <c r="H1249" s="195"/>
      <c r="I1249" s="195"/>
      <c r="J1249" s="191"/>
    </row>
    <row r="1250" spans="1:11" ht="24.95" customHeight="1">
      <c r="A1250" s="192"/>
      <c r="B1250" s="202" t="s">
        <v>504</v>
      </c>
      <c r="C1250" s="189">
        <v>1</v>
      </c>
      <c r="D1250" s="189" t="s">
        <v>461</v>
      </c>
      <c r="E1250" s="189">
        <v>5</v>
      </c>
      <c r="F1250" s="203">
        <v>1.22</v>
      </c>
      <c r="G1250" s="203"/>
      <c r="H1250" s="203">
        <v>3.15</v>
      </c>
      <c r="I1250" s="203">
        <f t="shared" ref="I1250:I1263" si="74">PRODUCT(C1250:H1250)</f>
        <v>19.22</v>
      </c>
      <c r="J1250" s="191"/>
    </row>
    <row r="1251" spans="1:11" ht="24.95" customHeight="1">
      <c r="A1251" s="192"/>
      <c r="B1251" s="202" t="s">
        <v>487</v>
      </c>
      <c r="C1251" s="189">
        <v>1</v>
      </c>
      <c r="D1251" s="189" t="s">
        <v>461</v>
      </c>
      <c r="E1251" s="189">
        <v>1</v>
      </c>
      <c r="F1251" s="203">
        <v>1.36</v>
      </c>
      <c r="G1251" s="203"/>
      <c r="H1251" s="203">
        <v>3</v>
      </c>
      <c r="I1251" s="203">
        <f t="shared" si="74"/>
        <v>4.08</v>
      </c>
      <c r="J1251" s="191"/>
    </row>
    <row r="1252" spans="1:11" ht="24.95" customHeight="1">
      <c r="A1252" s="192"/>
      <c r="B1252" s="202" t="s">
        <v>487</v>
      </c>
      <c r="C1252" s="189">
        <v>1</v>
      </c>
      <c r="D1252" s="189" t="s">
        <v>461</v>
      </c>
      <c r="E1252" s="189">
        <v>3</v>
      </c>
      <c r="F1252" s="203">
        <v>1.36</v>
      </c>
      <c r="G1252" s="203"/>
      <c r="H1252" s="203">
        <v>3.15</v>
      </c>
      <c r="I1252" s="203">
        <f t="shared" si="74"/>
        <v>12.85</v>
      </c>
      <c r="J1252" s="191"/>
    </row>
    <row r="1253" spans="1:11" ht="24.95" customHeight="1">
      <c r="A1253" s="192"/>
      <c r="B1253" s="202" t="s">
        <v>505</v>
      </c>
      <c r="C1253" s="189">
        <v>1</v>
      </c>
      <c r="D1253" s="189" t="s">
        <v>461</v>
      </c>
      <c r="E1253" s="189">
        <v>1</v>
      </c>
      <c r="F1253" s="203">
        <v>1.66</v>
      </c>
      <c r="G1253" s="203"/>
      <c r="H1253" s="203">
        <v>3</v>
      </c>
      <c r="I1253" s="203">
        <f t="shared" si="74"/>
        <v>4.9800000000000004</v>
      </c>
      <c r="J1253" s="191"/>
    </row>
    <row r="1254" spans="1:11" ht="24.95" customHeight="1">
      <c r="A1254" s="192"/>
      <c r="B1254" s="202" t="s">
        <v>505</v>
      </c>
      <c r="C1254" s="189">
        <v>1</v>
      </c>
      <c r="D1254" s="189" t="s">
        <v>461</v>
      </c>
      <c r="E1254" s="189">
        <v>2</v>
      </c>
      <c r="F1254" s="203">
        <v>1.66</v>
      </c>
      <c r="G1254" s="203"/>
      <c r="H1254" s="203">
        <v>3.15</v>
      </c>
      <c r="I1254" s="203">
        <f t="shared" si="74"/>
        <v>10.46</v>
      </c>
      <c r="J1254" s="191"/>
    </row>
    <row r="1255" spans="1:11" ht="24.95" customHeight="1">
      <c r="A1255" s="192"/>
      <c r="B1255" s="202" t="s">
        <v>489</v>
      </c>
      <c r="C1255" s="189">
        <v>1</v>
      </c>
      <c r="D1255" s="189" t="s">
        <v>461</v>
      </c>
      <c r="E1255" s="189">
        <v>2</v>
      </c>
      <c r="F1255" s="203">
        <v>1.36</v>
      </c>
      <c r="G1255" s="203"/>
      <c r="H1255" s="203">
        <v>3.15</v>
      </c>
      <c r="I1255" s="203">
        <f t="shared" si="74"/>
        <v>8.57</v>
      </c>
      <c r="J1255" s="191"/>
    </row>
    <row r="1256" spans="1:11" ht="24.95" customHeight="1">
      <c r="A1256" s="192"/>
      <c r="B1256" s="202" t="s">
        <v>493</v>
      </c>
      <c r="C1256" s="189">
        <v>1</v>
      </c>
      <c r="D1256" s="189" t="s">
        <v>461</v>
      </c>
      <c r="E1256" s="189">
        <v>4</v>
      </c>
      <c r="F1256" s="203">
        <v>1.8</v>
      </c>
      <c r="G1256" s="203"/>
      <c r="H1256" s="203">
        <v>3</v>
      </c>
      <c r="I1256" s="203">
        <f t="shared" si="74"/>
        <v>21.6</v>
      </c>
      <c r="J1256" s="191"/>
    </row>
    <row r="1257" spans="1:11" ht="24.95" customHeight="1">
      <c r="A1257" s="192"/>
      <c r="B1257" s="202" t="s">
        <v>494</v>
      </c>
      <c r="C1257" s="189">
        <v>1</v>
      </c>
      <c r="D1257" s="189" t="s">
        <v>461</v>
      </c>
      <c r="E1257" s="189">
        <v>9</v>
      </c>
      <c r="F1257" s="203">
        <v>1.52</v>
      </c>
      <c r="G1257" s="203"/>
      <c r="H1257" s="203">
        <v>3.15</v>
      </c>
      <c r="I1257" s="203">
        <f t="shared" si="74"/>
        <v>43.09</v>
      </c>
      <c r="J1257" s="191"/>
    </row>
    <row r="1258" spans="1:11" ht="24.95" customHeight="1">
      <c r="A1258" s="192"/>
      <c r="B1258" s="202" t="s">
        <v>542</v>
      </c>
      <c r="C1258" s="189">
        <v>1</v>
      </c>
      <c r="D1258" s="189" t="s">
        <v>461</v>
      </c>
      <c r="E1258" s="189">
        <v>4</v>
      </c>
      <c r="F1258" s="203">
        <v>1.22</v>
      </c>
      <c r="G1258" s="203"/>
      <c r="H1258" s="206">
        <v>1.2</v>
      </c>
      <c r="I1258" s="203">
        <f t="shared" si="74"/>
        <v>5.86</v>
      </c>
      <c r="J1258" s="191"/>
    </row>
    <row r="1259" spans="1:11" ht="24.95" customHeight="1">
      <c r="A1259" s="192"/>
      <c r="B1259" s="202" t="s">
        <v>543</v>
      </c>
      <c r="C1259" s="189">
        <v>1</v>
      </c>
      <c r="D1259" s="189" t="s">
        <v>461</v>
      </c>
      <c r="E1259" s="189">
        <v>1</v>
      </c>
      <c r="F1259" s="203">
        <v>1.36</v>
      </c>
      <c r="G1259" s="203"/>
      <c r="H1259" s="206">
        <v>1.2</v>
      </c>
      <c r="I1259" s="203">
        <f t="shared" si="74"/>
        <v>1.63</v>
      </c>
      <c r="J1259" s="191"/>
    </row>
    <row r="1260" spans="1:11" ht="24.95" customHeight="1">
      <c r="A1260" s="192"/>
      <c r="B1260" s="188" t="s">
        <v>544</v>
      </c>
      <c r="C1260" s="189">
        <v>1</v>
      </c>
      <c r="D1260" s="189" t="s">
        <v>461</v>
      </c>
      <c r="E1260" s="189">
        <v>1</v>
      </c>
      <c r="F1260" s="203">
        <v>1.66</v>
      </c>
      <c r="G1260" s="203"/>
      <c r="H1260" s="206">
        <v>1.2</v>
      </c>
      <c r="I1260" s="203">
        <f t="shared" si="74"/>
        <v>1.99</v>
      </c>
      <c r="J1260" s="191"/>
    </row>
    <row r="1261" spans="1:11" ht="24.95" customHeight="1">
      <c r="A1261" s="192"/>
      <c r="B1261" s="202" t="s">
        <v>545</v>
      </c>
      <c r="C1261" s="189">
        <v>1</v>
      </c>
      <c r="D1261" s="189" t="s">
        <v>461</v>
      </c>
      <c r="E1261" s="189">
        <v>2</v>
      </c>
      <c r="F1261" s="203">
        <v>1.36</v>
      </c>
      <c r="G1261" s="203"/>
      <c r="H1261" s="206">
        <v>1.2</v>
      </c>
      <c r="I1261" s="203">
        <f t="shared" si="74"/>
        <v>3.26</v>
      </c>
      <c r="J1261" s="191"/>
    </row>
    <row r="1262" spans="1:11" ht="24.95" customHeight="1">
      <c r="A1262" s="192"/>
      <c r="B1262" s="202" t="s">
        <v>546</v>
      </c>
      <c r="C1262" s="189">
        <v>1</v>
      </c>
      <c r="D1262" s="189" t="s">
        <v>461</v>
      </c>
      <c r="E1262" s="189">
        <v>2</v>
      </c>
      <c r="F1262" s="203">
        <v>1.8</v>
      </c>
      <c r="G1262" s="203"/>
      <c r="H1262" s="206">
        <v>1.2</v>
      </c>
      <c r="I1262" s="203">
        <f t="shared" si="74"/>
        <v>4.32</v>
      </c>
      <c r="J1262" s="191"/>
      <c r="K1262" s="185">
        <v>0.04</v>
      </c>
    </row>
    <row r="1263" spans="1:11" ht="24.95" customHeight="1">
      <c r="A1263" s="192"/>
      <c r="B1263" s="202" t="s">
        <v>547</v>
      </c>
      <c r="C1263" s="189">
        <v>1</v>
      </c>
      <c r="D1263" s="189" t="s">
        <v>461</v>
      </c>
      <c r="E1263" s="189">
        <v>1</v>
      </c>
      <c r="F1263" s="203">
        <v>1.52</v>
      </c>
      <c r="G1263" s="203"/>
      <c r="H1263" s="206">
        <v>1.2</v>
      </c>
      <c r="I1263" s="203">
        <f t="shared" si="74"/>
        <v>1.82</v>
      </c>
      <c r="J1263" s="191"/>
    </row>
    <row r="1264" spans="1:11" ht="42.75" customHeight="1">
      <c r="A1264" s="192"/>
      <c r="B1264" s="202" t="s">
        <v>819</v>
      </c>
      <c r="C1264" s="194"/>
      <c r="D1264" s="194"/>
      <c r="E1264" s="194"/>
      <c r="F1264" s="195"/>
      <c r="G1264" s="195"/>
      <c r="H1264" s="195"/>
      <c r="I1264" s="195"/>
      <c r="J1264" s="191"/>
    </row>
    <row r="1265" spans="1:11" ht="24.95" customHeight="1">
      <c r="A1265" s="192"/>
      <c r="B1265" s="251" t="s">
        <v>820</v>
      </c>
      <c r="C1265" s="189">
        <v>1</v>
      </c>
      <c r="D1265" s="189" t="s">
        <v>461</v>
      </c>
      <c r="E1265" s="189">
        <v>1</v>
      </c>
      <c r="F1265" s="203">
        <v>1.36</v>
      </c>
      <c r="G1265" s="203"/>
      <c r="H1265" s="206">
        <v>3.3</v>
      </c>
      <c r="I1265" s="203">
        <f>PRODUCT(C1265:H1265)</f>
        <v>4.49</v>
      </c>
      <c r="J1265" s="191"/>
    </row>
    <row r="1266" spans="1:11" ht="24.95" customHeight="1">
      <c r="A1266" s="192"/>
      <c r="B1266" s="202" t="s">
        <v>544</v>
      </c>
      <c r="C1266" s="189">
        <v>1</v>
      </c>
      <c r="D1266" s="189" t="s">
        <v>461</v>
      </c>
      <c r="E1266" s="189">
        <v>1</v>
      </c>
      <c r="F1266" s="203">
        <v>1.66</v>
      </c>
      <c r="G1266" s="203"/>
      <c r="H1266" s="206">
        <v>3.3</v>
      </c>
      <c r="I1266" s="203">
        <f>PRODUCT(C1266:H1266)</f>
        <v>5.48</v>
      </c>
      <c r="J1266" s="191"/>
    </row>
    <row r="1267" spans="1:11" ht="24.95" customHeight="1">
      <c r="A1267" s="192"/>
      <c r="B1267" s="202" t="s">
        <v>546</v>
      </c>
      <c r="C1267" s="189">
        <v>1</v>
      </c>
      <c r="D1267" s="189" t="s">
        <v>461</v>
      </c>
      <c r="E1267" s="189">
        <v>2</v>
      </c>
      <c r="F1267" s="203">
        <v>1.8</v>
      </c>
      <c r="G1267" s="203"/>
      <c r="H1267" s="206">
        <v>3.3</v>
      </c>
      <c r="I1267" s="203">
        <f>PRODUCT(C1267:H1267)</f>
        <v>11.88</v>
      </c>
      <c r="J1267" s="191"/>
    </row>
    <row r="1268" spans="1:11" ht="24.95" customHeight="1">
      <c r="A1268" s="192"/>
      <c r="B1268" s="188" t="s">
        <v>821</v>
      </c>
      <c r="C1268" s="189"/>
      <c r="D1268" s="189"/>
      <c r="E1268" s="189"/>
      <c r="F1268" s="203"/>
      <c r="G1268" s="203"/>
      <c r="H1268" s="206"/>
      <c r="I1268" s="203"/>
      <c r="J1268" s="191"/>
    </row>
    <row r="1269" spans="1:11" ht="24.95" customHeight="1">
      <c r="A1269" s="192"/>
      <c r="B1269" s="202" t="s">
        <v>822</v>
      </c>
      <c r="C1269" s="189">
        <v>1</v>
      </c>
      <c r="D1269" s="189" t="s">
        <v>461</v>
      </c>
      <c r="E1269" s="189">
        <v>2</v>
      </c>
      <c r="F1269" s="203">
        <v>2.2599999999999998</v>
      </c>
      <c r="G1269" s="203"/>
      <c r="H1269" s="206">
        <v>0.6</v>
      </c>
      <c r="I1269" s="203">
        <f t="shared" ref="I1269:I1277" si="75">PRODUCT(C1269:H1269)</f>
        <v>2.71</v>
      </c>
      <c r="J1269" s="191"/>
      <c r="K1269" s="185">
        <v>0.03</v>
      </c>
    </row>
    <row r="1270" spans="1:11" ht="24.95" customHeight="1">
      <c r="A1270" s="192"/>
      <c r="B1270" s="202" t="s">
        <v>655</v>
      </c>
      <c r="C1270" s="189">
        <v>1</v>
      </c>
      <c r="D1270" s="189" t="s">
        <v>461</v>
      </c>
      <c r="E1270" s="189">
        <v>13</v>
      </c>
      <c r="F1270" s="203">
        <v>1.96</v>
      </c>
      <c r="G1270" s="203"/>
      <c r="H1270" s="206">
        <v>0.6</v>
      </c>
      <c r="I1270" s="203">
        <f t="shared" si="75"/>
        <v>15.29</v>
      </c>
      <c r="J1270" s="191"/>
    </row>
    <row r="1271" spans="1:11" ht="44.25" customHeight="1">
      <c r="A1271" s="192"/>
      <c r="B1271" s="202" t="s">
        <v>683</v>
      </c>
      <c r="C1271" s="189">
        <v>1</v>
      </c>
      <c r="D1271" s="189" t="s">
        <v>461</v>
      </c>
      <c r="E1271" s="189">
        <v>1</v>
      </c>
      <c r="F1271" s="203">
        <v>1.81</v>
      </c>
      <c r="G1271" s="203"/>
      <c r="H1271" s="206">
        <v>0.6</v>
      </c>
      <c r="I1271" s="203">
        <f t="shared" si="75"/>
        <v>1.0900000000000001</v>
      </c>
      <c r="J1271" s="191"/>
    </row>
    <row r="1272" spans="1:11" ht="24.95" customHeight="1">
      <c r="A1272" s="192"/>
      <c r="B1272" s="202" t="s">
        <v>656</v>
      </c>
      <c r="C1272" s="189">
        <v>1</v>
      </c>
      <c r="D1272" s="189" t="s">
        <v>461</v>
      </c>
      <c r="E1272" s="189">
        <v>10</v>
      </c>
      <c r="F1272" s="203">
        <v>1.36</v>
      </c>
      <c r="G1272" s="203"/>
      <c r="H1272" s="206">
        <v>0.6</v>
      </c>
      <c r="I1272" s="203">
        <f t="shared" si="75"/>
        <v>8.16</v>
      </c>
      <c r="J1272" s="191"/>
    </row>
    <row r="1273" spans="1:11" ht="24.95" customHeight="1">
      <c r="A1273" s="192"/>
      <c r="B1273" s="202" t="s">
        <v>657</v>
      </c>
      <c r="C1273" s="189">
        <v>1</v>
      </c>
      <c r="D1273" s="189" t="s">
        <v>461</v>
      </c>
      <c r="E1273" s="189">
        <v>4</v>
      </c>
      <c r="F1273" s="203">
        <v>1.66</v>
      </c>
      <c r="G1273" s="203"/>
      <c r="H1273" s="206">
        <v>0.6</v>
      </c>
      <c r="I1273" s="203">
        <f t="shared" si="75"/>
        <v>3.98</v>
      </c>
      <c r="J1273" s="191"/>
    </row>
    <row r="1274" spans="1:11" ht="24.95" customHeight="1">
      <c r="A1274" s="192"/>
      <c r="B1274" s="202" t="s">
        <v>684</v>
      </c>
      <c r="C1274" s="189">
        <v>1</v>
      </c>
      <c r="D1274" s="189" t="s">
        <v>461</v>
      </c>
      <c r="E1274" s="189">
        <v>2</v>
      </c>
      <c r="F1274" s="203">
        <v>1.66</v>
      </c>
      <c r="G1274" s="203"/>
      <c r="H1274" s="206">
        <v>0.6</v>
      </c>
      <c r="I1274" s="203">
        <f t="shared" si="75"/>
        <v>1.99</v>
      </c>
      <c r="J1274" s="191"/>
    </row>
    <row r="1275" spans="1:11" ht="24.95" customHeight="1">
      <c r="A1275" s="192"/>
      <c r="B1275" s="202" t="s">
        <v>685</v>
      </c>
      <c r="C1275" s="189">
        <v>1</v>
      </c>
      <c r="D1275" s="189" t="s">
        <v>461</v>
      </c>
      <c r="E1275" s="189">
        <v>2</v>
      </c>
      <c r="F1275" s="203">
        <v>1.96</v>
      </c>
      <c r="G1275" s="203"/>
      <c r="H1275" s="206">
        <v>0.6</v>
      </c>
      <c r="I1275" s="203">
        <f t="shared" si="75"/>
        <v>2.35</v>
      </c>
      <c r="J1275" s="191"/>
    </row>
    <row r="1276" spans="1:11" ht="24.95" customHeight="1">
      <c r="A1276" s="192"/>
      <c r="B1276" s="202" t="s">
        <v>686</v>
      </c>
      <c r="C1276" s="189">
        <v>1</v>
      </c>
      <c r="D1276" s="189" t="s">
        <v>461</v>
      </c>
      <c r="E1276" s="189">
        <v>4</v>
      </c>
      <c r="F1276" s="203">
        <v>1.51</v>
      </c>
      <c r="G1276" s="203"/>
      <c r="H1276" s="206">
        <v>0.6</v>
      </c>
      <c r="I1276" s="203">
        <f t="shared" si="75"/>
        <v>3.62</v>
      </c>
      <c r="J1276" s="191"/>
    </row>
    <row r="1277" spans="1:11" ht="24.95" customHeight="1">
      <c r="A1277" s="192"/>
      <c r="B1277" s="202" t="s">
        <v>823</v>
      </c>
      <c r="C1277" s="189">
        <v>38</v>
      </c>
      <c r="D1277" s="189" t="s">
        <v>461</v>
      </c>
      <c r="E1277" s="189">
        <v>2</v>
      </c>
      <c r="F1277" s="203">
        <v>0.6</v>
      </c>
      <c r="G1277" s="203"/>
      <c r="H1277" s="206">
        <v>6.3E-2</v>
      </c>
      <c r="I1277" s="203">
        <f t="shared" si="75"/>
        <v>2.87</v>
      </c>
      <c r="J1277" s="191"/>
    </row>
    <row r="1278" spans="1:11" ht="24.95" customHeight="1">
      <c r="A1278" s="192"/>
      <c r="B1278" s="202"/>
      <c r="C1278" s="189"/>
      <c r="D1278" s="189"/>
      <c r="E1278" s="189"/>
      <c r="F1278" s="203"/>
      <c r="G1278" s="203"/>
      <c r="H1278" s="206"/>
      <c r="I1278" s="203">
        <v>0.01</v>
      </c>
      <c r="J1278" s="191"/>
    </row>
    <row r="1279" spans="1:11" ht="24.95" customHeight="1">
      <c r="A1279" s="192"/>
      <c r="B1279" s="202"/>
      <c r="C1279" s="189"/>
      <c r="D1279" s="189"/>
      <c r="E1279" s="189"/>
      <c r="F1279" s="203"/>
      <c r="G1279" s="203"/>
      <c r="H1279" s="203"/>
      <c r="I1279" s="203">
        <f>SUM(I1227:I1278)</f>
        <v>433.95</v>
      </c>
      <c r="J1279" s="191"/>
    </row>
    <row r="1280" spans="1:11" ht="32.25" customHeight="1">
      <c r="A1280" s="192"/>
      <c r="B1280" s="202"/>
      <c r="C1280" s="189"/>
      <c r="D1280" s="189"/>
      <c r="E1280" s="189"/>
      <c r="F1280" s="203"/>
      <c r="G1280" s="203"/>
      <c r="H1280" s="204" t="s">
        <v>261</v>
      </c>
      <c r="I1280" s="204">
        <f>ROUNDUP(I1279,1-0)</f>
        <v>434</v>
      </c>
      <c r="J1280" s="201" t="s">
        <v>123</v>
      </c>
    </row>
    <row r="1281" spans="1:10" ht="34.5" customHeight="1">
      <c r="A1281" s="192"/>
      <c r="B1281" s="188" t="s">
        <v>824</v>
      </c>
      <c r="C1281" s="189"/>
      <c r="D1281" s="189"/>
      <c r="E1281" s="189"/>
      <c r="F1281" s="190"/>
      <c r="G1281" s="190"/>
      <c r="H1281" s="190"/>
      <c r="I1281" s="190"/>
      <c r="J1281" s="191"/>
    </row>
    <row r="1282" spans="1:10" ht="34.5" customHeight="1">
      <c r="A1282" s="192"/>
      <c r="B1282" s="202" t="s">
        <v>825</v>
      </c>
      <c r="C1282" s="189">
        <v>1</v>
      </c>
      <c r="D1282" s="189"/>
      <c r="E1282" s="189">
        <v>1</v>
      </c>
      <c r="F1282" s="203">
        <v>11.2</v>
      </c>
      <c r="G1282" s="203">
        <v>19.399999999999999</v>
      </c>
      <c r="H1282" s="203"/>
      <c r="I1282" s="203">
        <f>PRODUCT(C1282:H1282)</f>
        <v>217.28</v>
      </c>
      <c r="J1282" s="191"/>
    </row>
    <row r="1283" spans="1:10" ht="32.25" customHeight="1">
      <c r="A1283" s="192"/>
      <c r="B1283" s="202" t="s">
        <v>826</v>
      </c>
      <c r="C1283" s="189">
        <v>1</v>
      </c>
      <c r="D1283" s="189"/>
      <c r="E1283" s="189">
        <v>1</v>
      </c>
      <c r="F1283" s="203">
        <v>11.2</v>
      </c>
      <c r="G1283" s="203">
        <v>19.399999999999999</v>
      </c>
      <c r="H1283" s="203"/>
      <c r="I1283" s="203">
        <f>PRODUCT(C1283:H1283)</f>
        <v>217.28</v>
      </c>
      <c r="J1283" s="191"/>
    </row>
    <row r="1284" spans="1:10" ht="24.95" customHeight="1">
      <c r="A1284" s="192"/>
      <c r="B1284" s="202"/>
      <c r="C1284" s="189"/>
      <c r="D1284" s="189"/>
      <c r="E1284" s="189"/>
      <c r="F1284" s="203"/>
      <c r="G1284" s="203"/>
      <c r="H1284" s="203"/>
      <c r="I1284" s="203">
        <f>SUM(I1282:I1283)</f>
        <v>434.56</v>
      </c>
      <c r="J1284" s="191"/>
    </row>
    <row r="1285" spans="1:10" ht="24.95" customHeight="1">
      <c r="A1285" s="192"/>
      <c r="B1285" s="202"/>
      <c r="C1285" s="189"/>
      <c r="D1285" s="189"/>
      <c r="E1285" s="189"/>
      <c r="F1285" s="203"/>
      <c r="G1285" s="203"/>
      <c r="H1285" s="186" t="s">
        <v>261</v>
      </c>
      <c r="I1285" s="204">
        <f>SUM(I1284+K1262)</f>
        <v>434.6</v>
      </c>
      <c r="J1285" s="201" t="s">
        <v>123</v>
      </c>
    </row>
    <row r="1286" spans="1:10" ht="39" customHeight="1">
      <c r="A1286" s="213" t="s">
        <v>827</v>
      </c>
      <c r="B1286" s="188" t="s">
        <v>828</v>
      </c>
      <c r="C1286" s="189"/>
      <c r="D1286" s="189"/>
      <c r="E1286" s="189"/>
      <c r="F1286" s="190"/>
      <c r="G1286" s="190"/>
      <c r="H1286" s="190"/>
      <c r="I1286" s="190"/>
      <c r="J1286" s="191"/>
    </row>
    <row r="1287" spans="1:10" ht="24.95" customHeight="1">
      <c r="A1287" s="192"/>
      <c r="B1287" s="202" t="s">
        <v>829</v>
      </c>
      <c r="C1287" s="189">
        <v>1</v>
      </c>
      <c r="D1287" s="189"/>
      <c r="E1287" s="189">
        <v>1</v>
      </c>
      <c r="F1287" s="203">
        <v>1.2</v>
      </c>
      <c r="G1287" s="203"/>
      <c r="H1287" s="203">
        <v>2.1</v>
      </c>
      <c r="I1287" s="203">
        <f>PRODUCT(C1287:H1287)</f>
        <v>2.52</v>
      </c>
      <c r="J1287" s="201"/>
    </row>
    <row r="1288" spans="1:10" ht="47.25" customHeight="1">
      <c r="A1288" s="192"/>
      <c r="B1288" s="202" t="s">
        <v>830</v>
      </c>
      <c r="C1288" s="189">
        <v>1</v>
      </c>
      <c r="D1288" s="189"/>
      <c r="E1288" s="189">
        <v>1</v>
      </c>
      <c r="F1288" s="203">
        <v>1.2</v>
      </c>
      <c r="G1288" s="203"/>
      <c r="H1288" s="203">
        <v>2.1</v>
      </c>
      <c r="I1288" s="203">
        <f>PRODUCT(C1288:H1288)</f>
        <v>2.52</v>
      </c>
      <c r="J1288" s="201"/>
    </row>
    <row r="1289" spans="1:10" ht="47.25" customHeight="1">
      <c r="A1289" s="192"/>
      <c r="B1289" s="202" t="s">
        <v>599</v>
      </c>
      <c r="C1289" s="189">
        <v>1</v>
      </c>
      <c r="D1289" s="189"/>
      <c r="E1289" s="189">
        <v>1</v>
      </c>
      <c r="F1289" s="203">
        <v>1.2</v>
      </c>
      <c r="G1289" s="203"/>
      <c r="H1289" s="203">
        <v>2.1</v>
      </c>
      <c r="I1289" s="203">
        <f>PRODUCT(C1289:H1289)</f>
        <v>2.52</v>
      </c>
      <c r="J1289" s="201"/>
    </row>
    <row r="1290" spans="1:10" ht="24.95" customHeight="1">
      <c r="A1290" s="192"/>
      <c r="B1290" s="202" t="s">
        <v>600</v>
      </c>
      <c r="C1290" s="189">
        <v>3</v>
      </c>
      <c r="D1290" s="189"/>
      <c r="E1290" s="189">
        <v>1</v>
      </c>
      <c r="F1290" s="203">
        <v>1.2</v>
      </c>
      <c r="G1290" s="203"/>
      <c r="H1290" s="203">
        <v>2.1</v>
      </c>
      <c r="I1290" s="203">
        <f>PRODUCT(C1290:H1290)</f>
        <v>7.56</v>
      </c>
      <c r="J1290" s="201"/>
    </row>
    <row r="1291" spans="1:10" ht="24.95" customHeight="1">
      <c r="A1291" s="192"/>
      <c r="B1291" s="202"/>
      <c r="C1291" s="189"/>
      <c r="D1291" s="189"/>
      <c r="E1291" s="189"/>
      <c r="F1291" s="203"/>
      <c r="G1291" s="203"/>
      <c r="H1291" s="203"/>
      <c r="I1291" s="203">
        <f>SUM(I1287:I1290)</f>
        <v>15.12</v>
      </c>
      <c r="J1291" s="201"/>
    </row>
    <row r="1292" spans="1:10" ht="24.95" customHeight="1">
      <c r="A1292" s="192"/>
      <c r="B1292" s="202"/>
      <c r="C1292" s="189"/>
      <c r="D1292" s="189"/>
      <c r="E1292" s="189"/>
      <c r="F1292" s="203"/>
      <c r="G1292" s="203"/>
      <c r="H1292" s="204" t="s">
        <v>261</v>
      </c>
      <c r="I1292" s="204">
        <f>SUM(I1291+K1269)</f>
        <v>15.15</v>
      </c>
      <c r="J1292" s="201" t="s">
        <v>123</v>
      </c>
    </row>
    <row r="1293" spans="1:10" ht="24.95" customHeight="1">
      <c r="A1293" s="213">
        <v>99.1</v>
      </c>
      <c r="B1293" s="188" t="s">
        <v>835</v>
      </c>
      <c r="C1293" s="189"/>
      <c r="D1293" s="189"/>
      <c r="E1293" s="189"/>
      <c r="F1293" s="203"/>
      <c r="G1293" s="203"/>
      <c r="H1293" s="204"/>
      <c r="I1293" s="204"/>
      <c r="J1293" s="201"/>
    </row>
    <row r="1294" spans="1:10" ht="24.95" customHeight="1">
      <c r="A1294" s="192"/>
      <c r="B1294" s="202" t="s">
        <v>836</v>
      </c>
      <c r="C1294" s="189">
        <v>1</v>
      </c>
      <c r="D1294" s="189"/>
      <c r="E1294" s="189">
        <v>2</v>
      </c>
      <c r="F1294" s="203">
        <v>1.2</v>
      </c>
      <c r="G1294" s="203"/>
      <c r="H1294" s="203">
        <v>2.4</v>
      </c>
      <c r="I1294" s="203">
        <f>PRODUCT(C1294:H1294)</f>
        <v>5.76</v>
      </c>
      <c r="J1294" s="201"/>
    </row>
    <row r="1295" spans="1:10" ht="24.95" customHeight="1">
      <c r="A1295" s="192"/>
      <c r="B1295" s="202"/>
      <c r="C1295" s="189"/>
      <c r="D1295" s="189"/>
      <c r="E1295" s="189"/>
      <c r="F1295" s="203"/>
      <c r="G1295" s="203"/>
      <c r="H1295" s="204" t="s">
        <v>261</v>
      </c>
      <c r="I1295" s="204">
        <f>ROUNDUP(I1294,1-0)</f>
        <v>5.8</v>
      </c>
      <c r="J1295" s="201" t="s">
        <v>123</v>
      </c>
    </row>
    <row r="1296" spans="1:10" ht="24.95" customHeight="1">
      <c r="A1296" s="192"/>
      <c r="B1296" s="202"/>
      <c r="C1296" s="189"/>
      <c r="D1296" s="189"/>
      <c r="E1296" s="189"/>
      <c r="F1296" s="203"/>
      <c r="G1296" s="203"/>
      <c r="H1296" s="203"/>
      <c r="I1296" s="204"/>
      <c r="J1296" s="201"/>
    </row>
    <row r="1297" spans="1:241" ht="24.95" customHeight="1">
      <c r="A1297" s="192"/>
      <c r="B1297" s="202" t="s">
        <v>837</v>
      </c>
      <c r="C1297" s="189">
        <v>1</v>
      </c>
      <c r="D1297" s="189"/>
      <c r="E1297" s="189">
        <v>2</v>
      </c>
      <c r="F1297" s="203">
        <v>1.8</v>
      </c>
      <c r="G1297" s="203"/>
      <c r="H1297" s="203">
        <v>2.4</v>
      </c>
      <c r="I1297" s="203">
        <f>PRODUCT(C1297:H1297)</f>
        <v>8.64</v>
      </c>
      <c r="J1297" s="201" t="s">
        <v>123</v>
      </c>
    </row>
    <row r="1298" spans="1:241" ht="24.95" customHeight="1">
      <c r="A1298" s="192"/>
      <c r="B1298" s="202"/>
      <c r="C1298" s="189"/>
      <c r="D1298" s="189"/>
      <c r="E1298" s="189"/>
      <c r="F1298" s="203"/>
      <c r="G1298" s="203"/>
      <c r="H1298" s="204" t="s">
        <v>261</v>
      </c>
      <c r="I1298" s="204">
        <f>ROUNDUP(I1297,1-0)</f>
        <v>8.6999999999999993</v>
      </c>
      <c r="J1298" s="201" t="s">
        <v>123</v>
      </c>
    </row>
    <row r="1299" spans="1:241" ht="61.5" customHeight="1">
      <c r="A1299" s="213" t="s">
        <v>140</v>
      </c>
      <c r="B1299" s="188" t="s">
        <v>838</v>
      </c>
      <c r="C1299" s="189">
        <v>1</v>
      </c>
      <c r="D1299" s="189"/>
      <c r="E1299" s="189">
        <v>13</v>
      </c>
      <c r="F1299" s="203">
        <v>0.75</v>
      </c>
      <c r="G1299" s="203"/>
      <c r="H1299" s="203">
        <v>2.1</v>
      </c>
      <c r="I1299" s="203">
        <f>PRODUCT(C1299:H1299)</f>
        <v>20.48</v>
      </c>
      <c r="J1299" s="191"/>
    </row>
    <row r="1300" spans="1:241" ht="24.95" customHeight="1">
      <c r="A1300" s="192"/>
      <c r="B1300" s="202"/>
      <c r="C1300" s="189"/>
      <c r="D1300" s="189"/>
      <c r="E1300" s="189"/>
      <c r="F1300" s="203"/>
      <c r="G1300" s="203"/>
      <c r="H1300" s="204" t="s">
        <v>261</v>
      </c>
      <c r="I1300" s="204">
        <f>ROUNDUP(I1299,1-0)</f>
        <v>20.5</v>
      </c>
      <c r="J1300" s="201" t="s">
        <v>123</v>
      </c>
    </row>
    <row r="1301" spans="1:241" ht="24.95" customHeight="1">
      <c r="A1301" s="192"/>
      <c r="B1301" s="202"/>
      <c r="C1301" s="189"/>
      <c r="D1301" s="189"/>
      <c r="E1301" s="189"/>
      <c r="F1301" s="203"/>
      <c r="G1301" s="203"/>
      <c r="H1301" s="204"/>
      <c r="I1301" s="204"/>
      <c r="J1301" s="201"/>
    </row>
    <row r="1302" spans="1:241" ht="53.25" customHeight="1">
      <c r="A1302" s="213">
        <v>22.9</v>
      </c>
      <c r="B1302" s="252" t="s">
        <v>831</v>
      </c>
      <c r="C1302" s="189"/>
      <c r="D1302" s="189"/>
      <c r="E1302" s="189"/>
      <c r="F1302" s="190"/>
      <c r="G1302" s="190"/>
      <c r="H1302" s="190"/>
      <c r="I1302" s="190"/>
      <c r="J1302" s="191"/>
    </row>
    <row r="1303" spans="1:241" ht="24.95" customHeight="1">
      <c r="A1303" s="192"/>
      <c r="B1303" s="202" t="s">
        <v>832</v>
      </c>
      <c r="C1303" s="189"/>
      <c r="D1303" s="189"/>
      <c r="E1303" s="189"/>
      <c r="F1303" s="190"/>
      <c r="G1303" s="190"/>
      <c r="H1303" s="190"/>
      <c r="I1303" s="190"/>
      <c r="J1303" s="201"/>
    </row>
    <row r="1304" spans="1:241" ht="24.95" customHeight="1">
      <c r="A1304" s="192"/>
      <c r="B1304" s="202" t="s">
        <v>833</v>
      </c>
      <c r="C1304" s="189">
        <v>1</v>
      </c>
      <c r="D1304" s="189"/>
      <c r="E1304" s="189">
        <v>8</v>
      </c>
      <c r="F1304" s="203">
        <v>1.2</v>
      </c>
      <c r="G1304" s="203"/>
      <c r="H1304" s="203">
        <v>2.4</v>
      </c>
      <c r="I1304" s="203">
        <f>PRODUCT(C1304:H1304)</f>
        <v>23.04</v>
      </c>
      <c r="J1304" s="201"/>
    </row>
    <row r="1305" spans="1:241" ht="24.95" customHeight="1">
      <c r="A1305" s="192"/>
      <c r="B1305" s="202"/>
      <c r="C1305" s="189"/>
      <c r="D1305" s="189"/>
      <c r="E1305" s="189"/>
      <c r="F1305" s="203"/>
      <c r="G1305" s="203"/>
      <c r="H1305" s="203"/>
      <c r="I1305" s="203">
        <v>0.01</v>
      </c>
      <c r="J1305" s="201"/>
      <c r="AB1305" s="185" t="e">
        <f>#REF!</f>
        <v>#REF!</v>
      </c>
      <c r="AC1305" s="185" t="e">
        <f>#REF!</f>
        <v>#REF!</v>
      </c>
      <c r="AD1305" s="185" t="e">
        <f>#REF!</f>
        <v>#REF!</v>
      </c>
      <c r="AE1305" s="185" t="e">
        <f>#REF!</f>
        <v>#REF!</v>
      </c>
      <c r="AF1305" s="185" t="e">
        <f>#REF!</f>
        <v>#REF!</v>
      </c>
      <c r="AG1305" s="185" t="e">
        <f>#REF!</f>
        <v>#REF!</v>
      </c>
      <c r="AH1305" s="185" t="e">
        <f>#REF!</f>
        <v>#REF!</v>
      </c>
      <c r="AI1305" s="185" t="e">
        <f>#REF!</f>
        <v>#REF!</v>
      </c>
      <c r="AJ1305" s="185" t="e">
        <f>#REF!</f>
        <v>#REF!</v>
      </c>
      <c r="AK1305" s="185" t="e">
        <f>#REF!</f>
        <v>#REF!</v>
      </c>
      <c r="AL1305" s="185" t="e">
        <f>#REF!</f>
        <v>#REF!</v>
      </c>
      <c r="AM1305" s="185" t="e">
        <f>#REF!</f>
        <v>#REF!</v>
      </c>
      <c r="AN1305" s="185" t="e">
        <f>#REF!</f>
        <v>#REF!</v>
      </c>
      <c r="AO1305" s="185" t="e">
        <f>#REF!</f>
        <v>#REF!</v>
      </c>
      <c r="AP1305" s="185" t="e">
        <f>#REF!</f>
        <v>#REF!</v>
      </c>
      <c r="AQ1305" s="185" t="e">
        <f>#REF!</f>
        <v>#REF!</v>
      </c>
      <c r="AR1305" s="185" t="e">
        <f>#REF!</f>
        <v>#REF!</v>
      </c>
      <c r="AS1305" s="185" t="e">
        <f>#REF!</f>
        <v>#REF!</v>
      </c>
      <c r="AT1305" s="185" t="e">
        <f>#REF!</f>
        <v>#REF!</v>
      </c>
      <c r="AU1305" s="185" t="e">
        <f>#REF!</f>
        <v>#REF!</v>
      </c>
      <c r="AV1305" s="185" t="e">
        <f>#REF!</f>
        <v>#REF!</v>
      </c>
      <c r="AW1305" s="185" t="e">
        <f>#REF!</f>
        <v>#REF!</v>
      </c>
      <c r="AX1305" s="185" t="e">
        <f>#REF!</f>
        <v>#REF!</v>
      </c>
      <c r="AY1305" s="185" t="e">
        <f>#REF!</f>
        <v>#REF!</v>
      </c>
      <c r="AZ1305" s="185" t="e">
        <f>#REF!</f>
        <v>#REF!</v>
      </c>
      <c r="BA1305" s="185" t="e">
        <f>#REF!</f>
        <v>#REF!</v>
      </c>
      <c r="BB1305" s="185" t="e">
        <f>#REF!</f>
        <v>#REF!</v>
      </c>
      <c r="BC1305" s="185" t="e">
        <f>#REF!</f>
        <v>#REF!</v>
      </c>
      <c r="BD1305" s="185" t="e">
        <f>#REF!</f>
        <v>#REF!</v>
      </c>
      <c r="BE1305" s="185" t="e">
        <f>#REF!</f>
        <v>#REF!</v>
      </c>
      <c r="BF1305" s="185" t="e">
        <f>#REF!</f>
        <v>#REF!</v>
      </c>
      <c r="BG1305" s="185" t="e">
        <f>#REF!</f>
        <v>#REF!</v>
      </c>
      <c r="BH1305" s="185" t="e">
        <f>#REF!</f>
        <v>#REF!</v>
      </c>
      <c r="BI1305" s="185" t="e">
        <f>#REF!</f>
        <v>#REF!</v>
      </c>
      <c r="BJ1305" s="185" t="e">
        <f>#REF!</f>
        <v>#REF!</v>
      </c>
      <c r="BK1305" s="185" t="e">
        <f>#REF!</f>
        <v>#REF!</v>
      </c>
      <c r="BL1305" s="185" t="e">
        <f>#REF!</f>
        <v>#REF!</v>
      </c>
      <c r="BM1305" s="185" t="e">
        <f>#REF!</f>
        <v>#REF!</v>
      </c>
      <c r="BN1305" s="185" t="e">
        <f>#REF!</f>
        <v>#REF!</v>
      </c>
      <c r="BO1305" s="185" t="e">
        <f>#REF!</f>
        <v>#REF!</v>
      </c>
      <c r="BP1305" s="185" t="e">
        <f>#REF!</f>
        <v>#REF!</v>
      </c>
      <c r="BQ1305" s="185" t="e">
        <f>#REF!</f>
        <v>#REF!</v>
      </c>
      <c r="BR1305" s="185" t="e">
        <f>#REF!</f>
        <v>#REF!</v>
      </c>
      <c r="BS1305" s="185" t="e">
        <f>#REF!</f>
        <v>#REF!</v>
      </c>
      <c r="BT1305" s="185" t="e">
        <f>#REF!</f>
        <v>#REF!</v>
      </c>
      <c r="BU1305" s="185" t="e">
        <f>#REF!</f>
        <v>#REF!</v>
      </c>
      <c r="BV1305" s="185" t="e">
        <f>#REF!</f>
        <v>#REF!</v>
      </c>
      <c r="BW1305" s="185" t="e">
        <f>#REF!</f>
        <v>#REF!</v>
      </c>
      <c r="BX1305" s="185" t="e">
        <f>#REF!</f>
        <v>#REF!</v>
      </c>
      <c r="BY1305" s="185" t="e">
        <f>#REF!</f>
        <v>#REF!</v>
      </c>
      <c r="BZ1305" s="185" t="e">
        <f>#REF!</f>
        <v>#REF!</v>
      </c>
      <c r="CA1305" s="185" t="e">
        <f>#REF!</f>
        <v>#REF!</v>
      </c>
      <c r="CB1305" s="185" t="e">
        <f>#REF!</f>
        <v>#REF!</v>
      </c>
      <c r="CC1305" s="185" t="e">
        <f>#REF!</f>
        <v>#REF!</v>
      </c>
      <c r="CD1305" s="185" t="e">
        <f>#REF!</f>
        <v>#REF!</v>
      </c>
      <c r="CE1305" s="185" t="e">
        <f>#REF!</f>
        <v>#REF!</v>
      </c>
      <c r="CF1305" s="185" t="e">
        <f>#REF!</f>
        <v>#REF!</v>
      </c>
      <c r="CG1305" s="185" t="e">
        <f>#REF!</f>
        <v>#REF!</v>
      </c>
      <c r="CH1305" s="185" t="e">
        <f>#REF!</f>
        <v>#REF!</v>
      </c>
      <c r="CI1305" s="185" t="e">
        <f>#REF!</f>
        <v>#REF!</v>
      </c>
      <c r="CJ1305" s="185" t="e">
        <f>#REF!</f>
        <v>#REF!</v>
      </c>
      <c r="CK1305" s="185" t="e">
        <f>#REF!</f>
        <v>#REF!</v>
      </c>
      <c r="CL1305" s="185" t="e">
        <f>#REF!</f>
        <v>#REF!</v>
      </c>
      <c r="CM1305" s="185" t="e">
        <f>#REF!</f>
        <v>#REF!</v>
      </c>
      <c r="CN1305" s="185" t="e">
        <f>#REF!</f>
        <v>#REF!</v>
      </c>
      <c r="CO1305" s="185" t="e">
        <f>#REF!</f>
        <v>#REF!</v>
      </c>
      <c r="CP1305" s="185" t="e">
        <f>#REF!</f>
        <v>#REF!</v>
      </c>
      <c r="CQ1305" s="185" t="e">
        <f>#REF!</f>
        <v>#REF!</v>
      </c>
      <c r="CR1305" s="185" t="e">
        <f>#REF!</f>
        <v>#REF!</v>
      </c>
      <c r="CS1305" s="185" t="e">
        <f>#REF!</f>
        <v>#REF!</v>
      </c>
      <c r="CT1305" s="185" t="e">
        <f>#REF!</f>
        <v>#REF!</v>
      </c>
      <c r="CU1305" s="185" t="e">
        <f>#REF!</f>
        <v>#REF!</v>
      </c>
      <c r="CV1305" s="185" t="e">
        <f>#REF!</f>
        <v>#REF!</v>
      </c>
      <c r="CW1305" s="185" t="e">
        <f>#REF!</f>
        <v>#REF!</v>
      </c>
      <c r="CX1305" s="185" t="e">
        <f>#REF!</f>
        <v>#REF!</v>
      </c>
      <c r="CY1305" s="185" t="e">
        <f>#REF!</f>
        <v>#REF!</v>
      </c>
      <c r="CZ1305" s="185" t="e">
        <f>#REF!</f>
        <v>#REF!</v>
      </c>
      <c r="DA1305" s="185" t="e">
        <f>#REF!</f>
        <v>#REF!</v>
      </c>
      <c r="DB1305" s="185" t="e">
        <f>#REF!</f>
        <v>#REF!</v>
      </c>
      <c r="DC1305" s="185" t="e">
        <f>#REF!</f>
        <v>#REF!</v>
      </c>
      <c r="DD1305" s="185" t="e">
        <f>#REF!</f>
        <v>#REF!</v>
      </c>
      <c r="DE1305" s="185" t="e">
        <f>#REF!</f>
        <v>#REF!</v>
      </c>
      <c r="DF1305" s="185" t="e">
        <f>#REF!</f>
        <v>#REF!</v>
      </c>
      <c r="DG1305" s="185" t="e">
        <f>#REF!</f>
        <v>#REF!</v>
      </c>
      <c r="DH1305" s="185" t="e">
        <f>#REF!</f>
        <v>#REF!</v>
      </c>
      <c r="DI1305" s="185" t="e">
        <f>#REF!</f>
        <v>#REF!</v>
      </c>
      <c r="DJ1305" s="185" t="e">
        <f>#REF!</f>
        <v>#REF!</v>
      </c>
      <c r="DK1305" s="185" t="e">
        <f>#REF!</f>
        <v>#REF!</v>
      </c>
      <c r="DL1305" s="185" t="e">
        <f>#REF!</f>
        <v>#REF!</v>
      </c>
      <c r="DM1305" s="185" t="e">
        <f>#REF!</f>
        <v>#REF!</v>
      </c>
      <c r="DN1305" s="185" t="e">
        <f>#REF!</f>
        <v>#REF!</v>
      </c>
      <c r="DO1305" s="185" t="e">
        <f>#REF!</f>
        <v>#REF!</v>
      </c>
      <c r="DP1305" s="185" t="e">
        <f>#REF!</f>
        <v>#REF!</v>
      </c>
      <c r="DQ1305" s="185" t="e">
        <f>#REF!</f>
        <v>#REF!</v>
      </c>
      <c r="DR1305" s="185" t="e">
        <f>#REF!</f>
        <v>#REF!</v>
      </c>
      <c r="DS1305" s="185" t="e">
        <f>#REF!</f>
        <v>#REF!</v>
      </c>
      <c r="DT1305" s="185" t="e">
        <f>#REF!</f>
        <v>#REF!</v>
      </c>
      <c r="DU1305" s="185" t="e">
        <f>#REF!</f>
        <v>#REF!</v>
      </c>
      <c r="DV1305" s="185" t="e">
        <f>#REF!</f>
        <v>#REF!</v>
      </c>
      <c r="DW1305" s="185" t="e">
        <f>#REF!</f>
        <v>#REF!</v>
      </c>
      <c r="DX1305" s="185" t="e">
        <f>#REF!</f>
        <v>#REF!</v>
      </c>
      <c r="DY1305" s="185" t="e">
        <f>#REF!</f>
        <v>#REF!</v>
      </c>
      <c r="DZ1305" s="185" t="e">
        <f>#REF!</f>
        <v>#REF!</v>
      </c>
      <c r="EA1305" s="185" t="e">
        <f>#REF!</f>
        <v>#REF!</v>
      </c>
      <c r="EB1305" s="185" t="e">
        <f>#REF!</f>
        <v>#REF!</v>
      </c>
      <c r="EC1305" s="185" t="e">
        <f>#REF!</f>
        <v>#REF!</v>
      </c>
      <c r="ED1305" s="185" t="e">
        <f>#REF!</f>
        <v>#REF!</v>
      </c>
      <c r="EE1305" s="185" t="e">
        <f>#REF!</f>
        <v>#REF!</v>
      </c>
      <c r="EF1305" s="185" t="e">
        <f>#REF!</f>
        <v>#REF!</v>
      </c>
      <c r="EG1305" s="185" t="e">
        <f>#REF!</f>
        <v>#REF!</v>
      </c>
      <c r="EH1305" s="185" t="e">
        <f>#REF!</f>
        <v>#REF!</v>
      </c>
      <c r="EI1305" s="185" t="e">
        <f>#REF!</f>
        <v>#REF!</v>
      </c>
      <c r="EJ1305" s="185" t="e">
        <f>#REF!</f>
        <v>#REF!</v>
      </c>
      <c r="EK1305" s="185" t="e">
        <f>#REF!</f>
        <v>#REF!</v>
      </c>
      <c r="EL1305" s="185" t="e">
        <f>#REF!</f>
        <v>#REF!</v>
      </c>
      <c r="EM1305" s="185" t="e">
        <f>#REF!</f>
        <v>#REF!</v>
      </c>
      <c r="EN1305" s="185" t="e">
        <f>#REF!</f>
        <v>#REF!</v>
      </c>
      <c r="EO1305" s="185" t="e">
        <f>#REF!</f>
        <v>#REF!</v>
      </c>
      <c r="EP1305" s="185" t="e">
        <f>#REF!</f>
        <v>#REF!</v>
      </c>
      <c r="EQ1305" s="185" t="e">
        <f>#REF!</f>
        <v>#REF!</v>
      </c>
      <c r="ER1305" s="185" t="e">
        <f>#REF!</f>
        <v>#REF!</v>
      </c>
      <c r="ES1305" s="185" t="e">
        <f>#REF!</f>
        <v>#REF!</v>
      </c>
      <c r="ET1305" s="185" t="e">
        <f>#REF!</f>
        <v>#REF!</v>
      </c>
      <c r="EU1305" s="185" t="e">
        <f>#REF!</f>
        <v>#REF!</v>
      </c>
      <c r="EV1305" s="185" t="e">
        <f>#REF!</f>
        <v>#REF!</v>
      </c>
      <c r="EW1305" s="185" t="e">
        <f>#REF!</f>
        <v>#REF!</v>
      </c>
      <c r="EX1305" s="185" t="e">
        <f>#REF!</f>
        <v>#REF!</v>
      </c>
      <c r="EY1305" s="185" t="e">
        <f>#REF!</f>
        <v>#REF!</v>
      </c>
      <c r="EZ1305" s="185" t="e">
        <f>#REF!</f>
        <v>#REF!</v>
      </c>
      <c r="FA1305" s="185" t="e">
        <f>#REF!</f>
        <v>#REF!</v>
      </c>
      <c r="FB1305" s="185" t="e">
        <f>#REF!</f>
        <v>#REF!</v>
      </c>
      <c r="FC1305" s="185" t="e">
        <f>#REF!</f>
        <v>#REF!</v>
      </c>
      <c r="FD1305" s="185" t="e">
        <f>#REF!</f>
        <v>#REF!</v>
      </c>
      <c r="FE1305" s="185" t="e">
        <f>#REF!</f>
        <v>#REF!</v>
      </c>
      <c r="FF1305" s="185" t="e">
        <f>#REF!</f>
        <v>#REF!</v>
      </c>
      <c r="FG1305" s="185" t="e">
        <f>#REF!</f>
        <v>#REF!</v>
      </c>
      <c r="FH1305" s="185" t="e">
        <f>#REF!</f>
        <v>#REF!</v>
      </c>
      <c r="FI1305" s="185" t="e">
        <f>#REF!</f>
        <v>#REF!</v>
      </c>
      <c r="FJ1305" s="185" t="e">
        <f>#REF!</f>
        <v>#REF!</v>
      </c>
      <c r="FK1305" s="185" t="e">
        <f>#REF!</f>
        <v>#REF!</v>
      </c>
      <c r="FL1305" s="185" t="e">
        <f>#REF!</f>
        <v>#REF!</v>
      </c>
      <c r="FM1305" s="185" t="e">
        <f>#REF!</f>
        <v>#REF!</v>
      </c>
      <c r="FN1305" s="185" t="e">
        <f>#REF!</f>
        <v>#REF!</v>
      </c>
      <c r="FO1305" s="185" t="e">
        <f>#REF!</f>
        <v>#REF!</v>
      </c>
      <c r="FP1305" s="185" t="e">
        <f>#REF!</f>
        <v>#REF!</v>
      </c>
      <c r="FQ1305" s="185" t="e">
        <f>#REF!</f>
        <v>#REF!</v>
      </c>
      <c r="FR1305" s="185" t="e">
        <f>#REF!</f>
        <v>#REF!</v>
      </c>
      <c r="FS1305" s="185" t="e">
        <f>#REF!</f>
        <v>#REF!</v>
      </c>
      <c r="FT1305" s="185" t="e">
        <f>#REF!</f>
        <v>#REF!</v>
      </c>
      <c r="FU1305" s="185" t="e">
        <f>#REF!</f>
        <v>#REF!</v>
      </c>
      <c r="FV1305" s="185" t="e">
        <f>#REF!</f>
        <v>#REF!</v>
      </c>
      <c r="FW1305" s="185" t="e">
        <f>#REF!</f>
        <v>#REF!</v>
      </c>
      <c r="FX1305" s="185" t="e">
        <f>#REF!</f>
        <v>#REF!</v>
      </c>
      <c r="FY1305" s="185" t="e">
        <f>#REF!</f>
        <v>#REF!</v>
      </c>
      <c r="FZ1305" s="185" t="e">
        <f>#REF!</f>
        <v>#REF!</v>
      </c>
      <c r="GA1305" s="185" t="e">
        <f>#REF!</f>
        <v>#REF!</v>
      </c>
      <c r="GB1305" s="185" t="e">
        <f>#REF!</f>
        <v>#REF!</v>
      </c>
      <c r="GC1305" s="185" t="e">
        <f>#REF!</f>
        <v>#REF!</v>
      </c>
      <c r="GD1305" s="185" t="e">
        <f>#REF!</f>
        <v>#REF!</v>
      </c>
      <c r="GE1305" s="185" t="e">
        <f>#REF!</f>
        <v>#REF!</v>
      </c>
      <c r="GF1305" s="185" t="e">
        <f>#REF!</f>
        <v>#REF!</v>
      </c>
      <c r="GG1305" s="185" t="e">
        <f>#REF!</f>
        <v>#REF!</v>
      </c>
      <c r="GH1305" s="185" t="e">
        <f>#REF!</f>
        <v>#REF!</v>
      </c>
      <c r="GI1305" s="185" t="e">
        <f>#REF!</f>
        <v>#REF!</v>
      </c>
      <c r="GJ1305" s="185" t="e">
        <f>#REF!</f>
        <v>#REF!</v>
      </c>
      <c r="GK1305" s="185" t="e">
        <f>#REF!</f>
        <v>#REF!</v>
      </c>
      <c r="GL1305" s="185" t="e">
        <f>#REF!</f>
        <v>#REF!</v>
      </c>
      <c r="GM1305" s="185" t="e">
        <f>#REF!</f>
        <v>#REF!</v>
      </c>
      <c r="GN1305" s="185" t="e">
        <f>#REF!</f>
        <v>#REF!</v>
      </c>
      <c r="GO1305" s="185" t="e">
        <f>#REF!</f>
        <v>#REF!</v>
      </c>
      <c r="GP1305" s="185" t="e">
        <f>#REF!</f>
        <v>#REF!</v>
      </c>
      <c r="GQ1305" s="185" t="e">
        <f>#REF!</f>
        <v>#REF!</v>
      </c>
      <c r="GR1305" s="185" t="e">
        <f>#REF!</f>
        <v>#REF!</v>
      </c>
      <c r="GS1305" s="185" t="e">
        <f>#REF!</f>
        <v>#REF!</v>
      </c>
      <c r="GT1305" s="185" t="e">
        <f>#REF!</f>
        <v>#REF!</v>
      </c>
      <c r="GU1305" s="185" t="e">
        <f>#REF!</f>
        <v>#REF!</v>
      </c>
      <c r="GV1305" s="185" t="e">
        <f>#REF!</f>
        <v>#REF!</v>
      </c>
      <c r="GW1305" s="185" t="e">
        <f>#REF!</f>
        <v>#REF!</v>
      </c>
      <c r="GX1305" s="185" t="e">
        <f>#REF!</f>
        <v>#REF!</v>
      </c>
      <c r="GY1305" s="185" t="e">
        <f>#REF!</f>
        <v>#REF!</v>
      </c>
      <c r="GZ1305" s="185" t="e">
        <f>#REF!</f>
        <v>#REF!</v>
      </c>
      <c r="HA1305" s="185" t="e">
        <f>#REF!</f>
        <v>#REF!</v>
      </c>
      <c r="HB1305" s="185" t="e">
        <f>#REF!</f>
        <v>#REF!</v>
      </c>
      <c r="HC1305" s="185" t="e">
        <f>#REF!</f>
        <v>#REF!</v>
      </c>
      <c r="HD1305" s="185" t="e">
        <f>#REF!</f>
        <v>#REF!</v>
      </c>
      <c r="HE1305" s="185" t="e">
        <f>#REF!</f>
        <v>#REF!</v>
      </c>
      <c r="HF1305" s="185" t="e">
        <f>#REF!</f>
        <v>#REF!</v>
      </c>
      <c r="HG1305" s="185" t="e">
        <f>#REF!</f>
        <v>#REF!</v>
      </c>
      <c r="HH1305" s="185" t="e">
        <f>#REF!</f>
        <v>#REF!</v>
      </c>
      <c r="HI1305" s="185" t="e">
        <f>#REF!</f>
        <v>#REF!</v>
      </c>
      <c r="HJ1305" s="185" t="e">
        <f>#REF!</f>
        <v>#REF!</v>
      </c>
      <c r="HK1305" s="185" t="e">
        <f>#REF!</f>
        <v>#REF!</v>
      </c>
      <c r="HL1305" s="185" t="e">
        <f>#REF!</f>
        <v>#REF!</v>
      </c>
      <c r="HM1305" s="185" t="e">
        <f>#REF!</f>
        <v>#REF!</v>
      </c>
      <c r="HN1305" s="185" t="e">
        <f>#REF!</f>
        <v>#REF!</v>
      </c>
      <c r="HO1305" s="185" t="e">
        <f>#REF!</f>
        <v>#REF!</v>
      </c>
      <c r="HP1305" s="185" t="e">
        <f>#REF!</f>
        <v>#REF!</v>
      </c>
      <c r="HQ1305" s="185" t="e">
        <f>#REF!</f>
        <v>#REF!</v>
      </c>
      <c r="HR1305" s="185" t="e">
        <f>#REF!</f>
        <v>#REF!</v>
      </c>
      <c r="HS1305" s="185" t="e">
        <f>#REF!</f>
        <v>#REF!</v>
      </c>
      <c r="HT1305" s="185" t="e">
        <f>#REF!</f>
        <v>#REF!</v>
      </c>
      <c r="HU1305" s="185" t="e">
        <f>#REF!</f>
        <v>#REF!</v>
      </c>
      <c r="HV1305" s="185" t="e">
        <f>#REF!</f>
        <v>#REF!</v>
      </c>
      <c r="HW1305" s="185" t="e">
        <f>#REF!</f>
        <v>#REF!</v>
      </c>
      <c r="HX1305" s="185" t="e">
        <f>#REF!</f>
        <v>#REF!</v>
      </c>
      <c r="HY1305" s="185" t="e">
        <f>#REF!</f>
        <v>#REF!</v>
      </c>
      <c r="HZ1305" s="185" t="e">
        <f>#REF!</f>
        <v>#REF!</v>
      </c>
      <c r="IA1305" s="185" t="e">
        <f>#REF!</f>
        <v>#REF!</v>
      </c>
      <c r="IB1305" s="185" t="e">
        <f>#REF!</f>
        <v>#REF!</v>
      </c>
      <c r="IC1305" s="185" t="e">
        <f>#REF!</f>
        <v>#REF!</v>
      </c>
      <c r="ID1305" s="185" t="e">
        <f>#REF!</f>
        <v>#REF!</v>
      </c>
      <c r="IE1305" s="185" t="e">
        <f>#REF!</f>
        <v>#REF!</v>
      </c>
      <c r="IF1305" s="185" t="e">
        <f>#REF!</f>
        <v>#REF!</v>
      </c>
      <c r="IG1305" s="185" t="e">
        <f>#REF!</f>
        <v>#REF!</v>
      </c>
    </row>
    <row r="1306" spans="1:241" ht="24.95" customHeight="1">
      <c r="A1306" s="192"/>
      <c r="B1306" s="202"/>
      <c r="C1306" s="189"/>
      <c r="D1306" s="189"/>
      <c r="E1306" s="189"/>
      <c r="F1306" s="203"/>
      <c r="G1306" s="203"/>
      <c r="H1306" s="203"/>
      <c r="I1306" s="204">
        <f>SUM(I1304:I1305)</f>
        <v>23.05</v>
      </c>
      <c r="J1306" s="201"/>
    </row>
    <row r="1307" spans="1:241" ht="24.95" customHeight="1">
      <c r="A1307" s="192"/>
      <c r="B1307" s="202"/>
      <c r="C1307" s="189"/>
      <c r="D1307" s="189"/>
      <c r="E1307" s="189"/>
      <c r="F1307" s="203"/>
      <c r="G1307" s="203"/>
      <c r="H1307" s="204" t="s">
        <v>261</v>
      </c>
      <c r="I1307" s="204">
        <f>ROUNDUP(I1306,1-0)</f>
        <v>23.1</v>
      </c>
      <c r="J1307" s="201" t="s">
        <v>123</v>
      </c>
      <c r="K1307" s="185">
        <v>0.03</v>
      </c>
    </row>
    <row r="1308" spans="1:241" ht="24.95" customHeight="1">
      <c r="A1308" s="192"/>
      <c r="B1308" s="202" t="s">
        <v>834</v>
      </c>
      <c r="C1308" s="189">
        <v>1</v>
      </c>
      <c r="D1308" s="189"/>
      <c r="E1308" s="189">
        <v>7</v>
      </c>
      <c r="F1308" s="203">
        <v>0.9</v>
      </c>
      <c r="G1308" s="203"/>
      <c r="H1308" s="203">
        <v>2.4</v>
      </c>
      <c r="I1308" s="218">
        <f>PRODUCT(C1308:H1308)</f>
        <v>15.12</v>
      </c>
      <c r="J1308" s="201"/>
    </row>
    <row r="1309" spans="1:241" ht="32.450000000000003" customHeight="1">
      <c r="A1309" s="192"/>
      <c r="B1309" s="202"/>
      <c r="C1309" s="189"/>
      <c r="D1309" s="189"/>
      <c r="E1309" s="189"/>
      <c r="F1309" s="190"/>
      <c r="G1309" s="190"/>
      <c r="H1309" s="190"/>
      <c r="I1309" s="218">
        <v>0.03</v>
      </c>
      <c r="J1309" s="201"/>
    </row>
    <row r="1310" spans="1:241" ht="24.95" customHeight="1">
      <c r="A1310" s="192"/>
      <c r="B1310" s="202"/>
      <c r="C1310" s="189"/>
      <c r="D1310" s="189"/>
      <c r="E1310" s="189"/>
      <c r="F1310" s="190"/>
      <c r="G1310" s="190"/>
      <c r="H1310" s="190"/>
      <c r="I1310" s="204">
        <f>SUM(I1308:I1309)</f>
        <v>15.15</v>
      </c>
      <c r="J1310" s="201" t="s">
        <v>10</v>
      </c>
    </row>
    <row r="1311" spans="1:241" ht="24.95" customHeight="1">
      <c r="A1311" s="185"/>
      <c r="B1311" s="185"/>
      <c r="C1311" s="189"/>
      <c r="D1311" s="189"/>
      <c r="E1311" s="189"/>
      <c r="F1311" s="190"/>
      <c r="G1311" s="190"/>
      <c r="H1311" s="204" t="s">
        <v>261</v>
      </c>
      <c r="I1311" s="204">
        <f>ROUNDUP(I1310,1-0)</f>
        <v>15.2</v>
      </c>
      <c r="J1311" s="201" t="s">
        <v>123</v>
      </c>
    </row>
    <row r="1312" spans="1:241" ht="24.95" customHeight="1">
      <c r="A1312" s="192"/>
      <c r="B1312" s="202"/>
      <c r="C1312" s="189"/>
      <c r="D1312" s="189"/>
      <c r="E1312" s="189"/>
      <c r="F1312" s="190"/>
      <c r="G1312" s="190"/>
      <c r="H1312" s="190"/>
      <c r="I1312" s="190"/>
      <c r="J1312" s="191"/>
    </row>
    <row r="1313" spans="1:11" ht="47.25" customHeight="1">
      <c r="A1313" s="213" t="s">
        <v>34</v>
      </c>
      <c r="B1313" s="188" t="s">
        <v>839</v>
      </c>
      <c r="C1313" s="189"/>
      <c r="D1313" s="189"/>
      <c r="E1313" s="189"/>
      <c r="F1313" s="190"/>
      <c r="G1313" s="190"/>
      <c r="H1313" s="190"/>
      <c r="I1313" s="190"/>
      <c r="J1313" s="191"/>
    </row>
    <row r="1314" spans="1:11" ht="24.95" customHeight="1">
      <c r="A1314" s="192"/>
      <c r="B1314" s="188" t="s">
        <v>737</v>
      </c>
      <c r="C1314" s="189">
        <v>1</v>
      </c>
      <c r="D1314" s="189"/>
      <c r="E1314" s="189">
        <v>2</v>
      </c>
      <c r="F1314" s="190">
        <v>1.8</v>
      </c>
      <c r="G1314" s="190"/>
      <c r="H1314" s="190">
        <v>1.65</v>
      </c>
      <c r="I1314" s="190">
        <f t="shared" ref="I1314:I1324" si="76">PRODUCT(C1314:H1314)</f>
        <v>5.94</v>
      </c>
      <c r="J1314" s="191"/>
    </row>
    <row r="1315" spans="1:11" ht="24.95" customHeight="1">
      <c r="A1315" s="192"/>
      <c r="B1315" s="188" t="s">
        <v>526</v>
      </c>
      <c r="C1315" s="189">
        <v>1</v>
      </c>
      <c r="D1315" s="189"/>
      <c r="E1315" s="189">
        <v>13</v>
      </c>
      <c r="F1315" s="190">
        <v>1.5</v>
      </c>
      <c r="G1315" s="190"/>
      <c r="H1315" s="190">
        <v>1.65</v>
      </c>
      <c r="I1315" s="190">
        <f t="shared" si="76"/>
        <v>32.18</v>
      </c>
      <c r="J1315" s="191"/>
    </row>
    <row r="1316" spans="1:11" ht="24.95" customHeight="1">
      <c r="A1316" s="192"/>
      <c r="B1316" s="188" t="s">
        <v>518</v>
      </c>
      <c r="C1316" s="189">
        <v>1</v>
      </c>
      <c r="D1316" s="189"/>
      <c r="E1316" s="189">
        <v>1</v>
      </c>
      <c r="F1316" s="190">
        <v>1.35</v>
      </c>
      <c r="G1316" s="190"/>
      <c r="H1316" s="190">
        <v>1.65</v>
      </c>
      <c r="I1316" s="190">
        <f t="shared" si="76"/>
        <v>2.23</v>
      </c>
      <c r="J1316" s="191"/>
    </row>
    <row r="1317" spans="1:11" ht="24.95" customHeight="1">
      <c r="A1317" s="192"/>
      <c r="B1317" s="188" t="s">
        <v>519</v>
      </c>
      <c r="C1317" s="189">
        <v>1</v>
      </c>
      <c r="D1317" s="189"/>
      <c r="E1317" s="189">
        <v>10</v>
      </c>
      <c r="F1317" s="190">
        <v>0.9</v>
      </c>
      <c r="G1317" s="190"/>
      <c r="H1317" s="190">
        <v>1.65</v>
      </c>
      <c r="I1317" s="190">
        <f t="shared" si="76"/>
        <v>14.85</v>
      </c>
      <c r="J1317" s="191"/>
    </row>
    <row r="1318" spans="1:11" ht="24.95" customHeight="1">
      <c r="A1318" s="192"/>
      <c r="B1318" s="188" t="s">
        <v>539</v>
      </c>
      <c r="C1318" s="189">
        <v>1</v>
      </c>
      <c r="D1318" s="189"/>
      <c r="E1318" s="189">
        <v>4</v>
      </c>
      <c r="F1318" s="190">
        <v>1.2</v>
      </c>
      <c r="G1318" s="190"/>
      <c r="H1318" s="190">
        <v>1.65</v>
      </c>
      <c r="I1318" s="190">
        <f t="shared" si="76"/>
        <v>7.92</v>
      </c>
      <c r="J1318" s="191"/>
    </row>
    <row r="1319" spans="1:11" ht="24.95" customHeight="1">
      <c r="A1319" s="192"/>
      <c r="B1319" s="188" t="s">
        <v>521</v>
      </c>
      <c r="C1319" s="189">
        <v>1</v>
      </c>
      <c r="D1319" s="189"/>
      <c r="E1319" s="189">
        <v>2</v>
      </c>
      <c r="F1319" s="190">
        <v>1.2</v>
      </c>
      <c r="G1319" s="190"/>
      <c r="H1319" s="190">
        <v>1.65</v>
      </c>
      <c r="I1319" s="190">
        <f t="shared" si="76"/>
        <v>3.96</v>
      </c>
      <c r="J1319" s="191"/>
    </row>
    <row r="1320" spans="1:11" ht="24.95" customHeight="1">
      <c r="A1320" s="192"/>
      <c r="B1320" s="188" t="s">
        <v>522</v>
      </c>
      <c r="C1320" s="189">
        <v>1</v>
      </c>
      <c r="D1320" s="189"/>
      <c r="E1320" s="189">
        <v>2</v>
      </c>
      <c r="F1320" s="190">
        <v>1.5</v>
      </c>
      <c r="G1320" s="190"/>
      <c r="H1320" s="190">
        <v>1.65</v>
      </c>
      <c r="I1320" s="190">
        <f t="shared" si="76"/>
        <v>4.95</v>
      </c>
      <c r="J1320" s="191"/>
    </row>
    <row r="1321" spans="1:11" ht="24.95" customHeight="1">
      <c r="A1321" s="192"/>
      <c r="B1321" s="188" t="s">
        <v>523</v>
      </c>
      <c r="C1321" s="189">
        <v>1</v>
      </c>
      <c r="D1321" s="189"/>
      <c r="E1321" s="189">
        <v>4</v>
      </c>
      <c r="F1321" s="190">
        <v>1.05</v>
      </c>
      <c r="G1321" s="190"/>
      <c r="H1321" s="190">
        <v>1.65</v>
      </c>
      <c r="I1321" s="190">
        <f t="shared" si="76"/>
        <v>6.93</v>
      </c>
      <c r="J1321" s="191"/>
    </row>
    <row r="1322" spans="1:11" ht="24.95" customHeight="1">
      <c r="A1322" s="192"/>
      <c r="B1322" s="188" t="s">
        <v>558</v>
      </c>
      <c r="C1322" s="189">
        <v>1</v>
      </c>
      <c r="D1322" s="189"/>
      <c r="E1322" s="189">
        <v>2</v>
      </c>
      <c r="F1322" s="190">
        <v>0.75</v>
      </c>
      <c r="G1322" s="190"/>
      <c r="H1322" s="190">
        <v>2.4</v>
      </c>
      <c r="I1322" s="190">
        <f t="shared" si="76"/>
        <v>3.6</v>
      </c>
      <c r="J1322" s="191"/>
    </row>
    <row r="1323" spans="1:11" ht="24.95" customHeight="1">
      <c r="A1323" s="192"/>
      <c r="B1323" s="202" t="s">
        <v>558</v>
      </c>
      <c r="C1323" s="189">
        <v>1</v>
      </c>
      <c r="D1323" s="189"/>
      <c r="E1323" s="189">
        <v>1</v>
      </c>
      <c r="F1323" s="190">
        <v>0.8</v>
      </c>
      <c r="G1323" s="190"/>
      <c r="H1323" s="190">
        <v>2.1</v>
      </c>
      <c r="I1323" s="190">
        <f t="shared" si="76"/>
        <v>1.68</v>
      </c>
      <c r="J1323" s="201"/>
    </row>
    <row r="1324" spans="1:11" ht="24.95" customHeight="1">
      <c r="A1324" s="192"/>
      <c r="B1324" s="202" t="s">
        <v>520</v>
      </c>
      <c r="C1324" s="189">
        <v>1</v>
      </c>
      <c r="D1324" s="189"/>
      <c r="E1324" s="189">
        <v>1</v>
      </c>
      <c r="F1324" s="190">
        <v>0.75</v>
      </c>
      <c r="G1324" s="190"/>
      <c r="H1324" s="190">
        <v>2.1</v>
      </c>
      <c r="I1324" s="190">
        <f t="shared" si="76"/>
        <v>1.58</v>
      </c>
      <c r="J1324" s="201"/>
      <c r="K1324" s="185">
        <v>7.0000000000000007E-2</v>
      </c>
    </row>
    <row r="1325" spans="1:11" ht="24.95" customHeight="1">
      <c r="A1325" s="192"/>
      <c r="B1325" s="202"/>
      <c r="C1325" s="189"/>
      <c r="D1325" s="189"/>
      <c r="E1325" s="189"/>
      <c r="F1325" s="190"/>
      <c r="G1325" s="190"/>
      <c r="H1325" s="190"/>
      <c r="I1325" s="190">
        <f>SUM(I1314:I1324)</f>
        <v>85.82</v>
      </c>
      <c r="J1325" s="201"/>
    </row>
    <row r="1326" spans="1:11" ht="24.95" customHeight="1">
      <c r="A1326" s="192"/>
      <c r="B1326" s="202"/>
      <c r="C1326" s="189"/>
      <c r="D1326" s="189"/>
      <c r="E1326" s="189"/>
      <c r="F1326" s="190"/>
      <c r="G1326" s="190"/>
      <c r="H1326" s="190" t="str">
        <f>H1300</f>
        <v>Say</v>
      </c>
      <c r="I1326" s="186">
        <f>SUM(I1325+K1307)</f>
        <v>85.85</v>
      </c>
      <c r="J1326" s="201" t="str">
        <f>J1300</f>
        <v>Sqm</v>
      </c>
    </row>
    <row r="1327" spans="1:11" ht="24.95" customHeight="1">
      <c r="A1327" s="213">
        <v>378.2</v>
      </c>
      <c r="B1327" s="188" t="s">
        <v>840</v>
      </c>
      <c r="C1327" s="189"/>
      <c r="D1327" s="189"/>
      <c r="E1327" s="189"/>
      <c r="F1327" s="190"/>
      <c r="G1327" s="190"/>
      <c r="H1327" s="186"/>
      <c r="I1327" s="186"/>
      <c r="J1327" s="191"/>
    </row>
    <row r="1328" spans="1:11" ht="24.95" customHeight="1">
      <c r="A1328" s="192"/>
      <c r="B1328" s="202" t="s">
        <v>998</v>
      </c>
      <c r="C1328" s="189"/>
      <c r="D1328" s="189"/>
      <c r="E1328" s="189"/>
      <c r="F1328" s="203"/>
      <c r="G1328" s="203"/>
      <c r="H1328" s="203"/>
      <c r="I1328" s="203"/>
      <c r="J1328" s="191"/>
    </row>
    <row r="1329" spans="1:11" ht="24.95" customHeight="1">
      <c r="A1329" s="192"/>
      <c r="B1329" s="202" t="s">
        <v>693</v>
      </c>
      <c r="C1329" s="189">
        <v>1</v>
      </c>
      <c r="D1329" s="189" t="s">
        <v>461</v>
      </c>
      <c r="E1329" s="189">
        <v>1</v>
      </c>
      <c r="F1329" s="267">
        <v>4.5</v>
      </c>
      <c r="G1329" s="267">
        <v>3.3</v>
      </c>
      <c r="H1329" s="267"/>
      <c r="I1329" s="267">
        <f t="shared" ref="I1329:I1336" si="77">G1329*F1329*E1329*C1329</f>
        <v>14.85</v>
      </c>
      <c r="J1329" s="191"/>
      <c r="K1329" s="185">
        <v>0.06</v>
      </c>
    </row>
    <row r="1330" spans="1:11" ht="24.95" customHeight="1">
      <c r="A1330" s="192"/>
      <c r="B1330" s="202" t="s">
        <v>694</v>
      </c>
      <c r="C1330" s="189">
        <v>1</v>
      </c>
      <c r="D1330" s="189" t="s">
        <v>461</v>
      </c>
      <c r="E1330" s="189">
        <v>1</v>
      </c>
      <c r="F1330" s="267">
        <v>3.3</v>
      </c>
      <c r="G1330" s="267">
        <v>3.3</v>
      </c>
      <c r="H1330" s="267"/>
      <c r="I1330" s="267">
        <f t="shared" si="77"/>
        <v>10.89</v>
      </c>
      <c r="J1330" s="191"/>
    </row>
    <row r="1331" spans="1:11" ht="24.95" customHeight="1">
      <c r="A1331" s="192"/>
      <c r="B1331" s="202" t="s">
        <v>695</v>
      </c>
      <c r="C1331" s="189">
        <v>1</v>
      </c>
      <c r="D1331" s="189" t="s">
        <v>461</v>
      </c>
      <c r="E1331" s="189">
        <v>1</v>
      </c>
      <c r="F1331" s="267">
        <v>3.6</v>
      </c>
      <c r="G1331" s="267">
        <v>2</v>
      </c>
      <c r="H1331" s="267"/>
      <c r="I1331" s="267">
        <f t="shared" si="77"/>
        <v>7.2</v>
      </c>
      <c r="J1331" s="191"/>
    </row>
    <row r="1332" spans="1:11" ht="24.95" customHeight="1">
      <c r="A1332" s="192"/>
      <c r="B1332" s="202" t="s">
        <v>696</v>
      </c>
      <c r="C1332" s="189">
        <v>1</v>
      </c>
      <c r="D1332" s="189" t="s">
        <v>461</v>
      </c>
      <c r="E1332" s="189">
        <v>1</v>
      </c>
      <c r="F1332" s="267">
        <v>6</v>
      </c>
      <c r="G1332" s="267">
        <v>6</v>
      </c>
      <c r="H1332" s="267"/>
      <c r="I1332" s="267">
        <f t="shared" si="77"/>
        <v>36</v>
      </c>
      <c r="J1332" s="191"/>
    </row>
    <row r="1333" spans="1:11" ht="24.95" customHeight="1">
      <c r="A1333" s="192"/>
      <c r="B1333" s="202" t="s">
        <v>983</v>
      </c>
      <c r="C1333" s="189">
        <v>1</v>
      </c>
      <c r="D1333" s="189" t="s">
        <v>461</v>
      </c>
      <c r="E1333" s="189">
        <v>1</v>
      </c>
      <c r="F1333" s="267">
        <v>3.6</v>
      </c>
      <c r="G1333" s="267">
        <v>7.55</v>
      </c>
      <c r="H1333" s="267"/>
      <c r="I1333" s="267">
        <f t="shared" si="77"/>
        <v>27.18</v>
      </c>
      <c r="J1333" s="191"/>
    </row>
    <row r="1334" spans="1:11" ht="24.95" customHeight="1">
      <c r="A1334" s="192"/>
      <c r="B1334" s="202" t="s">
        <v>668</v>
      </c>
      <c r="C1334" s="189">
        <v>1</v>
      </c>
      <c r="D1334" s="189" t="s">
        <v>461</v>
      </c>
      <c r="E1334" s="189">
        <v>1</v>
      </c>
      <c r="F1334" s="267">
        <v>1.8</v>
      </c>
      <c r="G1334" s="267">
        <v>14.04</v>
      </c>
      <c r="H1334" s="267"/>
      <c r="I1334" s="267">
        <f t="shared" si="77"/>
        <v>25.27</v>
      </c>
      <c r="J1334" s="191"/>
    </row>
    <row r="1335" spans="1:11" ht="34.9" customHeight="1">
      <c r="A1335" s="192"/>
      <c r="B1335" s="202" t="s">
        <v>843</v>
      </c>
      <c r="C1335" s="189">
        <v>1</v>
      </c>
      <c r="D1335" s="189" t="s">
        <v>461</v>
      </c>
      <c r="E1335" s="189">
        <v>1</v>
      </c>
      <c r="F1335" s="267">
        <v>5.03</v>
      </c>
      <c r="G1335" s="267">
        <v>2</v>
      </c>
      <c r="H1335" s="267"/>
      <c r="I1335" s="267">
        <f t="shared" si="77"/>
        <v>10.06</v>
      </c>
      <c r="J1335" s="191"/>
    </row>
    <row r="1336" spans="1:11" ht="34.9" customHeight="1">
      <c r="A1336" s="192"/>
      <c r="B1336" s="202" t="s">
        <v>697</v>
      </c>
      <c r="C1336" s="189">
        <v>1</v>
      </c>
      <c r="D1336" s="189" t="s">
        <v>461</v>
      </c>
      <c r="E1336" s="189">
        <v>1</v>
      </c>
      <c r="F1336" s="267">
        <v>1.2</v>
      </c>
      <c r="G1336" s="267">
        <v>2</v>
      </c>
      <c r="H1336" s="267"/>
      <c r="I1336" s="267">
        <f t="shared" si="77"/>
        <v>2.4</v>
      </c>
      <c r="J1336" s="191"/>
    </row>
    <row r="1337" spans="1:11" ht="24.95" customHeight="1">
      <c r="A1337" s="192"/>
      <c r="B1337" s="202" t="s">
        <v>999</v>
      </c>
      <c r="C1337" s="189">
        <v>1</v>
      </c>
      <c r="D1337" s="189" t="s">
        <v>461</v>
      </c>
      <c r="E1337" s="189">
        <v>7</v>
      </c>
      <c r="F1337" s="203">
        <v>1</v>
      </c>
      <c r="G1337" s="203">
        <v>0.23</v>
      </c>
      <c r="H1337" s="203"/>
      <c r="I1337" s="203">
        <f t="shared" ref="I1337:I1348" si="78">PRODUCT(C1337:H1337)</f>
        <v>1.61</v>
      </c>
      <c r="J1337" s="191"/>
    </row>
    <row r="1338" spans="1:11" ht="24.95" customHeight="1">
      <c r="A1338" s="192"/>
      <c r="B1338" s="202" t="s">
        <v>841</v>
      </c>
      <c r="C1338" s="189">
        <v>1</v>
      </c>
      <c r="D1338" s="189" t="s">
        <v>461</v>
      </c>
      <c r="E1338" s="189">
        <v>1</v>
      </c>
      <c r="F1338" s="203">
        <v>150</v>
      </c>
      <c r="G1338" s="203"/>
      <c r="H1338" s="203">
        <v>0.1</v>
      </c>
      <c r="I1338" s="203">
        <f t="shared" si="78"/>
        <v>15</v>
      </c>
      <c r="J1338" s="191"/>
    </row>
    <row r="1339" spans="1:11" ht="24.95" customHeight="1">
      <c r="A1339" s="192"/>
      <c r="B1339" s="188" t="s">
        <v>1000</v>
      </c>
      <c r="C1339" s="189"/>
      <c r="D1339" s="189"/>
      <c r="E1339" s="189"/>
      <c r="F1339" s="203"/>
      <c r="G1339" s="203"/>
      <c r="H1339" s="203"/>
      <c r="I1339" s="203"/>
      <c r="J1339" s="191"/>
    </row>
    <row r="1340" spans="1:11" ht="24.95" customHeight="1">
      <c r="A1340" s="192"/>
      <c r="B1340" s="202" t="s">
        <v>610</v>
      </c>
      <c r="C1340" s="189">
        <v>1</v>
      </c>
      <c r="D1340" s="189" t="s">
        <v>461</v>
      </c>
      <c r="E1340" s="189">
        <v>1</v>
      </c>
      <c r="F1340" s="267">
        <v>3.6</v>
      </c>
      <c r="G1340" s="267">
        <v>6.17</v>
      </c>
      <c r="H1340" s="203"/>
      <c r="I1340" s="203">
        <f t="shared" si="78"/>
        <v>22.21</v>
      </c>
      <c r="J1340" s="191"/>
    </row>
    <row r="1341" spans="1:11" ht="24.95" customHeight="1">
      <c r="A1341" s="192"/>
      <c r="B1341" s="202" t="s">
        <v>707</v>
      </c>
      <c r="C1341" s="189">
        <v>1</v>
      </c>
      <c r="D1341" s="189" t="s">
        <v>461</v>
      </c>
      <c r="E1341" s="189">
        <v>1</v>
      </c>
      <c r="F1341" s="267">
        <v>3.35</v>
      </c>
      <c r="G1341" s="267">
        <v>1.2</v>
      </c>
      <c r="H1341" s="203"/>
      <c r="I1341" s="203">
        <f t="shared" si="78"/>
        <v>4.0199999999999996</v>
      </c>
      <c r="J1341" s="191"/>
    </row>
    <row r="1342" spans="1:11" ht="24.95" customHeight="1">
      <c r="A1342" s="192"/>
      <c r="B1342" s="202" t="s">
        <v>708</v>
      </c>
      <c r="C1342" s="189">
        <v>1</v>
      </c>
      <c r="D1342" s="189" t="s">
        <v>461</v>
      </c>
      <c r="E1342" s="189">
        <v>1</v>
      </c>
      <c r="F1342" s="267">
        <v>3.6</v>
      </c>
      <c r="G1342" s="267">
        <v>2.75</v>
      </c>
      <c r="H1342" s="203"/>
      <c r="I1342" s="203">
        <f t="shared" si="78"/>
        <v>9.9</v>
      </c>
      <c r="J1342" s="191"/>
    </row>
    <row r="1343" spans="1:11" ht="24.95" customHeight="1">
      <c r="A1343" s="192"/>
      <c r="B1343" s="202" t="s">
        <v>673</v>
      </c>
      <c r="C1343" s="189">
        <v>1</v>
      </c>
      <c r="D1343" s="189" t="s">
        <v>461</v>
      </c>
      <c r="E1343" s="189">
        <v>1</v>
      </c>
      <c r="F1343" s="267">
        <v>8.0299999999999994</v>
      </c>
      <c r="G1343" s="267">
        <v>3.3</v>
      </c>
      <c r="H1343" s="203"/>
      <c r="I1343" s="203">
        <f t="shared" si="78"/>
        <v>26.5</v>
      </c>
      <c r="J1343" s="191"/>
    </row>
    <row r="1344" spans="1:11" ht="24.95" customHeight="1">
      <c r="A1344" s="192"/>
      <c r="B1344" s="202"/>
      <c r="C1344" s="189">
        <v>1</v>
      </c>
      <c r="D1344" s="189" t="s">
        <v>461</v>
      </c>
      <c r="E1344" s="189">
        <v>1</v>
      </c>
      <c r="F1344" s="267">
        <v>1.8</v>
      </c>
      <c r="G1344" s="267">
        <v>1.1499999999999999</v>
      </c>
      <c r="H1344" s="203"/>
      <c r="I1344" s="203">
        <f t="shared" si="78"/>
        <v>2.0699999999999998</v>
      </c>
      <c r="J1344" s="191"/>
    </row>
    <row r="1345" spans="1:11" ht="24.95" customHeight="1">
      <c r="A1345" s="192"/>
      <c r="B1345" s="202" t="s">
        <v>979</v>
      </c>
      <c r="C1345" s="189">
        <v>1</v>
      </c>
      <c r="D1345" s="189" t="s">
        <v>461</v>
      </c>
      <c r="E1345" s="189">
        <v>1</v>
      </c>
      <c r="F1345" s="267">
        <v>12.77</v>
      </c>
      <c r="G1345" s="267">
        <v>1.8</v>
      </c>
      <c r="H1345" s="203"/>
      <c r="I1345" s="203">
        <f t="shared" si="78"/>
        <v>22.99</v>
      </c>
      <c r="J1345" s="191"/>
    </row>
    <row r="1346" spans="1:11" ht="24.95" customHeight="1">
      <c r="A1346" s="192"/>
      <c r="B1346" s="202" t="s">
        <v>609</v>
      </c>
      <c r="C1346" s="189">
        <v>1</v>
      </c>
      <c r="D1346" s="189" t="s">
        <v>461</v>
      </c>
      <c r="E1346" s="189">
        <v>1</v>
      </c>
      <c r="F1346" s="267">
        <v>6</v>
      </c>
      <c r="G1346" s="267">
        <v>6</v>
      </c>
      <c r="H1346" s="203"/>
      <c r="I1346" s="203">
        <f t="shared" si="78"/>
        <v>36</v>
      </c>
      <c r="J1346" s="191"/>
    </row>
    <row r="1347" spans="1:11" ht="24.95" customHeight="1">
      <c r="A1347" s="192"/>
      <c r="B1347" s="202" t="s">
        <v>611</v>
      </c>
      <c r="C1347" s="189">
        <v>1</v>
      </c>
      <c r="D1347" s="189" t="s">
        <v>461</v>
      </c>
      <c r="E1347" s="189">
        <v>1</v>
      </c>
      <c r="F1347" s="267">
        <v>6</v>
      </c>
      <c r="G1347" s="267">
        <v>10.36</v>
      </c>
      <c r="H1347" s="203"/>
      <c r="I1347" s="203">
        <f t="shared" si="78"/>
        <v>62.16</v>
      </c>
      <c r="J1347" s="191"/>
    </row>
    <row r="1348" spans="1:11" ht="24.95" customHeight="1">
      <c r="A1348" s="192"/>
      <c r="B1348" s="202" t="s">
        <v>841</v>
      </c>
      <c r="C1348" s="189">
        <v>1</v>
      </c>
      <c r="D1348" s="189" t="s">
        <v>461</v>
      </c>
      <c r="E1348" s="189">
        <v>1</v>
      </c>
      <c r="F1348" s="203">
        <v>150</v>
      </c>
      <c r="G1348" s="203"/>
      <c r="H1348" s="203">
        <v>0.1</v>
      </c>
      <c r="I1348" s="203">
        <f t="shared" si="78"/>
        <v>15</v>
      </c>
      <c r="J1348" s="191"/>
    </row>
    <row r="1349" spans="1:11" ht="24.95" customHeight="1">
      <c r="A1349" s="192"/>
      <c r="B1349" s="202"/>
      <c r="C1349" s="189"/>
      <c r="D1349" s="189"/>
      <c r="E1349" s="189"/>
      <c r="F1349" s="203"/>
      <c r="G1349" s="203"/>
      <c r="H1349" s="204"/>
      <c r="I1349" s="204">
        <f>SUM(I1328:I1348)</f>
        <v>351.31</v>
      </c>
      <c r="J1349" s="201"/>
    </row>
    <row r="1350" spans="1:11" ht="24.95" customHeight="1">
      <c r="A1350" s="192"/>
      <c r="B1350" s="202"/>
      <c r="C1350" s="189"/>
      <c r="D1350" s="189"/>
      <c r="E1350" s="189"/>
      <c r="F1350" s="203"/>
      <c r="G1350" s="203"/>
      <c r="H1350" s="204" t="s">
        <v>261</v>
      </c>
      <c r="I1350" s="204">
        <f>ROUNDUP(I1349,1-0)</f>
        <v>351.4</v>
      </c>
      <c r="J1350" s="201" t="s">
        <v>123</v>
      </c>
      <c r="K1350" s="185">
        <v>0.01</v>
      </c>
    </row>
    <row r="1351" spans="1:11" ht="24.95" customHeight="1">
      <c r="A1351" s="192"/>
      <c r="B1351" s="202"/>
      <c r="C1351" s="189"/>
      <c r="D1351" s="189"/>
      <c r="E1351" s="189"/>
      <c r="F1351" s="203"/>
      <c r="G1351" s="203"/>
      <c r="H1351" s="204"/>
      <c r="I1351" s="204"/>
      <c r="J1351" s="201"/>
    </row>
    <row r="1352" spans="1:11" ht="43.15" customHeight="1">
      <c r="A1352" s="213" t="s">
        <v>846</v>
      </c>
      <c r="B1352" s="188" t="s">
        <v>847</v>
      </c>
      <c r="C1352" s="189"/>
      <c r="D1352" s="189"/>
      <c r="E1352" s="189"/>
      <c r="F1352" s="190"/>
      <c r="G1352" s="190"/>
      <c r="H1352" s="190"/>
      <c r="I1352" s="190"/>
      <c r="J1352" s="191"/>
    </row>
    <row r="1353" spans="1:11" ht="24.95" customHeight="1">
      <c r="A1353" s="213"/>
      <c r="B1353" s="188" t="s">
        <v>619</v>
      </c>
      <c r="C1353" s="189"/>
      <c r="D1353" s="189"/>
      <c r="E1353" s="189"/>
      <c r="F1353" s="267"/>
      <c r="G1353" s="267"/>
      <c r="H1353" s="267"/>
      <c r="I1353" s="267"/>
      <c r="J1353" s="191"/>
    </row>
    <row r="1354" spans="1:11" ht="24.95" customHeight="1">
      <c r="A1354" s="187"/>
      <c r="B1354" s="202" t="s">
        <v>969</v>
      </c>
      <c r="C1354" s="189">
        <v>1</v>
      </c>
      <c r="D1354" s="189" t="s">
        <v>461</v>
      </c>
      <c r="E1354" s="189">
        <v>1</v>
      </c>
      <c r="F1354" s="203">
        <v>10.51</v>
      </c>
      <c r="G1354" s="267"/>
      <c r="H1354" s="267">
        <v>1.5</v>
      </c>
      <c r="I1354" s="203">
        <f t="shared" ref="I1354:I1361" si="79">PRODUCT(C1354:H1354)</f>
        <v>15.77</v>
      </c>
      <c r="J1354" s="191"/>
    </row>
    <row r="1355" spans="1:11" ht="45.75" customHeight="1">
      <c r="A1355" s="187"/>
      <c r="B1355" s="202" t="s">
        <v>970</v>
      </c>
      <c r="C1355" s="189">
        <v>1</v>
      </c>
      <c r="D1355" s="189" t="s">
        <v>461</v>
      </c>
      <c r="E1355" s="189">
        <v>1</v>
      </c>
      <c r="F1355" s="203">
        <v>5.7</v>
      </c>
      <c r="G1355" s="267"/>
      <c r="H1355" s="267">
        <v>1.5</v>
      </c>
      <c r="I1355" s="203">
        <f t="shared" si="79"/>
        <v>8.5500000000000007</v>
      </c>
      <c r="J1355" s="191"/>
    </row>
    <row r="1356" spans="1:11" ht="24.95" customHeight="1">
      <c r="A1356" s="187"/>
      <c r="B1356" s="202" t="s">
        <v>671</v>
      </c>
      <c r="C1356" s="189">
        <v>1</v>
      </c>
      <c r="D1356" s="189" t="s">
        <v>461</v>
      </c>
      <c r="E1356" s="189">
        <v>1</v>
      </c>
      <c r="F1356" s="203">
        <v>6.16</v>
      </c>
      <c r="G1356" s="267"/>
      <c r="H1356" s="267">
        <v>1.5</v>
      </c>
      <c r="I1356" s="203">
        <f t="shared" si="79"/>
        <v>9.24</v>
      </c>
      <c r="J1356" s="191"/>
    </row>
    <row r="1357" spans="1:11" ht="24.95" customHeight="1">
      <c r="A1357" s="187"/>
      <c r="B1357" s="202" t="s">
        <v>971</v>
      </c>
      <c r="C1357" s="189">
        <v>1</v>
      </c>
      <c r="D1357" s="189" t="s">
        <v>461</v>
      </c>
      <c r="E1357" s="189">
        <v>1</v>
      </c>
      <c r="F1357" s="203">
        <v>9.82</v>
      </c>
      <c r="G1357" s="267"/>
      <c r="H1357" s="267">
        <v>1.5</v>
      </c>
      <c r="I1357" s="203">
        <f t="shared" si="79"/>
        <v>14.73</v>
      </c>
      <c r="J1357" s="191"/>
    </row>
    <row r="1358" spans="1:11" s="212" customFormat="1" ht="54.75" customHeight="1">
      <c r="A1358" s="187"/>
      <c r="B1358" s="202" t="s">
        <v>848</v>
      </c>
      <c r="C1358" s="189">
        <v>1</v>
      </c>
      <c r="D1358" s="189" t="s">
        <v>461</v>
      </c>
      <c r="E1358" s="189">
        <v>2</v>
      </c>
      <c r="F1358" s="203">
        <v>6</v>
      </c>
      <c r="G1358" s="267"/>
      <c r="H1358" s="267">
        <v>1.5</v>
      </c>
      <c r="I1358" s="203">
        <f t="shared" si="79"/>
        <v>18</v>
      </c>
      <c r="J1358" s="191"/>
    </row>
    <row r="1359" spans="1:11" s="212" customFormat="1" ht="28.5" customHeight="1">
      <c r="A1359" s="187"/>
      <c r="B1359" s="202" t="s">
        <v>972</v>
      </c>
      <c r="C1359" s="189">
        <v>1</v>
      </c>
      <c r="D1359" s="189" t="s">
        <v>461</v>
      </c>
      <c r="E1359" s="189">
        <v>2</v>
      </c>
      <c r="F1359" s="203">
        <v>5.7</v>
      </c>
      <c r="G1359" s="267"/>
      <c r="H1359" s="267">
        <v>1.5</v>
      </c>
      <c r="I1359" s="203">
        <f t="shared" si="79"/>
        <v>17.100000000000001</v>
      </c>
      <c r="J1359" s="191"/>
    </row>
    <row r="1360" spans="1:11" s="212" customFormat="1" ht="28.5" customHeight="1">
      <c r="A1360" s="187"/>
      <c r="B1360" s="188" t="s">
        <v>623</v>
      </c>
      <c r="C1360" s="189"/>
      <c r="D1360" s="189"/>
      <c r="E1360" s="189"/>
      <c r="F1360" s="267"/>
      <c r="G1360" s="267"/>
      <c r="H1360" s="267"/>
      <c r="I1360" s="203">
        <f t="shared" si="79"/>
        <v>0</v>
      </c>
      <c r="J1360" s="191"/>
    </row>
    <row r="1361" spans="1:10" s="212" customFormat="1" ht="61.5" customHeight="1">
      <c r="A1361" s="187"/>
      <c r="B1361" s="202" t="s">
        <v>969</v>
      </c>
      <c r="C1361" s="189">
        <v>1</v>
      </c>
      <c r="D1361" s="189" t="s">
        <v>461</v>
      </c>
      <c r="E1361" s="189">
        <v>1</v>
      </c>
      <c r="F1361" s="203">
        <v>5.56</v>
      </c>
      <c r="G1361" s="267"/>
      <c r="H1361" s="267">
        <v>1.5</v>
      </c>
      <c r="I1361" s="203">
        <f t="shared" si="79"/>
        <v>8.34</v>
      </c>
      <c r="J1361" s="191"/>
    </row>
    <row r="1362" spans="1:10" s="212" customFormat="1" ht="28.5" customHeight="1">
      <c r="A1362" s="192"/>
      <c r="B1362" s="202" t="s">
        <v>509</v>
      </c>
      <c r="C1362" s="189">
        <v>1</v>
      </c>
      <c r="D1362" s="189" t="s">
        <v>461</v>
      </c>
      <c r="E1362" s="189">
        <v>1</v>
      </c>
      <c r="F1362" s="203">
        <v>6.16</v>
      </c>
      <c r="G1362" s="203"/>
      <c r="H1362" s="267">
        <v>1.5</v>
      </c>
      <c r="I1362" s="203">
        <f>H1362*F1362*E1362*C1362</f>
        <v>9.24</v>
      </c>
      <c r="J1362" s="191"/>
    </row>
    <row r="1363" spans="1:10" s="212" customFormat="1" ht="28.5" customHeight="1">
      <c r="A1363" s="192"/>
      <c r="B1363" s="202" t="s">
        <v>670</v>
      </c>
      <c r="C1363" s="189">
        <v>1</v>
      </c>
      <c r="D1363" s="189" t="s">
        <v>461</v>
      </c>
      <c r="E1363" s="189">
        <v>1</v>
      </c>
      <c r="F1363" s="203">
        <v>12.98</v>
      </c>
      <c r="G1363" s="203"/>
      <c r="H1363" s="267">
        <v>1.5</v>
      </c>
      <c r="I1363" s="203">
        <f t="shared" ref="I1363:I1365" si="80">PRODUCT(C1363:H1363)</f>
        <v>19.47</v>
      </c>
      <c r="J1363" s="191"/>
    </row>
    <row r="1364" spans="1:10" s="212" customFormat="1" ht="28.5" customHeight="1">
      <c r="A1364" s="192"/>
      <c r="B1364" s="202" t="s">
        <v>975</v>
      </c>
      <c r="C1364" s="189">
        <v>1</v>
      </c>
      <c r="D1364" s="189" t="s">
        <v>461</v>
      </c>
      <c r="E1364" s="189">
        <v>2</v>
      </c>
      <c r="F1364" s="203">
        <v>6</v>
      </c>
      <c r="G1364" s="203"/>
      <c r="H1364" s="267">
        <v>1.5</v>
      </c>
      <c r="I1364" s="203">
        <f t="shared" si="80"/>
        <v>18</v>
      </c>
      <c r="J1364" s="191"/>
    </row>
    <row r="1365" spans="1:10" s="212" customFormat="1" ht="24.95" customHeight="1">
      <c r="A1365" s="192"/>
      <c r="B1365" s="202" t="s">
        <v>976</v>
      </c>
      <c r="C1365" s="189">
        <v>1</v>
      </c>
      <c r="D1365" s="189" t="s">
        <v>461</v>
      </c>
      <c r="E1365" s="189">
        <v>3</v>
      </c>
      <c r="F1365" s="203">
        <v>5.7</v>
      </c>
      <c r="G1365" s="203"/>
      <c r="H1365" s="267">
        <v>1.5</v>
      </c>
      <c r="I1365" s="203">
        <f t="shared" si="80"/>
        <v>25.65</v>
      </c>
      <c r="J1365" s="191"/>
    </row>
    <row r="1366" spans="1:10" s="212" customFormat="1" ht="24.95" customHeight="1">
      <c r="A1366" s="192"/>
      <c r="B1366" s="202"/>
      <c r="C1366" s="189"/>
      <c r="D1366" s="189"/>
      <c r="E1366" s="189"/>
      <c r="F1366" s="203"/>
      <c r="G1366" s="203"/>
      <c r="H1366" s="203"/>
      <c r="I1366" s="203">
        <f>SUM(I1354:I1365)</f>
        <v>164.09</v>
      </c>
      <c r="J1366" s="191"/>
    </row>
    <row r="1367" spans="1:10" s="212" customFormat="1" ht="24.95" customHeight="1">
      <c r="A1367" s="192"/>
      <c r="B1367" s="202"/>
      <c r="C1367" s="189"/>
      <c r="D1367" s="189"/>
      <c r="E1367" s="189"/>
      <c r="F1367" s="203"/>
      <c r="G1367" s="203"/>
      <c r="H1367" s="204" t="s">
        <v>261</v>
      </c>
      <c r="I1367" s="204">
        <f>ROUNDUP(I1366,1-0)</f>
        <v>164.1</v>
      </c>
      <c r="J1367" s="201" t="s">
        <v>123</v>
      </c>
    </row>
    <row r="1368" spans="1:10" ht="24.95" customHeight="1">
      <c r="A1368" s="247" t="s">
        <v>849</v>
      </c>
      <c r="B1368" s="188" t="s">
        <v>850</v>
      </c>
      <c r="C1368" s="189"/>
      <c r="D1368" s="189"/>
      <c r="E1368" s="189"/>
      <c r="F1368" s="190"/>
      <c r="G1368" s="190"/>
      <c r="H1368" s="190"/>
      <c r="I1368" s="190"/>
      <c r="J1368" s="201"/>
    </row>
    <row r="1369" spans="1:10" ht="24.95" customHeight="1">
      <c r="A1369" s="247"/>
      <c r="B1369" s="188" t="s">
        <v>619</v>
      </c>
      <c r="C1369" s="189"/>
      <c r="D1369" s="189"/>
      <c r="E1369" s="189"/>
      <c r="F1369" s="267"/>
      <c r="G1369" s="267"/>
      <c r="H1369" s="267"/>
      <c r="I1369" s="267"/>
      <c r="J1369" s="201"/>
    </row>
    <row r="1370" spans="1:10" ht="24.95" customHeight="1">
      <c r="A1370" s="192"/>
      <c r="B1370" s="202" t="s">
        <v>699</v>
      </c>
      <c r="C1370" s="189">
        <v>1</v>
      </c>
      <c r="D1370" s="189" t="s">
        <v>461</v>
      </c>
      <c r="E1370" s="189">
        <v>1</v>
      </c>
      <c r="F1370" s="245">
        <v>3.7149999999999999</v>
      </c>
      <c r="G1370" s="267">
        <v>5.94</v>
      </c>
      <c r="H1370" s="267"/>
      <c r="I1370" s="267">
        <f t="shared" ref="I1370:I1374" si="81">G1370*F1370*E1370*C1370</f>
        <v>22.07</v>
      </c>
      <c r="J1370" s="191"/>
    </row>
    <row r="1371" spans="1:10" ht="24.95" customHeight="1">
      <c r="A1371" s="192"/>
      <c r="B1371" s="202" t="s">
        <v>635</v>
      </c>
      <c r="C1371" s="189">
        <v>1</v>
      </c>
      <c r="D1371" s="189" t="s">
        <v>461</v>
      </c>
      <c r="E1371" s="189">
        <v>1</v>
      </c>
      <c r="F1371" s="267">
        <v>1.65</v>
      </c>
      <c r="G1371" s="267">
        <v>2.66</v>
      </c>
      <c r="H1371" s="267"/>
      <c r="I1371" s="267">
        <f t="shared" si="81"/>
        <v>4.3899999999999997</v>
      </c>
      <c r="J1371" s="191"/>
    </row>
    <row r="1372" spans="1:10" ht="24.95" customHeight="1">
      <c r="A1372" s="192"/>
      <c r="B1372" s="202" t="s">
        <v>623</v>
      </c>
      <c r="C1372" s="189"/>
      <c r="D1372" s="189"/>
      <c r="E1372" s="189"/>
      <c r="F1372" s="267"/>
      <c r="G1372" s="267"/>
      <c r="H1372" s="267"/>
      <c r="I1372" s="267"/>
      <c r="J1372" s="191"/>
    </row>
    <row r="1373" spans="1:10" ht="24.95" customHeight="1">
      <c r="A1373" s="192"/>
      <c r="B1373" s="202" t="s">
        <v>699</v>
      </c>
      <c r="C1373" s="189">
        <v>1</v>
      </c>
      <c r="D1373" s="189" t="s">
        <v>461</v>
      </c>
      <c r="E1373" s="189">
        <v>1</v>
      </c>
      <c r="F1373" s="245">
        <v>3.7149999999999999</v>
      </c>
      <c r="G1373" s="267">
        <v>5.94</v>
      </c>
      <c r="H1373" s="267"/>
      <c r="I1373" s="267">
        <f t="shared" si="81"/>
        <v>22.07</v>
      </c>
      <c r="J1373" s="191"/>
    </row>
    <row r="1374" spans="1:10" ht="32.25" customHeight="1">
      <c r="A1374" s="192"/>
      <c r="B1374" s="202" t="s">
        <v>635</v>
      </c>
      <c r="C1374" s="189">
        <v>1</v>
      </c>
      <c r="D1374" s="189" t="s">
        <v>461</v>
      </c>
      <c r="E1374" s="189">
        <v>1</v>
      </c>
      <c r="F1374" s="267">
        <v>1.65</v>
      </c>
      <c r="G1374" s="267">
        <v>2.66</v>
      </c>
      <c r="H1374" s="267"/>
      <c r="I1374" s="267">
        <f t="shared" si="81"/>
        <v>4.3899999999999997</v>
      </c>
      <c r="J1374" s="191"/>
    </row>
    <row r="1375" spans="1:10" ht="24.95" customHeight="1">
      <c r="A1375" s="192"/>
      <c r="B1375" s="202"/>
      <c r="C1375" s="189"/>
      <c r="D1375" s="189"/>
      <c r="E1375" s="189"/>
      <c r="F1375" s="203"/>
      <c r="G1375" s="203"/>
      <c r="H1375" s="203"/>
      <c r="I1375" s="203">
        <f>SUM(I1370:I1374)</f>
        <v>52.92</v>
      </c>
      <c r="J1375" s="191"/>
    </row>
    <row r="1376" spans="1:10" ht="24.95" customHeight="1">
      <c r="A1376" s="192"/>
      <c r="B1376" s="202"/>
      <c r="C1376" s="189"/>
      <c r="D1376" s="189"/>
      <c r="E1376" s="189"/>
      <c r="F1376" s="203"/>
      <c r="G1376" s="203"/>
      <c r="H1376" s="204" t="s">
        <v>261</v>
      </c>
      <c r="I1376" s="204">
        <f>ROUNDUP(I1375,1-0)</f>
        <v>53</v>
      </c>
      <c r="J1376" s="201" t="s">
        <v>123</v>
      </c>
    </row>
    <row r="1377" spans="1:10" ht="49.5" customHeight="1">
      <c r="A1377" s="192">
        <v>38.6</v>
      </c>
      <c r="B1377" s="188" t="s">
        <v>89</v>
      </c>
      <c r="C1377" s="189"/>
      <c r="D1377" s="189"/>
      <c r="E1377" s="189"/>
      <c r="F1377" s="190"/>
      <c r="G1377" s="190"/>
      <c r="H1377" s="190"/>
      <c r="I1377" s="190"/>
      <c r="J1377" s="191"/>
    </row>
    <row r="1378" spans="1:10" ht="24.95" customHeight="1">
      <c r="A1378" s="192"/>
      <c r="B1378" s="202" t="s">
        <v>851</v>
      </c>
      <c r="C1378" s="189">
        <v>1</v>
      </c>
      <c r="D1378" s="189"/>
      <c r="E1378" s="189">
        <v>1</v>
      </c>
      <c r="F1378" s="203">
        <f>I725</f>
        <v>1879</v>
      </c>
      <c r="G1378" s="203"/>
      <c r="H1378" s="203"/>
      <c r="I1378" s="203">
        <f>PRODUCT(C1378:H1378)</f>
        <v>1879</v>
      </c>
      <c r="J1378" s="191"/>
    </row>
    <row r="1379" spans="1:10" ht="24.95" customHeight="1">
      <c r="A1379" s="192"/>
      <c r="B1379" s="202"/>
      <c r="C1379" s="189"/>
      <c r="D1379" s="189"/>
      <c r="E1379" s="189"/>
      <c r="F1379" s="203"/>
      <c r="G1379" s="203"/>
      <c r="H1379" s="203"/>
      <c r="I1379" s="203">
        <f>SUM(I1378)</f>
        <v>1879</v>
      </c>
      <c r="J1379" s="191"/>
    </row>
    <row r="1380" spans="1:10" ht="24.95" customHeight="1">
      <c r="A1380" s="192"/>
      <c r="B1380" s="202"/>
      <c r="C1380" s="189"/>
      <c r="D1380" s="189"/>
      <c r="E1380" s="189"/>
      <c r="F1380" s="203"/>
      <c r="G1380" s="203"/>
      <c r="H1380" s="204" t="s">
        <v>261</v>
      </c>
      <c r="I1380" s="204">
        <f>ROUNDUP(I1379,1-0)</f>
        <v>1879</v>
      </c>
      <c r="J1380" s="201" t="s">
        <v>123</v>
      </c>
    </row>
    <row r="1381" spans="1:10" ht="24.95" customHeight="1">
      <c r="A1381" s="192"/>
      <c r="B1381" s="202" t="s">
        <v>1416</v>
      </c>
      <c r="C1381" s="189"/>
      <c r="D1381" s="189"/>
      <c r="E1381" s="189"/>
      <c r="F1381" s="203"/>
      <c r="G1381" s="203"/>
      <c r="H1381" s="204"/>
      <c r="I1381" s="204"/>
      <c r="J1381" s="201"/>
    </row>
    <row r="1382" spans="1:10" ht="24.95" customHeight="1">
      <c r="A1382" s="192"/>
      <c r="B1382" s="202" t="s">
        <v>851</v>
      </c>
      <c r="C1382" s="189">
        <v>1</v>
      </c>
      <c r="D1382" s="189"/>
      <c r="E1382" s="189">
        <v>1</v>
      </c>
      <c r="F1382" s="203">
        <v>1879</v>
      </c>
      <c r="G1382" s="203"/>
      <c r="H1382" s="203"/>
      <c r="I1382" s="203">
        <f>PRODUCT(C1382:H1382)</f>
        <v>1879</v>
      </c>
      <c r="J1382" s="191"/>
    </row>
    <row r="1383" spans="1:10" ht="24.95" customHeight="1">
      <c r="A1383" s="192"/>
      <c r="B1383" s="202"/>
      <c r="C1383" s="189"/>
      <c r="D1383" s="189"/>
      <c r="E1383" s="189"/>
      <c r="F1383" s="203"/>
      <c r="G1383" s="203"/>
      <c r="H1383" s="203"/>
      <c r="I1383" s="203">
        <f>SUM(I1382)</f>
        <v>1879</v>
      </c>
      <c r="J1383" s="191"/>
    </row>
    <row r="1384" spans="1:10" ht="24.95" customHeight="1">
      <c r="A1384" s="192"/>
      <c r="B1384" s="202"/>
      <c r="C1384" s="189"/>
      <c r="D1384" s="189"/>
      <c r="E1384" s="189"/>
      <c r="F1384" s="203"/>
      <c r="G1384" s="203"/>
      <c r="H1384" s="204" t="s">
        <v>261</v>
      </c>
      <c r="I1384" s="204">
        <f>ROUNDUP(I1383,1-0)</f>
        <v>1879</v>
      </c>
      <c r="J1384" s="201" t="s">
        <v>123</v>
      </c>
    </row>
    <row r="1385" spans="1:10" ht="24.95" customHeight="1">
      <c r="A1385" s="192"/>
      <c r="B1385" s="202"/>
      <c r="C1385" s="189"/>
      <c r="D1385" s="189"/>
      <c r="E1385" s="189"/>
      <c r="F1385" s="203"/>
      <c r="G1385" s="203"/>
      <c r="H1385" s="204"/>
      <c r="I1385" s="204"/>
      <c r="J1385" s="201"/>
    </row>
    <row r="1386" spans="1:10" ht="24.95" customHeight="1">
      <c r="A1386" s="192">
        <v>796</v>
      </c>
      <c r="B1386" s="202" t="s">
        <v>852</v>
      </c>
      <c r="C1386" s="189"/>
      <c r="D1386" s="189"/>
      <c r="E1386" s="189"/>
      <c r="F1386" s="190"/>
      <c r="G1386" s="190"/>
      <c r="H1386" s="190"/>
      <c r="I1386" s="190"/>
      <c r="J1386" s="191"/>
    </row>
    <row r="1387" spans="1:10" ht="24.95" customHeight="1">
      <c r="A1387" s="192"/>
      <c r="B1387" s="202" t="s">
        <v>853</v>
      </c>
      <c r="C1387" s="189"/>
      <c r="D1387" s="189"/>
      <c r="E1387" s="189"/>
      <c r="F1387" s="190"/>
      <c r="G1387" s="190"/>
      <c r="H1387" s="190"/>
      <c r="I1387" s="186">
        <f>I728</f>
        <v>1147</v>
      </c>
      <c r="J1387" s="201" t="s">
        <v>123</v>
      </c>
    </row>
    <row r="1388" spans="1:10" ht="60.75" customHeight="1">
      <c r="A1388" s="187" t="s">
        <v>854</v>
      </c>
      <c r="B1388" s="243" t="s">
        <v>855</v>
      </c>
      <c r="C1388" s="199"/>
      <c r="D1388" s="199"/>
      <c r="E1388" s="199"/>
      <c r="F1388" s="244"/>
      <c r="G1388" s="244"/>
      <c r="H1388" s="244"/>
      <c r="I1388" s="244"/>
      <c r="J1388" s="221"/>
    </row>
    <row r="1389" spans="1:10" ht="24.95" customHeight="1">
      <c r="A1389" s="187"/>
      <c r="B1389" s="243" t="s">
        <v>856</v>
      </c>
      <c r="C1389" s="199"/>
      <c r="D1389" s="199"/>
      <c r="E1389" s="199"/>
      <c r="F1389" s="244"/>
      <c r="G1389" s="244"/>
      <c r="H1389" s="244"/>
      <c r="I1389" s="244">
        <f>I149</f>
        <v>87.4</v>
      </c>
      <c r="J1389" s="221"/>
    </row>
    <row r="1390" spans="1:10" ht="24.95" customHeight="1">
      <c r="A1390" s="187"/>
      <c r="B1390" s="243" t="s">
        <v>857</v>
      </c>
      <c r="C1390" s="199"/>
      <c r="D1390" s="199"/>
      <c r="E1390" s="199"/>
      <c r="F1390" s="244"/>
      <c r="G1390" s="244"/>
      <c r="H1390" s="244"/>
      <c r="I1390" s="244">
        <f>I229</f>
        <v>67.2</v>
      </c>
      <c r="J1390" s="221"/>
    </row>
    <row r="1391" spans="1:10" ht="60" customHeight="1">
      <c r="A1391" s="187"/>
      <c r="B1391" s="243" t="s">
        <v>858</v>
      </c>
      <c r="C1391" s="199"/>
      <c r="D1391" s="199"/>
      <c r="E1391" s="199"/>
      <c r="F1391" s="244"/>
      <c r="G1391" s="244"/>
      <c r="H1391" s="244"/>
      <c r="I1391" s="244">
        <f>I296</f>
        <v>113.6</v>
      </c>
      <c r="J1391" s="221"/>
    </row>
    <row r="1392" spans="1:10" ht="24.95" customHeight="1">
      <c r="A1392" s="187"/>
      <c r="B1392" s="243"/>
      <c r="C1392" s="199"/>
      <c r="D1392" s="199"/>
      <c r="E1392" s="199"/>
      <c r="F1392" s="244"/>
      <c r="G1392" s="244"/>
      <c r="H1392" s="244"/>
      <c r="I1392" s="244">
        <f>I306</f>
        <v>8</v>
      </c>
      <c r="J1392" s="221"/>
    </row>
    <row r="1393" spans="1:10" ht="24.95" customHeight="1">
      <c r="A1393" s="187"/>
      <c r="B1393" s="243" t="s">
        <v>859</v>
      </c>
      <c r="C1393" s="199"/>
      <c r="D1393" s="199"/>
      <c r="E1393" s="199"/>
      <c r="F1393" s="244"/>
      <c r="G1393" s="244">
        <v>6.2</v>
      </c>
      <c r="H1393" s="244">
        <v>0.04</v>
      </c>
      <c r="I1393" s="244">
        <f>H1393*G1393</f>
        <v>0.25</v>
      </c>
      <c r="J1393" s="221"/>
    </row>
    <row r="1394" spans="1:10" ht="24.95" customHeight="1">
      <c r="A1394" s="187"/>
      <c r="B1394" s="243"/>
      <c r="C1394" s="199"/>
      <c r="D1394" s="199"/>
      <c r="E1394" s="199"/>
      <c r="F1394" s="244"/>
      <c r="G1394" s="244"/>
      <c r="H1394" s="244"/>
      <c r="I1394" s="253">
        <f>SUM(I1389:I1393)</f>
        <v>276.45</v>
      </c>
      <c r="J1394" s="221"/>
    </row>
    <row r="1395" spans="1:10" ht="24.95" customHeight="1">
      <c r="A1395" s="187"/>
      <c r="B1395" s="209"/>
      <c r="C1395" s="199"/>
      <c r="D1395" s="199"/>
      <c r="E1395" s="199"/>
      <c r="F1395" s="244">
        <f>I1394</f>
        <v>276.45</v>
      </c>
      <c r="G1395" s="244">
        <v>120</v>
      </c>
      <c r="H1395" s="244"/>
      <c r="I1395" s="254">
        <f>G1395*F1395</f>
        <v>33174</v>
      </c>
      <c r="J1395" s="211"/>
    </row>
    <row r="1396" spans="1:10" ht="32.25" customHeight="1">
      <c r="A1396" s="187"/>
      <c r="B1396" s="209"/>
      <c r="C1396" s="199"/>
      <c r="D1396" s="199"/>
      <c r="E1396" s="199"/>
      <c r="F1396" s="244"/>
      <c r="G1396" s="244"/>
      <c r="H1396" s="244"/>
      <c r="I1396" s="255">
        <f>I1395/1000</f>
        <v>33.173999999999999</v>
      </c>
      <c r="J1396" s="211" t="s">
        <v>41</v>
      </c>
    </row>
    <row r="1397" spans="1:10" ht="24.95" customHeight="1">
      <c r="A1397" s="187"/>
      <c r="B1397" s="209"/>
      <c r="C1397" s="199"/>
      <c r="D1397" s="199"/>
      <c r="E1397" s="199"/>
      <c r="F1397" s="244"/>
      <c r="G1397" s="244"/>
      <c r="H1397" s="244"/>
      <c r="I1397" s="255"/>
      <c r="J1397" s="211"/>
    </row>
    <row r="1398" spans="1:10" ht="24.95" customHeight="1">
      <c r="A1398" s="213" t="s">
        <v>860</v>
      </c>
      <c r="B1398" s="188" t="s">
        <v>861</v>
      </c>
      <c r="C1398" s="189"/>
      <c r="D1398" s="189"/>
      <c r="E1398" s="189"/>
      <c r="F1398" s="190"/>
      <c r="G1398" s="190"/>
      <c r="H1398" s="190"/>
      <c r="I1398" s="190"/>
      <c r="J1398" s="191"/>
    </row>
    <row r="1399" spans="1:10" ht="24.95" customHeight="1">
      <c r="A1399" s="192"/>
      <c r="B1399" s="202" t="s">
        <v>862</v>
      </c>
      <c r="C1399" s="189">
        <v>1</v>
      </c>
      <c r="D1399" s="189"/>
      <c r="E1399" s="189">
        <v>6</v>
      </c>
      <c r="F1399" s="203">
        <v>8</v>
      </c>
      <c r="G1399" s="203"/>
      <c r="H1399" s="203"/>
      <c r="I1399" s="203">
        <f>PRODUCT(C1399:H1399)</f>
        <v>48</v>
      </c>
      <c r="J1399" s="191"/>
    </row>
    <row r="1400" spans="1:10" ht="24.95" customHeight="1">
      <c r="A1400" s="192"/>
      <c r="B1400" s="202" t="s">
        <v>863</v>
      </c>
      <c r="C1400" s="189">
        <v>1</v>
      </c>
      <c r="D1400" s="189"/>
      <c r="E1400" s="189">
        <v>6</v>
      </c>
      <c r="F1400" s="203">
        <v>4.3</v>
      </c>
      <c r="G1400" s="203"/>
      <c r="H1400" s="203"/>
      <c r="I1400" s="203">
        <f>PRODUCT(C1400:H1400)</f>
        <v>25.8</v>
      </c>
      <c r="J1400" s="191"/>
    </row>
    <row r="1401" spans="1:10" ht="24.95" customHeight="1">
      <c r="A1401" s="192"/>
      <c r="B1401" s="202"/>
      <c r="C1401" s="189"/>
      <c r="D1401" s="189"/>
      <c r="E1401" s="189"/>
      <c r="F1401" s="203"/>
      <c r="G1401" s="203"/>
      <c r="H1401" s="203"/>
      <c r="I1401" s="203">
        <f>SUM(I1399:I1400)</f>
        <v>73.8</v>
      </c>
      <c r="J1401" s="191"/>
    </row>
    <row r="1402" spans="1:10" ht="24.95" customHeight="1">
      <c r="A1402" s="192"/>
      <c r="B1402" s="218"/>
      <c r="C1402" s="189"/>
      <c r="D1402" s="189"/>
      <c r="E1402" s="189"/>
      <c r="F1402" s="203"/>
      <c r="G1402" s="203"/>
      <c r="H1402" s="204" t="s">
        <v>261</v>
      </c>
      <c r="I1402" s="204">
        <f>ROUNDUP(I1401,1-0)</f>
        <v>73.8</v>
      </c>
      <c r="J1402" s="201" t="s">
        <v>39</v>
      </c>
    </row>
    <row r="1403" spans="1:10" ht="24.95" customHeight="1">
      <c r="A1403" s="192"/>
      <c r="B1403" s="202"/>
      <c r="C1403" s="189"/>
      <c r="D1403" s="189"/>
      <c r="E1403" s="189"/>
      <c r="F1403" s="190"/>
      <c r="G1403" s="190"/>
      <c r="H1403" s="190"/>
      <c r="I1403" s="190"/>
      <c r="J1403" s="191"/>
    </row>
    <row r="1404" spans="1:10" ht="24.95" customHeight="1">
      <c r="A1404" s="213">
        <v>53.5</v>
      </c>
      <c r="B1404" s="188" t="s">
        <v>864</v>
      </c>
      <c r="C1404" s="189"/>
      <c r="D1404" s="189"/>
      <c r="E1404" s="189"/>
      <c r="F1404" s="190"/>
      <c r="G1404" s="190"/>
      <c r="H1404" s="190"/>
      <c r="I1404" s="190"/>
      <c r="J1404" s="191"/>
    </row>
    <row r="1405" spans="1:10" ht="24.95" customHeight="1">
      <c r="A1405" s="192"/>
      <c r="B1405" s="202" t="s">
        <v>865</v>
      </c>
      <c r="C1405" s="189">
        <v>1</v>
      </c>
      <c r="D1405" s="189"/>
      <c r="E1405" s="189">
        <v>6</v>
      </c>
      <c r="F1405" s="203"/>
      <c r="G1405" s="203"/>
      <c r="H1405" s="203"/>
      <c r="I1405" s="204">
        <f>PRODUCT(C1405:H1405)</f>
        <v>6</v>
      </c>
      <c r="J1405" s="201" t="s">
        <v>69</v>
      </c>
    </row>
    <row r="1406" spans="1:10" ht="24.95" customHeight="1">
      <c r="A1406" s="192"/>
      <c r="B1406" s="202" t="s">
        <v>866</v>
      </c>
      <c r="C1406" s="189">
        <v>1</v>
      </c>
      <c r="D1406" s="189"/>
      <c r="E1406" s="189">
        <v>4</v>
      </c>
      <c r="F1406" s="203"/>
      <c r="G1406" s="203"/>
      <c r="H1406" s="203"/>
      <c r="I1406" s="204">
        <f>PRODUCT(C1406:H1406)</f>
        <v>4</v>
      </c>
      <c r="J1406" s="201" t="s">
        <v>69</v>
      </c>
    </row>
    <row r="1407" spans="1:10" ht="24.95" customHeight="1">
      <c r="A1407" s="192"/>
      <c r="B1407" s="202"/>
      <c r="C1407" s="189"/>
      <c r="D1407" s="189"/>
      <c r="E1407" s="189"/>
      <c r="F1407" s="203"/>
      <c r="G1407" s="203"/>
      <c r="H1407" s="203"/>
      <c r="I1407" s="204">
        <f>SUM(I1405:I1406)</f>
        <v>10</v>
      </c>
      <c r="J1407" s="201"/>
    </row>
    <row r="1408" spans="1:10" ht="24.95" customHeight="1">
      <c r="A1408" s="192"/>
      <c r="B1408" s="202"/>
      <c r="C1408" s="189"/>
      <c r="D1408" s="189"/>
      <c r="E1408" s="189"/>
      <c r="F1408" s="203"/>
      <c r="G1408" s="203"/>
      <c r="H1408" s="203"/>
      <c r="I1408" s="204"/>
      <c r="J1408" s="201"/>
    </row>
    <row r="1409" spans="1:10" ht="24.95" customHeight="1">
      <c r="A1409" s="213">
        <v>58.3</v>
      </c>
      <c r="B1409" s="188" t="s">
        <v>867</v>
      </c>
      <c r="C1409" s="189"/>
      <c r="D1409" s="189"/>
      <c r="E1409" s="189"/>
      <c r="F1409" s="203"/>
      <c r="G1409" s="203"/>
      <c r="H1409" s="203"/>
      <c r="I1409" s="203"/>
      <c r="J1409" s="201"/>
    </row>
    <row r="1410" spans="1:10" ht="24.95" customHeight="1">
      <c r="A1410" s="192"/>
      <c r="B1410" s="188" t="s">
        <v>868</v>
      </c>
      <c r="C1410" s="189">
        <v>1</v>
      </c>
      <c r="D1410" s="189"/>
      <c r="E1410" s="189">
        <v>3</v>
      </c>
      <c r="F1410" s="203">
        <v>8</v>
      </c>
      <c r="G1410" s="203"/>
      <c r="H1410" s="203"/>
      <c r="I1410" s="204">
        <f>PRODUCT(C1410:H1410)</f>
        <v>24</v>
      </c>
      <c r="J1410" s="201" t="s">
        <v>39</v>
      </c>
    </row>
    <row r="1411" spans="1:10" ht="24.95" customHeight="1">
      <c r="A1411" s="192"/>
      <c r="B1411" s="188" t="s">
        <v>869</v>
      </c>
      <c r="C1411" s="189"/>
      <c r="D1411" s="189"/>
      <c r="E1411" s="189"/>
      <c r="F1411" s="190"/>
      <c r="G1411" s="190"/>
      <c r="H1411" s="190"/>
      <c r="I1411" s="190"/>
      <c r="J1411" s="201"/>
    </row>
    <row r="1412" spans="1:10" ht="24.95" customHeight="1">
      <c r="A1412" s="192"/>
      <c r="B1412" s="202" t="s">
        <v>870</v>
      </c>
      <c r="C1412" s="189">
        <v>1</v>
      </c>
      <c r="D1412" s="189"/>
      <c r="E1412" s="189">
        <v>3</v>
      </c>
      <c r="F1412" s="203">
        <v>9</v>
      </c>
      <c r="G1412" s="203"/>
      <c r="H1412" s="203"/>
      <c r="I1412" s="203">
        <f>PRODUCT(C1412:H1412)</f>
        <v>27</v>
      </c>
      <c r="J1412" s="191"/>
    </row>
    <row r="1413" spans="1:10" ht="24.95" customHeight="1">
      <c r="A1413" s="192"/>
      <c r="B1413" s="202" t="s">
        <v>871</v>
      </c>
      <c r="C1413" s="189">
        <v>1</v>
      </c>
      <c r="D1413" s="189"/>
      <c r="E1413" s="189">
        <v>4</v>
      </c>
      <c r="F1413" s="203">
        <v>13.1</v>
      </c>
      <c r="G1413" s="203"/>
      <c r="H1413" s="203"/>
      <c r="I1413" s="203">
        <f>PRODUCT(C1413:H1413)</f>
        <v>52.4</v>
      </c>
      <c r="J1413" s="191"/>
    </row>
    <row r="1414" spans="1:10" ht="24.95" customHeight="1">
      <c r="A1414" s="192"/>
      <c r="B1414" s="202"/>
      <c r="C1414" s="189"/>
      <c r="D1414" s="189"/>
      <c r="E1414" s="189"/>
      <c r="F1414" s="203"/>
      <c r="G1414" s="203"/>
      <c r="H1414" s="203"/>
      <c r="I1414" s="203">
        <f>SUM(I1412:I1413)</f>
        <v>79.400000000000006</v>
      </c>
      <c r="J1414" s="191"/>
    </row>
    <row r="1415" spans="1:10" ht="24.95" customHeight="1">
      <c r="A1415" s="192"/>
      <c r="B1415" s="202"/>
      <c r="C1415" s="189"/>
      <c r="D1415" s="189"/>
      <c r="E1415" s="189"/>
      <c r="F1415" s="203"/>
      <c r="G1415" s="203"/>
      <c r="H1415" s="204" t="s">
        <v>261</v>
      </c>
      <c r="I1415" s="204">
        <f>ROUNDUP(I1414,1-0)</f>
        <v>79.400000000000006</v>
      </c>
      <c r="J1415" s="201" t="s">
        <v>39</v>
      </c>
    </row>
    <row r="1416" spans="1:10" ht="56.25" customHeight="1">
      <c r="A1416" s="213">
        <v>58.4</v>
      </c>
      <c r="B1416" s="188" t="s">
        <v>872</v>
      </c>
      <c r="C1416" s="189"/>
      <c r="D1416" s="189"/>
      <c r="E1416" s="189"/>
      <c r="F1416" s="203"/>
      <c r="G1416" s="203"/>
      <c r="H1416" s="203"/>
      <c r="I1416" s="203"/>
      <c r="J1416" s="201"/>
    </row>
    <row r="1417" spans="1:10" ht="38.25" customHeight="1">
      <c r="A1417" s="192"/>
      <c r="B1417" s="202" t="s">
        <v>873</v>
      </c>
      <c r="C1417" s="189">
        <v>1</v>
      </c>
      <c r="D1417" s="189"/>
      <c r="E1417" s="189">
        <v>4</v>
      </c>
      <c r="F1417" s="203">
        <v>7</v>
      </c>
      <c r="G1417" s="203"/>
      <c r="H1417" s="203"/>
      <c r="I1417" s="204">
        <f>PRODUCT(C1417:H1417)</f>
        <v>28</v>
      </c>
      <c r="J1417" s="201" t="s">
        <v>39</v>
      </c>
    </row>
    <row r="1418" spans="1:10" ht="24.95" customHeight="1">
      <c r="A1418" s="192"/>
      <c r="B1418" s="202"/>
      <c r="C1418" s="189"/>
      <c r="D1418" s="189"/>
      <c r="E1418" s="189"/>
      <c r="F1418" s="190"/>
      <c r="G1418" s="190"/>
      <c r="H1418" s="190"/>
      <c r="I1418" s="190"/>
      <c r="J1418" s="191"/>
    </row>
    <row r="1419" spans="1:10" ht="24.95" customHeight="1">
      <c r="A1419" s="304"/>
      <c r="B1419" s="305" t="s">
        <v>927</v>
      </c>
      <c r="C1419" s="238"/>
      <c r="D1419" s="238"/>
      <c r="E1419" s="238"/>
      <c r="F1419" s="306"/>
      <c r="G1419" s="306"/>
      <c r="H1419" s="306"/>
      <c r="I1419" s="306"/>
      <c r="J1419" s="307"/>
    </row>
    <row r="1420" spans="1:10" ht="24.95" customHeight="1">
      <c r="A1420" s="308"/>
      <c r="B1420" s="309" t="s">
        <v>928</v>
      </c>
      <c r="C1420" s="310">
        <v>1</v>
      </c>
      <c r="D1420" s="296" t="s">
        <v>461</v>
      </c>
      <c r="E1420" s="310">
        <v>1</v>
      </c>
      <c r="F1420" s="311">
        <v>3.6</v>
      </c>
      <c r="G1420" s="311">
        <v>2.75</v>
      </c>
      <c r="H1420" s="311"/>
      <c r="I1420" s="311">
        <f t="shared" ref="I1420:I1426" si="82">PRODUCT(C1420:H1420)</f>
        <v>9.9</v>
      </c>
      <c r="J1420" s="307"/>
    </row>
    <row r="1421" spans="1:10" ht="24.95" customHeight="1">
      <c r="A1421" s="308"/>
      <c r="B1421" s="309" t="s">
        <v>929</v>
      </c>
      <c r="C1421" s="310">
        <v>1</v>
      </c>
      <c r="D1421" s="296" t="s">
        <v>461</v>
      </c>
      <c r="E1421" s="310">
        <v>21</v>
      </c>
      <c r="F1421" s="311">
        <v>1.5</v>
      </c>
      <c r="G1421" s="311"/>
      <c r="H1421" s="311">
        <v>0.45</v>
      </c>
      <c r="I1421" s="311">
        <f t="shared" si="82"/>
        <v>14.18</v>
      </c>
      <c r="J1421" s="307"/>
    </row>
    <row r="1422" spans="1:10" ht="24.95" customHeight="1">
      <c r="A1422" s="308"/>
      <c r="B1422" s="309" t="s">
        <v>640</v>
      </c>
      <c r="C1422" s="310">
        <v>1</v>
      </c>
      <c r="D1422" s="296" t="s">
        <v>461</v>
      </c>
      <c r="E1422" s="310">
        <v>1</v>
      </c>
      <c r="F1422" s="311">
        <v>3.6</v>
      </c>
      <c r="G1422" s="311">
        <v>1.5</v>
      </c>
      <c r="H1422" s="311"/>
      <c r="I1422" s="311">
        <f t="shared" si="82"/>
        <v>5.4</v>
      </c>
      <c r="J1422" s="307"/>
    </row>
    <row r="1423" spans="1:10" ht="24.95" customHeight="1">
      <c r="A1423" s="308"/>
      <c r="B1423" s="309" t="s">
        <v>930</v>
      </c>
      <c r="C1423" s="310">
        <v>1</v>
      </c>
      <c r="D1423" s="296" t="s">
        <v>461</v>
      </c>
      <c r="E1423" s="310">
        <v>21</v>
      </c>
      <c r="F1423" s="311">
        <v>1.5</v>
      </c>
      <c r="G1423" s="311"/>
      <c r="H1423" s="311">
        <v>0.45</v>
      </c>
      <c r="I1423" s="311">
        <f t="shared" si="82"/>
        <v>14.18</v>
      </c>
      <c r="J1423" s="307"/>
    </row>
    <row r="1424" spans="1:10" ht="24.95" customHeight="1">
      <c r="A1424" s="308"/>
      <c r="B1424" s="309" t="s">
        <v>640</v>
      </c>
      <c r="C1424" s="310">
        <v>1</v>
      </c>
      <c r="D1424" s="296" t="s">
        <v>461</v>
      </c>
      <c r="E1424" s="310">
        <v>1</v>
      </c>
      <c r="F1424" s="311">
        <v>3.6</v>
      </c>
      <c r="G1424" s="311">
        <v>1.5</v>
      </c>
      <c r="H1424" s="311"/>
      <c r="I1424" s="311">
        <f t="shared" si="82"/>
        <v>5.4</v>
      </c>
      <c r="J1424" s="307"/>
    </row>
    <row r="1425" spans="1:10" ht="24.95" customHeight="1">
      <c r="A1425" s="308"/>
      <c r="B1425" s="312" t="s">
        <v>931</v>
      </c>
      <c r="C1425" s="313">
        <v>1</v>
      </c>
      <c r="D1425" s="314" t="s">
        <v>461</v>
      </c>
      <c r="E1425" s="313">
        <v>1</v>
      </c>
      <c r="F1425" s="315">
        <v>3.6</v>
      </c>
      <c r="G1425" s="315">
        <v>2.75</v>
      </c>
      <c r="H1425" s="315"/>
      <c r="I1425" s="311">
        <f t="shared" si="82"/>
        <v>9.9</v>
      </c>
      <c r="J1425" s="307"/>
    </row>
    <row r="1426" spans="1:10" ht="24.95" customHeight="1">
      <c r="A1426" s="308"/>
      <c r="B1426" s="312" t="s">
        <v>665</v>
      </c>
      <c r="C1426" s="313">
        <v>1</v>
      </c>
      <c r="D1426" s="314" t="s">
        <v>461</v>
      </c>
      <c r="E1426" s="313">
        <v>1</v>
      </c>
      <c r="F1426" s="315">
        <v>3.6</v>
      </c>
      <c r="G1426" s="315">
        <v>5</v>
      </c>
      <c r="H1426" s="315"/>
      <c r="I1426" s="311">
        <f t="shared" si="82"/>
        <v>18</v>
      </c>
      <c r="J1426" s="307"/>
    </row>
    <row r="1427" spans="1:10" ht="24.95" customHeight="1">
      <c r="A1427" s="308"/>
      <c r="B1427" s="316"/>
      <c r="C1427" s="313"/>
      <c r="D1427" s="314"/>
      <c r="E1427" s="313"/>
      <c r="F1427" s="315"/>
      <c r="G1427" s="315"/>
      <c r="H1427" s="315"/>
      <c r="I1427" s="317">
        <f>+SUM(I1420:I1426)</f>
        <v>76.959999999999994</v>
      </c>
      <c r="J1427" s="307"/>
    </row>
    <row r="1428" spans="1:10" ht="24.95" customHeight="1">
      <c r="A1428" s="304"/>
      <c r="B1428" s="318"/>
      <c r="C1428" s="238"/>
      <c r="D1428" s="238"/>
      <c r="E1428" s="238"/>
      <c r="F1428" s="306"/>
      <c r="G1428" s="306"/>
      <c r="H1428" s="319" t="s">
        <v>480</v>
      </c>
      <c r="I1428" s="320">
        <f>ROUNDUP(I1427,1-0)</f>
        <v>77</v>
      </c>
      <c r="J1428" s="307" t="s">
        <v>10</v>
      </c>
    </row>
    <row r="1429" spans="1:10" ht="24.95" customHeight="1">
      <c r="A1429" s="192"/>
      <c r="B1429" s="202"/>
      <c r="C1429" s="189"/>
      <c r="D1429" s="189"/>
      <c r="E1429" s="189"/>
      <c r="F1429" s="190"/>
      <c r="G1429" s="190"/>
      <c r="H1429" s="203"/>
      <c r="I1429" s="203"/>
      <c r="J1429" s="191"/>
    </row>
    <row r="1430" spans="1:10" ht="51.75" customHeight="1">
      <c r="A1430" s="213" t="s">
        <v>898</v>
      </c>
      <c r="B1430" s="188" t="s">
        <v>899</v>
      </c>
      <c r="C1430" s="189"/>
      <c r="D1430" s="189"/>
      <c r="E1430" s="189"/>
      <c r="F1430" s="190"/>
      <c r="G1430" s="190"/>
      <c r="H1430" s="190"/>
      <c r="I1430" s="190"/>
      <c r="J1430" s="201"/>
    </row>
    <row r="1431" spans="1:10" ht="24.95" customHeight="1">
      <c r="A1431" s="192"/>
      <c r="B1431" s="188" t="s">
        <v>48</v>
      </c>
      <c r="C1431" s="189"/>
      <c r="D1431" s="189"/>
      <c r="E1431" s="189"/>
      <c r="F1431" s="190"/>
      <c r="G1431" s="190"/>
      <c r="H1431" s="190"/>
      <c r="I1431" s="190"/>
      <c r="J1431" s="191"/>
    </row>
    <row r="1432" spans="1:10" ht="24.95" customHeight="1">
      <c r="A1432" s="192"/>
      <c r="B1432" s="188" t="s">
        <v>784</v>
      </c>
      <c r="C1432" s="189">
        <v>1</v>
      </c>
      <c r="D1432" s="189"/>
      <c r="E1432" s="189">
        <v>1</v>
      </c>
      <c r="F1432" s="190"/>
      <c r="G1432" s="190"/>
      <c r="H1432" s="190"/>
      <c r="I1432" s="190">
        <v>1</v>
      </c>
      <c r="J1432" s="191"/>
    </row>
    <row r="1433" spans="1:10" ht="24.95" customHeight="1">
      <c r="A1433" s="192"/>
      <c r="B1433" s="188" t="s">
        <v>476</v>
      </c>
      <c r="C1433" s="189">
        <v>1</v>
      </c>
      <c r="D1433" s="189"/>
      <c r="E1433" s="189">
        <v>2</v>
      </c>
      <c r="F1433" s="190"/>
      <c r="G1433" s="190"/>
      <c r="H1433" s="190"/>
      <c r="I1433" s="190">
        <v>2</v>
      </c>
      <c r="J1433" s="191"/>
    </row>
    <row r="1434" spans="1:10" ht="24.95" customHeight="1">
      <c r="A1434" s="192"/>
      <c r="B1434" s="188" t="s">
        <v>597</v>
      </c>
      <c r="C1434" s="189">
        <v>1</v>
      </c>
      <c r="D1434" s="189"/>
      <c r="E1434" s="189">
        <v>2</v>
      </c>
      <c r="F1434" s="190"/>
      <c r="G1434" s="190"/>
      <c r="H1434" s="190"/>
      <c r="I1434" s="190">
        <v>2</v>
      </c>
      <c r="J1434" s="191"/>
    </row>
    <row r="1435" spans="1:10" ht="24.95" customHeight="1">
      <c r="A1435" s="192"/>
      <c r="B1435" s="188" t="s">
        <v>597</v>
      </c>
      <c r="C1435" s="189">
        <v>1</v>
      </c>
      <c r="D1435" s="189"/>
      <c r="E1435" s="189">
        <v>1</v>
      </c>
      <c r="F1435" s="190"/>
      <c r="G1435" s="190"/>
      <c r="H1435" s="190"/>
      <c r="I1435" s="190">
        <v>1</v>
      </c>
      <c r="J1435" s="191"/>
    </row>
    <row r="1436" spans="1:10" ht="24.95" customHeight="1">
      <c r="A1436" s="192"/>
      <c r="B1436" s="188" t="s">
        <v>785</v>
      </c>
      <c r="C1436" s="189">
        <v>1</v>
      </c>
      <c r="D1436" s="189"/>
      <c r="E1436" s="189">
        <v>1</v>
      </c>
      <c r="F1436" s="190"/>
      <c r="G1436" s="190"/>
      <c r="H1436" s="190"/>
      <c r="I1436" s="190">
        <v>1</v>
      </c>
      <c r="J1436" s="191"/>
    </row>
    <row r="1437" spans="1:10" ht="24.95" customHeight="1">
      <c r="A1437" s="192"/>
      <c r="B1437" s="188" t="s">
        <v>786</v>
      </c>
      <c r="C1437" s="189">
        <v>1</v>
      </c>
      <c r="D1437" s="189"/>
      <c r="E1437" s="189">
        <v>1</v>
      </c>
      <c r="F1437" s="190"/>
      <c r="G1437" s="190"/>
      <c r="H1437" s="190"/>
      <c r="I1437" s="190">
        <v>1</v>
      </c>
      <c r="J1437" s="191"/>
    </row>
    <row r="1438" spans="1:10" ht="24.95" customHeight="1">
      <c r="A1438" s="192"/>
      <c r="B1438" s="188" t="s">
        <v>673</v>
      </c>
      <c r="C1438" s="189">
        <v>1</v>
      </c>
      <c r="D1438" s="189"/>
      <c r="E1438" s="189">
        <v>1</v>
      </c>
      <c r="F1438" s="190"/>
      <c r="G1438" s="190"/>
      <c r="H1438" s="190"/>
      <c r="I1438" s="190">
        <v>1</v>
      </c>
      <c r="J1438" s="191"/>
    </row>
    <row r="1439" spans="1:10" ht="24.95" customHeight="1">
      <c r="A1439" s="192"/>
      <c r="B1439" s="188" t="s">
        <v>785</v>
      </c>
      <c r="C1439" s="189">
        <v>1</v>
      </c>
      <c r="D1439" s="189"/>
      <c r="E1439" s="189">
        <v>1</v>
      </c>
      <c r="F1439" s="190"/>
      <c r="G1439" s="190"/>
      <c r="H1439" s="190"/>
      <c r="I1439" s="190">
        <v>1</v>
      </c>
      <c r="J1439" s="191"/>
    </row>
    <row r="1440" spans="1:10" ht="39.75" customHeight="1">
      <c r="A1440" s="192"/>
      <c r="B1440" s="188" t="s">
        <v>787</v>
      </c>
      <c r="C1440" s="189">
        <v>3</v>
      </c>
      <c r="D1440" s="189"/>
      <c r="E1440" s="189">
        <v>2</v>
      </c>
      <c r="F1440" s="190"/>
      <c r="G1440" s="190"/>
      <c r="H1440" s="190"/>
      <c r="I1440" s="190">
        <v>6</v>
      </c>
      <c r="J1440" s="191"/>
    </row>
    <row r="1441" spans="1:10" ht="24.95" customHeight="1">
      <c r="A1441" s="192"/>
      <c r="B1441" s="188"/>
      <c r="C1441" s="189"/>
      <c r="D1441" s="189"/>
      <c r="E1441" s="189"/>
      <c r="F1441" s="190"/>
      <c r="G1441" s="190"/>
      <c r="H1441" s="190" t="s">
        <v>480</v>
      </c>
      <c r="I1441" s="190">
        <f>SUM(I1432:I1440)</f>
        <v>16</v>
      </c>
      <c r="J1441" s="191" t="s">
        <v>92</v>
      </c>
    </row>
    <row r="1442" spans="1:10" ht="70.5" customHeight="1">
      <c r="A1442" s="213">
        <v>77.7</v>
      </c>
      <c r="B1442" s="188" t="s">
        <v>144</v>
      </c>
      <c r="C1442" s="189">
        <v>1</v>
      </c>
      <c r="D1442" s="189"/>
      <c r="E1442" s="189">
        <v>1</v>
      </c>
      <c r="F1442" s="203">
        <v>50</v>
      </c>
      <c r="G1442" s="203"/>
      <c r="H1442" s="203"/>
      <c r="I1442" s="204">
        <f>PRODUCT(C1442:H1442)</f>
        <v>50</v>
      </c>
      <c r="J1442" s="201" t="s">
        <v>39</v>
      </c>
    </row>
    <row r="1443" spans="1:10" ht="24.95" customHeight="1">
      <c r="A1443" s="187"/>
      <c r="B1443" s="243"/>
      <c r="C1443" s="199"/>
      <c r="D1443" s="199"/>
      <c r="E1443" s="199"/>
      <c r="F1443" s="197"/>
      <c r="G1443" s="197"/>
      <c r="H1443" s="197"/>
      <c r="I1443" s="204"/>
      <c r="J1443" s="201"/>
    </row>
    <row r="1444" spans="1:10" ht="54.75" customHeight="1">
      <c r="A1444" s="213" t="s">
        <v>900</v>
      </c>
      <c r="B1444" s="188" t="s">
        <v>901</v>
      </c>
      <c r="C1444" s="189"/>
      <c r="D1444" s="189"/>
      <c r="E1444" s="189"/>
      <c r="F1444" s="203"/>
      <c r="G1444" s="190"/>
      <c r="H1444" s="190"/>
      <c r="I1444" s="190"/>
      <c r="J1444" s="191"/>
    </row>
    <row r="1445" spans="1:10" ht="24.95" customHeight="1">
      <c r="A1445" s="192"/>
      <c r="B1445" s="202" t="s">
        <v>902</v>
      </c>
      <c r="C1445" s="189">
        <v>1</v>
      </c>
      <c r="D1445" s="189"/>
      <c r="E1445" s="189">
        <v>4</v>
      </c>
      <c r="F1445" s="203"/>
      <c r="G1445" s="203"/>
      <c r="H1445" s="204" t="s">
        <v>261</v>
      </c>
      <c r="I1445" s="204">
        <f>PRODUCT(C1445:H1445)</f>
        <v>4</v>
      </c>
      <c r="J1445" s="201" t="s">
        <v>72</v>
      </c>
    </row>
    <row r="1446" spans="1:10" ht="24.95" customHeight="1">
      <c r="A1446" s="192"/>
      <c r="B1446" s="202" t="s">
        <v>903</v>
      </c>
      <c r="C1446" s="189">
        <v>1</v>
      </c>
      <c r="D1446" s="189"/>
      <c r="E1446" s="189">
        <v>5</v>
      </c>
      <c r="F1446" s="203">
        <v>3</v>
      </c>
      <c r="G1446" s="203"/>
      <c r="H1446" s="204" t="s">
        <v>261</v>
      </c>
      <c r="I1446" s="204">
        <f>PRODUCT(C1446:H1446)</f>
        <v>15</v>
      </c>
      <c r="J1446" s="201" t="s">
        <v>39</v>
      </c>
    </row>
    <row r="1447" spans="1:10" ht="24.95" customHeight="1">
      <c r="A1447" s="187"/>
      <c r="B1447" s="243"/>
      <c r="C1447" s="199"/>
      <c r="D1447" s="199"/>
      <c r="E1447" s="199"/>
      <c r="F1447" s="197"/>
      <c r="G1447" s="197"/>
      <c r="H1447" s="197"/>
      <c r="I1447" s="204"/>
      <c r="J1447" s="201"/>
    </row>
    <row r="1448" spans="1:10" ht="61.5" customHeight="1">
      <c r="A1448" s="321"/>
      <c r="B1448" s="292" t="str">
        <f>'main abst'!B147</f>
        <v>Providing Rain water Harvesting well ring of Circular shape of 90mm dia, 60cm depth using Standardised Mix design M20</v>
      </c>
      <c r="C1448" s="238">
        <v>1</v>
      </c>
      <c r="D1448" s="322"/>
      <c r="E1448" s="238">
        <v>4</v>
      </c>
      <c r="F1448" s="319"/>
      <c r="G1448" s="322"/>
      <c r="H1448" s="320" t="s">
        <v>261</v>
      </c>
      <c r="I1448" s="320">
        <f>PRODUCT(B1448:H1448)</f>
        <v>4</v>
      </c>
      <c r="J1448" s="280" t="s">
        <v>72</v>
      </c>
    </row>
    <row r="1449" spans="1:10" ht="24.95" customHeight="1">
      <c r="A1449" s="187"/>
      <c r="B1449" s="243"/>
      <c r="C1449" s="199"/>
      <c r="D1449" s="199"/>
      <c r="E1449" s="199"/>
      <c r="F1449" s="197"/>
      <c r="G1449" s="197"/>
      <c r="H1449" s="197"/>
      <c r="I1449" s="204"/>
      <c r="J1449" s="201"/>
    </row>
    <row r="1450" spans="1:10" ht="57" customHeight="1">
      <c r="A1450" s="213">
        <v>344.2</v>
      </c>
      <c r="B1450" s="188" t="s">
        <v>36</v>
      </c>
      <c r="C1450" s="189">
        <v>4</v>
      </c>
      <c r="D1450" s="189"/>
      <c r="E1450" s="189">
        <v>2</v>
      </c>
      <c r="F1450" s="203"/>
      <c r="G1450" s="203"/>
      <c r="H1450" s="204" t="s">
        <v>261</v>
      </c>
      <c r="I1450" s="204">
        <f>PRODUCT(C1450:H1450)</f>
        <v>8</v>
      </c>
      <c r="J1450" s="201" t="s">
        <v>72</v>
      </c>
    </row>
    <row r="1451" spans="1:10" ht="24.95" customHeight="1">
      <c r="A1451" s="187"/>
      <c r="B1451" s="243"/>
      <c r="C1451" s="199"/>
      <c r="D1451" s="199"/>
      <c r="E1451" s="199"/>
      <c r="F1451" s="197"/>
      <c r="G1451" s="197"/>
      <c r="H1451" s="197"/>
      <c r="I1451" s="204"/>
      <c r="J1451" s="201"/>
    </row>
    <row r="1452" spans="1:10" ht="24.95" customHeight="1">
      <c r="A1452" s="323">
        <v>71.2</v>
      </c>
      <c r="B1452" s="292" t="s">
        <v>1034</v>
      </c>
      <c r="C1452" s="324">
        <v>1</v>
      </c>
      <c r="D1452" s="324"/>
      <c r="E1452" s="324">
        <v>2</v>
      </c>
      <c r="F1452" s="325"/>
      <c r="G1452" s="325"/>
      <c r="H1452" s="320" t="s">
        <v>261</v>
      </c>
      <c r="I1452" s="320">
        <f>PRODUCT(C1452:H1452)</f>
        <v>2</v>
      </c>
      <c r="J1452" s="280" t="s">
        <v>72</v>
      </c>
    </row>
    <row r="1453" spans="1:10" ht="24.95" customHeight="1">
      <c r="A1453" s="187"/>
      <c r="B1453" s="243"/>
      <c r="C1453" s="199"/>
      <c r="D1453" s="199"/>
      <c r="E1453" s="199"/>
      <c r="F1453" s="197"/>
      <c r="G1453" s="197"/>
      <c r="H1453" s="197"/>
      <c r="I1453" s="204"/>
      <c r="J1453" s="201"/>
    </row>
    <row r="1454" spans="1:10" ht="24.95" customHeight="1">
      <c r="A1454" s="187"/>
      <c r="B1454" s="209" t="str">
        <f>'main abst'!B150</f>
        <v>3 Nos.of 32Amps - Fuse Unit</v>
      </c>
      <c r="C1454" s="324">
        <v>1</v>
      </c>
      <c r="D1454" s="324"/>
      <c r="E1454" s="324">
        <v>2</v>
      </c>
      <c r="F1454" s="325"/>
      <c r="G1454" s="325"/>
      <c r="H1454" s="320" t="s">
        <v>261</v>
      </c>
      <c r="I1454" s="320">
        <f>PRODUCT(C1454:H1454)</f>
        <v>2</v>
      </c>
      <c r="J1454" s="280" t="s">
        <v>72</v>
      </c>
    </row>
    <row r="1455" spans="1:10" ht="24.95" customHeight="1">
      <c r="A1455" s="187"/>
      <c r="B1455" s="209" t="str">
        <f>'main abst'!B151</f>
        <v>1 Nos.of 32Amps - Fuse Unit</v>
      </c>
      <c r="C1455" s="324">
        <v>1</v>
      </c>
      <c r="D1455" s="324"/>
      <c r="E1455" s="324">
        <v>3</v>
      </c>
      <c r="F1455" s="325"/>
      <c r="G1455" s="325"/>
      <c r="H1455" s="320" t="s">
        <v>261</v>
      </c>
      <c r="I1455" s="320">
        <f>PRODUCT(C1455:H1455)</f>
        <v>3</v>
      </c>
      <c r="J1455" s="280" t="s">
        <v>72</v>
      </c>
    </row>
    <row r="1456" spans="1:10" ht="24.95" customHeight="1">
      <c r="A1456" s="187"/>
      <c r="B1456" s="243"/>
      <c r="C1456" s="199"/>
      <c r="D1456" s="199"/>
      <c r="E1456" s="199"/>
      <c r="F1456" s="197"/>
      <c r="G1456" s="197"/>
      <c r="H1456" s="197"/>
      <c r="I1456" s="204"/>
      <c r="J1456" s="201"/>
    </row>
    <row r="1457" spans="1:10" ht="24.95" customHeight="1">
      <c r="A1457" s="213">
        <v>448.2</v>
      </c>
      <c r="B1457" s="252" t="s">
        <v>262</v>
      </c>
      <c r="C1457" s="189"/>
      <c r="D1457" s="189"/>
      <c r="E1457" s="189"/>
      <c r="F1457" s="190"/>
      <c r="G1457" s="190"/>
      <c r="H1457" s="190"/>
      <c r="I1457" s="190"/>
      <c r="J1457" s="191"/>
    </row>
    <row r="1458" spans="1:10" ht="24.95" customHeight="1">
      <c r="A1458" s="192"/>
      <c r="B1458" s="202" t="s">
        <v>1</v>
      </c>
      <c r="C1458" s="189">
        <v>4</v>
      </c>
      <c r="D1458" s="189"/>
      <c r="E1458" s="189">
        <v>2</v>
      </c>
      <c r="F1458" s="190"/>
      <c r="G1458" s="190"/>
      <c r="H1458" s="190"/>
      <c r="I1458" s="204">
        <f>PRODUCT(C1458:H1458)</f>
        <v>8</v>
      </c>
      <c r="J1458" s="201" t="s">
        <v>72</v>
      </c>
    </row>
    <row r="1459" spans="1:10" ht="24.95" customHeight="1">
      <c r="A1459" s="257"/>
      <c r="B1459" s="258"/>
      <c r="C1459" s="189"/>
      <c r="D1459" s="189"/>
      <c r="E1459" s="189"/>
      <c r="F1459" s="203"/>
      <c r="G1459" s="203"/>
      <c r="H1459" s="203"/>
      <c r="I1459" s="204"/>
      <c r="J1459" s="201"/>
    </row>
    <row r="1460" spans="1:10" ht="24.95" customHeight="1">
      <c r="A1460" s="192">
        <v>367</v>
      </c>
      <c r="B1460" s="188" t="s">
        <v>906</v>
      </c>
      <c r="C1460" s="189">
        <v>1</v>
      </c>
      <c r="D1460" s="189" t="s">
        <v>461</v>
      </c>
      <c r="E1460" s="189">
        <v>1</v>
      </c>
      <c r="F1460" s="203">
        <v>1.8</v>
      </c>
      <c r="G1460" s="203">
        <v>2.25</v>
      </c>
      <c r="H1460" s="203">
        <v>2.4</v>
      </c>
      <c r="I1460" s="203">
        <f>PRODUCT(C1460:H1460)</f>
        <v>9.7200000000000006</v>
      </c>
      <c r="J1460" s="185"/>
    </row>
    <row r="1461" spans="1:10" ht="24.95" customHeight="1">
      <c r="A1461" s="192"/>
      <c r="B1461" s="188" t="s">
        <v>907</v>
      </c>
      <c r="C1461" s="189">
        <v>1</v>
      </c>
      <c r="D1461" s="189" t="s">
        <v>461</v>
      </c>
      <c r="E1461" s="189">
        <v>2</v>
      </c>
      <c r="F1461" s="203">
        <v>1.2</v>
      </c>
      <c r="G1461" s="203">
        <v>2.25</v>
      </c>
      <c r="H1461" s="203">
        <v>2.4</v>
      </c>
      <c r="I1461" s="203">
        <f>PRODUCT(C1461:H1461)</f>
        <v>12.96</v>
      </c>
      <c r="J1461" s="201"/>
    </row>
    <row r="1462" spans="1:10" ht="24.95" customHeight="1">
      <c r="A1462" s="192"/>
      <c r="B1462" s="188"/>
      <c r="C1462" s="189"/>
      <c r="D1462" s="189"/>
      <c r="E1462" s="189"/>
      <c r="F1462" s="203"/>
      <c r="G1462" s="203"/>
      <c r="H1462" s="203"/>
      <c r="I1462" s="203">
        <v>0.02</v>
      </c>
      <c r="J1462" s="201"/>
    </row>
    <row r="1463" spans="1:10" ht="24.95" customHeight="1">
      <c r="A1463" s="192"/>
      <c r="B1463" s="188"/>
      <c r="C1463" s="189"/>
      <c r="D1463" s="189"/>
      <c r="E1463" s="189"/>
      <c r="F1463" s="203"/>
      <c r="G1463" s="203"/>
      <c r="H1463" s="203"/>
      <c r="I1463" s="204">
        <f>SUM(I1460:I1462)</f>
        <v>22.7</v>
      </c>
      <c r="J1463" s="201" t="s">
        <v>123</v>
      </c>
    </row>
    <row r="1464" spans="1:10" ht="24.95" customHeight="1">
      <c r="A1464" s="192"/>
      <c r="B1464" s="202" t="s">
        <v>59</v>
      </c>
      <c r="C1464" s="189">
        <v>1</v>
      </c>
      <c r="D1464" s="189" t="s">
        <v>461</v>
      </c>
      <c r="E1464" s="189">
        <v>5</v>
      </c>
      <c r="F1464" s="190">
        <v>1</v>
      </c>
      <c r="G1464" s="190"/>
      <c r="H1464" s="190"/>
      <c r="I1464" s="186">
        <v>5</v>
      </c>
      <c r="J1464" s="201" t="s">
        <v>72</v>
      </c>
    </row>
    <row r="1465" spans="1:10" ht="24.95" customHeight="1">
      <c r="A1465" s="192"/>
      <c r="B1465" s="202"/>
      <c r="C1465" s="189"/>
      <c r="D1465" s="189"/>
      <c r="E1465" s="189"/>
      <c r="F1465" s="267"/>
      <c r="G1465" s="267"/>
      <c r="H1465" s="267"/>
      <c r="I1465" s="186"/>
      <c r="J1465" s="201"/>
    </row>
    <row r="1466" spans="1:10" ht="24.95" customHeight="1">
      <c r="A1466" s="213" t="s">
        <v>908</v>
      </c>
      <c r="B1466" s="188" t="s">
        <v>909</v>
      </c>
      <c r="C1466" s="189"/>
      <c r="D1466" s="189"/>
      <c r="E1466" s="189"/>
      <c r="F1466" s="203"/>
      <c r="G1466" s="203"/>
      <c r="H1466" s="203"/>
      <c r="I1466" s="203"/>
      <c r="J1466" s="201"/>
    </row>
    <row r="1467" spans="1:10" ht="24.95" customHeight="1">
      <c r="A1467" s="192"/>
      <c r="B1467" s="202" t="s">
        <v>910</v>
      </c>
      <c r="C1467" s="189">
        <v>2</v>
      </c>
      <c r="D1467" s="189"/>
      <c r="E1467" s="189">
        <v>6</v>
      </c>
      <c r="F1467" s="203"/>
      <c r="G1467" s="203"/>
      <c r="H1467" s="203"/>
      <c r="I1467" s="204">
        <f>PRODUCT(C1467:H1467)</f>
        <v>12</v>
      </c>
      <c r="J1467" s="201" t="s">
        <v>72</v>
      </c>
    </row>
    <row r="1468" spans="1:10" ht="24.95" customHeight="1">
      <c r="A1468" s="213" t="s">
        <v>911</v>
      </c>
      <c r="B1468" s="188" t="s">
        <v>912</v>
      </c>
      <c r="C1468" s="189"/>
      <c r="D1468" s="189"/>
      <c r="E1468" s="189"/>
      <c r="F1468" s="203"/>
      <c r="G1468" s="203"/>
      <c r="H1468" s="203"/>
      <c r="I1468" s="203"/>
      <c r="J1468" s="201"/>
    </row>
    <row r="1469" spans="1:10" ht="24.95" customHeight="1">
      <c r="A1469" s="192"/>
      <c r="B1469" s="202" t="s">
        <v>910</v>
      </c>
      <c r="C1469" s="189">
        <v>2</v>
      </c>
      <c r="D1469" s="189"/>
      <c r="E1469" s="189">
        <v>6</v>
      </c>
      <c r="F1469" s="203"/>
      <c r="G1469" s="203"/>
      <c r="H1469" s="203"/>
      <c r="I1469" s="204">
        <f>PRODUCT(C1469:H1469)</f>
        <v>12</v>
      </c>
      <c r="J1469" s="201" t="s">
        <v>72</v>
      </c>
    </row>
    <row r="1470" spans="1:10" ht="24.95" customHeight="1">
      <c r="A1470" s="257"/>
      <c r="B1470" s="258"/>
      <c r="C1470" s="189"/>
      <c r="D1470" s="189"/>
      <c r="E1470" s="189"/>
      <c r="F1470" s="203"/>
      <c r="G1470" s="203"/>
      <c r="H1470" s="203"/>
      <c r="I1470" s="204"/>
      <c r="J1470" s="201"/>
    </row>
    <row r="1471" spans="1:10" ht="24.95" customHeight="1">
      <c r="A1471" s="213">
        <v>55.2</v>
      </c>
      <c r="B1471" s="188" t="s">
        <v>913</v>
      </c>
      <c r="C1471" s="189">
        <v>2</v>
      </c>
      <c r="D1471" s="189"/>
      <c r="E1471" s="189">
        <v>2</v>
      </c>
      <c r="F1471" s="203"/>
      <c r="G1471" s="203"/>
      <c r="H1471" s="203"/>
      <c r="I1471" s="204">
        <f>PRODUCT(C1471:H1471)</f>
        <v>4</v>
      </c>
      <c r="J1471" s="201" t="s">
        <v>72</v>
      </c>
    </row>
    <row r="1472" spans="1:10" ht="24.95" customHeight="1">
      <c r="A1472" s="257"/>
      <c r="B1472" s="258"/>
      <c r="C1472" s="189"/>
      <c r="D1472" s="189"/>
      <c r="E1472" s="189"/>
      <c r="F1472" s="203"/>
      <c r="G1472" s="203"/>
      <c r="H1472" s="203"/>
      <c r="I1472" s="204"/>
      <c r="J1472" s="201"/>
    </row>
    <row r="1473" spans="1:10" ht="24.95" customHeight="1">
      <c r="A1473" s="213" t="s">
        <v>763</v>
      </c>
      <c r="B1473" s="188" t="s">
        <v>764</v>
      </c>
      <c r="C1473" s="189"/>
      <c r="D1473" s="189"/>
      <c r="E1473" s="189"/>
      <c r="F1473" s="190"/>
      <c r="G1473" s="190"/>
      <c r="H1473" s="190"/>
      <c r="I1473" s="190"/>
      <c r="J1473" s="191"/>
    </row>
    <row r="1474" spans="1:10" ht="24.95" customHeight="1">
      <c r="A1474" s="192"/>
      <c r="B1474" s="202" t="s">
        <v>765</v>
      </c>
      <c r="C1474" s="189"/>
      <c r="D1474" s="189"/>
      <c r="E1474" s="189"/>
      <c r="F1474" s="190"/>
      <c r="G1474" s="190"/>
      <c r="H1474" s="190"/>
      <c r="I1474" s="190"/>
      <c r="J1474" s="191"/>
    </row>
    <row r="1475" spans="1:10" ht="24.95" customHeight="1">
      <c r="A1475" s="192"/>
      <c r="B1475" s="202" t="s">
        <v>766</v>
      </c>
      <c r="C1475" s="189">
        <v>1</v>
      </c>
      <c r="D1475" s="189"/>
      <c r="E1475" s="189">
        <v>1</v>
      </c>
      <c r="F1475" s="203">
        <v>30</v>
      </c>
      <c r="G1475" s="203"/>
      <c r="H1475" s="203"/>
      <c r="I1475" s="204">
        <f>PRODUCT(C1475:H1475)</f>
        <v>30</v>
      </c>
      <c r="J1475" s="201" t="s">
        <v>39</v>
      </c>
    </row>
    <row r="1476" spans="1:10" ht="24.95" customHeight="1">
      <c r="A1476" s="192"/>
      <c r="B1476" s="188" t="s">
        <v>767</v>
      </c>
      <c r="C1476" s="189"/>
      <c r="D1476" s="189"/>
      <c r="E1476" s="189"/>
      <c r="F1476" s="203"/>
      <c r="G1476" s="203"/>
      <c r="H1476" s="203"/>
      <c r="I1476" s="204"/>
      <c r="J1476" s="201"/>
    </row>
    <row r="1477" spans="1:10" ht="24.95" customHeight="1">
      <c r="A1477" s="192"/>
      <c r="B1477" s="202" t="s">
        <v>768</v>
      </c>
      <c r="C1477" s="189">
        <v>1</v>
      </c>
      <c r="D1477" s="189"/>
      <c r="E1477" s="189">
        <v>1</v>
      </c>
      <c r="F1477" s="203">
        <v>45</v>
      </c>
      <c r="G1477" s="203"/>
      <c r="H1477" s="203"/>
      <c r="I1477" s="204">
        <f>PRODUCT(C1477:H1477)</f>
        <v>45</v>
      </c>
      <c r="J1477" s="201" t="s">
        <v>39</v>
      </c>
    </row>
    <row r="1478" spans="1:10" ht="24.95" customHeight="1">
      <c r="A1478" s="257"/>
      <c r="B1478" s="258"/>
      <c r="C1478" s="189"/>
      <c r="D1478" s="189"/>
      <c r="E1478" s="189"/>
      <c r="F1478" s="203"/>
      <c r="G1478" s="203"/>
      <c r="H1478" s="203"/>
      <c r="I1478" s="204"/>
      <c r="J1478" s="201"/>
    </row>
    <row r="1479" spans="1:10" ht="24.95" customHeight="1">
      <c r="A1479" s="213" t="s">
        <v>769</v>
      </c>
      <c r="B1479" s="188" t="s">
        <v>770</v>
      </c>
      <c r="C1479" s="189"/>
      <c r="D1479" s="189"/>
      <c r="E1479" s="189"/>
      <c r="F1479" s="190"/>
      <c r="G1479" s="190"/>
      <c r="H1479" s="190"/>
      <c r="I1479" s="190"/>
      <c r="J1479" s="191"/>
    </row>
    <row r="1480" spans="1:10" ht="24.95" customHeight="1">
      <c r="A1480" s="192"/>
      <c r="B1480" s="202" t="s">
        <v>771</v>
      </c>
      <c r="C1480" s="189">
        <v>1</v>
      </c>
      <c r="D1480" s="189"/>
      <c r="E1480" s="189">
        <v>6</v>
      </c>
      <c r="F1480" s="190"/>
      <c r="G1480" s="190"/>
      <c r="H1480" s="190"/>
      <c r="I1480" s="204">
        <f>PRODUCT(C1480:H1480)</f>
        <v>6</v>
      </c>
      <c r="J1480" s="201" t="s">
        <v>69</v>
      </c>
    </row>
    <row r="1481" spans="1:10" ht="24.95" customHeight="1">
      <c r="A1481" s="192"/>
      <c r="B1481" s="202" t="s">
        <v>772</v>
      </c>
      <c r="C1481" s="189">
        <v>1</v>
      </c>
      <c r="D1481" s="189"/>
      <c r="E1481" s="189">
        <v>4</v>
      </c>
      <c r="F1481" s="190"/>
      <c r="G1481" s="190"/>
      <c r="H1481" s="190"/>
      <c r="I1481" s="204">
        <f>PRODUCT(C1481:H1481)</f>
        <v>4</v>
      </c>
      <c r="J1481" s="201" t="s">
        <v>69</v>
      </c>
    </row>
    <row r="1482" spans="1:10" ht="24.95" customHeight="1">
      <c r="A1482" s="213" t="s">
        <v>773</v>
      </c>
      <c r="B1482" s="188" t="s">
        <v>774</v>
      </c>
      <c r="C1482" s="189"/>
      <c r="D1482" s="189"/>
      <c r="E1482" s="189"/>
      <c r="F1482" s="190"/>
      <c r="G1482" s="190"/>
      <c r="H1482" s="190"/>
      <c r="I1482" s="190"/>
      <c r="J1482" s="191"/>
    </row>
    <row r="1483" spans="1:10" ht="24.95" customHeight="1">
      <c r="A1483" s="192"/>
      <c r="B1483" s="202" t="s">
        <v>775</v>
      </c>
      <c r="C1483" s="189">
        <v>1</v>
      </c>
      <c r="D1483" s="189"/>
      <c r="E1483" s="189">
        <v>2</v>
      </c>
      <c r="F1483" s="190"/>
      <c r="G1483" s="203"/>
      <c r="H1483" s="203"/>
      <c r="I1483" s="204">
        <f>PRODUCT(C1483:H1483)</f>
        <v>2</v>
      </c>
      <c r="J1483" s="211" t="s">
        <v>69</v>
      </c>
    </row>
    <row r="1484" spans="1:10" ht="24.95" customHeight="1">
      <c r="A1484" s="192"/>
      <c r="B1484" s="202" t="s">
        <v>776</v>
      </c>
      <c r="C1484" s="189">
        <v>1</v>
      </c>
      <c r="D1484" s="189"/>
      <c r="E1484" s="189">
        <v>2</v>
      </c>
      <c r="F1484" s="190"/>
      <c r="G1484" s="203"/>
      <c r="H1484" s="203"/>
      <c r="I1484" s="204">
        <f>PRODUCT(C1484:H1484)</f>
        <v>2</v>
      </c>
      <c r="J1484" s="211" t="s">
        <v>69</v>
      </c>
    </row>
    <row r="1485" spans="1:10" ht="24.95" customHeight="1">
      <c r="A1485" s="257"/>
      <c r="B1485" s="258"/>
      <c r="C1485" s="189"/>
      <c r="D1485" s="189"/>
      <c r="E1485" s="189"/>
      <c r="F1485" s="203"/>
      <c r="G1485" s="203"/>
      <c r="H1485" s="203"/>
      <c r="I1485" s="204"/>
      <c r="J1485" s="201"/>
    </row>
    <row r="1486" spans="1:10" ht="45.75" customHeight="1">
      <c r="A1486" s="213" t="s">
        <v>917</v>
      </c>
      <c r="B1486" s="188" t="s">
        <v>38</v>
      </c>
      <c r="C1486" s="189"/>
      <c r="D1486" s="189"/>
      <c r="E1486" s="189"/>
      <c r="F1486" s="190"/>
      <c r="G1486" s="190"/>
      <c r="H1486" s="190"/>
      <c r="I1486" s="190"/>
      <c r="J1486" s="191"/>
    </row>
    <row r="1487" spans="1:10" ht="24.95" customHeight="1">
      <c r="A1487" s="192"/>
      <c r="B1487" s="202" t="s">
        <v>918</v>
      </c>
      <c r="C1487" s="189">
        <v>1</v>
      </c>
      <c r="D1487" s="189"/>
      <c r="E1487" s="189">
        <v>3</v>
      </c>
      <c r="F1487" s="190"/>
      <c r="G1487" s="190"/>
      <c r="H1487" s="190"/>
      <c r="I1487" s="204">
        <f>PRODUCT(C1487:H1487)</f>
        <v>3</v>
      </c>
      <c r="J1487" s="201" t="s">
        <v>68</v>
      </c>
    </row>
    <row r="1488" spans="1:10" ht="36" customHeight="1">
      <c r="A1488" s="192"/>
      <c r="B1488" s="202" t="s">
        <v>919</v>
      </c>
      <c r="C1488" s="189">
        <v>1</v>
      </c>
      <c r="D1488" s="189"/>
      <c r="E1488" s="189">
        <v>3</v>
      </c>
      <c r="F1488" s="190"/>
      <c r="G1488" s="190"/>
      <c r="H1488" s="190"/>
      <c r="I1488" s="204">
        <f>PRODUCT(C1488:H1488)</f>
        <v>3</v>
      </c>
      <c r="J1488" s="201" t="s">
        <v>68</v>
      </c>
    </row>
    <row r="1489" spans="1:11" ht="24.95" customHeight="1">
      <c r="A1489" s="257"/>
      <c r="B1489" s="258"/>
      <c r="C1489" s="189"/>
      <c r="D1489" s="189"/>
      <c r="E1489" s="189"/>
      <c r="F1489" s="203"/>
      <c r="G1489" s="203"/>
      <c r="H1489" s="203"/>
      <c r="I1489" s="204"/>
      <c r="J1489" s="201"/>
    </row>
    <row r="1490" spans="1:11" ht="24.95" customHeight="1">
      <c r="A1490" s="187">
        <v>57.2</v>
      </c>
      <c r="B1490" s="243" t="s">
        <v>760</v>
      </c>
      <c r="C1490" s="199">
        <v>1</v>
      </c>
      <c r="D1490" s="199"/>
      <c r="E1490" s="199">
        <v>1</v>
      </c>
      <c r="F1490" s="197"/>
      <c r="G1490" s="197"/>
      <c r="H1490" s="197"/>
      <c r="I1490" s="210">
        <f>PRODUCT(C1490:H1490)</f>
        <v>1</v>
      </c>
      <c r="J1490" s="201" t="s">
        <v>69</v>
      </c>
    </row>
    <row r="1491" spans="1:11" ht="24.95" customHeight="1">
      <c r="A1491" s="257"/>
      <c r="B1491" s="258"/>
      <c r="C1491" s="189"/>
      <c r="D1491" s="189"/>
      <c r="E1491" s="189"/>
      <c r="F1491" s="203"/>
      <c r="G1491" s="203"/>
      <c r="H1491" s="203"/>
      <c r="I1491" s="204"/>
      <c r="J1491" s="201"/>
    </row>
    <row r="1492" spans="1:11" ht="24.95" customHeight="1">
      <c r="A1492" s="304"/>
      <c r="B1492" s="318" t="s">
        <v>932</v>
      </c>
      <c r="C1492" s="238"/>
      <c r="D1492" s="238"/>
      <c r="E1492" s="238"/>
      <c r="F1492" s="306"/>
      <c r="G1492" s="306"/>
      <c r="H1492" s="306"/>
      <c r="I1492" s="306"/>
      <c r="J1492" s="307"/>
    </row>
    <row r="1493" spans="1:11" ht="24.95" customHeight="1">
      <c r="A1493" s="304"/>
      <c r="B1493" s="318" t="s">
        <v>933</v>
      </c>
      <c r="C1493" s="238">
        <v>2</v>
      </c>
      <c r="D1493" s="238" t="s">
        <v>461</v>
      </c>
      <c r="E1493" s="238">
        <v>9</v>
      </c>
      <c r="F1493" s="306">
        <v>1</v>
      </c>
      <c r="G1493" s="306"/>
      <c r="H1493" s="306"/>
      <c r="I1493" s="311">
        <f>PRODUCT(C1493:H1493)</f>
        <v>18</v>
      </c>
      <c r="J1493" s="307" t="s">
        <v>72</v>
      </c>
    </row>
    <row r="1494" spans="1:11" ht="24.95" customHeight="1">
      <c r="A1494" s="257"/>
      <c r="B1494" s="258"/>
      <c r="C1494" s="189"/>
      <c r="D1494" s="189"/>
      <c r="E1494" s="189"/>
      <c r="F1494" s="203"/>
      <c r="G1494" s="203"/>
      <c r="H1494" s="203"/>
      <c r="I1494" s="204"/>
      <c r="J1494" s="201"/>
    </row>
    <row r="1495" spans="1:11" ht="24.95" customHeight="1">
      <c r="A1495" s="213"/>
      <c r="B1495" s="188"/>
      <c r="C1495" s="189"/>
      <c r="D1495" s="189"/>
      <c r="E1495" s="189"/>
      <c r="F1495" s="203"/>
      <c r="G1495" s="203"/>
      <c r="H1495" s="204"/>
      <c r="I1495" s="204"/>
      <c r="J1495" s="201"/>
      <c r="K1495" s="185">
        <f>PRODUCT(C1502:H1502)</f>
        <v>296.49</v>
      </c>
    </row>
    <row r="1496" spans="1:11" ht="42" customHeight="1">
      <c r="A1496" s="192" t="s">
        <v>268</v>
      </c>
      <c r="B1496" s="188" t="s">
        <v>904</v>
      </c>
      <c r="C1496" s="189"/>
      <c r="D1496" s="189"/>
      <c r="E1496" s="189"/>
      <c r="F1496" s="190"/>
      <c r="G1496" s="190"/>
      <c r="H1496" s="190"/>
      <c r="I1496" s="190"/>
      <c r="J1496" s="201"/>
    </row>
    <row r="1497" spans="1:11" ht="24.95" customHeight="1">
      <c r="A1497" s="192"/>
      <c r="B1497" s="202" t="s">
        <v>905</v>
      </c>
      <c r="C1497" s="189">
        <v>1</v>
      </c>
      <c r="D1497" s="189"/>
      <c r="E1497" s="189">
        <v>1</v>
      </c>
      <c r="F1497" s="190">
        <f>I727</f>
        <v>1879</v>
      </c>
      <c r="G1497" s="190"/>
      <c r="H1497" s="190"/>
      <c r="I1497" s="190">
        <f>PRODUCT(C1497:H1497)</f>
        <v>1879</v>
      </c>
      <c r="J1497" s="191"/>
    </row>
    <row r="1498" spans="1:11" ht="24.95" customHeight="1">
      <c r="A1498" s="192"/>
      <c r="B1498" s="202"/>
      <c r="C1498" s="189"/>
      <c r="D1498" s="189"/>
      <c r="E1498" s="189"/>
      <c r="F1498" s="190"/>
      <c r="G1498" s="190"/>
      <c r="H1498" s="190"/>
      <c r="I1498" s="190">
        <f>SUM(I1497:I1497)</f>
        <v>1879</v>
      </c>
      <c r="J1498" s="191"/>
    </row>
    <row r="1499" spans="1:11" ht="24.95" customHeight="1">
      <c r="A1499" s="192"/>
      <c r="B1499" s="202"/>
      <c r="C1499" s="189"/>
      <c r="D1499" s="189"/>
      <c r="E1499" s="189"/>
      <c r="F1499" s="190"/>
      <c r="G1499" s="190"/>
      <c r="H1499" s="186" t="s">
        <v>261</v>
      </c>
      <c r="I1499" s="186">
        <f>ROUNDUP(I1498,1-0)</f>
        <v>1879</v>
      </c>
      <c r="J1499" s="201" t="s">
        <v>123</v>
      </c>
    </row>
    <row r="1500" spans="1:11" ht="24.95" customHeight="1">
      <c r="A1500" s="192"/>
      <c r="B1500" s="202"/>
      <c r="C1500" s="189"/>
      <c r="D1500" s="189"/>
      <c r="E1500" s="189"/>
      <c r="F1500" s="190"/>
      <c r="G1500" s="190"/>
      <c r="H1500" s="190"/>
      <c r="I1500" s="190"/>
      <c r="J1500" s="191"/>
    </row>
    <row r="1501" spans="1:11" ht="24.95" customHeight="1">
      <c r="A1501" s="213" t="s">
        <v>914</v>
      </c>
      <c r="B1501" s="188" t="s">
        <v>915</v>
      </c>
      <c r="C1501" s="189"/>
      <c r="D1501" s="189"/>
      <c r="E1501" s="189"/>
      <c r="F1501" s="190"/>
      <c r="G1501" s="190"/>
      <c r="H1501" s="190"/>
      <c r="I1501" s="190"/>
      <c r="J1501" s="191"/>
    </row>
    <row r="1502" spans="1:11" ht="24.95" customHeight="1">
      <c r="A1502" s="192"/>
      <c r="B1502" s="202" t="s">
        <v>511</v>
      </c>
      <c r="C1502" s="189">
        <v>1</v>
      </c>
      <c r="D1502" s="189" t="s">
        <v>461</v>
      </c>
      <c r="E1502" s="189">
        <v>1</v>
      </c>
      <c r="F1502" s="203">
        <v>21.93</v>
      </c>
      <c r="G1502" s="203">
        <v>13.52</v>
      </c>
      <c r="H1502" s="203"/>
      <c r="I1502" s="203">
        <f t="shared" ref="I1502:I1512" si="83">PRODUCT(C1502:H1502)</f>
        <v>296.49</v>
      </c>
      <c r="J1502" s="191"/>
    </row>
    <row r="1503" spans="1:11" ht="24.95" customHeight="1">
      <c r="A1503" s="192"/>
      <c r="B1503" s="202" t="s">
        <v>841</v>
      </c>
      <c r="C1503" s="189">
        <v>1</v>
      </c>
      <c r="D1503" s="189" t="s">
        <v>461</v>
      </c>
      <c r="E1503" s="189">
        <v>1</v>
      </c>
      <c r="F1503" s="203">
        <v>70.900000000000006</v>
      </c>
      <c r="G1503" s="203"/>
      <c r="H1503" s="203">
        <v>0.1</v>
      </c>
      <c r="I1503" s="203">
        <f t="shared" si="83"/>
        <v>7.09</v>
      </c>
      <c r="J1503" s="191"/>
    </row>
    <row r="1504" spans="1:11" ht="24.95" customHeight="1">
      <c r="A1504" s="192"/>
      <c r="B1504" s="202" t="s">
        <v>811</v>
      </c>
      <c r="C1504" s="189">
        <v>1</v>
      </c>
      <c r="D1504" s="189" t="s">
        <v>461</v>
      </c>
      <c r="E1504" s="189">
        <v>-1</v>
      </c>
      <c r="F1504" s="203">
        <v>13.08</v>
      </c>
      <c r="G1504" s="203">
        <v>1.1499999999999999</v>
      </c>
      <c r="H1504" s="203"/>
      <c r="I1504" s="203">
        <f t="shared" si="83"/>
        <v>-15.04</v>
      </c>
      <c r="J1504" s="191"/>
    </row>
    <row r="1505" spans="1:12" ht="24.95" customHeight="1">
      <c r="A1505" s="192"/>
      <c r="B1505" s="202" t="s">
        <v>811</v>
      </c>
      <c r="C1505" s="189">
        <v>1</v>
      </c>
      <c r="D1505" s="189" t="s">
        <v>461</v>
      </c>
      <c r="E1505" s="189">
        <v>-1</v>
      </c>
      <c r="F1505" s="203">
        <v>6.05</v>
      </c>
      <c r="G1505" s="203">
        <v>0.6</v>
      </c>
      <c r="H1505" s="203"/>
      <c r="I1505" s="203">
        <f t="shared" si="83"/>
        <v>-3.63</v>
      </c>
      <c r="J1505" s="191"/>
    </row>
    <row r="1506" spans="1:12" ht="24.95" customHeight="1">
      <c r="A1506" s="192"/>
      <c r="B1506" s="202" t="s">
        <v>811</v>
      </c>
      <c r="C1506" s="189">
        <v>1</v>
      </c>
      <c r="D1506" s="189" t="s">
        <v>461</v>
      </c>
      <c r="E1506" s="189">
        <v>-1</v>
      </c>
      <c r="F1506" s="203">
        <v>6.23</v>
      </c>
      <c r="G1506" s="203">
        <v>0.45</v>
      </c>
      <c r="H1506" s="203"/>
      <c r="I1506" s="203">
        <f t="shared" si="83"/>
        <v>-2.8</v>
      </c>
      <c r="J1506" s="191"/>
    </row>
    <row r="1507" spans="1:12" ht="24.95" customHeight="1">
      <c r="A1507" s="192"/>
      <c r="B1507" s="202" t="s">
        <v>512</v>
      </c>
      <c r="C1507" s="189">
        <v>1</v>
      </c>
      <c r="D1507" s="189" t="s">
        <v>461</v>
      </c>
      <c r="E1507" s="189">
        <v>1</v>
      </c>
      <c r="F1507" s="203">
        <v>5.54</v>
      </c>
      <c r="G1507" s="203">
        <v>1.05</v>
      </c>
      <c r="H1507" s="203"/>
      <c r="I1507" s="203">
        <f t="shared" si="83"/>
        <v>5.82</v>
      </c>
      <c r="J1507" s="191"/>
    </row>
    <row r="1508" spans="1:12" ht="24.95" customHeight="1">
      <c r="A1508" s="192"/>
      <c r="B1508" s="202" t="s">
        <v>812</v>
      </c>
      <c r="C1508" s="189">
        <v>1</v>
      </c>
      <c r="D1508" s="189" t="s">
        <v>461</v>
      </c>
      <c r="E1508" s="189">
        <v>1</v>
      </c>
      <c r="F1508" s="203">
        <v>1.96</v>
      </c>
      <c r="G1508" s="203">
        <v>1.05</v>
      </c>
      <c r="H1508" s="203"/>
      <c r="I1508" s="203">
        <f t="shared" si="83"/>
        <v>2.06</v>
      </c>
      <c r="J1508" s="191"/>
    </row>
    <row r="1509" spans="1:12" ht="24.95" customHeight="1">
      <c r="A1509" s="192"/>
      <c r="B1509" s="202" t="s">
        <v>804</v>
      </c>
      <c r="C1509" s="189">
        <v>1</v>
      </c>
      <c r="D1509" s="189" t="s">
        <v>461</v>
      </c>
      <c r="E1509" s="189">
        <v>1</v>
      </c>
      <c r="F1509" s="203">
        <v>19.2</v>
      </c>
      <c r="G1509" s="203">
        <v>12.03</v>
      </c>
      <c r="H1509" s="203"/>
      <c r="I1509" s="203">
        <f t="shared" si="83"/>
        <v>230.98</v>
      </c>
      <c r="J1509" s="191"/>
    </row>
    <row r="1510" spans="1:12" ht="39.75" customHeight="1">
      <c r="A1510" s="192"/>
      <c r="B1510" s="202" t="s">
        <v>841</v>
      </c>
      <c r="C1510" s="189">
        <v>1</v>
      </c>
      <c r="D1510" s="189" t="s">
        <v>461</v>
      </c>
      <c r="E1510" s="189">
        <v>1</v>
      </c>
      <c r="F1510" s="203">
        <v>62.46</v>
      </c>
      <c r="G1510" s="203"/>
      <c r="H1510" s="203">
        <v>0.1</v>
      </c>
      <c r="I1510" s="203">
        <f t="shared" si="83"/>
        <v>6.25</v>
      </c>
      <c r="J1510" s="191"/>
    </row>
    <row r="1511" spans="1:12" ht="24.95" customHeight="1">
      <c r="A1511" s="192"/>
      <c r="B1511" s="202" t="s">
        <v>916</v>
      </c>
      <c r="C1511" s="189">
        <v>1</v>
      </c>
      <c r="D1511" s="189" t="s">
        <v>461</v>
      </c>
      <c r="E1511" s="189">
        <v>1</v>
      </c>
      <c r="F1511" s="203">
        <v>7.26</v>
      </c>
      <c r="G1511" s="203">
        <v>4.1100000000000003</v>
      </c>
      <c r="H1511" s="203"/>
      <c r="I1511" s="203">
        <f t="shared" si="83"/>
        <v>29.84</v>
      </c>
      <c r="J1511" s="191"/>
    </row>
    <row r="1512" spans="1:12" ht="24.95" customHeight="1">
      <c r="A1512" s="192"/>
      <c r="B1512" s="202" t="s">
        <v>841</v>
      </c>
      <c r="C1512" s="189">
        <v>1</v>
      </c>
      <c r="D1512" s="189" t="s">
        <v>461</v>
      </c>
      <c r="E1512" s="189">
        <v>1</v>
      </c>
      <c r="F1512" s="203">
        <v>22.74</v>
      </c>
      <c r="G1512" s="203"/>
      <c r="H1512" s="203">
        <v>0.1</v>
      </c>
      <c r="I1512" s="203">
        <f t="shared" si="83"/>
        <v>2.27</v>
      </c>
      <c r="J1512" s="191"/>
    </row>
    <row r="1513" spans="1:12" ht="24.75" customHeight="1">
      <c r="A1513" s="192"/>
      <c r="B1513" s="202"/>
      <c r="C1513" s="189"/>
      <c r="D1513" s="189"/>
      <c r="E1513" s="189"/>
      <c r="F1513" s="203"/>
      <c r="G1513" s="203"/>
      <c r="H1513" s="203"/>
      <c r="I1513" s="203">
        <f>SUM(I1502:I1512)</f>
        <v>559.33000000000004</v>
      </c>
      <c r="J1513" s="191"/>
    </row>
    <row r="1514" spans="1:12" ht="24.95" customHeight="1">
      <c r="A1514" s="192"/>
      <c r="B1514" s="202"/>
      <c r="C1514" s="189"/>
      <c r="D1514" s="189"/>
      <c r="E1514" s="189"/>
      <c r="F1514" s="203"/>
      <c r="G1514" s="203"/>
      <c r="H1514" s="186" t="s">
        <v>261</v>
      </c>
      <c r="I1514" s="186">
        <f>ROUNDUP(I1513,1-0)</f>
        <v>559.4</v>
      </c>
      <c r="J1514" s="201" t="s">
        <v>123</v>
      </c>
    </row>
    <row r="1515" spans="1:12" s="260" customFormat="1" ht="16.5">
      <c r="A1515" s="213">
        <v>147</v>
      </c>
      <c r="B1515" s="202" t="s">
        <v>924</v>
      </c>
      <c r="C1515" s="189"/>
      <c r="D1515" s="189"/>
      <c r="E1515" s="189"/>
      <c r="F1515" s="190"/>
      <c r="G1515" s="190"/>
      <c r="H1515" s="190"/>
      <c r="I1515" s="190"/>
      <c r="J1515" s="191"/>
      <c r="K1515" s="259"/>
      <c r="L1515" s="259"/>
    </row>
    <row r="1516" spans="1:12" s="260" customFormat="1" ht="16.5">
      <c r="A1516" s="192"/>
      <c r="B1516" s="202" t="s">
        <v>921</v>
      </c>
      <c r="C1516" s="189">
        <v>1</v>
      </c>
      <c r="D1516" s="189">
        <v>3</v>
      </c>
      <c r="E1516" s="189"/>
      <c r="F1516" s="190"/>
      <c r="G1516" s="190"/>
      <c r="H1516" s="190"/>
      <c r="I1516" s="190">
        <v>3</v>
      </c>
      <c r="J1516" s="191"/>
      <c r="K1516" s="259"/>
      <c r="L1516" s="259"/>
    </row>
    <row r="1517" spans="1:12" s="260" customFormat="1" ht="16.5">
      <c r="A1517" s="192"/>
      <c r="B1517" s="202" t="s">
        <v>806</v>
      </c>
      <c r="C1517" s="189">
        <v>1</v>
      </c>
      <c r="D1517" s="189">
        <v>1</v>
      </c>
      <c r="E1517" s="189"/>
      <c r="F1517" s="190"/>
      <c r="G1517" s="190"/>
      <c r="H1517" s="190"/>
      <c r="I1517" s="190">
        <v>1</v>
      </c>
      <c r="J1517" s="191"/>
      <c r="K1517" s="261"/>
      <c r="L1517" s="261"/>
    </row>
    <row r="1518" spans="1:12" ht="24.95" customHeight="1">
      <c r="A1518" s="192"/>
      <c r="B1518" s="202" t="s">
        <v>922</v>
      </c>
      <c r="C1518" s="189">
        <v>1</v>
      </c>
      <c r="D1518" s="189">
        <v>3</v>
      </c>
      <c r="E1518" s="189"/>
      <c r="F1518" s="190"/>
      <c r="G1518" s="190"/>
      <c r="H1518" s="190"/>
      <c r="I1518" s="190">
        <v>3</v>
      </c>
      <c r="J1518" s="191"/>
    </row>
    <row r="1519" spans="1:12" ht="24.95" customHeight="1">
      <c r="A1519" s="192"/>
      <c r="B1519" s="202"/>
      <c r="C1519" s="189"/>
      <c r="D1519" s="189"/>
      <c r="E1519" s="189"/>
      <c r="F1519" s="190"/>
      <c r="G1519" s="190"/>
      <c r="H1519" s="190"/>
      <c r="I1519" s="190">
        <f>SUM(I1516:I1518)</f>
        <v>7</v>
      </c>
      <c r="J1519" s="191" t="s">
        <v>923</v>
      </c>
    </row>
    <row r="1520" spans="1:12" ht="53.25" customHeight="1">
      <c r="A1520" s="192"/>
      <c r="B1520" s="179" t="s">
        <v>29</v>
      </c>
      <c r="C1520" s="189">
        <v>1</v>
      </c>
      <c r="D1520" s="189">
        <v>2</v>
      </c>
      <c r="E1520" s="189"/>
      <c r="F1520" s="190">
        <v>1</v>
      </c>
      <c r="G1520" s="190"/>
      <c r="H1520" s="523"/>
      <c r="I1520" s="190">
        <f>D1520*F1520</f>
        <v>2</v>
      </c>
      <c r="J1520" s="191" t="s">
        <v>72</v>
      </c>
    </row>
    <row r="1521" spans="1:10" ht="24.95" customHeight="1">
      <c r="A1521" s="192"/>
      <c r="B1521" s="202"/>
      <c r="C1521" s="189"/>
      <c r="D1521" s="189"/>
      <c r="E1521" s="189"/>
      <c r="F1521" s="203"/>
      <c r="G1521" s="203"/>
      <c r="H1521" s="203"/>
      <c r="I1521" s="204"/>
      <c r="J1521" s="201"/>
    </row>
    <row r="1522" spans="1:10" ht="24.95" customHeight="1">
      <c r="A1522" s="192"/>
      <c r="B1522" s="202"/>
      <c r="C1522" s="189"/>
      <c r="D1522" s="189"/>
      <c r="E1522" s="189"/>
      <c r="F1522" s="203"/>
      <c r="G1522" s="203"/>
      <c r="H1522" s="203"/>
      <c r="I1522" s="204"/>
      <c r="J1522" s="201"/>
    </row>
    <row r="1523" spans="1:10" ht="24.95" customHeight="1">
      <c r="A1523" s="185"/>
      <c r="B1523" s="185"/>
      <c r="C1523" s="185"/>
      <c r="D1523" s="185"/>
      <c r="E1523" s="185"/>
      <c r="F1523" s="185"/>
      <c r="G1523" s="185"/>
      <c r="H1523" s="185"/>
      <c r="I1523" s="185"/>
      <c r="J1523" s="185"/>
    </row>
    <row r="1525" spans="1:10" ht="24.95" customHeight="1">
      <c r="A1525" s="185"/>
      <c r="B1525" s="185"/>
      <c r="C1525" s="185"/>
      <c r="D1525" s="185"/>
      <c r="E1525" s="185"/>
      <c r="F1525" s="185"/>
      <c r="G1525" s="185"/>
      <c r="H1525" s="185"/>
      <c r="I1525" s="185"/>
      <c r="J1525" s="185"/>
    </row>
    <row r="1526" spans="1:10" ht="24.95" customHeight="1">
      <c r="A1526" s="185"/>
      <c r="B1526" s="185"/>
      <c r="C1526" s="185"/>
      <c r="D1526" s="185"/>
      <c r="E1526" s="185"/>
      <c r="F1526" s="185"/>
      <c r="G1526" s="185"/>
      <c r="H1526" s="185"/>
      <c r="I1526" s="185"/>
      <c r="J1526" s="185"/>
    </row>
    <row r="1527" spans="1:10" ht="24.95" customHeight="1">
      <c r="A1527" s="185"/>
      <c r="B1527" s="185"/>
      <c r="C1527" s="185"/>
      <c r="D1527" s="185"/>
      <c r="E1527" s="185"/>
      <c r="F1527" s="185"/>
      <c r="G1527" s="185"/>
      <c r="H1527" s="185"/>
      <c r="I1527" s="185"/>
      <c r="J1527" s="185"/>
    </row>
    <row r="1528" spans="1:10" ht="24.95" customHeight="1">
      <c r="A1528" s="185"/>
      <c r="B1528" s="185"/>
      <c r="C1528" s="185"/>
      <c r="D1528" s="185"/>
      <c r="E1528" s="185"/>
      <c r="F1528" s="185"/>
      <c r="G1528" s="185"/>
      <c r="H1528" s="185"/>
      <c r="I1528" s="185"/>
      <c r="J1528" s="185"/>
    </row>
    <row r="1529" spans="1:10" ht="24.95" customHeight="1">
      <c r="A1529" s="185"/>
      <c r="B1529" s="185"/>
      <c r="C1529" s="185"/>
      <c r="D1529" s="185"/>
      <c r="E1529" s="185"/>
      <c r="F1529" s="185"/>
      <c r="G1529" s="185"/>
      <c r="H1529" s="185"/>
      <c r="I1529" s="185"/>
      <c r="J1529" s="185"/>
    </row>
    <row r="1530" spans="1:10" ht="24.95" customHeight="1">
      <c r="A1530" s="192"/>
      <c r="B1530" s="202"/>
      <c r="C1530" s="189"/>
      <c r="D1530" s="189"/>
      <c r="E1530" s="189"/>
      <c r="F1530" s="190"/>
      <c r="G1530" s="190"/>
      <c r="H1530" s="190"/>
      <c r="I1530" s="190"/>
      <c r="J1530" s="191"/>
    </row>
    <row r="1531" spans="1:10" ht="24.95" customHeight="1">
      <c r="A1531" s="185"/>
      <c r="B1531" s="185"/>
      <c r="C1531" s="185"/>
      <c r="D1531" s="185"/>
      <c r="E1531" s="185"/>
      <c r="F1531" s="185"/>
      <c r="G1531" s="185"/>
      <c r="H1531" s="185"/>
      <c r="I1531" s="185"/>
      <c r="J1531" s="185"/>
    </row>
    <row r="1532" spans="1:10" ht="24.95" customHeight="1">
      <c r="A1532" s="185"/>
      <c r="B1532" s="185"/>
      <c r="C1532" s="185"/>
      <c r="D1532" s="185"/>
      <c r="E1532" s="185"/>
      <c r="F1532" s="185"/>
      <c r="G1532" s="185"/>
      <c r="H1532" s="185"/>
      <c r="I1532" s="185"/>
      <c r="J1532" s="185"/>
    </row>
    <row r="1533" spans="1:10" ht="24.95" customHeight="1">
      <c r="A1533" s="185"/>
      <c r="B1533" s="185"/>
      <c r="C1533" s="185"/>
      <c r="D1533" s="185"/>
      <c r="E1533" s="185"/>
      <c r="F1533" s="185"/>
      <c r="G1533" s="185"/>
      <c r="H1533" s="185"/>
      <c r="I1533" s="185"/>
      <c r="J1533" s="185"/>
    </row>
    <row r="1534" spans="1:10" ht="24.95" customHeight="1">
      <c r="A1534" s="185"/>
      <c r="B1534" s="185"/>
      <c r="C1534" s="185"/>
      <c r="D1534" s="185"/>
      <c r="E1534" s="185"/>
      <c r="F1534" s="185"/>
      <c r="G1534" s="185"/>
      <c r="H1534" s="185"/>
      <c r="I1534" s="185"/>
      <c r="J1534" s="185"/>
    </row>
    <row r="1535" spans="1:10" ht="24.95" customHeight="1">
      <c r="A1535" s="185"/>
      <c r="B1535" s="185"/>
      <c r="C1535" s="185"/>
      <c r="D1535" s="185"/>
      <c r="E1535" s="185"/>
      <c r="F1535" s="185"/>
      <c r="G1535" s="185"/>
      <c r="H1535" s="185"/>
      <c r="I1535" s="185"/>
      <c r="J1535" s="185"/>
    </row>
    <row r="1536" spans="1:10" ht="24.95" customHeight="1">
      <c r="A1536" s="185"/>
      <c r="B1536" s="185"/>
      <c r="C1536" s="185"/>
      <c r="D1536" s="185"/>
      <c r="E1536" s="185"/>
      <c r="F1536" s="185"/>
      <c r="G1536" s="185"/>
      <c r="H1536" s="185"/>
      <c r="I1536" s="185"/>
      <c r="J1536" s="185"/>
    </row>
  </sheetData>
  <mergeCells count="11">
    <mergeCell ref="G151:I151"/>
    <mergeCell ref="F231:I231"/>
    <mergeCell ref="F850:H850"/>
    <mergeCell ref="A1:J1"/>
    <mergeCell ref="A2:J2"/>
    <mergeCell ref="A3:A4"/>
    <mergeCell ref="B3:B4"/>
    <mergeCell ref="C3:E4"/>
    <mergeCell ref="F3:H3"/>
    <mergeCell ref="I3:I4"/>
    <mergeCell ref="J3:J4"/>
  </mergeCells>
  <pageMargins left="0.5" right="0.6" top="0.7" bottom="0.2" header="0.3" footer="0.3"/>
  <pageSetup paperSize="9" scale="70" orientation="portrait" r:id="rId1"/>
  <headerFooter>
    <oddHeader>&amp;CPage &amp;P&amp;RFire Station, Pattukottai</oddHeader>
  </headerFooter>
</worksheet>
</file>

<file path=xl/worksheets/sheet5.xml><?xml version="1.0" encoding="utf-8"?>
<worksheet xmlns="http://schemas.openxmlformats.org/spreadsheetml/2006/main" xmlns:r="http://schemas.openxmlformats.org/officeDocument/2006/relationships">
  <sheetPr>
    <tabColor rgb="FFFFFF00"/>
  </sheetPr>
  <dimension ref="A1:F176"/>
  <sheetViews>
    <sheetView topLeftCell="A133" workbookViewId="0">
      <selection activeCell="G143" sqref="G143"/>
    </sheetView>
  </sheetViews>
  <sheetFormatPr defaultRowHeight="15.75"/>
  <cols>
    <col min="1" max="1" width="9" bestFit="1" customWidth="1"/>
    <col min="2" max="2" width="32.77734375" customWidth="1"/>
    <col min="3" max="3" width="9" bestFit="1" customWidth="1"/>
    <col min="5" max="5" width="9" bestFit="1" customWidth="1"/>
    <col min="6" max="6" width="10.6640625" bestFit="1" customWidth="1"/>
  </cols>
  <sheetData>
    <row r="1" spans="1:6" ht="35.25" customHeight="1">
      <c r="A1" s="581" t="str">
        <f>'[2]main detail'!A1:J1</f>
        <v>Name of work : Construction of Fire and Rescue service station building with development works at Kadamalaikundu in Theni District.</v>
      </c>
      <c r="B1" s="582"/>
      <c r="C1" s="582"/>
      <c r="D1" s="582"/>
      <c r="E1" s="582"/>
      <c r="F1" s="583"/>
    </row>
    <row r="2" spans="1:6">
      <c r="A2" s="282"/>
      <c r="B2" s="56" t="s">
        <v>1007</v>
      </c>
      <c r="C2" s="55"/>
      <c r="D2" s="55"/>
      <c r="E2" s="55"/>
      <c r="F2" s="283"/>
    </row>
    <row r="3" spans="1:6">
      <c r="A3" s="284"/>
      <c r="B3" s="57"/>
      <c r="C3" s="57"/>
      <c r="D3" s="57"/>
      <c r="E3" s="57"/>
      <c r="F3" s="285"/>
    </row>
    <row r="4" spans="1:6">
      <c r="A4" s="286" t="s">
        <v>9</v>
      </c>
      <c r="B4" s="286" t="s">
        <v>95</v>
      </c>
      <c r="C4" s="286" t="s">
        <v>3</v>
      </c>
      <c r="D4" s="286" t="s">
        <v>8</v>
      </c>
      <c r="E4" s="286" t="s">
        <v>55</v>
      </c>
      <c r="F4" s="286" t="s">
        <v>51</v>
      </c>
    </row>
    <row r="5" spans="1:6" ht="31.5">
      <c r="A5" s="257">
        <f>[2]building!A5</f>
        <v>1.1000000000000001</v>
      </c>
      <c r="B5" s="246" t="str">
        <f>[2]building!B5</f>
        <v>Earth work excavation in all soils (including refilling)</v>
      </c>
      <c r="C5" s="257"/>
      <c r="D5" s="257"/>
      <c r="E5" s="257"/>
      <c r="F5" s="257"/>
    </row>
    <row r="6" spans="1:6">
      <c r="A6" s="257"/>
      <c r="B6" s="246" t="str">
        <f>[2]building!B6</f>
        <v>a. 0 to 2 mt.</v>
      </c>
      <c r="C6" s="257" t="e">
        <f>#REF!</f>
        <v>#REF!</v>
      </c>
      <c r="D6" s="257" t="str">
        <f>[2]building!D6</f>
        <v>Cum.</v>
      </c>
      <c r="E6" s="257">
        <f>station!I29</f>
        <v>261.7</v>
      </c>
      <c r="F6" s="257" t="e">
        <f>C6*E6</f>
        <v>#REF!</v>
      </c>
    </row>
    <row r="7" spans="1:6">
      <c r="A7" s="257"/>
      <c r="B7" s="246" t="str">
        <f>[2]building!B7</f>
        <v>b. 2 to 3 mt.</v>
      </c>
      <c r="C7" s="257" t="e">
        <f>#REF!</f>
        <v>#REF!</v>
      </c>
      <c r="D7" s="257" t="str">
        <f>[2]building!D7</f>
        <v>Cum.</v>
      </c>
      <c r="E7" s="257"/>
      <c r="F7" s="257" t="e">
        <f t="shared" ref="F7:F70" si="0">C7*E7</f>
        <v>#REF!</v>
      </c>
    </row>
    <row r="8" spans="1:6" ht="31.5">
      <c r="A8" s="257">
        <f>[2]building!A17</f>
        <v>1.5</v>
      </c>
      <c r="B8" s="246" t="str">
        <f>[2]building!B17</f>
        <v>Earth work excavation for Open foundation (excluding refilling)</v>
      </c>
      <c r="C8" s="257"/>
      <c r="D8" s="257" t="str">
        <f>[2]building!D17</f>
        <v xml:space="preserve"> </v>
      </c>
      <c r="E8" s="257"/>
      <c r="F8" s="257">
        <f t="shared" si="0"/>
        <v>0</v>
      </c>
    </row>
    <row r="9" spans="1:6">
      <c r="A9" s="257"/>
      <c r="B9" s="258" t="str">
        <f>[2]building!B18</f>
        <v>a. 0 to 2 mt.</v>
      </c>
      <c r="C9" s="257" t="e">
        <f>#REF!</f>
        <v>#REF!</v>
      </c>
      <c r="D9" s="257" t="str">
        <f>[2]building!D18</f>
        <v>Cum.</v>
      </c>
      <c r="E9" s="257"/>
      <c r="F9" s="257" t="e">
        <f t="shared" si="0"/>
        <v>#REF!</v>
      </c>
    </row>
    <row r="10" spans="1:6">
      <c r="A10" s="257"/>
      <c r="B10" s="258" t="str">
        <f>[2]building!B19</f>
        <v>b. 2 to 3 mt.</v>
      </c>
      <c r="C10" s="257" t="e">
        <f>#REF!</f>
        <v>#REF!</v>
      </c>
      <c r="D10" s="257" t="str">
        <f>[2]building!D19</f>
        <v>Cum.</v>
      </c>
      <c r="E10" s="257"/>
      <c r="F10" s="257" t="e">
        <f t="shared" si="0"/>
        <v>#REF!</v>
      </c>
    </row>
    <row r="11" spans="1:6">
      <c r="A11" s="257">
        <f>[2]building!A38</f>
        <v>2.1</v>
      </c>
      <c r="B11" s="258" t="str">
        <f>[2]building!B38</f>
        <v>Filling sand</v>
      </c>
      <c r="C11" s="257" t="e">
        <f>#REF!</f>
        <v>#REF!</v>
      </c>
      <c r="D11" s="257" t="str">
        <f>[2]building!D38</f>
        <v>Cum.</v>
      </c>
      <c r="E11" s="257">
        <f>station!I46</f>
        <v>61.2</v>
      </c>
      <c r="F11" s="257" t="e">
        <f t="shared" si="0"/>
        <v>#REF!</v>
      </c>
    </row>
    <row r="12" spans="1:6">
      <c r="A12" s="287" t="s">
        <v>477</v>
      </c>
      <c r="B12" s="258" t="s">
        <v>1008</v>
      </c>
      <c r="C12" s="257">
        <f>[2]Data!R126</f>
        <v>249.9</v>
      </c>
      <c r="D12" s="257" t="s">
        <v>63</v>
      </c>
      <c r="E12" s="257">
        <f>station!I65</f>
        <v>381.2</v>
      </c>
      <c r="F12" s="257">
        <f t="shared" si="0"/>
        <v>95261.88</v>
      </c>
    </row>
    <row r="13" spans="1:6">
      <c r="A13" s="257">
        <f>[2]building!A45</f>
        <v>3.1</v>
      </c>
      <c r="B13" s="258" t="str">
        <f>[2]building!B45</f>
        <v>C.C.1:5:10 for Foundation &amp; Basement</v>
      </c>
      <c r="C13" s="257" t="e">
        <f>#REF!</f>
        <v>#REF!</v>
      </c>
      <c r="D13" s="257" t="str">
        <f>[2]building!D45</f>
        <v>Cum.</v>
      </c>
      <c r="E13" s="257">
        <f>station!I92</f>
        <v>21.2</v>
      </c>
      <c r="F13" s="257" t="e">
        <f t="shared" si="0"/>
        <v>#REF!</v>
      </c>
    </row>
    <row r="14" spans="1:6">
      <c r="A14" s="257">
        <v>4.0999999999999996</v>
      </c>
      <c r="B14" s="258" t="s">
        <v>1009</v>
      </c>
      <c r="C14" s="257">
        <f>[2]Data!X715</f>
        <v>7263.8</v>
      </c>
      <c r="D14" s="257" t="s">
        <v>63</v>
      </c>
      <c r="E14" s="257">
        <f>station!I149</f>
        <v>87.4</v>
      </c>
      <c r="F14" s="257">
        <f t="shared" si="0"/>
        <v>634856.12</v>
      </c>
    </row>
    <row r="15" spans="1:6" ht="47.25">
      <c r="A15" s="257">
        <f>[2]building!A59</f>
        <v>6.5</v>
      </c>
      <c r="B15" s="246" t="str">
        <f>[2]building!B59</f>
        <v>Brick work in C.M. 1:5 (F&amp; B) using Kiln Burnt Country bricks of size 22 x 11 x 7 cm (8 3/4" x 4 1/4" x 2 3/4")</v>
      </c>
      <c r="C15" s="257" t="e">
        <f>#REF!</f>
        <v>#REF!</v>
      </c>
      <c r="D15" s="257" t="str">
        <f>[2]building!D59</f>
        <v>Cum.</v>
      </c>
      <c r="E15" s="257">
        <f>station!I171</f>
        <v>66</v>
      </c>
      <c r="F15" s="257" t="e">
        <f t="shared" si="0"/>
        <v>#REF!</v>
      </c>
    </row>
    <row r="16" spans="1:6">
      <c r="A16" s="257">
        <v>8.1</v>
      </c>
      <c r="B16" s="246" t="s">
        <v>1010</v>
      </c>
      <c r="C16" s="257"/>
      <c r="D16" s="257"/>
      <c r="E16" s="257"/>
      <c r="F16" s="257">
        <f t="shared" si="0"/>
        <v>0</v>
      </c>
    </row>
    <row r="17" spans="1:6">
      <c r="A17" s="257"/>
      <c r="B17" s="246" t="s">
        <v>1011</v>
      </c>
      <c r="C17" s="257">
        <f>[2]Data!X717</f>
        <v>7372.27</v>
      </c>
      <c r="D17" s="257" t="s">
        <v>63</v>
      </c>
      <c r="E17" s="257">
        <f>station!I229</f>
        <v>67.2</v>
      </c>
      <c r="F17" s="257">
        <f t="shared" si="0"/>
        <v>495416.54</v>
      </c>
    </row>
    <row r="18" spans="1:6">
      <c r="A18" s="257"/>
      <c r="B18" s="246" t="s">
        <v>1012</v>
      </c>
      <c r="C18" s="257">
        <f>[2]Data!X718</f>
        <v>7585.95</v>
      </c>
      <c r="D18" s="257" t="s">
        <v>63</v>
      </c>
      <c r="E18" s="257">
        <f>station!I296</f>
        <v>113.6</v>
      </c>
      <c r="F18" s="257">
        <f t="shared" si="0"/>
        <v>861763.92</v>
      </c>
    </row>
    <row r="19" spans="1:6">
      <c r="A19" s="288"/>
      <c r="B19" s="258" t="s">
        <v>1013</v>
      </c>
      <c r="C19" s="257">
        <f>[2]Data!X719</f>
        <v>7799.63</v>
      </c>
      <c r="D19" s="257" t="s">
        <v>63</v>
      </c>
      <c r="E19" s="257">
        <f>station!I306</f>
        <v>8</v>
      </c>
      <c r="F19" s="257">
        <f t="shared" si="0"/>
        <v>62397.04</v>
      </c>
    </row>
    <row r="20" spans="1:6" ht="47.25">
      <c r="A20" s="257">
        <f>[2]building!A117</f>
        <v>9.5</v>
      </c>
      <c r="B20" s="246" t="str">
        <f>[2]building!B117</f>
        <v>Brick work in C.M. 1:6  using Kiln Burnt Country bricks of size 22 x 11 x 7 cm ( 8 3/4" x 4 1/4" x 2 3/4")</v>
      </c>
      <c r="C20" s="257"/>
      <c r="D20" s="257"/>
      <c r="E20" s="257"/>
      <c r="F20" s="257">
        <f t="shared" si="0"/>
        <v>0</v>
      </c>
    </row>
    <row r="21" spans="1:6">
      <c r="A21" s="257"/>
      <c r="B21" s="246" t="str">
        <f>[2]building!B118</f>
        <v>a. In Ground Floor</v>
      </c>
      <c r="C21" s="257" t="e">
        <f>#REF!</f>
        <v>#REF!</v>
      </c>
      <c r="D21" s="257" t="str">
        <f>[2]building!D118</f>
        <v>Cum.</v>
      </c>
      <c r="E21" s="257">
        <f>station!I366</f>
        <v>76.8</v>
      </c>
      <c r="F21" s="257" t="e">
        <f t="shared" si="0"/>
        <v>#REF!</v>
      </c>
    </row>
    <row r="22" spans="1:6">
      <c r="A22" s="257"/>
      <c r="B22" s="246" t="str">
        <f>[2]building!B119</f>
        <v>b. In First Floor</v>
      </c>
      <c r="C22" s="257" t="e">
        <f>#REF!</f>
        <v>#REF!</v>
      </c>
      <c r="D22" s="257" t="str">
        <f>[2]building!D119</f>
        <v>Cum.</v>
      </c>
      <c r="E22" s="257">
        <f>station!I411</f>
        <v>94.2</v>
      </c>
      <c r="F22" s="257" t="e">
        <f t="shared" si="0"/>
        <v>#REF!</v>
      </c>
    </row>
    <row r="23" spans="1:6">
      <c r="A23" s="257"/>
      <c r="B23" s="246" t="str">
        <f>[2]building!B120</f>
        <v>c. In Second Floor</v>
      </c>
      <c r="C23" s="257" t="e">
        <f>#REF!</f>
        <v>#REF!</v>
      </c>
      <c r="D23" s="257" t="str">
        <f>[2]building!D120</f>
        <v>Cum.</v>
      </c>
      <c r="E23" s="257">
        <f>station!I422</f>
        <v>18</v>
      </c>
      <c r="F23" s="257" t="e">
        <f t="shared" si="0"/>
        <v>#REF!</v>
      </c>
    </row>
    <row r="24" spans="1:6" ht="47.25">
      <c r="A24" s="257">
        <f>[2]building!A166</f>
        <v>10.5</v>
      </c>
      <c r="B24" s="246" t="str">
        <f>[2]building!B166</f>
        <v>Brick partition work in C.M. 1:4 Kiln Burnt Country bricks of size 22 x 11 x 7 cm (8 3/4" x 4 1/4" x 2 3/4") 110 mm tk (B.P.)</v>
      </c>
      <c r="C24" s="257"/>
      <c r="D24" s="257"/>
      <c r="E24" s="257"/>
      <c r="F24" s="257">
        <f t="shared" si="0"/>
        <v>0</v>
      </c>
    </row>
    <row r="25" spans="1:6">
      <c r="A25" s="257"/>
      <c r="B25" s="246" t="str">
        <f>[2]building!B167</f>
        <v>a. In Foundation and basement</v>
      </c>
      <c r="C25" s="257" t="e">
        <f>#REF!</f>
        <v>#REF!</v>
      </c>
      <c r="D25" s="257" t="str">
        <f>[2]building!D167</f>
        <v>Sqm.</v>
      </c>
      <c r="E25" s="257"/>
      <c r="F25" s="257" t="e">
        <f t="shared" si="0"/>
        <v>#REF!</v>
      </c>
    </row>
    <row r="26" spans="1:6">
      <c r="A26" s="257"/>
      <c r="B26" s="246" t="str">
        <f>[2]building!B168</f>
        <v>b. In Ground Floor</v>
      </c>
      <c r="C26" s="257" t="e">
        <f>#REF!</f>
        <v>#REF!</v>
      </c>
      <c r="D26" s="257" t="str">
        <f>[2]building!D168</f>
        <v>Sqm.</v>
      </c>
      <c r="E26" s="257">
        <f>station!I437</f>
        <v>56.2</v>
      </c>
      <c r="F26" s="257" t="e">
        <f t="shared" si="0"/>
        <v>#REF!</v>
      </c>
    </row>
    <row r="27" spans="1:6">
      <c r="A27" s="257"/>
      <c r="B27" s="246" t="str">
        <f>[2]building!B169</f>
        <v>c. In First Floor</v>
      </c>
      <c r="C27" s="257" t="e">
        <f>#REF!</f>
        <v>#REF!</v>
      </c>
      <c r="D27" s="257" t="str">
        <f>[2]building!D169</f>
        <v>Sqm.</v>
      </c>
      <c r="E27" s="257">
        <f>station!I447</f>
        <v>48.8</v>
      </c>
      <c r="F27" s="257" t="e">
        <f t="shared" si="0"/>
        <v>#REF!</v>
      </c>
    </row>
    <row r="28" spans="1:6">
      <c r="A28" s="257"/>
      <c r="B28" s="246" t="s">
        <v>1026</v>
      </c>
      <c r="C28" s="257" t="e">
        <f>#REF!</f>
        <v>#REF!</v>
      </c>
      <c r="D28" s="257" t="s">
        <v>98</v>
      </c>
      <c r="E28" s="257" t="e">
        <f>station!#REF!</f>
        <v>#REF!</v>
      </c>
      <c r="F28" s="257" t="e">
        <f t="shared" si="0"/>
        <v>#REF!</v>
      </c>
    </row>
    <row r="29" spans="1:6" ht="47.25">
      <c r="A29" s="257">
        <v>11.5</v>
      </c>
      <c r="B29" s="246" t="str">
        <f>[2]building!B180</f>
        <v>Brick work in C.M. 1:4 Chamber Burnt brick of size 23 x 11.2 x 7 cm (9" x 4 3/8" x 2 3/4")70 mm tk (B.P.)</v>
      </c>
      <c r="C29" s="257"/>
      <c r="D29" s="257"/>
      <c r="E29" s="257"/>
      <c r="F29" s="257">
        <f t="shared" si="0"/>
        <v>0</v>
      </c>
    </row>
    <row r="30" spans="1:6">
      <c r="A30" s="257"/>
      <c r="B30" s="246" t="str">
        <f>[2]building!B181</f>
        <v>a. In Ground Floor</v>
      </c>
      <c r="C30" s="257" t="e">
        <f>#REF!</f>
        <v>#REF!</v>
      </c>
      <c r="D30" s="257" t="str">
        <f>[2]building!D181</f>
        <v>Sqm.</v>
      </c>
      <c r="E30" s="257">
        <f>station!I456</f>
        <v>39.299999999999997</v>
      </c>
      <c r="F30" s="257" t="e">
        <f t="shared" si="0"/>
        <v>#REF!</v>
      </c>
    </row>
    <row r="31" spans="1:6">
      <c r="A31" s="257"/>
      <c r="B31" s="246" t="str">
        <f>[2]building!B182</f>
        <v>b. In First Floor</v>
      </c>
      <c r="C31" s="257" t="e">
        <f>#REF!</f>
        <v>#REF!</v>
      </c>
      <c r="D31" s="257" t="str">
        <f>[2]building!D182</f>
        <v>Sqm.</v>
      </c>
      <c r="E31" s="257">
        <f>station!I461</f>
        <v>26</v>
      </c>
      <c r="F31" s="257" t="e">
        <f t="shared" si="0"/>
        <v>#REF!</v>
      </c>
    </row>
    <row r="32" spans="1:6" ht="31.5">
      <c r="A32" s="257">
        <v>12.5</v>
      </c>
      <c r="B32" s="246" t="str">
        <f>[2]building!B216</f>
        <v>Brick partition in C.M. 1:4 using country bricks of size 22 x11x5cm 50 mm thick</v>
      </c>
      <c r="C32" s="257"/>
      <c r="D32" s="257"/>
      <c r="E32" s="257"/>
      <c r="F32" s="257">
        <f t="shared" si="0"/>
        <v>0</v>
      </c>
    </row>
    <row r="33" spans="1:6">
      <c r="A33" s="257"/>
      <c r="B33" s="258" t="str">
        <f>[2]building!B217</f>
        <v>a. In Ground Floor</v>
      </c>
      <c r="C33" s="257" t="e">
        <f>#REF!</f>
        <v>#REF!</v>
      </c>
      <c r="D33" s="257" t="str">
        <f>[2]building!D217</f>
        <v>Sqm.</v>
      </c>
      <c r="E33" s="257">
        <f>station!I466</f>
        <v>7.7</v>
      </c>
      <c r="F33" s="257" t="e">
        <f t="shared" si="0"/>
        <v>#REF!</v>
      </c>
    </row>
    <row r="34" spans="1:6">
      <c r="A34" s="257"/>
      <c r="B34" s="258" t="str">
        <f>[2]building!B218</f>
        <v>b. In First Floor</v>
      </c>
      <c r="C34" s="257" t="e">
        <f>#REF!</f>
        <v>#REF!</v>
      </c>
      <c r="D34" s="257" t="str">
        <f>[2]building!D218</f>
        <v>Sqm.</v>
      </c>
      <c r="E34" s="257">
        <f>station!I469</f>
        <v>9</v>
      </c>
      <c r="F34" s="257" t="e">
        <f t="shared" si="0"/>
        <v>#REF!</v>
      </c>
    </row>
    <row r="35" spans="1:6">
      <c r="A35" s="257">
        <f>[2]building!A229</f>
        <v>13.1</v>
      </c>
      <c r="B35" s="258" t="str">
        <f>[2]building!B229</f>
        <v>Filling with Excavated Earth</v>
      </c>
      <c r="C35" s="257" t="e">
        <f>#REF!</f>
        <v>#REF!</v>
      </c>
      <c r="D35" s="257" t="str">
        <f>[2]building!D229</f>
        <v>Cum.</v>
      </c>
      <c r="E35" s="257">
        <f>station!I508</f>
        <v>76.2</v>
      </c>
      <c r="F35" s="257" t="e">
        <f t="shared" si="0"/>
        <v>#REF!</v>
      </c>
    </row>
    <row r="36" spans="1:6" ht="47.25">
      <c r="A36" s="288">
        <v>16.100000000000001</v>
      </c>
      <c r="B36" s="246" t="s">
        <v>1027</v>
      </c>
      <c r="C36" s="257"/>
      <c r="D36" s="257"/>
      <c r="E36" s="257"/>
      <c r="F36" s="257">
        <f t="shared" si="0"/>
        <v>0</v>
      </c>
    </row>
    <row r="37" spans="1:6">
      <c r="A37" s="288"/>
      <c r="B37" s="246" t="s">
        <v>1028</v>
      </c>
      <c r="C37" s="257" t="e">
        <f>#REF!</f>
        <v>#REF!</v>
      </c>
      <c r="D37" s="257" t="s">
        <v>123</v>
      </c>
      <c r="E37" s="257">
        <f>station!I517</f>
        <v>9.4</v>
      </c>
      <c r="F37" s="257" t="e">
        <f t="shared" si="0"/>
        <v>#REF!</v>
      </c>
    </row>
    <row r="38" spans="1:6">
      <c r="A38" s="288"/>
      <c r="B38" s="246" t="s">
        <v>1029</v>
      </c>
      <c r="C38" s="257" t="e">
        <f>#REF!</f>
        <v>#REF!</v>
      </c>
      <c r="D38" s="257" t="s">
        <v>123</v>
      </c>
      <c r="E38" s="257">
        <f>station!I523</f>
        <v>9</v>
      </c>
      <c r="F38" s="257" t="e">
        <f t="shared" si="0"/>
        <v>#REF!</v>
      </c>
    </row>
    <row r="39" spans="1:6">
      <c r="A39" s="257">
        <f>[2]building!A289</f>
        <v>21.2</v>
      </c>
      <c r="B39" s="258" t="str">
        <f>[2]building!B289</f>
        <v>Teak wood Wrought &amp; Put up</v>
      </c>
      <c r="C39" s="257"/>
      <c r="D39" s="257"/>
      <c r="E39" s="257"/>
      <c r="F39" s="257">
        <f t="shared" si="0"/>
        <v>0</v>
      </c>
    </row>
    <row r="40" spans="1:6">
      <c r="A40" s="257"/>
      <c r="B40" s="258" t="str">
        <f>[2]building!B290</f>
        <v>a. T.W. over 2 m &amp; below 3 m</v>
      </c>
      <c r="C40" s="257" t="e">
        <f>#REF!</f>
        <v>#REF!</v>
      </c>
      <c r="D40" s="257" t="str">
        <f>[2]building!D290</f>
        <v>Cum.</v>
      </c>
      <c r="E40" s="257">
        <f>station!I530</f>
        <v>0.6</v>
      </c>
      <c r="F40" s="257" t="e">
        <f t="shared" si="0"/>
        <v>#REF!</v>
      </c>
    </row>
    <row r="41" spans="1:6">
      <c r="A41" s="288"/>
      <c r="B41" s="258" t="str">
        <f>[2]building!B291</f>
        <v>b. T.W. below 2 m length.</v>
      </c>
      <c r="C41" s="257" t="e">
        <f>#REF!</f>
        <v>#REF!</v>
      </c>
      <c r="D41" s="257" t="str">
        <f>[2]building!D291</f>
        <v>Cum.</v>
      </c>
      <c r="E41" s="257">
        <f>station!I535</f>
        <v>0.5</v>
      </c>
      <c r="F41" s="257" t="e">
        <f t="shared" si="0"/>
        <v>#REF!</v>
      </c>
    </row>
    <row r="42" spans="1:6">
      <c r="A42" s="257">
        <f>[2]building!A307</f>
        <v>23.3</v>
      </c>
      <c r="B42" s="246" t="str">
        <f>[2]building!B307</f>
        <v>S&amp;F of Magnetic door catches</v>
      </c>
      <c r="C42" s="257" t="e">
        <f>#REF!</f>
        <v>#REF!</v>
      </c>
      <c r="D42" s="257" t="str">
        <f>[2]building!D307</f>
        <v>Each</v>
      </c>
      <c r="E42" s="257">
        <f>station!I538</f>
        <v>13</v>
      </c>
      <c r="F42" s="257" t="e">
        <f t="shared" si="0"/>
        <v>#REF!</v>
      </c>
    </row>
    <row r="43" spans="1:6">
      <c r="A43" s="257">
        <f>[2]building!A322</f>
        <v>25</v>
      </c>
      <c r="B43" s="246" t="str">
        <f>[2]building!B322</f>
        <v>M.S.Holdfast</v>
      </c>
      <c r="C43" s="257" t="e">
        <f>#REF!</f>
        <v>#REF!</v>
      </c>
      <c r="D43" s="257" t="str">
        <f>[2]building!D322</f>
        <v>Each</v>
      </c>
      <c r="E43" s="257">
        <f>station!I541</f>
        <v>84</v>
      </c>
      <c r="F43" s="257" t="e">
        <f t="shared" si="0"/>
        <v>#REF!</v>
      </c>
    </row>
    <row r="44" spans="1:6">
      <c r="A44" s="257">
        <f>[2]building!A323</f>
        <v>26</v>
      </c>
      <c r="B44" s="246" t="str">
        <f>[2]building!B323</f>
        <v>Flooring in C.C.1:5:10</v>
      </c>
      <c r="C44" s="257" t="e">
        <f>#REF!</f>
        <v>#REF!</v>
      </c>
      <c r="D44" s="257" t="str">
        <f>[2]building!D323</f>
        <v>Cum.</v>
      </c>
      <c r="E44" s="257">
        <f>station!I559</f>
        <v>61</v>
      </c>
      <c r="F44" s="257" t="e">
        <f t="shared" si="0"/>
        <v>#REF!</v>
      </c>
    </row>
    <row r="45" spans="1:6">
      <c r="A45" s="257">
        <f>[2]building!A330</f>
        <v>28</v>
      </c>
      <c r="B45" s="246" t="str">
        <f>[2]building!B330</f>
        <v>Floor plastering in C.M. 1:4, 20 mm tk.</v>
      </c>
      <c r="C45" s="257" t="e">
        <f>#REF!</f>
        <v>#REF!</v>
      </c>
      <c r="D45" s="257" t="str">
        <f>[2]building!D330</f>
        <v>Sqm.</v>
      </c>
      <c r="E45" s="257">
        <f>station!I570</f>
        <v>375.7</v>
      </c>
      <c r="F45" s="257" t="e">
        <f t="shared" si="0"/>
        <v>#REF!</v>
      </c>
    </row>
    <row r="46" spans="1:6">
      <c r="A46" s="257">
        <f>[2]building!A336</f>
        <v>30</v>
      </c>
      <c r="B46" s="258" t="str">
        <f>[2]building!B336</f>
        <v>Ellispattern</v>
      </c>
      <c r="C46" s="257" t="e">
        <f>#REF!</f>
        <v>#REF!</v>
      </c>
      <c r="D46" s="257" t="str">
        <f>[2]building!D336</f>
        <v>Sqm.</v>
      </c>
      <c r="E46" s="257">
        <f>station!I574</f>
        <v>48.2</v>
      </c>
      <c r="F46" s="257" t="e">
        <f t="shared" si="0"/>
        <v>#REF!</v>
      </c>
    </row>
    <row r="47" spans="1:6">
      <c r="A47" s="257">
        <f>[2]building!A337</f>
        <v>31</v>
      </c>
      <c r="B47" s="258" t="str">
        <f>[2]building!B337</f>
        <v>Weathering course</v>
      </c>
      <c r="C47" s="257" t="e">
        <f>#REF!</f>
        <v>#REF!</v>
      </c>
      <c r="D47" s="257" t="str">
        <f>[2]building!D337</f>
        <v>Cum.</v>
      </c>
      <c r="E47" s="257">
        <f>station!I578</f>
        <v>3.25</v>
      </c>
      <c r="F47" s="257" t="e">
        <f t="shared" si="0"/>
        <v>#REF!</v>
      </c>
    </row>
    <row r="48" spans="1:6">
      <c r="A48" s="257">
        <f>[2]building!A341</f>
        <v>33</v>
      </c>
      <c r="B48" s="258" t="str">
        <f>[2]building!B341</f>
        <v>Plastering in C.M. 1:5, 12 mm tk.</v>
      </c>
      <c r="C48" s="257" t="e">
        <f>#REF!</f>
        <v>#REF!</v>
      </c>
      <c r="D48" s="257" t="str">
        <f>[2]building!D341</f>
        <v>Sqm.</v>
      </c>
      <c r="E48" s="257">
        <f>station!I729</f>
        <v>3026</v>
      </c>
      <c r="F48" s="257" t="e">
        <f t="shared" si="0"/>
        <v>#REF!</v>
      </c>
    </row>
    <row r="49" spans="1:6">
      <c r="A49" s="257">
        <f>[2]building!A342</f>
        <v>34</v>
      </c>
      <c r="B49" s="258" t="str">
        <f>[2]building!B342</f>
        <v>Plastering in C.M. 1:4, 12 mm tk.</v>
      </c>
      <c r="C49" s="257" t="e">
        <f>#REF!</f>
        <v>#REF!</v>
      </c>
      <c r="D49" s="257" t="str">
        <f>[2]building!D342</f>
        <v>Sqm.</v>
      </c>
      <c r="E49" s="257">
        <f>station!I736</f>
        <v>40.5</v>
      </c>
      <c r="F49" s="257" t="e">
        <f t="shared" si="0"/>
        <v>#REF!</v>
      </c>
    </row>
    <row r="50" spans="1:6">
      <c r="A50" s="288">
        <f>[2]building!A343</f>
        <v>35</v>
      </c>
      <c r="B50" s="258" t="str">
        <f>[2]building!B343</f>
        <v>Spl. Ceiling plastering in C.M. 1:3,
 10 mm tk.</v>
      </c>
      <c r="C50" s="257" t="e">
        <f>#REF!</f>
        <v>#REF!</v>
      </c>
      <c r="D50" s="257" t="str">
        <f>[2]building!D343</f>
        <v>Sqm.</v>
      </c>
      <c r="E50" s="257">
        <f>station!I792</f>
        <v>910</v>
      </c>
      <c r="F50" s="257" t="e">
        <f t="shared" si="0"/>
        <v>#REF!</v>
      </c>
    </row>
    <row r="51" spans="1:6">
      <c r="A51" s="288">
        <v>35.1</v>
      </c>
      <c r="B51" s="246" t="e">
        <f>station!#REF!</f>
        <v>#REF!</v>
      </c>
      <c r="C51" s="257" t="e">
        <f>#REF!</f>
        <v>#REF!</v>
      </c>
      <c r="D51" s="257" t="s">
        <v>123</v>
      </c>
      <c r="E51" s="257" t="e">
        <f>station!#REF!</f>
        <v>#REF!</v>
      </c>
      <c r="F51" s="257" t="e">
        <f t="shared" si="0"/>
        <v>#REF!</v>
      </c>
    </row>
    <row r="52" spans="1:6">
      <c r="A52" s="288"/>
      <c r="B52" s="258"/>
      <c r="C52" s="257"/>
      <c r="D52" s="257"/>
      <c r="E52" s="257"/>
      <c r="F52" s="257">
        <f t="shared" si="0"/>
        <v>0</v>
      </c>
    </row>
    <row r="53" spans="1:6">
      <c r="A53" s="257">
        <f>[2]building!A344</f>
        <v>36</v>
      </c>
      <c r="B53" s="258" t="str">
        <f>[2]building!B344</f>
        <v>Cement mortar Border in  C.M. 1:5, 12 mm tk.</v>
      </c>
      <c r="C53" s="257"/>
      <c r="D53" s="257"/>
      <c r="E53" s="257"/>
      <c r="F53" s="257">
        <f t="shared" si="0"/>
        <v>0</v>
      </c>
    </row>
    <row r="54" spans="1:6">
      <c r="A54" s="257" t="str">
        <f>[2]building!A345</f>
        <v xml:space="preserve"> </v>
      </c>
      <c r="B54" s="246" t="str">
        <f>[2]building!B345</f>
        <v>a. 150 mm wide</v>
      </c>
      <c r="C54" s="257" t="e">
        <f>#REF!</f>
        <v>#REF!</v>
      </c>
      <c r="D54" s="257" t="str">
        <f>[2]building!D345</f>
        <v>Rmt</v>
      </c>
      <c r="E54" s="257">
        <f>station!I799</f>
        <v>144</v>
      </c>
      <c r="F54" s="257" t="e">
        <f t="shared" si="0"/>
        <v>#REF!</v>
      </c>
    </row>
    <row r="55" spans="1:6">
      <c r="A55" s="257"/>
      <c r="B55" s="246" t="str">
        <f>[2]building!B346</f>
        <v>b. 75 mm wide</v>
      </c>
      <c r="C55" s="257" t="e">
        <f>#REF!</f>
        <v>#REF!</v>
      </c>
      <c r="D55" s="257" t="str">
        <f>[2]building!D346</f>
        <v>Rmt</v>
      </c>
      <c r="E55" s="257">
        <f>station!I804</f>
        <v>144</v>
      </c>
      <c r="F55" s="257" t="e">
        <f t="shared" si="0"/>
        <v>#REF!</v>
      </c>
    </row>
    <row r="56" spans="1:6">
      <c r="A56" s="257"/>
      <c r="B56" s="246" t="str">
        <f>[2]building!B347</f>
        <v>c. 50 mm wide</v>
      </c>
      <c r="C56" s="257" t="e">
        <f>#REF!</f>
        <v>#REF!</v>
      </c>
      <c r="D56" s="257" t="str">
        <f>[2]building!D347</f>
        <v>Rmt</v>
      </c>
      <c r="E56" s="257">
        <f>station!I809</f>
        <v>144</v>
      </c>
      <c r="F56" s="257" t="e">
        <f t="shared" si="0"/>
        <v>#REF!</v>
      </c>
    </row>
    <row r="57" spans="1:6">
      <c r="A57" s="257">
        <f>[2]building!A348</f>
        <v>37.1</v>
      </c>
      <c r="B57" s="246" t="str">
        <f>[2]building!B348</f>
        <v>White washing 3 coats  (slaked)</v>
      </c>
      <c r="C57" s="257" t="e">
        <f>#REF!</f>
        <v>#REF!</v>
      </c>
      <c r="D57" s="257" t="str">
        <f>[2]building!D348</f>
        <v>Sqm.</v>
      </c>
      <c r="E57" s="257">
        <f>station!I812</f>
        <v>910</v>
      </c>
      <c r="F57" s="257" t="e">
        <f t="shared" si="0"/>
        <v>#REF!</v>
      </c>
    </row>
    <row r="58" spans="1:6">
      <c r="A58" s="257">
        <f>[2]building!A355</f>
        <v>39</v>
      </c>
      <c r="B58" s="246" t="str">
        <f>[2]building!B355</f>
        <v>M.s Grills</v>
      </c>
      <c r="C58" s="257" t="e">
        <f>#REF!</f>
        <v>#REF!</v>
      </c>
      <c r="D58" s="257" t="str">
        <f>[2]building!D355</f>
        <v>Kg.</v>
      </c>
      <c r="E58" s="257">
        <f>station!I823</f>
        <v>952</v>
      </c>
      <c r="F58" s="257" t="e">
        <f t="shared" si="0"/>
        <v>#REF!</v>
      </c>
    </row>
    <row r="59" spans="1:6">
      <c r="A59" s="257">
        <v>24</v>
      </c>
      <c r="B59" s="246" t="s">
        <v>736</v>
      </c>
      <c r="C59" s="257">
        <v>62.1</v>
      </c>
      <c r="D59" s="257" t="s">
        <v>12</v>
      </c>
      <c r="E59" s="257">
        <f>station!I845</f>
        <v>4060</v>
      </c>
      <c r="F59" s="257">
        <f t="shared" si="0"/>
        <v>252126</v>
      </c>
    </row>
    <row r="60" spans="1:6">
      <c r="A60" s="257">
        <f>[2]building!A356</f>
        <v>40</v>
      </c>
      <c r="B60" s="246" t="str">
        <f>[2]building!B356</f>
        <v>Painting - New "wood work"</v>
      </c>
      <c r="C60" s="257" t="e">
        <f>#REF!</f>
        <v>#REF!</v>
      </c>
      <c r="D60" s="257" t="str">
        <f>[2]building!D356</f>
        <v>Sqm.</v>
      </c>
      <c r="E60" s="257">
        <f>station!I851</f>
        <v>62.15</v>
      </c>
      <c r="F60" s="257" t="e">
        <f t="shared" si="0"/>
        <v>#REF!</v>
      </c>
    </row>
    <row r="61" spans="1:6">
      <c r="A61" s="257">
        <f>[2]building!A357</f>
        <v>41</v>
      </c>
      <c r="B61" s="246" t="str">
        <f>[2]building!B357</f>
        <v>Painting - New "iron work"</v>
      </c>
      <c r="C61" s="257" t="e">
        <f>#REF!</f>
        <v>#REF!</v>
      </c>
      <c r="D61" s="257" t="str">
        <f>[2]building!D357</f>
        <v>Sqm.</v>
      </c>
      <c r="E61" s="257">
        <f>station!I875</f>
        <v>147.6</v>
      </c>
      <c r="F61" s="257" t="e">
        <f t="shared" si="0"/>
        <v>#REF!</v>
      </c>
    </row>
    <row r="62" spans="1:6">
      <c r="A62" s="257">
        <f>[2]building!A367</f>
        <v>46</v>
      </c>
      <c r="B62" s="246" t="str">
        <f>[2]building!B367</f>
        <v>S &amp; F 20 mm dia Alu. Hanger Rod</v>
      </c>
      <c r="C62" s="257" t="e">
        <f>#REF!</f>
        <v>#REF!</v>
      </c>
      <c r="D62" s="257" t="str">
        <f>[2]building!D367</f>
        <v>Rmt</v>
      </c>
      <c r="E62" s="257">
        <f>station!I878</f>
        <v>8</v>
      </c>
      <c r="F62" s="257" t="e">
        <f t="shared" si="0"/>
        <v>#REF!</v>
      </c>
    </row>
    <row r="63" spans="1:6">
      <c r="A63" s="257">
        <f>[2]building!A368</f>
        <v>47</v>
      </c>
      <c r="B63" s="246" t="str">
        <f>[2]building!B368</f>
        <v>S &amp; F Alu  Towel rail 75 cm long</v>
      </c>
      <c r="C63" s="257">
        <f>[2]building!C368</f>
        <v>95</v>
      </c>
      <c r="D63" s="257" t="str">
        <f>[2]building!D368</f>
        <v>Each</v>
      </c>
      <c r="E63" s="257">
        <f>station!I879</f>
        <v>8</v>
      </c>
      <c r="F63" s="257">
        <f t="shared" si="0"/>
        <v>760</v>
      </c>
    </row>
    <row r="64" spans="1:6">
      <c r="A64" s="257">
        <f>[2]building!A369</f>
        <v>48</v>
      </c>
      <c r="B64" s="246" t="str">
        <f>[2]building!B369</f>
        <v>S &amp; F 5 pin Coat stand</v>
      </c>
      <c r="C64" s="257">
        <f>[2]building!C369</f>
        <v>55</v>
      </c>
      <c r="D64" s="257" t="str">
        <f>[2]building!D369</f>
        <v>Each</v>
      </c>
      <c r="E64" s="257">
        <f>station!I880</f>
        <v>10</v>
      </c>
      <c r="F64" s="257">
        <f t="shared" si="0"/>
        <v>550</v>
      </c>
    </row>
    <row r="65" spans="1:6">
      <c r="A65" s="257">
        <f>[2]building!A370</f>
        <v>49</v>
      </c>
      <c r="B65" s="246" t="str">
        <f>[2]building!B370</f>
        <v>S &amp; F chromium plated 8 guage Picture Hook</v>
      </c>
      <c r="C65" s="257">
        <f>[2]building!C370</f>
        <v>1.5</v>
      </c>
      <c r="D65" s="257" t="str">
        <f>[2]building!D370</f>
        <v>Each</v>
      </c>
      <c r="E65" s="257">
        <f>station!I882</f>
        <v>100</v>
      </c>
      <c r="F65" s="257">
        <f t="shared" si="0"/>
        <v>150</v>
      </c>
    </row>
    <row r="66" spans="1:6" ht="31.5">
      <c r="A66" s="257">
        <f>[2]building!A372</f>
        <v>50.2</v>
      </c>
      <c r="B66" s="246" t="str">
        <f>[2]building!B372</f>
        <v xml:space="preserve">Providing precast Kerb stone in C.C. 1:3:6,  450 x 300 x 150 mm </v>
      </c>
      <c r="C66" s="257">
        <f>[2]building!C372</f>
        <v>244.49</v>
      </c>
      <c r="D66" s="257" t="str">
        <f>[2]building!D372</f>
        <v>Rmt</v>
      </c>
      <c r="E66" s="257"/>
      <c r="F66" s="257">
        <f t="shared" si="0"/>
        <v>0</v>
      </c>
    </row>
    <row r="67" spans="1:6">
      <c r="A67" s="257">
        <f>[2]building!A373</f>
        <v>50.3</v>
      </c>
      <c r="B67" s="246" t="str">
        <f>[2]building!B373</f>
        <v>Supply and planting avenue trees</v>
      </c>
      <c r="C67" s="257">
        <f>[2]building!C373</f>
        <v>341.76</v>
      </c>
      <c r="D67" s="257" t="str">
        <f>[2]building!D373</f>
        <v>Each</v>
      </c>
      <c r="E67" s="257">
        <f>station!I883</f>
        <v>15</v>
      </c>
      <c r="F67" s="257">
        <f t="shared" si="0"/>
        <v>5126.3999999999996</v>
      </c>
    </row>
    <row r="68" spans="1:6">
      <c r="A68" s="257">
        <f>[2]building!A374</f>
        <v>50.4</v>
      </c>
      <c r="B68" s="246" t="str">
        <f>[2]building!B374</f>
        <v>Providing Tree guard</v>
      </c>
      <c r="C68" s="257">
        <f>[2]building!C374</f>
        <v>807.7</v>
      </c>
      <c r="D68" s="257" t="str">
        <f>[2]building!D374</f>
        <v>Each</v>
      </c>
      <c r="E68" s="257">
        <f>station!I884</f>
        <v>15</v>
      </c>
      <c r="F68" s="257">
        <f t="shared" si="0"/>
        <v>12115.5</v>
      </c>
    </row>
    <row r="69" spans="1:6" ht="31.5">
      <c r="A69" s="257">
        <f>[2]building!A375</f>
        <v>50.5</v>
      </c>
      <c r="B69" s="246" t="str">
        <f>[2]building!B375</f>
        <v>Supplying. Fabricating and erection of M.S Scheme Name board</v>
      </c>
      <c r="C69" s="257">
        <f>[2]building!C375</f>
        <v>17220.29</v>
      </c>
      <c r="D69" s="257" t="str">
        <f>[2]building!D375</f>
        <v>Each</v>
      </c>
      <c r="E69" s="257">
        <f>station!I885</f>
        <v>1</v>
      </c>
      <c r="F69" s="257">
        <f t="shared" si="0"/>
        <v>17220.29</v>
      </c>
    </row>
    <row r="70" spans="1:6" ht="31.5">
      <c r="A70" s="257">
        <f>[2]building!A376</f>
        <v>51</v>
      </c>
      <c r="B70" s="246" t="str">
        <f>[2]building!B376</f>
        <v>HDPE water tank 700 lit capacity with ISI mark</v>
      </c>
      <c r="C70" s="257">
        <f>[2]building!C376</f>
        <v>6720</v>
      </c>
      <c r="D70" s="257" t="str">
        <f>[2]building!D376</f>
        <v>Each</v>
      </c>
      <c r="E70" s="257"/>
      <c r="F70" s="257">
        <f t="shared" si="0"/>
        <v>0</v>
      </c>
    </row>
    <row r="71" spans="1:6">
      <c r="A71" s="257">
        <f>[2]building!A377</f>
        <v>52</v>
      </c>
      <c r="B71" s="246" t="str">
        <f>[2]building!B377</f>
        <v>PVC Water supply (ASTM)</v>
      </c>
      <c r="C71" s="257"/>
      <c r="D71" s="257"/>
      <c r="E71" s="257"/>
      <c r="F71" s="257">
        <f t="shared" ref="F71:F78" si="1">C71*E71</f>
        <v>0</v>
      </c>
    </row>
    <row r="72" spans="1:6">
      <c r="A72" s="257"/>
      <c r="B72" s="258" t="str">
        <f>[2]building!B378</f>
        <v xml:space="preserve">a. 32 mm dia </v>
      </c>
      <c r="C72" s="257">
        <f>[2]building!C378</f>
        <v>227.81</v>
      </c>
      <c r="D72" s="257" t="str">
        <f>[2]building!D378</f>
        <v>Rmt</v>
      </c>
      <c r="E72" s="257">
        <f>station!I889</f>
        <v>50</v>
      </c>
      <c r="F72" s="257">
        <f t="shared" si="1"/>
        <v>11390.5</v>
      </c>
    </row>
    <row r="73" spans="1:6">
      <c r="A73" s="257"/>
      <c r="B73" s="258" t="str">
        <f>[2]building!B379</f>
        <v xml:space="preserve">b. 25 mm dia </v>
      </c>
      <c r="C73" s="257">
        <f>[2]building!C379</f>
        <v>208.73</v>
      </c>
      <c r="D73" s="257" t="str">
        <f>[2]building!D379</f>
        <v>Rmt</v>
      </c>
      <c r="E73" s="257">
        <f>station!I892</f>
        <v>60</v>
      </c>
      <c r="F73" s="257">
        <f t="shared" si="1"/>
        <v>12523.8</v>
      </c>
    </row>
    <row r="74" spans="1:6">
      <c r="A74" s="257"/>
      <c r="B74" s="258" t="s">
        <v>1030</v>
      </c>
      <c r="C74" s="257" t="e">
        <f>#REF!</f>
        <v>#REF!</v>
      </c>
      <c r="D74" s="257" t="s">
        <v>39</v>
      </c>
      <c r="E74" s="257">
        <f>station!I895</f>
        <v>60</v>
      </c>
      <c r="F74" s="257" t="e">
        <f t="shared" si="1"/>
        <v>#REF!</v>
      </c>
    </row>
    <row r="75" spans="1:6" ht="31.5">
      <c r="A75" s="257">
        <f>[2]building!A381</f>
        <v>52.1</v>
      </c>
      <c r="B75" s="246" t="str">
        <f>[2]building!B381</f>
        <v>G.I Pipe 20mm dia for Hot water line (Fully Concealed in walls)</v>
      </c>
      <c r="C75" s="257">
        <f>[2]building!C381</f>
        <v>286.08</v>
      </c>
      <c r="D75" s="257" t="str">
        <f>[2]building!D381</f>
        <v>Rmt</v>
      </c>
      <c r="E75" s="257">
        <f>station!I897</f>
        <v>6</v>
      </c>
      <c r="F75" s="257">
        <f t="shared" si="1"/>
        <v>1716.48</v>
      </c>
    </row>
    <row r="76" spans="1:6">
      <c r="A76" s="257">
        <f>[2]building!A384</f>
        <v>53.3</v>
      </c>
      <c r="B76" s="246" t="str">
        <f>[2]building!B384</f>
        <v>C.I. Steps ( 5 kg)</v>
      </c>
      <c r="C76" s="257">
        <f>[2]building!C384</f>
        <v>30</v>
      </c>
      <c r="D76" s="257" t="str">
        <f>[2]building!D384</f>
        <v>Each</v>
      </c>
      <c r="E76" s="257">
        <f>[2]building!E384</f>
        <v>0</v>
      </c>
      <c r="F76" s="257">
        <f t="shared" si="1"/>
        <v>0</v>
      </c>
    </row>
    <row r="77" spans="1:6" ht="31.5">
      <c r="A77" s="257">
        <f>[2]building!A402</f>
        <v>59.5</v>
      </c>
      <c r="B77" s="246" t="str">
        <f>[2]building!B402</f>
        <v>Gully Trap using Kiln burnt country bricks 22 x 11 x 7 cm.</v>
      </c>
      <c r="C77" s="257">
        <f>[2]building!C402</f>
        <v>1747.74</v>
      </c>
      <c r="D77" s="257" t="str">
        <f>[2]building!D402</f>
        <v>Each</v>
      </c>
      <c r="E77" s="257"/>
      <c r="F77" s="257">
        <f t="shared" si="1"/>
        <v>0</v>
      </c>
    </row>
    <row r="78" spans="1:6">
      <c r="A78" s="289">
        <f>[2]building!A404</f>
        <v>60</v>
      </c>
      <c r="B78" s="246" t="str">
        <f>[2]building!B404</f>
        <v>PVC Nahani trap (4way/2way)</v>
      </c>
      <c r="C78" s="257">
        <f>[2]building!C404</f>
        <v>152.6</v>
      </c>
      <c r="D78" s="257" t="str">
        <f>[2]building!D404</f>
        <v>Each</v>
      </c>
      <c r="E78" s="257">
        <f>station!I900</f>
        <v>22</v>
      </c>
      <c r="F78" s="257">
        <f t="shared" si="1"/>
        <v>3357.2</v>
      </c>
    </row>
    <row r="79" spans="1:6" ht="27" customHeight="1">
      <c r="A79" s="257"/>
      <c r="B79" s="290" t="str">
        <f>[2]building!B418</f>
        <v>Electrical arrangements</v>
      </c>
      <c r="C79" s="257"/>
      <c r="D79" s="257"/>
      <c r="E79" s="257"/>
      <c r="F79" s="257">
        <f t="shared" ref="F79:F101" si="2">C79*E79</f>
        <v>0</v>
      </c>
    </row>
    <row r="80" spans="1:6">
      <c r="A80" s="257">
        <f>[2]building!A419</f>
        <v>64</v>
      </c>
      <c r="B80" s="258" t="str">
        <f>[2]building!B419</f>
        <v>a. Light point with ceiling rose</v>
      </c>
      <c r="C80" s="257" t="e">
        <f>#REF!</f>
        <v>#REF!</v>
      </c>
      <c r="D80" s="257" t="str">
        <f>[2]building!D419</f>
        <v>Each</v>
      </c>
      <c r="E80" s="257">
        <f>station!I920</f>
        <v>50</v>
      </c>
      <c r="F80" s="257" t="e">
        <f t="shared" si="2"/>
        <v>#REF!</v>
      </c>
    </row>
    <row r="81" spans="1:6">
      <c r="A81" s="257"/>
      <c r="B81" s="258" t="str">
        <f>[2]building!B420</f>
        <v>b. Light point without ceiling rose</v>
      </c>
      <c r="C81" s="257">
        <v>1503.34</v>
      </c>
      <c r="D81" s="257" t="str">
        <f>[2]building!D420</f>
        <v>Each</v>
      </c>
      <c r="E81" s="257">
        <f>station!I934</f>
        <v>41</v>
      </c>
      <c r="F81" s="257">
        <f t="shared" si="2"/>
        <v>61636.94</v>
      </c>
    </row>
    <row r="82" spans="1:6">
      <c r="A82" s="257"/>
      <c r="B82" s="258" t="str">
        <f>[2]building!B421</f>
        <v>c. Calling bell point with Buzzer/Calling bell</v>
      </c>
      <c r="C82" s="257">
        <f>[2]building!C421</f>
        <v>1538.57</v>
      </c>
      <c r="D82" s="257" t="str">
        <f>[2]building!D421</f>
        <v>Each</v>
      </c>
      <c r="E82" s="257">
        <f>station!I936</f>
        <v>2</v>
      </c>
      <c r="F82" s="257">
        <f t="shared" si="2"/>
        <v>3077.14</v>
      </c>
    </row>
    <row r="83" spans="1:6">
      <c r="A83" s="257">
        <f>[2]building!A422</f>
        <v>65</v>
      </c>
      <c r="B83" s="258" t="str">
        <f>[2]building!B422</f>
        <v xml:space="preserve">Fan point </v>
      </c>
      <c r="C83" s="257" t="e">
        <f>#REF!</f>
        <v>#REF!</v>
      </c>
      <c r="D83" s="257" t="str">
        <f>[2]building!D422</f>
        <v>Each</v>
      </c>
      <c r="E83" s="257">
        <f>station!I948</f>
        <v>16</v>
      </c>
      <c r="F83" s="257" t="e">
        <f t="shared" si="2"/>
        <v>#REF!</v>
      </c>
    </row>
    <row r="84" spans="1:6">
      <c r="A84" s="257">
        <f>[2]building!A423</f>
        <v>66</v>
      </c>
      <c r="B84" s="258" t="str">
        <f>[2]building!B423</f>
        <v>Staircase light point</v>
      </c>
      <c r="C84" s="257" t="e">
        <f>#REF!</f>
        <v>#REF!</v>
      </c>
      <c r="D84" s="257" t="str">
        <f>[2]building!D423</f>
        <v>Each</v>
      </c>
      <c r="E84" s="257">
        <f>station!I950</f>
        <v>2</v>
      </c>
      <c r="F84" s="257" t="e">
        <f t="shared" si="2"/>
        <v>#REF!</v>
      </c>
    </row>
    <row r="85" spans="1:6">
      <c r="A85" s="257">
        <f>[2]building!A424</f>
        <v>67</v>
      </c>
      <c r="B85" s="258" t="str">
        <f>[2]building!B424</f>
        <v>5 amps 5 pin Plug point (Switch board itself)</v>
      </c>
      <c r="C85" s="257" t="e">
        <f>#REF!</f>
        <v>#REF!</v>
      </c>
      <c r="D85" s="257" t="str">
        <f>[2]building!D424</f>
        <v>Each</v>
      </c>
      <c r="E85" s="257">
        <f>station!I961</f>
        <v>16</v>
      </c>
      <c r="F85" s="257" t="e">
        <f t="shared" si="2"/>
        <v>#REF!</v>
      </c>
    </row>
    <row r="86" spans="1:6">
      <c r="A86" s="257">
        <f>[2]building!A425</f>
        <v>68</v>
      </c>
      <c r="B86" s="258" t="str">
        <f>[2]building!B425</f>
        <v>5 amps 5 pin Plug point (Convenient places)</v>
      </c>
      <c r="C86" s="257" t="e">
        <f>#REF!</f>
        <v>#REF!</v>
      </c>
      <c r="D86" s="257" t="str">
        <f>[2]building!D425</f>
        <v>Each</v>
      </c>
      <c r="E86" s="257">
        <f>station!I970</f>
        <v>14</v>
      </c>
      <c r="F86" s="257" t="e">
        <f t="shared" si="2"/>
        <v>#REF!</v>
      </c>
    </row>
    <row r="87" spans="1:6">
      <c r="A87" s="257">
        <f>[2]building!A426</f>
        <v>69</v>
      </c>
      <c r="B87" s="258" t="str">
        <f>[2]building!B426</f>
        <v>15 Amp. Power plug</v>
      </c>
      <c r="C87" s="257" t="e">
        <f>#REF!</f>
        <v>#REF!</v>
      </c>
      <c r="D87" s="257" t="str">
        <f>[2]building!D426</f>
        <v>Each</v>
      </c>
      <c r="E87" s="257">
        <f>station!I979</f>
        <v>20</v>
      </c>
      <c r="F87" s="257" t="e">
        <f t="shared" si="2"/>
        <v>#REF!</v>
      </c>
    </row>
    <row r="88" spans="1:6">
      <c r="A88" s="257">
        <f>[2]building!A427</f>
        <v>70.099999999999994</v>
      </c>
      <c r="B88" s="258" t="str">
        <f>[2]building!B427</f>
        <v>Bulk head fitting</v>
      </c>
      <c r="C88" s="257" t="e">
        <f>#REF!</f>
        <v>#REF!</v>
      </c>
      <c r="D88" s="257" t="str">
        <f>[2]building!D427</f>
        <v>Each</v>
      </c>
      <c r="E88" s="257">
        <f>station!I981</f>
        <v>6</v>
      </c>
      <c r="F88" s="257" t="e">
        <f t="shared" si="2"/>
        <v>#REF!</v>
      </c>
    </row>
    <row r="89" spans="1:6">
      <c r="A89" s="257">
        <f>[2]building!A428</f>
        <v>70.2</v>
      </c>
      <c r="B89" s="258" t="s">
        <v>1037</v>
      </c>
      <c r="C89" s="257">
        <v>642</v>
      </c>
      <c r="D89" s="257" t="str">
        <f>[2]building!D428</f>
        <v>Each</v>
      </c>
      <c r="E89" s="257">
        <f>station!I999</f>
        <v>73</v>
      </c>
      <c r="F89" s="257">
        <f t="shared" si="2"/>
        <v>46866</v>
      </c>
    </row>
    <row r="90" spans="1:6" ht="33">
      <c r="A90" s="303">
        <v>71.2</v>
      </c>
      <c r="B90" s="202" t="s">
        <v>1032</v>
      </c>
      <c r="C90" s="257" t="e">
        <f>#REF!</f>
        <v>#REF!</v>
      </c>
      <c r="D90" s="257" t="s">
        <v>69</v>
      </c>
      <c r="E90" s="257">
        <f>station!I1002</f>
        <v>2</v>
      </c>
      <c r="F90" s="257" t="e">
        <f t="shared" si="2"/>
        <v>#REF!</v>
      </c>
    </row>
    <row r="91" spans="1:6" ht="16.5">
      <c r="A91" s="303">
        <v>72</v>
      </c>
      <c r="B91" s="202" t="s">
        <v>1031</v>
      </c>
      <c r="C91" s="257" t="e">
        <f>#REF!</f>
        <v>#REF!</v>
      </c>
      <c r="D91" s="257" t="s">
        <v>69</v>
      </c>
      <c r="E91" s="257">
        <f>station!I1013</f>
        <v>16</v>
      </c>
      <c r="F91" s="257" t="e">
        <f t="shared" si="2"/>
        <v>#REF!</v>
      </c>
    </row>
    <row r="92" spans="1:6" ht="16.5">
      <c r="A92" s="303">
        <v>73.099999999999994</v>
      </c>
      <c r="B92" s="202" t="s">
        <v>1033</v>
      </c>
      <c r="C92" s="257" t="e">
        <f>#REF!</f>
        <v>#REF!</v>
      </c>
      <c r="D92" s="257" t="s">
        <v>69</v>
      </c>
      <c r="E92" s="257">
        <f>station!I1014</f>
        <v>2</v>
      </c>
      <c r="F92" s="257" t="e">
        <f t="shared" si="2"/>
        <v>#REF!</v>
      </c>
    </row>
    <row r="93" spans="1:6">
      <c r="A93" s="257">
        <f>[2]building!A435</f>
        <v>74</v>
      </c>
      <c r="B93" s="258" t="str">
        <f>[2]building!B435</f>
        <v>Charges for fixing of "Fan"</v>
      </c>
      <c r="C93" s="257" t="e">
        <f>#REF!</f>
        <v>#REF!</v>
      </c>
      <c r="D93" s="257" t="str">
        <f>[2]building!D435</f>
        <v>Each</v>
      </c>
      <c r="E93" s="257">
        <f>station!I1025</f>
        <v>16</v>
      </c>
      <c r="F93" s="257" t="e">
        <f t="shared" si="2"/>
        <v>#REF!</v>
      </c>
    </row>
    <row r="94" spans="1:6">
      <c r="A94" s="257">
        <f>[2]building!A439</f>
        <v>76</v>
      </c>
      <c r="B94" s="258" t="str">
        <f>[2]building!B439</f>
        <v>8 SWG wire</v>
      </c>
      <c r="C94" s="257" t="e">
        <f>#REF!</f>
        <v>#REF!</v>
      </c>
      <c r="D94" s="257" t="str">
        <f>[2]building!D439</f>
        <v>Rmt</v>
      </c>
      <c r="E94" s="257">
        <f>station!I1027</f>
        <v>23</v>
      </c>
      <c r="F94" s="257" t="e">
        <f t="shared" si="2"/>
        <v>#REF!</v>
      </c>
    </row>
    <row r="95" spans="1:6">
      <c r="A95" s="257">
        <f>[2]building!A443</f>
        <v>77.3</v>
      </c>
      <c r="B95" s="258" t="str">
        <f>[2]building!B443</f>
        <v>S&amp;F of TV/Telephone line Socket</v>
      </c>
      <c r="C95" s="257" t="e">
        <f>#REF!</f>
        <v>#REF!</v>
      </c>
      <c r="D95" s="257" t="str">
        <f>[2]building!D443</f>
        <v>Each</v>
      </c>
      <c r="E95" s="257">
        <f>station!I1031</f>
        <v>5</v>
      </c>
      <c r="F95" s="257" t="e">
        <f t="shared" si="2"/>
        <v>#REF!</v>
      </c>
    </row>
    <row r="96" spans="1:6" ht="31.5">
      <c r="A96" s="257">
        <f>[2]building!A444</f>
        <v>77.400000000000006</v>
      </c>
      <c r="B96" s="246" t="str">
        <f>[2]building!B444</f>
        <v>S&amp;F of 20mm dia PVC pipe for TV/Telephone line</v>
      </c>
      <c r="C96" s="257" t="e">
        <f>#REF!</f>
        <v>#REF!</v>
      </c>
      <c r="D96" s="257" t="str">
        <f>[2]building!D444</f>
        <v>Rmt</v>
      </c>
      <c r="E96" s="257">
        <f>station!I1035</f>
        <v>30</v>
      </c>
      <c r="F96" s="257" t="e">
        <f t="shared" si="2"/>
        <v>#REF!</v>
      </c>
    </row>
    <row r="97" spans="1:6">
      <c r="A97" s="257">
        <f>[2]building!A445</f>
        <v>78</v>
      </c>
      <c r="B97" s="258" t="str">
        <f>[2]building!B445</f>
        <v>Earthing Station IS3043 (Type I)</v>
      </c>
      <c r="C97" s="257" t="e">
        <f>#REF!</f>
        <v>#REF!</v>
      </c>
      <c r="D97" s="257" t="str">
        <f>[2]building!D445</f>
        <v>Each</v>
      </c>
      <c r="E97" s="257">
        <f>station!I1037</f>
        <v>2</v>
      </c>
      <c r="F97" s="257" t="e">
        <f t="shared" si="2"/>
        <v>#REF!</v>
      </c>
    </row>
    <row r="98" spans="1:6">
      <c r="A98" s="257">
        <f>[2]building!A450</f>
        <v>81</v>
      </c>
      <c r="B98" s="258" t="str">
        <f>[2]building!B450</f>
        <v>Meter cupboard</v>
      </c>
      <c r="C98" s="257" t="e">
        <f>#REF!</f>
        <v>#REF!</v>
      </c>
      <c r="D98" s="257" t="str">
        <f>[2]building!D450</f>
        <v>Sqm</v>
      </c>
      <c r="E98" s="257">
        <f>station!I1038</f>
        <v>0.75</v>
      </c>
      <c r="F98" s="257" t="e">
        <f t="shared" si="2"/>
        <v>#REF!</v>
      </c>
    </row>
    <row r="99" spans="1:6">
      <c r="A99" s="257">
        <f>[2]building!A455</f>
        <v>86</v>
      </c>
      <c r="B99" s="258" t="str">
        <f>[2]building!B455</f>
        <v>Anti termite treatment</v>
      </c>
      <c r="C99" s="257" t="e">
        <f>#REF!</f>
        <v>#REF!</v>
      </c>
      <c r="D99" s="257" t="str">
        <f>[2]building!D455</f>
        <v>Sqm.</v>
      </c>
      <c r="E99" s="257">
        <f>station!I1041</f>
        <v>239.3</v>
      </c>
      <c r="F99" s="257" t="e">
        <f t="shared" si="2"/>
        <v>#REF!</v>
      </c>
    </row>
    <row r="100" spans="1:6" ht="16.5">
      <c r="A100" s="257">
        <v>87.1</v>
      </c>
      <c r="B100" s="202" t="s">
        <v>799</v>
      </c>
      <c r="C100" s="257">
        <v>449.93</v>
      </c>
      <c r="D100" s="257" t="s">
        <v>69</v>
      </c>
      <c r="E100" s="257">
        <f>station!I1042</f>
        <v>2</v>
      </c>
      <c r="F100" s="257">
        <f t="shared" si="2"/>
        <v>899.86</v>
      </c>
    </row>
    <row r="101" spans="1:6">
      <c r="A101" s="257">
        <f>[2]building!A457</f>
        <v>112</v>
      </c>
      <c r="B101" s="258" t="str">
        <f>[2]building!B457</f>
        <v>S &amp; F of Exsaust Fan 300 mm dia</v>
      </c>
      <c r="C101" s="257" t="e">
        <f>#REF!</f>
        <v>#REF!</v>
      </c>
      <c r="D101" s="257" t="str">
        <f>[2]building!D457</f>
        <v>Each</v>
      </c>
      <c r="E101" s="257">
        <f>station!I1048</f>
        <v>7</v>
      </c>
      <c r="F101" s="257" t="e">
        <f t="shared" si="2"/>
        <v>#REF!</v>
      </c>
    </row>
    <row r="102" spans="1:6" ht="31.5" customHeight="1">
      <c r="A102" s="257"/>
      <c r="B102" s="302" t="str">
        <f>[2]building!B459</f>
        <v>ANNEXURE</v>
      </c>
      <c r="C102" s="257"/>
      <c r="D102" s="257"/>
      <c r="E102" s="257"/>
      <c r="F102" s="257"/>
    </row>
    <row r="103" spans="1:6" ht="31.5">
      <c r="A103" s="287" t="s">
        <v>53</v>
      </c>
      <c r="B103" s="246" t="s">
        <v>1014</v>
      </c>
      <c r="C103" s="257"/>
      <c r="D103" s="257"/>
      <c r="E103" s="257"/>
      <c r="F103" s="257"/>
    </row>
    <row r="104" spans="1:6">
      <c r="A104" s="287"/>
      <c r="B104" s="258" t="str">
        <f>[2]building!B487</f>
        <v xml:space="preserve">a. In Ground floor </v>
      </c>
      <c r="C104" s="257">
        <f>[2]Data!X534</f>
        <v>1284.18</v>
      </c>
      <c r="D104" s="257" t="str">
        <f>[2]building!D487</f>
        <v>Sqm.</v>
      </c>
      <c r="E104" s="257">
        <f>station!I1059</f>
        <v>82.9</v>
      </c>
      <c r="F104" s="257">
        <f>C104*E104</f>
        <v>106458.52</v>
      </c>
    </row>
    <row r="105" spans="1:6">
      <c r="A105" s="287"/>
      <c r="B105" s="258" t="str">
        <f>[2]building!B488</f>
        <v>b. In First floor</v>
      </c>
      <c r="C105" s="257">
        <f>[2]Data!X535</f>
        <v>1288.49</v>
      </c>
      <c r="D105" s="257" t="str">
        <f>[2]building!D488</f>
        <v>Sqm.</v>
      </c>
      <c r="E105" s="257">
        <f>station!I1065</f>
        <v>36.200000000000003</v>
      </c>
      <c r="F105" s="257">
        <f t="shared" ref="F105:F168" si="3">C105*E105</f>
        <v>46643.34</v>
      </c>
    </row>
    <row r="106" spans="1:6" ht="47.25">
      <c r="A106" s="287" t="s">
        <v>60</v>
      </c>
      <c r="B106" s="175" t="s">
        <v>437</v>
      </c>
      <c r="C106" s="257"/>
      <c r="D106" s="257"/>
      <c r="E106" s="257"/>
      <c r="F106" s="257">
        <f t="shared" si="3"/>
        <v>0</v>
      </c>
    </row>
    <row r="107" spans="1:6">
      <c r="A107" s="257"/>
      <c r="B107" s="291" t="s">
        <v>1015</v>
      </c>
      <c r="C107" s="257">
        <f>[2]Data!X556</f>
        <v>1417.27</v>
      </c>
      <c r="D107" s="257" t="str">
        <f>[2]building!D490</f>
        <v>Sqm.</v>
      </c>
      <c r="E107" s="257">
        <f>station!I1069</f>
        <v>10.199999999999999</v>
      </c>
      <c r="F107" s="257">
        <f t="shared" si="3"/>
        <v>14456.15</v>
      </c>
    </row>
    <row r="108" spans="1:6">
      <c r="A108" s="257"/>
      <c r="B108" s="291" t="s">
        <v>1016</v>
      </c>
      <c r="C108" s="257">
        <f>[2]Data!X558</f>
        <v>1421.65</v>
      </c>
      <c r="D108" s="257" t="str">
        <f>[2]building!D491</f>
        <v>Sqm.</v>
      </c>
      <c r="E108" s="257">
        <f>station!I1078</f>
        <v>82.9</v>
      </c>
      <c r="F108" s="257">
        <f t="shared" si="3"/>
        <v>117854.79</v>
      </c>
    </row>
    <row r="109" spans="1:6">
      <c r="A109" s="257"/>
      <c r="B109" s="291" t="s">
        <v>1017</v>
      </c>
      <c r="C109" s="257">
        <f>[2]Data!X559</f>
        <v>1430.28</v>
      </c>
      <c r="D109" s="257" t="s">
        <v>123</v>
      </c>
      <c r="E109" s="257">
        <f>station!I1084</f>
        <v>36.200000000000003</v>
      </c>
      <c r="F109" s="257">
        <f t="shared" si="3"/>
        <v>51776.14</v>
      </c>
    </row>
    <row r="110" spans="1:6">
      <c r="A110" s="257">
        <f>[2]building!A584</f>
        <v>18.100000000000001</v>
      </c>
      <c r="B110" s="258" t="str">
        <f>[2]building!B584</f>
        <v>Formwork using M.S.Sheet</v>
      </c>
      <c r="C110" s="257"/>
      <c r="D110" s="257"/>
      <c r="E110" s="257"/>
      <c r="F110" s="257">
        <f t="shared" si="3"/>
        <v>0</v>
      </c>
    </row>
    <row r="111" spans="1:6" ht="31.5">
      <c r="A111" s="257"/>
      <c r="B111" s="246" t="str">
        <f>[2]building!B585</f>
        <v>a.For Column footings,plinth beam,Grade beam,Raftbeam,Raft slab etc.,</v>
      </c>
      <c r="C111" s="257">
        <f>[2]building!C585</f>
        <v>739.38</v>
      </c>
      <c r="D111" s="257" t="str">
        <f>[2]building!D585</f>
        <v>Sqm</v>
      </c>
      <c r="E111" s="257">
        <f>station!I1125</f>
        <v>345.8</v>
      </c>
      <c r="F111" s="257">
        <f t="shared" si="3"/>
        <v>255677.6</v>
      </c>
    </row>
    <row r="112" spans="1:6" ht="63">
      <c r="A112" s="257"/>
      <c r="B112" s="246" t="str">
        <f>[2]building!B586</f>
        <v>b.Plain surfaces such as Roof slab,floorslab,Beams,lintels,lofts,sill slab,staircase,portico slab and other similar works</v>
      </c>
      <c r="C112" s="257">
        <f>[2]building!C586</f>
        <v>831.23</v>
      </c>
      <c r="D112" s="257" t="str">
        <f>[2]building!D586</f>
        <v>Sqm</v>
      </c>
      <c r="E112" s="257">
        <f>station!I1224</f>
        <v>1300.5999999999999</v>
      </c>
      <c r="F112" s="257">
        <f t="shared" si="3"/>
        <v>1081097.74</v>
      </c>
    </row>
    <row r="113" spans="1:6" ht="31.5">
      <c r="A113" s="257"/>
      <c r="B113" s="246" t="str">
        <f>[2]building!B587</f>
        <v>c.For Square and rectangular columns and small quantities</v>
      </c>
      <c r="C113" s="257">
        <f>[2]building!C587</f>
        <v>997.48</v>
      </c>
      <c r="D113" s="257" t="str">
        <f>[2]building!D587</f>
        <v>Sqm</v>
      </c>
      <c r="E113" s="257">
        <f>station!I1280</f>
        <v>434</v>
      </c>
      <c r="F113" s="257">
        <f t="shared" si="3"/>
        <v>432906.32</v>
      </c>
    </row>
    <row r="114" spans="1:6">
      <c r="A114" s="257"/>
      <c r="B114" s="246" t="str">
        <f>[2]building!B588</f>
        <v>d.Vertical wall</v>
      </c>
      <c r="C114" s="257">
        <f>[2]building!C588</f>
        <v>914.35</v>
      </c>
      <c r="D114" s="257" t="str">
        <f>[2]building!D588</f>
        <v>Sqm</v>
      </c>
      <c r="E114" s="257" t="e">
        <f>station!#REF!</f>
        <v>#REF!</v>
      </c>
      <c r="F114" s="257" t="e">
        <f t="shared" si="3"/>
        <v>#REF!</v>
      </c>
    </row>
    <row r="115" spans="1:6">
      <c r="A115" s="257"/>
      <c r="B115" s="246" t="str">
        <f>[2]building!B590</f>
        <v>f.Curved surface</v>
      </c>
      <c r="C115" s="257">
        <f>[2]building!C590</f>
        <v>1246.8499999999999</v>
      </c>
      <c r="D115" s="257" t="str">
        <f>[2]building!D590</f>
        <v>Sqm</v>
      </c>
      <c r="E115" s="257"/>
      <c r="F115" s="257">
        <f t="shared" si="3"/>
        <v>0</v>
      </c>
    </row>
    <row r="116" spans="1:6">
      <c r="A116" s="257"/>
      <c r="B116" s="258" t="str">
        <f>[2]building!B591</f>
        <v>g.Double centering portico area</v>
      </c>
      <c r="C116" s="257">
        <f>[2]building!C591</f>
        <v>1662.46</v>
      </c>
      <c r="D116" s="257" t="str">
        <f>[2]building!D591</f>
        <v>Sqm</v>
      </c>
      <c r="E116" s="257">
        <f>station!I1285</f>
        <v>434.6</v>
      </c>
      <c r="F116" s="257">
        <f t="shared" si="3"/>
        <v>722505.12</v>
      </c>
    </row>
    <row r="117" spans="1:6" ht="47.25">
      <c r="A117" s="187" t="s">
        <v>827</v>
      </c>
      <c r="B117" s="246" t="str">
        <f>[2]building!B604</f>
        <v>Providing T.W double leaf shutter with 18mm thick BWR Plywood for Cupboard / ward robes shutters (Rest room) 4000x2100mm</v>
      </c>
      <c r="C117" s="257">
        <f>[2]building!C604</f>
        <v>6981.88</v>
      </c>
      <c r="D117" s="257" t="str">
        <f>[2]building!D604</f>
        <v>Sqm</v>
      </c>
      <c r="E117" s="257">
        <f>station!I1292</f>
        <v>15.15</v>
      </c>
      <c r="F117" s="257">
        <f t="shared" si="3"/>
        <v>105775.48</v>
      </c>
    </row>
    <row r="118" spans="1:6" ht="35.25" customHeight="1">
      <c r="A118" s="257">
        <v>99.1</v>
      </c>
      <c r="B118" s="246" t="str">
        <f>[2]building!B614</f>
        <v xml:space="preserve">a. 1200X2100mm.(Single leaf)  </v>
      </c>
      <c r="C118" s="257">
        <f>[2]building!C614</f>
        <v>5777.7</v>
      </c>
      <c r="D118" s="257" t="str">
        <f>[2]building!D614</f>
        <v>Sqm</v>
      </c>
      <c r="E118" s="257">
        <f>station!I1295</f>
        <v>5.8</v>
      </c>
      <c r="F118" s="257">
        <f t="shared" si="3"/>
        <v>33510.660000000003</v>
      </c>
    </row>
    <row r="119" spans="1:6" ht="31.5">
      <c r="A119" s="257"/>
      <c r="B119" s="246" t="str">
        <f>[2]building!B619</f>
        <v>TW double leaves shutter of size  with brass fittings a.1800 x 2100mm For PS</v>
      </c>
      <c r="C119" s="257">
        <f>[2]building!C619</f>
        <v>5533.07</v>
      </c>
      <c r="D119" s="257" t="str">
        <f>[2]building!D619</f>
        <v>Sqm</v>
      </c>
      <c r="E119" s="257">
        <f>station!I1298</f>
        <v>8.6999999999999993</v>
      </c>
      <c r="F119" s="257">
        <f t="shared" si="3"/>
        <v>48137.71</v>
      </c>
    </row>
    <row r="120" spans="1:6" ht="31.5">
      <c r="A120" s="257" t="str">
        <f>[2]building!A630</f>
        <v>21.5.2</v>
      </c>
      <c r="B120" s="246" t="str">
        <f>[2]building!B630</f>
        <v>Supply and Fixing Soild UPVC door Shutter with frame</v>
      </c>
      <c r="C120" s="257">
        <f>[2]building!C630</f>
        <v>3167</v>
      </c>
      <c r="D120" s="257" t="str">
        <f>[2]building!D630</f>
        <v>Sqm</v>
      </c>
      <c r="E120" s="257">
        <f>station!I1300</f>
        <v>20.5</v>
      </c>
      <c r="F120" s="257">
        <f t="shared" si="3"/>
        <v>64923.5</v>
      </c>
    </row>
    <row r="121" spans="1:6" ht="37.5">
      <c r="A121" s="257">
        <v>22.9</v>
      </c>
      <c r="B121" s="292" t="s">
        <v>1018</v>
      </c>
      <c r="C121" s="257">
        <f>[2]Data!K3530</f>
        <v>3198.2</v>
      </c>
      <c r="D121" s="257" t="s">
        <v>123</v>
      </c>
      <c r="E121" s="257">
        <f>station!I1307</f>
        <v>23.1</v>
      </c>
      <c r="F121" s="257">
        <f t="shared" si="3"/>
        <v>73878.42</v>
      </c>
    </row>
    <row r="122" spans="1:6" ht="37.5">
      <c r="A122" s="257"/>
      <c r="B122" s="292" t="s">
        <v>1019</v>
      </c>
      <c r="C122" s="257" t="e">
        <f>#REF!</f>
        <v>#REF!</v>
      </c>
      <c r="D122" s="257" t="s">
        <v>123</v>
      </c>
      <c r="E122" s="257">
        <f>station!I1311</f>
        <v>15.2</v>
      </c>
      <c r="F122" s="257" t="e">
        <f t="shared" si="3"/>
        <v>#REF!</v>
      </c>
    </row>
    <row r="123" spans="1:6" ht="26.25" customHeight="1">
      <c r="A123" s="257" t="s">
        <v>34</v>
      </c>
      <c r="B123" s="258" t="s">
        <v>1020</v>
      </c>
      <c r="C123" s="257">
        <v>708.1</v>
      </c>
      <c r="D123" s="257" t="s">
        <v>123</v>
      </c>
      <c r="E123" s="257">
        <f>station!I1326</f>
        <v>85.85</v>
      </c>
      <c r="F123" s="257">
        <f t="shared" si="3"/>
        <v>60790.39</v>
      </c>
    </row>
    <row r="124" spans="1:6" ht="29.25" customHeight="1">
      <c r="A124" s="257"/>
      <c r="B124" s="258" t="s">
        <v>1021</v>
      </c>
      <c r="C124" s="257">
        <f>[2]Data!R1246</f>
        <v>1361.71</v>
      </c>
      <c r="D124" s="257" t="s">
        <v>123</v>
      </c>
      <c r="E124" s="257">
        <f>station!I1350</f>
        <v>351.4</v>
      </c>
      <c r="F124" s="257">
        <f t="shared" si="3"/>
        <v>478504.89</v>
      </c>
    </row>
    <row r="125" spans="1:6">
      <c r="A125" s="257">
        <f>[2]building!A656</f>
        <v>29.8</v>
      </c>
      <c r="B125" s="246" t="str">
        <f>[2]building!B656</f>
        <v>Glazed tiles using Grout (Tile Joint Filler)</v>
      </c>
      <c r="C125" s="257">
        <f>[2]building!C656</f>
        <v>1236.28</v>
      </c>
      <c r="D125" s="257" t="str">
        <f>[2]building!D656</f>
        <v>Sqm</v>
      </c>
      <c r="E125" s="257">
        <f>station!I1367</f>
        <v>164.1</v>
      </c>
      <c r="F125" s="257">
        <f t="shared" si="3"/>
        <v>202873.55</v>
      </c>
    </row>
    <row r="126" spans="1:6" ht="31.5">
      <c r="A126" s="257">
        <f>[2]building!A658</f>
        <v>29.9</v>
      </c>
      <c r="B126" s="246" t="str">
        <f>[2]building!B658</f>
        <v>Floor ceramic tiles (Anti-skid) using Grout (Tile Joint Filler).</v>
      </c>
      <c r="C126" s="257">
        <f>[2]building!C658</f>
        <v>1092.05</v>
      </c>
      <c r="D126" s="257" t="str">
        <f>[2]building!D658</f>
        <v>Sqm</v>
      </c>
      <c r="E126" s="257">
        <f>station!I1376</f>
        <v>53</v>
      </c>
      <c r="F126" s="257">
        <f t="shared" si="3"/>
        <v>57878.65</v>
      </c>
    </row>
    <row r="127" spans="1:6" ht="31.5">
      <c r="A127" s="257">
        <f>[2]building!A659</f>
        <v>38.4</v>
      </c>
      <c r="B127" s="246" t="str">
        <f>[2]building!B659</f>
        <v>Two coat of cement paint over one coat white cement</v>
      </c>
      <c r="C127" s="257">
        <f>[2]building!C659</f>
        <v>114.39</v>
      </c>
      <c r="D127" s="257" t="str">
        <f>[2]building!D659</f>
        <v>Sqm</v>
      </c>
      <c r="E127" s="257">
        <f>[2]building!E659</f>
        <v>0</v>
      </c>
      <c r="F127" s="257">
        <f t="shared" si="3"/>
        <v>0</v>
      </c>
    </row>
    <row r="128" spans="1:6" ht="31.5">
      <c r="A128" s="257">
        <f>[2]building!A661</f>
        <v>38.6</v>
      </c>
      <c r="B128" s="246" t="str">
        <f>[2]building!B661</f>
        <v>One coat white cement for new walls and other similar works.</v>
      </c>
      <c r="C128" s="257">
        <f>[2]building!C661</f>
        <v>53.72</v>
      </c>
      <c r="D128" s="257" t="str">
        <f>[2]building!D661</f>
        <v>Sqm</v>
      </c>
      <c r="E128" s="257">
        <f>station!I1380</f>
        <v>1879</v>
      </c>
      <c r="F128" s="257">
        <f t="shared" si="3"/>
        <v>100939.88</v>
      </c>
    </row>
    <row r="129" spans="1:6" ht="26.25" customHeight="1">
      <c r="A129" s="257">
        <v>796</v>
      </c>
      <c r="B129" s="246" t="s">
        <v>1022</v>
      </c>
      <c r="C129" s="257">
        <f>[2]Data!R1323</f>
        <v>206.91</v>
      </c>
      <c r="D129" s="257" t="s">
        <v>123</v>
      </c>
      <c r="E129" s="257">
        <f>station!I1387</f>
        <v>1147</v>
      </c>
      <c r="F129" s="257">
        <f t="shared" si="3"/>
        <v>237325.77</v>
      </c>
    </row>
    <row r="130" spans="1:6" ht="47.25">
      <c r="A130" s="257">
        <f>[2]building!A663</f>
        <v>43</v>
      </c>
      <c r="B130" s="246" t="str">
        <f>[2]building!B663</f>
        <v xml:space="preserve">Fabrication of Mild steel / RTS grills (without cement slurry) for all sizes of rods.
</v>
      </c>
      <c r="C130" s="257">
        <f>[2]building!C663</f>
        <v>77593</v>
      </c>
      <c r="D130" s="257" t="str">
        <f>[2]building!D663</f>
        <v>MT</v>
      </c>
      <c r="E130" s="257">
        <f>station!I1396</f>
        <v>33.17</v>
      </c>
      <c r="F130" s="257">
        <f t="shared" si="3"/>
        <v>2573759.81</v>
      </c>
    </row>
    <row r="131" spans="1:6" ht="31.5">
      <c r="A131" s="257">
        <f>[2]building!A664</f>
        <v>44.6</v>
      </c>
      <c r="B131" s="246" t="str">
        <f>[2]building!B664</f>
        <v>PVC SWR 110 mm dia with ISI mark type- A for Rain water down fall pipe</v>
      </c>
      <c r="C131" s="257">
        <f>[2]building!C664</f>
        <v>321.74</v>
      </c>
      <c r="D131" s="257" t="str">
        <f>[2]building!D664</f>
        <v>Rmt</v>
      </c>
      <c r="E131" s="257">
        <f>station!I1402</f>
        <v>73.8</v>
      </c>
      <c r="F131" s="257">
        <f t="shared" si="3"/>
        <v>23744.41</v>
      </c>
    </row>
    <row r="132" spans="1:6">
      <c r="A132" s="257">
        <f>[2]building!A665</f>
        <v>50.6</v>
      </c>
      <c r="B132" s="246" t="str">
        <f>[2]building!B665</f>
        <v>Precast slab 50 mm tk.in C.C. 1:3:6 with fibre</v>
      </c>
      <c r="C132" s="257">
        <f>[2]building!C665</f>
        <v>373.41</v>
      </c>
      <c r="D132" s="257" t="str">
        <f>[2]building!D665</f>
        <v>Sqm</v>
      </c>
      <c r="E132" s="257">
        <f>[2]building!E665</f>
        <v>0</v>
      </c>
      <c r="F132" s="257">
        <f t="shared" si="3"/>
        <v>0</v>
      </c>
    </row>
    <row r="133" spans="1:6" ht="31.5">
      <c r="A133" s="257">
        <f>[2]building!A666</f>
        <v>52.4</v>
      </c>
      <c r="B133" s="246" t="str">
        <f>[2]building!B666</f>
        <v>20mm dia PVC water supply ASTM pipe (fully consealed in walls)</v>
      </c>
      <c r="C133" s="257">
        <f>[2]building!C666</f>
        <v>205.94</v>
      </c>
      <c r="D133" s="257" t="str">
        <f>[2]building!D666</f>
        <v>Rmt</v>
      </c>
      <c r="E133" s="257">
        <v>60</v>
      </c>
      <c r="F133" s="257">
        <f t="shared" si="3"/>
        <v>12356.4</v>
      </c>
    </row>
    <row r="134" spans="1:6" ht="31.5">
      <c r="A134" s="257">
        <f>[2]building!A667</f>
        <v>53.4</v>
      </c>
      <c r="B134" s="246" t="str">
        <f>[2]building!B667</f>
        <v xml:space="preserve">S&amp;F of C.I Manhole cover 60 x 60 cm (50kg weight ) </v>
      </c>
      <c r="C134" s="257">
        <f>[2]building!C667</f>
        <v>1846</v>
      </c>
      <c r="D134" s="257" t="str">
        <f>[2]building!D667</f>
        <v>Each</v>
      </c>
      <c r="E134" s="257"/>
      <c r="F134" s="257">
        <f t="shared" si="3"/>
        <v>0</v>
      </c>
    </row>
    <row r="135" spans="1:6" ht="31.5">
      <c r="A135" s="257">
        <f>[2]building!A668</f>
        <v>0</v>
      </c>
      <c r="B135" s="246" t="str">
        <f>[2]building!B668</f>
        <v>Wash Hand  Basin of size 550 x 400 mm
(White with Pedestal)</v>
      </c>
      <c r="C135" s="257">
        <f>[2]building!C668</f>
        <v>3105.82</v>
      </c>
      <c r="D135" s="257" t="str">
        <f>[2]building!D668</f>
        <v>Each</v>
      </c>
      <c r="E135" s="257">
        <f>station!I1407</f>
        <v>10</v>
      </c>
      <c r="F135" s="257">
        <f t="shared" si="3"/>
        <v>31058.2</v>
      </c>
    </row>
    <row r="136" spans="1:6" ht="31.5">
      <c r="A136" s="257">
        <f>[2]building!A672</f>
        <v>58.3</v>
      </c>
      <c r="B136" s="246" t="str">
        <f>[2]building!B672</f>
        <v>PVC SWR pipe (Soil line) with ISI mark - type 'B'.</v>
      </c>
      <c r="C136" s="257"/>
      <c r="D136" s="257"/>
      <c r="E136" s="257"/>
      <c r="F136" s="257">
        <f t="shared" si="3"/>
        <v>0</v>
      </c>
    </row>
    <row r="137" spans="1:6">
      <c r="A137" s="257"/>
      <c r="B137" s="258" t="str">
        <f>[2]building!B673</f>
        <v>a. 110 mm dia.</v>
      </c>
      <c r="C137" s="257">
        <f>[2]building!C673</f>
        <v>657.29</v>
      </c>
      <c r="D137" s="257" t="str">
        <f>[2]building!D673</f>
        <v>Rmt</v>
      </c>
      <c r="E137" s="257">
        <f>station!I1410</f>
        <v>24</v>
      </c>
      <c r="F137" s="257">
        <f t="shared" si="3"/>
        <v>15774.96</v>
      </c>
    </row>
    <row r="138" spans="1:6">
      <c r="A138" s="257"/>
      <c r="B138" s="258" t="str">
        <f>[2]building!B674</f>
        <v>b. 75 mm dia.</v>
      </c>
      <c r="C138" s="257">
        <f>[2]building!C674</f>
        <v>541.41999999999996</v>
      </c>
      <c r="D138" s="257" t="str">
        <f>[2]building!D674</f>
        <v>Rmt</v>
      </c>
      <c r="E138" s="257">
        <f>station!I1415</f>
        <v>79.400000000000006</v>
      </c>
      <c r="F138" s="257">
        <f t="shared" si="3"/>
        <v>42988.75</v>
      </c>
    </row>
    <row r="139" spans="1:6" ht="47.25">
      <c r="A139" s="257">
        <f>[2]building!A675</f>
        <v>58.4</v>
      </c>
      <c r="B139" s="246" t="str">
        <f>[2]building!B675</f>
        <v>Supplying, Laying &amp; Concealing the 50mm dia PVC ( SWR) pipe with ISI mark type - 'B' with relevant specials.</v>
      </c>
      <c r="C139" s="257">
        <f>[2]building!C675</f>
        <v>114.45</v>
      </c>
      <c r="D139" s="257" t="str">
        <f>[2]building!D675</f>
        <v>Rmt</v>
      </c>
      <c r="E139" s="257">
        <f>station!I1417</f>
        <v>28</v>
      </c>
      <c r="F139" s="257">
        <f t="shared" si="3"/>
        <v>3204.6</v>
      </c>
    </row>
    <row r="140" spans="1:6" ht="31.5">
      <c r="A140" s="257">
        <f>[2]building!A676</f>
        <v>58.5</v>
      </c>
      <c r="B140" s="246" t="str">
        <f>[2]building!B676</f>
        <v>PVC(SWR) pipe with ISI mark - type 'A' for Ventilating shaft with cowl</v>
      </c>
      <c r="C140" s="257">
        <f>[2]building!C676</f>
        <v>450.1</v>
      </c>
      <c r="D140" s="257" t="str">
        <f>[2]building!D676</f>
        <v>Each</v>
      </c>
      <c r="E140" s="257">
        <f>[2]building!E676</f>
        <v>0</v>
      </c>
      <c r="F140" s="257">
        <f t="shared" si="3"/>
        <v>0</v>
      </c>
    </row>
    <row r="141" spans="1:6">
      <c r="A141" s="257"/>
      <c r="B141" s="246" t="s">
        <v>1023</v>
      </c>
      <c r="C141" s="257">
        <f>[2]Data!R1227</f>
        <v>1354.89</v>
      </c>
      <c r="D141" s="257" t="s">
        <v>123</v>
      </c>
      <c r="E141" s="257">
        <f>station!I1428</f>
        <v>77</v>
      </c>
      <c r="F141" s="257">
        <f t="shared" si="3"/>
        <v>104326.53</v>
      </c>
    </row>
    <row r="142" spans="1:6" ht="31.5">
      <c r="A142" s="257">
        <f>[2]building!A686</f>
        <v>0</v>
      </c>
      <c r="B142" s="246" t="str">
        <f>[2]building!B686</f>
        <v>Supply and delivery of  48" (1200 mm) Fan with ISI mark with Eletronic Dimmer</v>
      </c>
      <c r="C142" s="257">
        <f>[2]building!C686</f>
        <v>1437.4</v>
      </c>
      <c r="D142" s="257" t="str">
        <f>[2]building!D686</f>
        <v>Each</v>
      </c>
      <c r="E142" s="257">
        <f>station!I1441</f>
        <v>16</v>
      </c>
      <c r="F142" s="257">
        <f t="shared" si="3"/>
        <v>22998.400000000001</v>
      </c>
    </row>
    <row r="143" spans="1:6" ht="63">
      <c r="A143" s="257">
        <f>[2]building!A689</f>
        <v>0</v>
      </c>
      <c r="B143" s="246" t="str">
        <f>[2]building!B689</f>
        <v>Run of 2 Wires of 2.5 sqmm PVC insulated single core multi strand fire retardant flexible copper cable with ISI mark confirming IS: 694:1990.</v>
      </c>
      <c r="C143" s="257">
        <f>[2]building!C689</f>
        <v>209.78</v>
      </c>
      <c r="D143" s="257" t="str">
        <f>[2]building!D689</f>
        <v>Rmt</v>
      </c>
      <c r="E143" s="257">
        <f>station!I1442</f>
        <v>50</v>
      </c>
      <c r="F143" s="257">
        <f t="shared" si="3"/>
        <v>10489</v>
      </c>
    </row>
    <row r="144" spans="1:6" ht="36" customHeight="1">
      <c r="A144" s="257">
        <f>[2]building!A698</f>
        <v>44.2</v>
      </c>
      <c r="B144" s="584" t="s">
        <v>62</v>
      </c>
      <c r="C144" s="585"/>
      <c r="D144" s="586"/>
      <c r="E144" s="257"/>
      <c r="F144" s="257">
        <f t="shared" si="3"/>
        <v>0</v>
      </c>
    </row>
    <row r="145" spans="1:6">
      <c r="A145" s="257"/>
      <c r="B145" s="258" t="str">
        <f>[2]building!B699</f>
        <v>a). Providing pit (M30)</v>
      </c>
      <c r="C145" s="257">
        <f>[2]Data!R2347</f>
        <v>1896.6</v>
      </c>
      <c r="D145" s="257" t="str">
        <f>[2]building!D699</f>
        <v>Each</v>
      </c>
      <c r="E145" s="257">
        <f>station!I1445</f>
        <v>4</v>
      </c>
      <c r="F145" s="257">
        <f t="shared" si="3"/>
        <v>7586.4</v>
      </c>
    </row>
    <row r="146" spans="1:6">
      <c r="A146" s="257"/>
      <c r="B146" s="258" t="str">
        <f>[2]building!B700</f>
        <v>b) Augering 30cm dia</v>
      </c>
      <c r="C146" s="257">
        <f>[2]building!C700</f>
        <v>434.61</v>
      </c>
      <c r="D146" s="257" t="str">
        <f>[2]building!D700</f>
        <v>Rmt</v>
      </c>
      <c r="E146" s="257">
        <f>station!I1446</f>
        <v>15</v>
      </c>
      <c r="F146" s="257">
        <f t="shared" si="3"/>
        <v>6519.15</v>
      </c>
    </row>
    <row r="147" spans="1:6" ht="47.25">
      <c r="A147" s="257"/>
      <c r="B147" s="246" t="str">
        <f>[2]building!B701</f>
        <v>Providing Rain water Harvesting well ring of Circular shape of 90mm dia, 60cm depth using Standardised Mix design M20</v>
      </c>
      <c r="C147" s="257">
        <f>[2]building!C701</f>
        <v>1315.68</v>
      </c>
      <c r="D147" s="257" t="str">
        <f>[2]building!D701</f>
        <v>Each</v>
      </c>
      <c r="E147" s="257">
        <f>[2]building!E701</f>
        <v>4</v>
      </c>
      <c r="F147" s="257">
        <f t="shared" si="3"/>
        <v>5262.72</v>
      </c>
    </row>
    <row r="148" spans="1:6" ht="31.5">
      <c r="A148" s="257">
        <f>[2]building!A703</f>
        <v>344.2</v>
      </c>
      <c r="B148" s="246" t="str">
        <f>[2]building!B703</f>
        <v>S&amp;F of Bevelled edge mirror 500 x 400 x 5.5mm</v>
      </c>
      <c r="C148" s="257">
        <f>[2]building!C703</f>
        <v>379.4</v>
      </c>
      <c r="D148" s="257" t="str">
        <f>[2]building!D703</f>
        <v>Each</v>
      </c>
      <c r="E148" s="257">
        <f>station!I1450</f>
        <v>8</v>
      </c>
      <c r="F148" s="257">
        <f t="shared" si="3"/>
        <v>3035.2</v>
      </c>
    </row>
    <row r="149" spans="1:6" ht="31.5">
      <c r="A149" s="257">
        <f>[2]building!A710</f>
        <v>71.2</v>
      </c>
      <c r="B149" s="246" t="str">
        <f>[2]building!B710</f>
        <v>Supplying and fixing of 32 AMPS Triple pole main switch</v>
      </c>
      <c r="C149" s="257">
        <f>[2]building!C710</f>
        <v>2084</v>
      </c>
      <c r="D149" s="257" t="str">
        <f>[2]building!D710</f>
        <v>Each</v>
      </c>
      <c r="E149" s="257">
        <f>station!I1452</f>
        <v>2</v>
      </c>
      <c r="F149" s="257">
        <f t="shared" si="3"/>
        <v>4168</v>
      </c>
    </row>
    <row r="150" spans="1:6">
      <c r="A150" s="257"/>
      <c r="B150" s="246" t="str">
        <f>[2]building!B712</f>
        <v>3 Nos.of 32Amps - Fuse Unit</v>
      </c>
      <c r="C150" s="257">
        <f>[2]building!C712</f>
        <v>778</v>
      </c>
      <c r="D150" s="257" t="str">
        <f>[2]building!D712</f>
        <v>Each</v>
      </c>
      <c r="E150" s="257">
        <f>[2]building!E712</f>
        <v>2</v>
      </c>
      <c r="F150" s="257">
        <f t="shared" si="3"/>
        <v>1556</v>
      </c>
    </row>
    <row r="151" spans="1:6">
      <c r="A151" s="257"/>
      <c r="B151" s="246" t="str">
        <f>[2]building!B713</f>
        <v>1 Nos.of 32Amps - Fuse Unit</v>
      </c>
      <c r="C151" s="257">
        <f>[2]building!C713</f>
        <v>508.26</v>
      </c>
      <c r="D151" s="257" t="str">
        <f>[2]building!D713</f>
        <v>Each</v>
      </c>
      <c r="E151" s="257">
        <v>3</v>
      </c>
      <c r="F151" s="257">
        <f t="shared" si="3"/>
        <v>1524.78</v>
      </c>
    </row>
    <row r="152" spans="1:6" ht="30" customHeight="1">
      <c r="A152" s="257">
        <f>[2]building!A721</f>
        <v>448.2</v>
      </c>
      <c r="B152" s="258" t="str">
        <f>[2]building!B721</f>
        <v xml:space="preserve">Providing PVC Tee with end cap </v>
      </c>
      <c r="C152" s="257">
        <f>[2]building!C721</f>
        <v>122.25</v>
      </c>
      <c r="D152" s="257" t="str">
        <f>[2]building!D721</f>
        <v>Each</v>
      </c>
      <c r="E152" s="257">
        <f>station!I1458</f>
        <v>8</v>
      </c>
      <c r="F152" s="257">
        <f t="shared" si="3"/>
        <v>978</v>
      </c>
    </row>
    <row r="153" spans="1:6" ht="31.5">
      <c r="A153" s="257"/>
      <c r="B153" s="246" t="str">
        <f>[2]building!B723</f>
        <v>Providing wooden Melamine polish for new wood work</v>
      </c>
      <c r="C153" s="257">
        <f>[2]building!C723</f>
        <v>1298.51</v>
      </c>
      <c r="D153" s="257" t="str">
        <f>[2]building!D723</f>
        <v>Sqm</v>
      </c>
      <c r="E153" s="257">
        <f>station!I1463</f>
        <v>22.7</v>
      </c>
      <c r="F153" s="257">
        <f t="shared" si="3"/>
        <v>29476.18</v>
      </c>
    </row>
    <row r="154" spans="1:6" ht="31.5">
      <c r="A154" s="257"/>
      <c r="B154" s="246" t="str">
        <f>[2]building!B841</f>
        <v xml:space="preserve">S &amp; F of CFL road way lighting luminaries suitable for fixing 36w CFL lamp </v>
      </c>
      <c r="C154" s="257">
        <f>[2]building!C841</f>
        <v>3190.14</v>
      </c>
      <c r="D154" s="257" t="str">
        <f>[2]building!D841</f>
        <v>Each</v>
      </c>
      <c r="E154" s="257">
        <f>station!I1464</f>
        <v>5</v>
      </c>
      <c r="F154" s="257">
        <f t="shared" si="3"/>
        <v>15950.7</v>
      </c>
    </row>
    <row r="155" spans="1:6" ht="16.5">
      <c r="A155" s="213">
        <v>147</v>
      </c>
      <c r="B155" s="202" t="s">
        <v>924</v>
      </c>
      <c r="C155" s="257"/>
      <c r="D155" s="257" t="s">
        <v>69</v>
      </c>
      <c r="E155" s="257">
        <v>7</v>
      </c>
      <c r="F155" s="257">
        <f t="shared" si="3"/>
        <v>0</v>
      </c>
    </row>
    <row r="156" spans="1:6">
      <c r="A156" s="257"/>
      <c r="B156" s="246"/>
      <c r="C156" s="257"/>
      <c r="D156" s="257"/>
      <c r="E156" s="257"/>
      <c r="F156" s="257">
        <f t="shared" si="3"/>
        <v>0</v>
      </c>
    </row>
    <row r="157" spans="1:6">
      <c r="A157" s="257"/>
      <c r="B157" s="246" t="s">
        <v>1024</v>
      </c>
      <c r="C157" s="257">
        <f>[2]Data!AG3112</f>
        <v>467</v>
      </c>
      <c r="D157" s="257" t="s">
        <v>69</v>
      </c>
      <c r="E157" s="257">
        <f>station!I1467</f>
        <v>12</v>
      </c>
      <c r="F157" s="257">
        <f t="shared" si="3"/>
        <v>5604</v>
      </c>
    </row>
    <row r="158" spans="1:6">
      <c r="A158" s="257"/>
      <c r="B158" s="246" t="s">
        <v>1025</v>
      </c>
      <c r="C158" s="257">
        <f>[2]Data!AH3112</f>
        <v>419</v>
      </c>
      <c r="D158" s="257" t="s">
        <v>69</v>
      </c>
      <c r="E158" s="257">
        <f>station!I1469</f>
        <v>12</v>
      </c>
      <c r="F158" s="257">
        <f t="shared" si="3"/>
        <v>5028</v>
      </c>
    </row>
    <row r="159" spans="1:6">
      <c r="A159" s="257"/>
      <c r="B159" s="246" t="s">
        <v>913</v>
      </c>
      <c r="C159" s="257">
        <f>[2]Data!K2412</f>
        <v>2016.25</v>
      </c>
      <c r="D159" s="257" t="s">
        <v>69</v>
      </c>
      <c r="E159" s="257">
        <f>station!I1471</f>
        <v>4</v>
      </c>
      <c r="F159" s="257">
        <f t="shared" si="3"/>
        <v>8065</v>
      </c>
    </row>
    <row r="160" spans="1:6" ht="31.5">
      <c r="A160" s="257"/>
      <c r="B160" s="246" t="str">
        <f>[2]building!B845</f>
        <v>UPVC Non Pressure  pipe of SN8 SDR 34
( S 16.5) as per IS 15328/2003</v>
      </c>
      <c r="C160" s="257"/>
      <c r="D160" s="257"/>
      <c r="E160" s="257"/>
      <c r="F160" s="257">
        <f t="shared" si="3"/>
        <v>0</v>
      </c>
    </row>
    <row r="161" spans="1:6">
      <c r="A161" s="257"/>
      <c r="B161" s="246" t="str">
        <f>[2]building!B846</f>
        <v>a. 110 mm UPVC Non Pressure  pipe</v>
      </c>
      <c r="C161" s="257">
        <f>[2]building!C846</f>
        <v>366.07</v>
      </c>
      <c r="D161" s="257" t="str">
        <f>[2]building!D846</f>
        <v>Rmt</v>
      </c>
      <c r="E161" s="257">
        <f>station!I1475</f>
        <v>30</v>
      </c>
      <c r="F161" s="257">
        <f t="shared" si="3"/>
        <v>10982.1</v>
      </c>
    </row>
    <row r="162" spans="1:6">
      <c r="A162" s="257"/>
      <c r="B162" s="246" t="str">
        <f>[2]building!B847</f>
        <v>b. 160 mm UPVC Non Pressure  pipe</v>
      </c>
      <c r="C162" s="257">
        <f>[2]building!C847</f>
        <v>593.33000000000004</v>
      </c>
      <c r="D162" s="257" t="str">
        <f>[2]building!D847</f>
        <v>Rmt</v>
      </c>
      <c r="E162" s="257">
        <f>station!I1477</f>
        <v>45</v>
      </c>
      <c r="F162" s="257">
        <f t="shared" si="3"/>
        <v>26699.85</v>
      </c>
    </row>
    <row r="163" spans="1:6">
      <c r="A163" s="257"/>
      <c r="B163" s="246" t="str">
        <f>[2]building!B848</f>
        <v>PVC Specials  as per IS 10124/1982 Part II</v>
      </c>
      <c r="C163" s="257"/>
      <c r="D163" s="257"/>
      <c r="E163" s="257"/>
      <c r="F163" s="257">
        <f t="shared" si="3"/>
        <v>0</v>
      </c>
    </row>
    <row r="164" spans="1:6" ht="31.5">
      <c r="A164" s="257"/>
      <c r="B164" s="246" t="str">
        <f>[2]building!B849</f>
        <v>a. 110 mm dia PVC bend (TWAD SR 19-20  P-19 S.No-4 )</v>
      </c>
      <c r="C164" s="257">
        <f>[2]building!C849</f>
        <v>156</v>
      </c>
      <c r="D164" s="257" t="str">
        <f>[2]building!D849</f>
        <v>Each</v>
      </c>
      <c r="E164" s="257">
        <f>'[2]main detail'!I967</f>
        <v>6</v>
      </c>
      <c r="F164" s="257">
        <f t="shared" si="3"/>
        <v>936</v>
      </c>
    </row>
    <row r="165" spans="1:6" ht="31.5">
      <c r="A165" s="257"/>
      <c r="B165" s="246" t="str">
        <f>[2]building!B850</f>
        <v>b. 160 mm dia PVC bend (TWAD SR 19-20 P-19 it-1.5, S.No-4 )</v>
      </c>
      <c r="C165" s="257">
        <f>[2]building!C850</f>
        <v>497</v>
      </c>
      <c r="D165" s="257" t="str">
        <f>[2]building!D850</f>
        <v>Each</v>
      </c>
      <c r="E165" s="257">
        <f>'[2]main detail'!I968</f>
        <v>4</v>
      </c>
      <c r="F165" s="257">
        <f t="shared" si="3"/>
        <v>1988</v>
      </c>
    </row>
    <row r="166" spans="1:6">
      <c r="A166" s="257"/>
      <c r="B166" s="246" t="str">
        <f>[2]building!B851</f>
        <v xml:space="preserve">PVC Equal Tee  as per  BIS 7834/1975 </v>
      </c>
      <c r="C166" s="257"/>
      <c r="D166" s="257"/>
      <c r="E166" s="257"/>
      <c r="F166" s="257">
        <f t="shared" si="3"/>
        <v>0</v>
      </c>
    </row>
    <row r="167" spans="1:6" ht="31.5">
      <c r="A167" s="257"/>
      <c r="B167" s="246" t="str">
        <f>[2]building!B852</f>
        <v>a. 110 mm dia PVC Equal tee(TWAD SR 19-20 P-19 S.No-9 )</v>
      </c>
      <c r="C167" s="257">
        <f>[2]building!C852</f>
        <v>186</v>
      </c>
      <c r="D167" s="257" t="str">
        <f>[2]building!D852</f>
        <v>Each</v>
      </c>
      <c r="E167" s="257">
        <f>'[2]main detail'!I970</f>
        <v>2</v>
      </c>
      <c r="F167" s="257">
        <f t="shared" si="3"/>
        <v>372</v>
      </c>
    </row>
    <row r="168" spans="1:6" ht="31.5">
      <c r="A168" s="257"/>
      <c r="B168" s="246" t="str">
        <f>[2]building!B853</f>
        <v>b. 160 mm dia PVC Equal tee(TWAD SR 19-20 P-19 S.No-9 )</v>
      </c>
      <c r="C168" s="257">
        <f>[2]building!C853</f>
        <v>328</v>
      </c>
      <c r="D168" s="257" t="str">
        <f>[2]building!D853</f>
        <v>Each</v>
      </c>
      <c r="E168" s="257">
        <f>'[2]main detail'!I971</f>
        <v>2</v>
      </c>
      <c r="F168" s="257">
        <f t="shared" si="3"/>
        <v>656</v>
      </c>
    </row>
    <row r="169" spans="1:6" ht="47.25">
      <c r="A169" s="257"/>
      <c r="B169" s="246" t="str">
        <f>[2]building!B854</f>
        <v xml:space="preserve">S &amp; F of Indian Water closet white glazed (Oriya type) of size 580 x 440mm with PVC SWR grade ' P' or "S' trap   - in G.F.  </v>
      </c>
      <c r="C169" s="257">
        <f>[2]building!C854</f>
        <v>3030.06</v>
      </c>
      <c r="D169" s="257" t="str">
        <f>[2]building!D854</f>
        <v>Each</v>
      </c>
      <c r="E169" s="288">
        <f>'[2]main detail'!I1536</f>
        <v>3</v>
      </c>
      <c r="F169" s="257">
        <f t="shared" ref="F169:F175" si="4">C169*E169</f>
        <v>9090.18</v>
      </c>
    </row>
    <row r="170" spans="1:6" ht="47.25">
      <c r="A170" s="257"/>
      <c r="B170" s="246" t="str">
        <f>[2]building!B855</f>
        <v xml:space="preserve">S &amp; F of Indian Water closet white glazed (Oriya type) of size 580 x 440mm  with PVC SWR grade ' P' or "S' trap- Other than  G.F.  </v>
      </c>
      <c r="C170" s="257">
        <f>[2]building!C855</f>
        <v>4768.38</v>
      </c>
      <c r="D170" s="257" t="str">
        <f>[2]building!D855</f>
        <v>Each</v>
      </c>
      <c r="E170" s="257">
        <f>'[2]main detail'!I1537</f>
        <v>3</v>
      </c>
      <c r="F170" s="257">
        <f t="shared" si="4"/>
        <v>14305.14</v>
      </c>
    </row>
    <row r="171" spans="1:6" ht="31.5">
      <c r="A171" s="257"/>
      <c r="B171" s="246" t="str">
        <f>[2]building!B856</f>
        <v xml:space="preserve">S &amp; F of E.W.C.(White) 500 mm with PVC SWR grade "P" or "S" TRAP </v>
      </c>
      <c r="C171" s="257">
        <f>[2]building!C856</f>
        <v>6501.3</v>
      </c>
      <c r="D171" s="257" t="str">
        <f>[2]building!D856</f>
        <v>Each</v>
      </c>
      <c r="E171" s="257">
        <f>'[2]main detail'!I957</f>
        <v>1</v>
      </c>
      <c r="F171" s="257">
        <f t="shared" si="4"/>
        <v>6501.3</v>
      </c>
    </row>
    <row r="172" spans="1:6" ht="23.25" customHeight="1">
      <c r="A172" s="257"/>
      <c r="B172" s="258" t="str">
        <f>[2]building!B924</f>
        <v>Supply and fixing of 12 watts  LED bulb  (qtn)</v>
      </c>
      <c r="C172" s="257">
        <f>[2]building!C924</f>
        <v>170</v>
      </c>
      <c r="D172" s="257" t="str">
        <f>[2]building!D924</f>
        <v>Each</v>
      </c>
      <c r="E172" s="257">
        <f>'[2]main detail'!I1575</f>
        <v>18</v>
      </c>
      <c r="F172" s="257">
        <f t="shared" si="4"/>
        <v>3060</v>
      </c>
    </row>
    <row r="173" spans="1:6" ht="33">
      <c r="A173" s="248" t="s">
        <v>268</v>
      </c>
      <c r="B173" s="202" t="s">
        <v>904</v>
      </c>
      <c r="C173" s="257" t="e">
        <f>#REF!</f>
        <v>#REF!</v>
      </c>
      <c r="D173" s="257" t="s">
        <v>123</v>
      </c>
      <c r="E173" s="257">
        <f>station!I1499</f>
        <v>1879</v>
      </c>
      <c r="F173" s="257" t="e">
        <f t="shared" si="4"/>
        <v>#REF!</v>
      </c>
    </row>
    <row r="174" spans="1:6" ht="16.5">
      <c r="A174" s="303" t="s">
        <v>914</v>
      </c>
      <c r="B174" s="202" t="s">
        <v>915</v>
      </c>
      <c r="C174" s="257" t="e">
        <f>#REF!</f>
        <v>#REF!</v>
      </c>
      <c r="D174" s="257" t="s">
        <v>123</v>
      </c>
      <c r="E174" s="257">
        <f>station!I1514</f>
        <v>559.4</v>
      </c>
      <c r="F174" s="257" t="e">
        <f t="shared" si="4"/>
        <v>#REF!</v>
      </c>
    </row>
    <row r="175" spans="1:6" ht="31.5">
      <c r="A175" s="281">
        <v>53.4</v>
      </c>
      <c r="B175" s="272" t="s">
        <v>1006</v>
      </c>
      <c r="C175" s="257" t="e">
        <f>#REF!</f>
        <v>#REF!</v>
      </c>
      <c r="D175" s="257" t="s">
        <v>69</v>
      </c>
      <c r="E175" s="257" t="e">
        <f>station!#REF!</f>
        <v>#REF!</v>
      </c>
      <c r="F175" s="257" t="e">
        <f t="shared" si="4"/>
        <v>#REF!</v>
      </c>
    </row>
    <row r="176" spans="1:6" ht="22.5" customHeight="1">
      <c r="A176" s="257"/>
      <c r="B176" s="246" t="str">
        <f>[2]building!B1025</f>
        <v>Total</v>
      </c>
      <c r="C176" s="257"/>
      <c r="D176" s="257"/>
      <c r="E176" s="257"/>
      <c r="F176" s="293" t="e">
        <f>+SUM(F5:F175)</f>
        <v>#REF!</v>
      </c>
    </row>
  </sheetData>
  <mergeCells count="2">
    <mergeCell ref="A1:F1"/>
    <mergeCell ref="B144:D144"/>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FF00"/>
  </sheetPr>
  <dimension ref="A1:J41"/>
  <sheetViews>
    <sheetView tabSelected="1" workbookViewId="0">
      <selection activeCell="G11" sqref="G11"/>
    </sheetView>
  </sheetViews>
  <sheetFormatPr defaultRowHeight="15"/>
  <cols>
    <col min="1" max="1" width="4.109375" style="524" customWidth="1"/>
    <col min="2" max="2" width="26.6640625" style="524" customWidth="1"/>
    <col min="3" max="3" width="5.21875" style="542" customWidth="1"/>
    <col min="4" max="4" width="5.6640625" style="542" customWidth="1"/>
    <col min="5" max="5" width="5.77734375" style="542" customWidth="1"/>
    <col min="6" max="6" width="8.88671875" style="542"/>
    <col min="7" max="7" width="6.33203125" style="542" customWidth="1"/>
    <col min="8" max="8" width="8.88671875" style="543" customWidth="1"/>
    <col min="9" max="9" width="0.109375" style="524" customWidth="1"/>
    <col min="10" max="10" width="8.88671875" style="524" hidden="1" customWidth="1"/>
    <col min="11" max="16384" width="8.88671875" style="524"/>
  </cols>
  <sheetData>
    <row r="1" spans="1:10" ht="51.75" customHeight="1">
      <c r="A1" s="587" t="str">
        <f>[3]OHT!A4</f>
        <v>Name of work : Construction of Fire and Rescue service station building with development works at Kadamalaikundu in Theni District.</v>
      </c>
      <c r="B1" s="588"/>
      <c r="C1" s="588"/>
      <c r="D1" s="588"/>
      <c r="E1" s="588"/>
      <c r="F1" s="588"/>
      <c r="G1" s="588"/>
      <c r="H1" s="588"/>
      <c r="I1" s="588"/>
      <c r="J1" s="589"/>
    </row>
    <row r="2" spans="1:10" ht="15.75">
      <c r="A2" s="590" t="s">
        <v>1251</v>
      </c>
      <c r="B2" s="590"/>
      <c r="C2" s="590"/>
      <c r="D2" s="590"/>
      <c r="E2" s="590"/>
      <c r="F2" s="590"/>
      <c r="G2" s="590"/>
      <c r="H2" s="590"/>
      <c r="I2" s="590"/>
      <c r="J2" s="590"/>
    </row>
    <row r="3" spans="1:10" ht="15.75">
      <c r="A3" s="590" t="s">
        <v>1252</v>
      </c>
      <c r="B3" s="590"/>
      <c r="C3" s="590"/>
      <c r="D3" s="590"/>
      <c r="E3" s="590"/>
      <c r="F3" s="590"/>
      <c r="G3" s="590"/>
      <c r="H3" s="590"/>
      <c r="I3" s="590"/>
      <c r="J3" s="590"/>
    </row>
    <row r="4" spans="1:10" ht="18.75">
      <c r="A4" s="525"/>
      <c r="B4" s="591" t="s">
        <v>1253</v>
      </c>
      <c r="C4" s="591"/>
      <c r="D4" s="591"/>
      <c r="E4" s="591"/>
      <c r="F4" s="591"/>
      <c r="G4" s="591"/>
      <c r="H4" s="526"/>
      <c r="I4" s="527"/>
      <c r="J4" s="528"/>
    </row>
    <row r="5" spans="1:10">
      <c r="A5" s="529" t="s">
        <v>1236</v>
      </c>
      <c r="B5" s="529" t="s">
        <v>95</v>
      </c>
      <c r="C5" s="592" t="s">
        <v>72</v>
      </c>
      <c r="D5" s="592"/>
      <c r="E5" s="530" t="s">
        <v>1237</v>
      </c>
      <c r="F5" s="530" t="s">
        <v>134</v>
      </c>
      <c r="G5" s="530" t="s">
        <v>1238</v>
      </c>
      <c r="H5" s="531" t="s">
        <v>1239</v>
      </c>
    </row>
    <row r="6" spans="1:10">
      <c r="A6" s="532"/>
      <c r="B6" s="532" t="s">
        <v>1254</v>
      </c>
      <c r="C6" s="533"/>
      <c r="D6" s="533"/>
      <c r="E6" s="533"/>
      <c r="F6" s="533"/>
      <c r="G6" s="533"/>
      <c r="H6" s="534"/>
    </row>
    <row r="7" spans="1:10">
      <c r="A7" s="532"/>
      <c r="B7" s="532" t="s">
        <v>1255</v>
      </c>
      <c r="C7" s="533"/>
      <c r="D7" s="533"/>
      <c r="E7" s="533"/>
      <c r="F7" s="533"/>
      <c r="G7" s="533"/>
      <c r="H7" s="534"/>
    </row>
    <row r="8" spans="1:10">
      <c r="A8" s="532"/>
      <c r="B8" s="532"/>
      <c r="C8" s="533"/>
      <c r="D8" s="533"/>
      <c r="E8" s="533"/>
      <c r="F8" s="533"/>
      <c r="G8" s="533"/>
      <c r="H8" s="534"/>
    </row>
    <row r="9" spans="1:10">
      <c r="A9" s="535">
        <v>1.5</v>
      </c>
      <c r="B9" s="536" t="s">
        <v>1240</v>
      </c>
      <c r="C9" s="537"/>
      <c r="D9" s="537"/>
      <c r="E9" s="537"/>
      <c r="F9" s="537"/>
      <c r="G9" s="537"/>
      <c r="H9" s="538"/>
    </row>
    <row r="10" spans="1:10">
      <c r="A10" s="535"/>
      <c r="B10" s="539" t="s">
        <v>1256</v>
      </c>
      <c r="C10" s="537">
        <v>1</v>
      </c>
      <c r="D10" s="537">
        <v>1</v>
      </c>
      <c r="E10" s="538">
        <v>72.400000000000006</v>
      </c>
      <c r="F10" s="538">
        <v>4.5</v>
      </c>
      <c r="G10" s="537">
        <v>0.38</v>
      </c>
      <c r="H10" s="538">
        <f>PRODUCT(C10:G10)</f>
        <v>123.8</v>
      </c>
    </row>
    <row r="11" spans="1:10">
      <c r="A11" s="535"/>
      <c r="B11" s="535" t="s">
        <v>1257</v>
      </c>
      <c r="C11" s="537">
        <v>1</v>
      </c>
      <c r="D11" s="537">
        <v>1</v>
      </c>
      <c r="E11" s="538">
        <v>16.5</v>
      </c>
      <c r="F11" s="538">
        <v>10</v>
      </c>
      <c r="G11" s="537">
        <v>0.38</v>
      </c>
      <c r="H11" s="538">
        <f t="shared" ref="H11:H33" si="0">PRODUCT(C11:G11)</f>
        <v>62.7</v>
      </c>
    </row>
    <row r="12" spans="1:10">
      <c r="A12" s="535"/>
      <c r="B12" s="535"/>
      <c r="C12" s="537"/>
      <c r="D12" s="537"/>
      <c r="E12" s="537"/>
      <c r="F12" s="537"/>
      <c r="G12" s="537"/>
      <c r="H12" s="538">
        <f>+SUM(H10:H11)</f>
        <v>186.5</v>
      </c>
    </row>
    <row r="13" spans="1:10">
      <c r="A13" s="535"/>
      <c r="B13" s="535"/>
      <c r="C13" s="537"/>
      <c r="D13" s="537"/>
      <c r="E13" s="537"/>
      <c r="F13" s="537" t="s">
        <v>261</v>
      </c>
      <c r="G13" s="537" t="s">
        <v>117</v>
      </c>
      <c r="H13" s="534">
        <f>ROUNDUP(H12,1)</f>
        <v>186.5</v>
      </c>
    </row>
    <row r="14" spans="1:10" ht="30">
      <c r="A14" s="532">
        <v>2</v>
      </c>
      <c r="B14" s="536" t="s">
        <v>1258</v>
      </c>
      <c r="C14" s="537"/>
      <c r="D14" s="537"/>
      <c r="E14" s="537"/>
      <c r="F14" s="537"/>
      <c r="G14" s="537"/>
      <c r="H14" s="538"/>
    </row>
    <row r="15" spans="1:10">
      <c r="A15" s="535"/>
      <c r="B15" s="539" t="s">
        <v>1256</v>
      </c>
      <c r="C15" s="537">
        <v>1</v>
      </c>
      <c r="D15" s="537">
        <v>1</v>
      </c>
      <c r="E15" s="538">
        <v>72.400000000000006</v>
      </c>
      <c r="F15" s="538">
        <v>4.5</v>
      </c>
      <c r="G15" s="537">
        <v>0.15</v>
      </c>
      <c r="H15" s="538">
        <f t="shared" si="0"/>
        <v>48.87</v>
      </c>
    </row>
    <row r="16" spans="1:10">
      <c r="A16" s="535"/>
      <c r="B16" s="535" t="s">
        <v>1257</v>
      </c>
      <c r="C16" s="537">
        <v>1</v>
      </c>
      <c r="D16" s="537">
        <v>1</v>
      </c>
      <c r="E16" s="538">
        <v>16.5</v>
      </c>
      <c r="F16" s="538">
        <v>10</v>
      </c>
      <c r="G16" s="537">
        <v>0.15</v>
      </c>
      <c r="H16" s="538">
        <f t="shared" si="0"/>
        <v>24.75</v>
      </c>
    </row>
    <row r="17" spans="1:8">
      <c r="A17" s="535"/>
      <c r="B17" s="535"/>
      <c r="C17" s="537"/>
      <c r="D17" s="537"/>
      <c r="E17" s="537"/>
      <c r="F17" s="537"/>
      <c r="G17" s="537"/>
      <c r="H17" s="538">
        <f>+SUM(H15:H16)</f>
        <v>73.62</v>
      </c>
    </row>
    <row r="18" spans="1:8">
      <c r="A18" s="535"/>
      <c r="B18" s="535"/>
      <c r="C18" s="537"/>
      <c r="D18" s="537"/>
      <c r="E18" s="537"/>
      <c r="F18" s="537" t="s">
        <v>261</v>
      </c>
      <c r="G18" s="537" t="s">
        <v>117</v>
      </c>
      <c r="H18" s="534">
        <f>ROUNDUP(H17,1)</f>
        <v>73.7</v>
      </c>
    </row>
    <row r="19" spans="1:8">
      <c r="A19" s="535"/>
      <c r="B19" s="535"/>
      <c r="C19" s="537"/>
      <c r="D19" s="537"/>
      <c r="E19" s="537"/>
      <c r="F19" s="537"/>
      <c r="G19" s="537"/>
      <c r="H19" s="538"/>
    </row>
    <row r="20" spans="1:8">
      <c r="A20" s="532">
        <v>3</v>
      </c>
      <c r="B20" s="536" t="s">
        <v>1259</v>
      </c>
      <c r="C20" s="537"/>
      <c r="D20" s="537"/>
      <c r="E20" s="537"/>
      <c r="F20" s="537"/>
      <c r="G20" s="537"/>
      <c r="H20" s="538"/>
    </row>
    <row r="21" spans="1:8">
      <c r="A21" s="535"/>
      <c r="B21" s="539" t="s">
        <v>1256</v>
      </c>
      <c r="C21" s="537">
        <v>1</v>
      </c>
      <c r="D21" s="537">
        <v>1</v>
      </c>
      <c r="E21" s="538">
        <v>72.400000000000006</v>
      </c>
      <c r="F21" s="538">
        <v>4.5</v>
      </c>
      <c r="G21" s="537">
        <v>0.15</v>
      </c>
      <c r="H21" s="538">
        <f t="shared" ref="H21:H22" si="1">PRODUCT(C21:G21)</f>
        <v>48.87</v>
      </c>
    </row>
    <row r="22" spans="1:8">
      <c r="A22" s="535"/>
      <c r="B22" s="535" t="s">
        <v>1257</v>
      </c>
      <c r="C22" s="537">
        <v>1</v>
      </c>
      <c r="D22" s="537">
        <v>1</v>
      </c>
      <c r="E22" s="538">
        <v>16.5</v>
      </c>
      <c r="F22" s="538">
        <v>10</v>
      </c>
      <c r="G22" s="537">
        <v>0.15</v>
      </c>
      <c r="H22" s="538">
        <f t="shared" si="1"/>
        <v>24.75</v>
      </c>
    </row>
    <row r="23" spans="1:8">
      <c r="A23" s="535"/>
      <c r="B23" s="535"/>
      <c r="C23" s="537"/>
      <c r="D23" s="537"/>
      <c r="E23" s="537"/>
      <c r="F23" s="537"/>
      <c r="G23" s="537"/>
      <c r="H23" s="538">
        <f>+SUM(H21:H22)</f>
        <v>73.62</v>
      </c>
    </row>
    <row r="24" spans="1:8">
      <c r="A24" s="535"/>
      <c r="B24" s="535"/>
      <c r="C24" s="537"/>
      <c r="D24" s="537"/>
      <c r="E24" s="537"/>
      <c r="F24" s="537" t="s">
        <v>261</v>
      </c>
      <c r="G24" s="537" t="s">
        <v>117</v>
      </c>
      <c r="H24" s="534">
        <f>ROUNDUP(H23,1)</f>
        <v>73.7</v>
      </c>
    </row>
    <row r="25" spans="1:8">
      <c r="A25" s="535"/>
      <c r="B25" s="535"/>
      <c r="C25" s="537"/>
      <c r="D25" s="537"/>
      <c r="E25" s="537"/>
      <c r="F25" s="537"/>
      <c r="G25" s="537"/>
      <c r="H25" s="534"/>
    </row>
    <row r="26" spans="1:8" ht="75">
      <c r="A26" s="532">
        <v>4</v>
      </c>
      <c r="B26" s="536" t="s">
        <v>1260</v>
      </c>
      <c r="C26" s="537"/>
      <c r="D26" s="537"/>
      <c r="E26" s="537"/>
      <c r="F26" s="537"/>
      <c r="G26" s="537"/>
      <c r="H26" s="538"/>
    </row>
    <row r="27" spans="1:8">
      <c r="A27" s="535"/>
      <c r="B27" s="539" t="s">
        <v>1256</v>
      </c>
      <c r="C27" s="537">
        <v>1</v>
      </c>
      <c r="D27" s="537">
        <v>1</v>
      </c>
      <c r="E27" s="538">
        <v>72.400000000000006</v>
      </c>
      <c r="F27" s="538">
        <v>4.5</v>
      </c>
      <c r="G27" s="537"/>
      <c r="H27" s="538">
        <f t="shared" si="0"/>
        <v>325.8</v>
      </c>
    </row>
    <row r="28" spans="1:8">
      <c r="A28" s="535"/>
      <c r="B28" s="535" t="s">
        <v>1257</v>
      </c>
      <c r="C28" s="537">
        <v>1</v>
      </c>
      <c r="D28" s="537">
        <v>1</v>
      </c>
      <c r="E28" s="538">
        <v>16.5</v>
      </c>
      <c r="F28" s="538">
        <v>10</v>
      </c>
      <c r="G28" s="537"/>
      <c r="H28" s="538">
        <f t="shared" si="0"/>
        <v>165</v>
      </c>
    </row>
    <row r="29" spans="1:8">
      <c r="A29" s="535"/>
      <c r="B29" s="535"/>
      <c r="C29" s="537"/>
      <c r="D29" s="537"/>
      <c r="E29" s="537"/>
      <c r="F29" s="537"/>
      <c r="G29" s="537"/>
      <c r="H29" s="538">
        <f>+SUM(H27:H28)</f>
        <v>490.8</v>
      </c>
    </row>
    <row r="30" spans="1:8">
      <c r="A30" s="535"/>
      <c r="B30" s="535"/>
      <c r="C30" s="537"/>
      <c r="D30" s="537"/>
      <c r="E30" s="537"/>
      <c r="F30" s="537" t="s">
        <v>261</v>
      </c>
      <c r="G30" s="537" t="s">
        <v>123</v>
      </c>
      <c r="H30" s="534">
        <f>ROUNDUP(H29,1)</f>
        <v>490.8</v>
      </c>
    </row>
    <row r="31" spans="1:8">
      <c r="A31" s="532">
        <v>50.2</v>
      </c>
      <c r="B31" s="532" t="s">
        <v>1261</v>
      </c>
      <c r="C31" s="537"/>
      <c r="D31" s="537"/>
      <c r="E31" s="537"/>
      <c r="F31" s="537"/>
      <c r="G31" s="537"/>
      <c r="H31" s="538"/>
    </row>
    <row r="32" spans="1:8">
      <c r="A32" s="535"/>
      <c r="B32" s="539" t="s">
        <v>1256</v>
      </c>
      <c r="C32" s="537">
        <v>1</v>
      </c>
      <c r="D32" s="537">
        <v>2</v>
      </c>
      <c r="E32" s="538">
        <v>72.400000000000006</v>
      </c>
      <c r="F32" s="537"/>
      <c r="G32" s="537"/>
      <c r="H32" s="538">
        <f t="shared" si="0"/>
        <v>144.80000000000001</v>
      </c>
    </row>
    <row r="33" spans="1:8">
      <c r="A33" s="535"/>
      <c r="B33" s="535" t="s">
        <v>1257</v>
      </c>
      <c r="C33" s="537">
        <v>1</v>
      </c>
      <c r="D33" s="537">
        <v>1</v>
      </c>
      <c r="E33" s="538">
        <v>20</v>
      </c>
      <c r="F33" s="537"/>
      <c r="G33" s="537"/>
      <c r="H33" s="538">
        <f t="shared" si="0"/>
        <v>20</v>
      </c>
    </row>
    <row r="34" spans="1:8">
      <c r="A34" s="535"/>
      <c r="B34" s="535"/>
      <c r="C34" s="537"/>
      <c r="D34" s="537"/>
      <c r="E34" s="537"/>
      <c r="F34" s="537"/>
      <c r="G34" s="537"/>
      <c r="H34" s="540">
        <f>+SUM(H32:H33)</f>
        <v>164.8</v>
      </c>
    </row>
    <row r="35" spans="1:8">
      <c r="A35" s="535"/>
      <c r="B35" s="535"/>
      <c r="C35" s="537"/>
      <c r="D35" s="537"/>
      <c r="E35" s="537"/>
      <c r="F35" s="537" t="s">
        <v>261</v>
      </c>
      <c r="G35" s="537" t="s">
        <v>39</v>
      </c>
      <c r="H35" s="534">
        <f>ROUNDUP(H34,1)</f>
        <v>164.8</v>
      </c>
    </row>
    <row r="36" spans="1:8" ht="30">
      <c r="A36" s="535">
        <v>41</v>
      </c>
      <c r="B36" s="541" t="s">
        <v>1262</v>
      </c>
      <c r="C36" s="537"/>
      <c r="D36" s="537"/>
      <c r="E36" s="537"/>
      <c r="F36" s="537"/>
      <c r="G36" s="537"/>
      <c r="H36" s="538"/>
    </row>
    <row r="37" spans="1:8">
      <c r="A37" s="535"/>
      <c r="B37" s="541" t="s">
        <v>1263</v>
      </c>
      <c r="C37" s="537"/>
      <c r="D37" s="537"/>
      <c r="E37" s="537"/>
      <c r="F37" s="537"/>
      <c r="G37" s="537"/>
      <c r="H37" s="538"/>
    </row>
    <row r="38" spans="1:8">
      <c r="A38" s="535"/>
      <c r="B38" s="539" t="s">
        <v>1256</v>
      </c>
      <c r="C38" s="537">
        <v>1</v>
      </c>
      <c r="D38" s="537">
        <v>2</v>
      </c>
      <c r="E38" s="538">
        <v>72.400000000000006</v>
      </c>
      <c r="F38" s="537"/>
      <c r="G38" s="537">
        <v>0.45</v>
      </c>
      <c r="H38" s="538">
        <f t="shared" ref="H38:H39" si="2">PRODUCT(C38:G38)</f>
        <v>65.16</v>
      </c>
    </row>
    <row r="39" spans="1:8">
      <c r="A39" s="535"/>
      <c r="B39" s="535" t="s">
        <v>1257</v>
      </c>
      <c r="C39" s="537">
        <v>1</v>
      </c>
      <c r="D39" s="537">
        <v>1</v>
      </c>
      <c r="E39" s="538">
        <v>20</v>
      </c>
      <c r="F39" s="537"/>
      <c r="G39" s="537">
        <v>0.45</v>
      </c>
      <c r="H39" s="538">
        <f t="shared" si="2"/>
        <v>9</v>
      </c>
    </row>
    <row r="40" spans="1:8">
      <c r="A40" s="535"/>
      <c r="B40" s="535"/>
      <c r="C40" s="537"/>
      <c r="D40" s="537"/>
      <c r="E40" s="537"/>
      <c r="F40" s="537"/>
      <c r="G40" s="537"/>
      <c r="H40" s="538">
        <f>+SUM(H38:H39)</f>
        <v>74.16</v>
      </c>
    </row>
    <row r="41" spans="1:8">
      <c r="A41" s="535"/>
      <c r="B41" s="535"/>
      <c r="C41" s="537"/>
      <c r="D41" s="537"/>
      <c r="E41" s="537"/>
      <c r="F41" s="537" t="s">
        <v>261</v>
      </c>
      <c r="G41" s="537" t="s">
        <v>123</v>
      </c>
      <c r="H41" s="534">
        <f>ROUNDUP(H40,1)</f>
        <v>74.2</v>
      </c>
    </row>
  </sheetData>
  <mergeCells count="5">
    <mergeCell ref="A1:J1"/>
    <mergeCell ref="A2:J2"/>
    <mergeCell ref="A3:J3"/>
    <mergeCell ref="B4:G4"/>
    <mergeCell ref="C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FFC000"/>
  </sheetPr>
  <dimension ref="A1:H130"/>
  <sheetViews>
    <sheetView view="pageBreakPreview" topLeftCell="A64" zoomScale="60" workbookViewId="0">
      <selection activeCell="E125" sqref="E125"/>
    </sheetView>
  </sheetViews>
  <sheetFormatPr defaultRowHeight="15.75"/>
  <cols>
    <col min="1" max="1" width="6.33203125" customWidth="1"/>
    <col min="2" max="2" width="25.5546875" customWidth="1"/>
  </cols>
  <sheetData>
    <row r="1" spans="1:8">
      <c r="A1" s="595" t="s">
        <v>208</v>
      </c>
      <c r="B1" s="595"/>
      <c r="C1" s="595"/>
      <c r="D1" s="595"/>
      <c r="E1" s="595"/>
      <c r="F1" s="595"/>
      <c r="G1" s="595"/>
      <c r="H1" s="595"/>
    </row>
    <row r="2" spans="1:8">
      <c r="A2" s="595" t="s">
        <v>1038</v>
      </c>
      <c r="B2" s="595"/>
      <c r="C2" s="595"/>
      <c r="D2" s="595"/>
      <c r="E2" s="595"/>
      <c r="F2" s="595"/>
      <c r="G2" s="595"/>
      <c r="H2" s="595"/>
    </row>
    <row r="3" spans="1:8">
      <c r="A3" s="596" t="s">
        <v>1039</v>
      </c>
      <c r="B3" s="596"/>
      <c r="C3" s="596"/>
      <c r="D3" s="596"/>
      <c r="E3" s="596"/>
      <c r="F3" s="596"/>
      <c r="G3" s="596"/>
      <c r="H3" s="596"/>
    </row>
    <row r="4" spans="1:8">
      <c r="A4" s="326"/>
      <c r="B4" s="327"/>
      <c r="C4" s="326"/>
      <c r="D4" s="326"/>
      <c r="E4" s="326"/>
      <c r="F4" s="326"/>
      <c r="G4" s="326"/>
      <c r="H4" s="326"/>
    </row>
    <row r="5" spans="1:8">
      <c r="A5" s="597" t="str">
        <f>'[4]main detail'!A1</f>
        <v>Name of work : Construction of Fire and Rescue service station building with development works at Kadamalaikundu in Theni District.</v>
      </c>
      <c r="B5" s="597"/>
      <c r="C5" s="597"/>
      <c r="D5" s="597"/>
      <c r="E5" s="597"/>
      <c r="F5" s="597"/>
      <c r="G5" s="597"/>
      <c r="H5" s="597"/>
    </row>
    <row r="6" spans="1:8">
      <c r="A6" s="328"/>
      <c r="B6" s="329"/>
      <c r="C6" s="330"/>
      <c r="D6" s="330"/>
      <c r="E6" s="328"/>
      <c r="F6" s="328"/>
      <c r="G6" s="328"/>
      <c r="H6" s="328"/>
    </row>
    <row r="7" spans="1:8" ht="31.5">
      <c r="A7" s="331" t="s">
        <v>1040</v>
      </c>
      <c r="B7" s="326" t="s">
        <v>1041</v>
      </c>
      <c r="C7" s="598" t="s">
        <v>72</v>
      </c>
      <c r="D7" s="598"/>
      <c r="E7" s="326" t="s">
        <v>1042</v>
      </c>
      <c r="F7" s="326" t="s">
        <v>1043</v>
      </c>
      <c r="G7" s="326" t="s">
        <v>1044</v>
      </c>
      <c r="H7" s="326" t="s">
        <v>55</v>
      </c>
    </row>
    <row r="8" spans="1:8" ht="31.5">
      <c r="A8" s="332">
        <v>1.5</v>
      </c>
      <c r="B8" s="333" t="s">
        <v>1045</v>
      </c>
      <c r="C8" s="334"/>
      <c r="D8" s="335"/>
      <c r="E8" s="336"/>
      <c r="F8" s="336"/>
      <c r="G8" s="336"/>
      <c r="H8" s="336"/>
    </row>
    <row r="9" spans="1:8">
      <c r="A9" s="332"/>
      <c r="B9" s="333" t="s">
        <v>1046</v>
      </c>
      <c r="C9" s="334"/>
      <c r="D9" s="335"/>
      <c r="E9" s="336"/>
      <c r="F9" s="336"/>
      <c r="G9" s="336"/>
      <c r="H9" s="336"/>
    </row>
    <row r="10" spans="1:8">
      <c r="A10" s="332"/>
      <c r="B10" s="333" t="s">
        <v>1047</v>
      </c>
      <c r="C10" s="334"/>
      <c r="D10" s="335"/>
      <c r="E10" s="336"/>
      <c r="F10" s="336"/>
      <c r="G10" s="336"/>
      <c r="H10" s="336"/>
    </row>
    <row r="11" spans="1:8">
      <c r="A11" s="337"/>
      <c r="B11" s="338" t="s">
        <v>1048</v>
      </c>
      <c r="C11" s="339">
        <v>1</v>
      </c>
      <c r="D11" s="339">
        <v>1</v>
      </c>
      <c r="E11" s="337">
        <v>5.75</v>
      </c>
      <c r="F11" s="337">
        <v>2.5</v>
      </c>
      <c r="G11" s="337">
        <v>2</v>
      </c>
      <c r="H11" s="337">
        <f>PRODUCT(C11:G11)</f>
        <v>28.75</v>
      </c>
    </row>
    <row r="12" spans="1:8">
      <c r="A12" s="337"/>
      <c r="B12" s="338" t="s">
        <v>1049</v>
      </c>
      <c r="C12" s="339">
        <v>1</v>
      </c>
      <c r="D12" s="339">
        <v>2</v>
      </c>
      <c r="E12" s="337">
        <v>1.2</v>
      </c>
      <c r="F12" s="337">
        <v>1.2</v>
      </c>
      <c r="G12" s="337">
        <v>1</v>
      </c>
      <c r="H12" s="337">
        <f t="shared" ref="H12:H13" si="0">PRODUCT(C12:G12)</f>
        <v>2.88</v>
      </c>
    </row>
    <row r="13" spans="1:8">
      <c r="A13" s="337"/>
      <c r="B13" s="338" t="s">
        <v>1050</v>
      </c>
      <c r="C13" s="339">
        <v>1</v>
      </c>
      <c r="D13" s="339">
        <v>2</v>
      </c>
      <c r="E13" s="337">
        <v>5</v>
      </c>
      <c r="F13" s="337">
        <v>1</v>
      </c>
      <c r="G13" s="337">
        <v>1</v>
      </c>
      <c r="H13" s="337">
        <f t="shared" si="0"/>
        <v>10</v>
      </c>
    </row>
    <row r="14" spans="1:8">
      <c r="A14" s="328"/>
      <c r="B14" s="329" t="s">
        <v>0</v>
      </c>
      <c r="C14" s="330"/>
      <c r="D14" s="330"/>
      <c r="E14" s="328"/>
      <c r="F14" s="328"/>
      <c r="G14" s="328"/>
      <c r="H14" s="328">
        <f>SUM(H11:H13)</f>
        <v>41.63</v>
      </c>
    </row>
    <row r="15" spans="1:8" ht="16.5">
      <c r="A15" s="328"/>
      <c r="B15" s="329"/>
      <c r="C15" s="330"/>
      <c r="D15" s="330"/>
      <c r="E15" s="328"/>
      <c r="F15" s="326"/>
      <c r="G15" s="200" t="s">
        <v>117</v>
      </c>
      <c r="H15" s="181">
        <f>ROUNDUP(H14,1)</f>
        <v>41.7</v>
      </c>
    </row>
    <row r="16" spans="1:8">
      <c r="A16" s="332"/>
      <c r="B16" s="333" t="s">
        <v>1051</v>
      </c>
      <c r="C16" s="334"/>
      <c r="D16" s="335"/>
      <c r="E16" s="336"/>
      <c r="F16" s="336"/>
      <c r="G16" s="336"/>
      <c r="H16" s="336"/>
    </row>
    <row r="17" spans="1:8">
      <c r="A17" s="332"/>
      <c r="B17" s="333" t="s">
        <v>1052</v>
      </c>
      <c r="C17" s="334"/>
      <c r="D17" s="335"/>
      <c r="E17" s="336"/>
      <c r="F17" s="336"/>
      <c r="G17" s="336"/>
      <c r="H17" s="336"/>
    </row>
    <row r="18" spans="1:8">
      <c r="A18" s="337"/>
      <c r="B18" s="338" t="s">
        <v>1048</v>
      </c>
      <c r="C18" s="339">
        <v>1</v>
      </c>
      <c r="D18" s="339">
        <v>1</v>
      </c>
      <c r="E18" s="337">
        <v>5.75</v>
      </c>
      <c r="F18" s="337">
        <v>2.5</v>
      </c>
      <c r="G18" s="337">
        <v>0.3</v>
      </c>
      <c r="H18" s="337">
        <f>PRODUCT(C18:G18)</f>
        <v>4.3099999999999996</v>
      </c>
    </row>
    <row r="19" spans="1:8">
      <c r="A19" s="337"/>
      <c r="B19" s="338"/>
      <c r="C19" s="339"/>
      <c r="D19" s="339"/>
      <c r="E19" s="337"/>
      <c r="F19" s="337"/>
      <c r="G19" s="337"/>
      <c r="H19" s="337">
        <f>H18</f>
        <v>4.3099999999999996</v>
      </c>
    </row>
    <row r="20" spans="1:8">
      <c r="A20" s="337"/>
      <c r="B20" s="338"/>
      <c r="C20" s="339"/>
      <c r="D20" s="339"/>
      <c r="E20" s="337"/>
      <c r="F20" s="337"/>
      <c r="G20" s="340"/>
      <c r="H20" s="340">
        <f>SUM(H19:H19)</f>
        <v>4.3099999999999996</v>
      </c>
    </row>
    <row r="21" spans="1:8" ht="16.5">
      <c r="A21" s="337"/>
      <c r="B21" s="338"/>
      <c r="C21" s="339"/>
      <c r="D21" s="339"/>
      <c r="E21" s="337"/>
      <c r="F21" s="337"/>
      <c r="G21" s="200" t="s">
        <v>117</v>
      </c>
      <c r="H21" s="181">
        <f>ROUNDUP(H20,1)</f>
        <v>4.4000000000000004</v>
      </c>
    </row>
    <row r="22" spans="1:8">
      <c r="A22" s="336"/>
      <c r="B22" s="333"/>
      <c r="C22" s="334"/>
      <c r="D22" s="335"/>
      <c r="E22" s="336"/>
      <c r="F22" s="336"/>
      <c r="G22" s="341"/>
      <c r="H22" s="336"/>
    </row>
    <row r="23" spans="1:8">
      <c r="A23" s="336">
        <v>2.1</v>
      </c>
      <c r="B23" s="342" t="s">
        <v>1053</v>
      </c>
      <c r="C23" s="335"/>
      <c r="D23" s="335"/>
      <c r="E23" s="336"/>
      <c r="F23" s="341"/>
      <c r="G23" s="341"/>
      <c r="H23" s="341"/>
    </row>
    <row r="24" spans="1:8">
      <c r="A24" s="337"/>
      <c r="B24" s="338" t="s">
        <v>1054</v>
      </c>
      <c r="C24" s="339">
        <v>1</v>
      </c>
      <c r="D24" s="339">
        <v>2</v>
      </c>
      <c r="E24" s="337">
        <v>5</v>
      </c>
      <c r="F24" s="337">
        <v>1</v>
      </c>
      <c r="G24" s="337">
        <v>0.2</v>
      </c>
      <c r="H24" s="336">
        <f>PRODUCT(E24:G24)</f>
        <v>1</v>
      </c>
    </row>
    <row r="25" spans="1:8">
      <c r="A25" s="332"/>
      <c r="B25" s="333"/>
      <c r="C25" s="335"/>
      <c r="D25" s="335"/>
      <c r="E25" s="336"/>
      <c r="F25" s="336"/>
      <c r="G25" s="341" t="s">
        <v>117</v>
      </c>
      <c r="H25" s="181">
        <f>ROUNDUP(H24,1)</f>
        <v>1</v>
      </c>
    </row>
    <row r="26" spans="1:8">
      <c r="A26" s="332"/>
      <c r="B26" s="333"/>
      <c r="C26" s="334"/>
      <c r="D26" s="335"/>
      <c r="E26" s="336"/>
      <c r="F26" s="336"/>
      <c r="G26" s="336"/>
      <c r="H26" s="336"/>
    </row>
    <row r="27" spans="1:8" ht="31.5">
      <c r="A27" s="336">
        <v>2.6</v>
      </c>
      <c r="B27" s="342" t="s">
        <v>110</v>
      </c>
      <c r="C27" s="335"/>
      <c r="D27" s="335"/>
      <c r="E27" s="336"/>
      <c r="F27" s="336"/>
      <c r="G27" s="336"/>
      <c r="H27" s="341"/>
    </row>
    <row r="28" spans="1:8">
      <c r="A28" s="337"/>
      <c r="B28" s="333" t="s">
        <v>1055</v>
      </c>
      <c r="C28" s="339">
        <v>1</v>
      </c>
      <c r="D28" s="339">
        <v>2</v>
      </c>
      <c r="E28" s="337">
        <v>5</v>
      </c>
      <c r="F28" s="337">
        <v>1</v>
      </c>
      <c r="G28" s="337">
        <v>0.6</v>
      </c>
      <c r="H28" s="337">
        <f>PRODUCT(C28:G28)</f>
        <v>6</v>
      </c>
    </row>
    <row r="29" spans="1:8">
      <c r="A29" s="328"/>
      <c r="B29" s="329"/>
      <c r="C29" s="330"/>
      <c r="D29" s="330"/>
      <c r="E29" s="328"/>
      <c r="F29" s="328"/>
      <c r="G29" s="328"/>
      <c r="H29" s="326">
        <f>SUM(H28:H28)</f>
        <v>6</v>
      </c>
    </row>
    <row r="30" spans="1:8">
      <c r="A30" s="332"/>
      <c r="B30" s="342"/>
      <c r="C30" s="335"/>
      <c r="D30" s="335"/>
      <c r="E30" s="336"/>
      <c r="F30" s="341" t="s">
        <v>261</v>
      </c>
      <c r="G30" s="341">
        <f>+H29</f>
        <v>6</v>
      </c>
      <c r="H30" s="341" t="s">
        <v>117</v>
      </c>
    </row>
    <row r="31" spans="1:8" ht="31.5">
      <c r="A31" s="343">
        <v>2.7</v>
      </c>
      <c r="B31" s="342" t="s">
        <v>14</v>
      </c>
      <c r="C31" s="335"/>
      <c r="D31" s="335"/>
      <c r="E31" s="336"/>
      <c r="F31" s="336"/>
      <c r="G31" s="336"/>
      <c r="H31" s="336"/>
    </row>
    <row r="32" spans="1:8">
      <c r="A32" s="337"/>
      <c r="B32" s="333" t="s">
        <v>1055</v>
      </c>
      <c r="C32" s="339">
        <v>1</v>
      </c>
      <c r="D32" s="339">
        <v>2</v>
      </c>
      <c r="E32" s="337">
        <v>5</v>
      </c>
      <c r="F32" s="337">
        <v>1</v>
      </c>
      <c r="G32" s="337">
        <v>0.2</v>
      </c>
      <c r="H32" s="337">
        <f>PRODUCT(C32:G32)</f>
        <v>2</v>
      </c>
    </row>
    <row r="33" spans="1:8">
      <c r="A33" s="328"/>
      <c r="B33" s="329"/>
      <c r="C33" s="330"/>
      <c r="D33" s="330"/>
      <c r="E33" s="328"/>
      <c r="F33" s="328"/>
      <c r="G33" s="328"/>
      <c r="H33" s="326">
        <f>SUM(H32:H32)</f>
        <v>2</v>
      </c>
    </row>
    <row r="34" spans="1:8">
      <c r="A34" s="332"/>
      <c r="B34" s="342"/>
      <c r="C34" s="335"/>
      <c r="D34" s="335"/>
      <c r="E34" s="336"/>
      <c r="F34" s="341" t="s">
        <v>261</v>
      </c>
      <c r="G34" s="341">
        <f>+H33</f>
        <v>2</v>
      </c>
      <c r="H34" s="341" t="s">
        <v>117</v>
      </c>
    </row>
    <row r="35" spans="1:8" ht="31.5">
      <c r="A35" s="332">
        <v>3.1</v>
      </c>
      <c r="B35" s="342" t="s">
        <v>1056</v>
      </c>
      <c r="C35" s="335"/>
      <c r="D35" s="335"/>
      <c r="E35" s="336"/>
      <c r="F35" s="336"/>
      <c r="G35" s="336"/>
      <c r="H35" s="336"/>
    </row>
    <row r="36" spans="1:8">
      <c r="A36" s="332"/>
      <c r="B36" s="333" t="s">
        <v>1055</v>
      </c>
      <c r="C36" s="334"/>
      <c r="D36" s="335"/>
      <c r="E36" s="336"/>
      <c r="F36" s="336"/>
      <c r="G36" s="336"/>
      <c r="H36" s="336"/>
    </row>
    <row r="37" spans="1:8">
      <c r="A37" s="337"/>
      <c r="B37" s="338" t="s">
        <v>1049</v>
      </c>
      <c r="C37" s="339">
        <v>1</v>
      </c>
      <c r="D37" s="339">
        <v>2</v>
      </c>
      <c r="E37" s="337">
        <v>1.2</v>
      </c>
      <c r="F37" s="337">
        <v>1.2</v>
      </c>
      <c r="G37" s="337">
        <v>0.1</v>
      </c>
      <c r="H37" s="337">
        <f>PRODUCT(C37:G37)</f>
        <v>0.28999999999999998</v>
      </c>
    </row>
    <row r="38" spans="1:8">
      <c r="A38" s="332"/>
      <c r="B38" s="342"/>
      <c r="C38" s="335"/>
      <c r="D38" s="335"/>
      <c r="E38" s="336"/>
      <c r="F38" s="336"/>
      <c r="G38" s="341" t="s">
        <v>480</v>
      </c>
      <c r="H38" s="181">
        <f>ROUNDUP(H37,1)</f>
        <v>0.3</v>
      </c>
    </row>
    <row r="39" spans="1:8">
      <c r="A39" s="332"/>
      <c r="B39" s="342"/>
      <c r="C39" s="335"/>
      <c r="D39" s="335"/>
      <c r="E39" s="336"/>
      <c r="F39" s="336"/>
      <c r="G39" s="336"/>
      <c r="H39" s="336"/>
    </row>
    <row r="40" spans="1:8">
      <c r="A40" s="332">
        <v>3.2</v>
      </c>
      <c r="B40" s="342" t="s">
        <v>1057</v>
      </c>
      <c r="C40" s="335"/>
      <c r="D40" s="335"/>
      <c r="E40" s="336"/>
      <c r="F40" s="336"/>
      <c r="G40" s="336"/>
      <c r="H40" s="336"/>
    </row>
    <row r="41" spans="1:8">
      <c r="A41" s="332"/>
      <c r="B41" s="338" t="s">
        <v>1048</v>
      </c>
      <c r="C41" s="339">
        <v>1</v>
      </c>
      <c r="D41" s="339">
        <v>1</v>
      </c>
      <c r="E41" s="337">
        <v>5.75</v>
      </c>
      <c r="F41" s="337">
        <v>2.5</v>
      </c>
      <c r="G41" s="337">
        <v>0.23</v>
      </c>
      <c r="H41" s="336">
        <f>PRODUCT(C41:G41)</f>
        <v>3.31</v>
      </c>
    </row>
    <row r="42" spans="1:8">
      <c r="A42" s="332"/>
      <c r="B42" s="342"/>
      <c r="C42" s="335"/>
      <c r="D42" s="335"/>
      <c r="E42" s="336"/>
      <c r="F42" s="336"/>
      <c r="G42" s="336" t="s">
        <v>117</v>
      </c>
      <c r="H42" s="181">
        <f>ROUNDUP(H41,1)</f>
        <v>3.4</v>
      </c>
    </row>
    <row r="43" spans="1:8">
      <c r="A43" s="332"/>
      <c r="B43" s="342"/>
      <c r="C43" s="335"/>
      <c r="D43" s="335"/>
      <c r="E43" s="336"/>
      <c r="F43" s="336"/>
      <c r="G43" s="336"/>
      <c r="H43" s="336"/>
    </row>
    <row r="44" spans="1:8" ht="63">
      <c r="A44" s="336">
        <v>6.5</v>
      </c>
      <c r="B44" s="342" t="s">
        <v>1058</v>
      </c>
      <c r="C44" s="335"/>
      <c r="D44" s="335"/>
      <c r="E44" s="336"/>
      <c r="F44" s="341"/>
      <c r="G44" s="341"/>
      <c r="H44" s="341"/>
    </row>
    <row r="45" spans="1:8">
      <c r="A45" s="337"/>
      <c r="B45" s="338" t="s">
        <v>145</v>
      </c>
      <c r="C45" s="339"/>
      <c r="D45" s="339"/>
      <c r="E45" s="337"/>
      <c r="F45" s="337"/>
      <c r="G45" s="337"/>
      <c r="H45" s="337"/>
    </row>
    <row r="46" spans="1:8">
      <c r="A46" s="337"/>
      <c r="B46" s="338" t="s">
        <v>1059</v>
      </c>
      <c r="C46" s="339"/>
      <c r="D46" s="339"/>
      <c r="E46" s="337"/>
      <c r="F46" s="337"/>
      <c r="G46" s="337"/>
      <c r="H46" s="337"/>
    </row>
    <row r="47" spans="1:8">
      <c r="A47" s="337"/>
      <c r="B47" s="338" t="s">
        <v>1060</v>
      </c>
      <c r="C47" s="339">
        <v>1</v>
      </c>
      <c r="D47" s="339">
        <v>1</v>
      </c>
      <c r="E47" s="337">
        <v>14.3</v>
      </c>
      <c r="F47" s="337">
        <v>0.45</v>
      </c>
      <c r="G47" s="337">
        <v>0.45</v>
      </c>
      <c r="H47" s="337">
        <f>PRODUCT(C47:G47)</f>
        <v>2.9</v>
      </c>
    </row>
    <row r="48" spans="1:8">
      <c r="A48" s="337"/>
      <c r="B48" s="338" t="s">
        <v>1061</v>
      </c>
      <c r="C48" s="339">
        <v>1</v>
      </c>
      <c r="D48" s="339">
        <v>1</v>
      </c>
      <c r="E48" s="337">
        <v>13.86</v>
      </c>
      <c r="F48" s="337">
        <v>0.34</v>
      </c>
      <c r="G48" s="337">
        <v>0.45</v>
      </c>
      <c r="H48" s="337">
        <f t="shared" ref="H48:H51" si="1">PRODUCT(C48:G48)</f>
        <v>2.12</v>
      </c>
    </row>
    <row r="49" spans="1:8">
      <c r="A49" s="337"/>
      <c r="B49" s="338" t="s">
        <v>1062</v>
      </c>
      <c r="C49" s="339">
        <v>1</v>
      </c>
      <c r="D49" s="339">
        <v>1</v>
      </c>
      <c r="E49" s="337">
        <v>13.42</v>
      </c>
      <c r="F49" s="337">
        <v>0.23</v>
      </c>
      <c r="G49" s="337">
        <v>0.9</v>
      </c>
      <c r="H49" s="337">
        <f t="shared" si="1"/>
        <v>2.78</v>
      </c>
    </row>
    <row r="50" spans="1:8">
      <c r="A50" s="337"/>
      <c r="B50" s="338" t="s">
        <v>1049</v>
      </c>
      <c r="C50" s="339">
        <v>1</v>
      </c>
      <c r="D50" s="339">
        <v>2</v>
      </c>
      <c r="E50" s="337">
        <v>3.32</v>
      </c>
      <c r="F50" s="337">
        <v>0.23</v>
      </c>
      <c r="G50" s="337">
        <v>0.6</v>
      </c>
      <c r="H50" s="337">
        <f t="shared" si="1"/>
        <v>0.92</v>
      </c>
    </row>
    <row r="51" spans="1:8">
      <c r="A51" s="336"/>
      <c r="B51" s="342" t="s">
        <v>1063</v>
      </c>
      <c r="C51" s="335">
        <v>1</v>
      </c>
      <c r="D51" s="335">
        <v>2</v>
      </c>
      <c r="E51" s="336">
        <v>3</v>
      </c>
      <c r="F51" s="336">
        <v>0.23</v>
      </c>
      <c r="G51" s="336">
        <v>1.2</v>
      </c>
      <c r="H51" s="337">
        <f t="shared" si="1"/>
        <v>1.66</v>
      </c>
    </row>
    <row r="52" spans="1:8">
      <c r="A52" s="328"/>
      <c r="B52" s="329" t="s">
        <v>0</v>
      </c>
      <c r="C52" s="330"/>
      <c r="D52" s="330"/>
      <c r="E52" s="328"/>
      <c r="F52" s="328"/>
      <c r="G52" s="328"/>
      <c r="H52" s="328">
        <f>SUM(H47:H51)</f>
        <v>10.38</v>
      </c>
    </row>
    <row r="53" spans="1:8" ht="16.5">
      <c r="A53" s="328"/>
      <c r="B53" s="329"/>
      <c r="C53" s="330"/>
      <c r="D53" s="330"/>
      <c r="E53" s="328"/>
      <c r="F53" s="328"/>
      <c r="G53" s="200" t="s">
        <v>117</v>
      </c>
      <c r="H53" s="181">
        <f>ROUNDUP(H52,1)</f>
        <v>10.4</v>
      </c>
    </row>
    <row r="54" spans="1:8">
      <c r="A54" s="332"/>
      <c r="B54" s="342"/>
      <c r="C54" s="335"/>
      <c r="D54" s="335"/>
      <c r="E54" s="336"/>
      <c r="F54" s="341"/>
      <c r="G54" s="341"/>
      <c r="H54" s="341"/>
    </row>
    <row r="55" spans="1:8" ht="31.5">
      <c r="A55" s="336">
        <v>4.0999999999999996</v>
      </c>
      <c r="B55" s="342" t="s">
        <v>1010</v>
      </c>
      <c r="C55" s="335"/>
      <c r="D55" s="335"/>
      <c r="E55" s="336"/>
      <c r="F55" s="336"/>
      <c r="G55" s="336"/>
      <c r="H55" s="336"/>
    </row>
    <row r="56" spans="1:8">
      <c r="A56" s="336"/>
      <c r="B56" s="342" t="s">
        <v>1064</v>
      </c>
      <c r="C56" s="335">
        <v>1</v>
      </c>
      <c r="D56" s="335">
        <v>1</v>
      </c>
      <c r="E56" s="336">
        <v>4.96</v>
      </c>
      <c r="F56" s="336">
        <v>1.96</v>
      </c>
      <c r="G56" s="344">
        <v>0.15</v>
      </c>
      <c r="H56" s="336">
        <f>PRODUCT(C56:G56)</f>
        <v>1.46</v>
      </c>
    </row>
    <row r="57" spans="1:8">
      <c r="A57" s="336"/>
      <c r="B57" s="342" t="s">
        <v>1065</v>
      </c>
      <c r="C57" s="335">
        <v>1</v>
      </c>
      <c r="D57" s="335">
        <v>-2</v>
      </c>
      <c r="E57" s="336">
        <v>0.6</v>
      </c>
      <c r="F57" s="336">
        <v>0.6</v>
      </c>
      <c r="G57" s="336">
        <v>0.15</v>
      </c>
      <c r="H57" s="336">
        <f>PRODUCT(C57:G57)</f>
        <v>-0.11</v>
      </c>
    </row>
    <row r="58" spans="1:8">
      <c r="A58" s="337"/>
      <c r="B58" s="338" t="s">
        <v>1066</v>
      </c>
      <c r="C58" s="339">
        <v>1</v>
      </c>
      <c r="D58" s="339">
        <v>1</v>
      </c>
      <c r="E58" s="337">
        <v>1.96</v>
      </c>
      <c r="F58" s="337">
        <v>0.23</v>
      </c>
      <c r="G58" s="337">
        <v>0.23</v>
      </c>
      <c r="H58" s="337">
        <v>0.09</v>
      </c>
    </row>
    <row r="59" spans="1:8">
      <c r="A59" s="328"/>
      <c r="B59" s="329" t="s">
        <v>0</v>
      </c>
      <c r="C59" s="330"/>
      <c r="D59" s="330"/>
      <c r="E59" s="328"/>
      <c r="F59" s="328"/>
      <c r="G59" s="328"/>
      <c r="H59" s="328">
        <f>SUM(H56:H58)</f>
        <v>1.44</v>
      </c>
    </row>
    <row r="60" spans="1:8" ht="16.5">
      <c r="A60" s="332"/>
      <c r="B60" s="342"/>
      <c r="C60" s="335"/>
      <c r="D60" s="335"/>
      <c r="E60" s="336"/>
      <c r="F60" s="341"/>
      <c r="G60" s="200" t="s">
        <v>117</v>
      </c>
      <c r="H60" s="181">
        <f>ROUNDUP(H59,1)</f>
        <v>1.5</v>
      </c>
    </row>
    <row r="61" spans="1:8" ht="31.5">
      <c r="A61" s="336">
        <v>18.100000000000001</v>
      </c>
      <c r="B61" s="342" t="s">
        <v>1067</v>
      </c>
      <c r="C61" s="335"/>
      <c r="D61" s="335"/>
      <c r="E61" s="336"/>
      <c r="F61" s="341"/>
      <c r="G61" s="341"/>
      <c r="H61" s="341"/>
    </row>
    <row r="62" spans="1:8" ht="63">
      <c r="A62" s="336"/>
      <c r="B62" s="342" t="s">
        <v>57</v>
      </c>
      <c r="C62" s="335"/>
      <c r="D62" s="335"/>
      <c r="E62" s="336"/>
      <c r="F62" s="341"/>
      <c r="G62" s="341"/>
      <c r="H62" s="341"/>
    </row>
    <row r="63" spans="1:8">
      <c r="A63" s="336"/>
      <c r="B63" s="342" t="s">
        <v>1068</v>
      </c>
      <c r="C63" s="335">
        <v>1</v>
      </c>
      <c r="D63" s="335">
        <v>1</v>
      </c>
      <c r="E63" s="336">
        <v>4.75</v>
      </c>
      <c r="F63" s="336">
        <v>1.5</v>
      </c>
      <c r="G63" s="341"/>
      <c r="H63" s="336">
        <f t="shared" ref="H63:H67" si="2">PRODUCT(C63:G63)</f>
        <v>7.13</v>
      </c>
    </row>
    <row r="64" spans="1:8">
      <c r="A64" s="336"/>
      <c r="B64" s="342" t="s">
        <v>1069</v>
      </c>
      <c r="C64" s="335">
        <v>1</v>
      </c>
      <c r="D64" s="335">
        <v>1</v>
      </c>
      <c r="E64" s="336">
        <v>13.84</v>
      </c>
      <c r="F64" s="341"/>
      <c r="G64" s="336">
        <v>0.15</v>
      </c>
      <c r="H64" s="336">
        <f t="shared" si="2"/>
        <v>2.08</v>
      </c>
    </row>
    <row r="65" spans="1:8">
      <c r="A65" s="336"/>
      <c r="B65" s="342" t="s">
        <v>1065</v>
      </c>
      <c r="C65" s="335">
        <v>1</v>
      </c>
      <c r="D65" s="335">
        <v>-2</v>
      </c>
      <c r="E65" s="336">
        <v>0.6</v>
      </c>
      <c r="F65" s="336">
        <v>0.6</v>
      </c>
      <c r="G65" s="341"/>
      <c r="H65" s="336">
        <f t="shared" si="2"/>
        <v>-0.72</v>
      </c>
    </row>
    <row r="66" spans="1:8">
      <c r="A66" s="336"/>
      <c r="B66" s="342" t="s">
        <v>1070</v>
      </c>
      <c r="C66" s="335">
        <v>1</v>
      </c>
      <c r="D66" s="335">
        <v>2</v>
      </c>
      <c r="E66" s="336">
        <f>0.6*4</f>
        <v>2.4</v>
      </c>
      <c r="F66" s="336"/>
      <c r="G66" s="336">
        <v>0.15</v>
      </c>
      <c r="H66" s="336">
        <f t="shared" si="2"/>
        <v>0.72</v>
      </c>
    </row>
    <row r="67" spans="1:8">
      <c r="A67" s="336"/>
      <c r="B67" s="342" t="s">
        <v>1071</v>
      </c>
      <c r="C67" s="335">
        <v>1</v>
      </c>
      <c r="D67" s="335">
        <v>1</v>
      </c>
      <c r="E67" s="336">
        <v>3</v>
      </c>
      <c r="F67" s="341"/>
      <c r="G67" s="336">
        <f>0.23+0.3+0.3</f>
        <v>0.83</v>
      </c>
      <c r="H67" s="336">
        <f t="shared" si="2"/>
        <v>2.4900000000000002</v>
      </c>
    </row>
    <row r="68" spans="1:8">
      <c r="A68" s="328"/>
      <c r="B68" s="329"/>
      <c r="C68" s="330"/>
      <c r="D68" s="330"/>
      <c r="E68" s="328"/>
      <c r="F68" s="328"/>
      <c r="G68" s="328"/>
      <c r="H68" s="326">
        <f>SUM(H63:H67)</f>
        <v>11.7</v>
      </c>
    </row>
    <row r="69" spans="1:8" ht="16.5">
      <c r="A69" s="328"/>
      <c r="B69" s="329"/>
      <c r="C69" s="330"/>
      <c r="D69" s="330"/>
      <c r="E69" s="328"/>
      <c r="F69" s="328"/>
      <c r="G69" s="200" t="s">
        <v>123</v>
      </c>
      <c r="H69" s="181">
        <f>ROUNDUP(H68,1)</f>
        <v>11.7</v>
      </c>
    </row>
    <row r="70" spans="1:8">
      <c r="A70" s="328"/>
      <c r="B70" s="329"/>
      <c r="C70" s="330"/>
      <c r="D70" s="330"/>
      <c r="E70" s="328"/>
      <c r="F70" s="328"/>
      <c r="G70" s="328"/>
      <c r="H70" s="326"/>
    </row>
    <row r="71" spans="1:8" ht="31.5">
      <c r="A71" s="336">
        <v>53.4</v>
      </c>
      <c r="B71" s="342" t="s">
        <v>2</v>
      </c>
      <c r="C71" s="335">
        <v>1</v>
      </c>
      <c r="D71" s="335">
        <v>2</v>
      </c>
      <c r="E71" s="336"/>
      <c r="F71" s="341"/>
      <c r="G71" s="341"/>
      <c r="H71" s="336">
        <f>PRODUCT(C71:G71)</f>
        <v>2</v>
      </c>
    </row>
    <row r="72" spans="1:8">
      <c r="A72" s="336"/>
      <c r="B72" s="342"/>
      <c r="C72" s="335"/>
      <c r="D72" s="335"/>
      <c r="E72" s="336"/>
      <c r="F72" s="341" t="s">
        <v>261</v>
      </c>
      <c r="G72" s="341">
        <f>+H71</f>
        <v>2</v>
      </c>
      <c r="H72" s="341" t="s">
        <v>72</v>
      </c>
    </row>
    <row r="73" spans="1:8" ht="47.25">
      <c r="A73" s="336" t="s">
        <v>60</v>
      </c>
      <c r="B73" s="342" t="s">
        <v>1072</v>
      </c>
      <c r="C73" s="335"/>
      <c r="D73" s="335"/>
      <c r="E73" s="336"/>
      <c r="F73" s="336"/>
      <c r="G73" s="345"/>
      <c r="H73" s="336"/>
    </row>
    <row r="74" spans="1:8">
      <c r="A74" s="336"/>
      <c r="B74" s="342" t="s">
        <v>1073</v>
      </c>
      <c r="C74" s="335">
        <v>1</v>
      </c>
      <c r="D74" s="335">
        <v>2</v>
      </c>
      <c r="E74" s="336">
        <v>0.75</v>
      </c>
      <c r="F74" s="336">
        <v>0.75</v>
      </c>
      <c r="G74" s="341"/>
      <c r="H74" s="336">
        <f>PRODUCT(C74:G74)</f>
        <v>1.1299999999999999</v>
      </c>
    </row>
    <row r="75" spans="1:8">
      <c r="A75" s="328"/>
      <c r="B75" s="329"/>
      <c r="C75" s="330"/>
      <c r="D75" s="330"/>
      <c r="E75" s="328"/>
      <c r="F75" s="328"/>
      <c r="G75" s="328"/>
      <c r="H75" s="326">
        <f>+SUM(H74:H74)</f>
        <v>1.1299999999999999</v>
      </c>
    </row>
    <row r="76" spans="1:8">
      <c r="A76" s="332"/>
      <c r="B76" s="342"/>
      <c r="C76" s="335"/>
      <c r="D76" s="335"/>
      <c r="E76" s="336"/>
      <c r="F76" s="341"/>
      <c r="G76" s="341" t="s">
        <v>123</v>
      </c>
      <c r="H76" s="181">
        <f>ROUNDUP(H75,1)</f>
        <v>1.2</v>
      </c>
    </row>
    <row r="77" spans="1:8">
      <c r="A77" s="336">
        <v>28</v>
      </c>
      <c r="B77" s="342" t="s">
        <v>1074</v>
      </c>
      <c r="C77" s="335"/>
      <c r="D77" s="335"/>
      <c r="E77" s="336"/>
      <c r="F77" s="336"/>
      <c r="G77" s="336"/>
      <c r="H77" s="336"/>
    </row>
    <row r="78" spans="1:8">
      <c r="A78" s="337"/>
      <c r="B78" s="333" t="s">
        <v>1075</v>
      </c>
      <c r="C78" s="339">
        <v>1</v>
      </c>
      <c r="D78" s="339">
        <v>2</v>
      </c>
      <c r="E78" s="337">
        <v>0.6</v>
      </c>
      <c r="F78" s="337">
        <v>0.6</v>
      </c>
      <c r="G78" s="337" t="s">
        <v>78</v>
      </c>
      <c r="H78" s="336">
        <f>PRODUCT(C78:G78)</f>
        <v>0.72</v>
      </c>
    </row>
    <row r="79" spans="1:8">
      <c r="A79" s="336"/>
      <c r="B79" s="342" t="s">
        <v>1076</v>
      </c>
      <c r="C79" s="335">
        <v>1</v>
      </c>
      <c r="D79" s="335">
        <v>1</v>
      </c>
      <c r="E79" s="336">
        <f>+E56</f>
        <v>4.96</v>
      </c>
      <c r="F79" s="336">
        <f>+F56</f>
        <v>1.96</v>
      </c>
      <c r="G79" s="336"/>
      <c r="H79" s="336">
        <f>PRODUCT(C79:G79)</f>
        <v>9.7200000000000006</v>
      </c>
    </row>
    <row r="80" spans="1:8">
      <c r="A80" s="336"/>
      <c r="B80" s="342" t="s">
        <v>1077</v>
      </c>
      <c r="C80" s="335">
        <v>1</v>
      </c>
      <c r="D80" s="335">
        <v>-2</v>
      </c>
      <c r="E80" s="336">
        <v>0.6</v>
      </c>
      <c r="F80" s="336">
        <v>0.6</v>
      </c>
      <c r="G80" s="341"/>
      <c r="H80" s="336">
        <f>PRODUCT(C80:G80)</f>
        <v>-0.72</v>
      </c>
    </row>
    <row r="81" spans="1:8">
      <c r="A81" s="328"/>
      <c r="B81" s="329"/>
      <c r="C81" s="330"/>
      <c r="D81" s="330"/>
      <c r="E81" s="328"/>
      <c r="F81" s="328"/>
      <c r="G81" s="328"/>
      <c r="H81" s="328">
        <f>SUM(H78:H80)</f>
        <v>9.7200000000000006</v>
      </c>
    </row>
    <row r="82" spans="1:8">
      <c r="A82" s="328"/>
      <c r="B82" s="329"/>
      <c r="C82" s="330"/>
      <c r="D82" s="330"/>
      <c r="E82" s="328"/>
      <c r="F82" s="328"/>
      <c r="G82" s="326" t="s">
        <v>123</v>
      </c>
      <c r="H82" s="181">
        <f>ROUNDUP(H81,1)</f>
        <v>9.8000000000000007</v>
      </c>
    </row>
    <row r="83" spans="1:8">
      <c r="A83" s="332">
        <v>33</v>
      </c>
      <c r="B83" s="342" t="s">
        <v>1078</v>
      </c>
      <c r="C83" s="335"/>
      <c r="D83" s="335"/>
      <c r="E83" s="336"/>
      <c r="F83" s="336"/>
      <c r="G83" s="336"/>
      <c r="H83" s="336"/>
    </row>
    <row r="84" spans="1:8">
      <c r="A84" s="337"/>
      <c r="B84" s="338" t="s">
        <v>1079</v>
      </c>
      <c r="C84" s="339"/>
      <c r="D84" s="339"/>
      <c r="E84" s="337"/>
      <c r="F84" s="337"/>
      <c r="G84" s="337"/>
      <c r="H84" s="337"/>
    </row>
    <row r="85" spans="1:8">
      <c r="A85" s="337"/>
      <c r="B85" s="338" t="s">
        <v>1060</v>
      </c>
      <c r="C85" s="339">
        <v>1</v>
      </c>
      <c r="D85" s="339">
        <v>1</v>
      </c>
      <c r="E85" s="337">
        <v>16.100000000000001</v>
      </c>
      <c r="F85" s="337" t="s">
        <v>78</v>
      </c>
      <c r="G85" s="337">
        <v>0.75</v>
      </c>
      <c r="H85" s="337">
        <v>9.4499999999999993</v>
      </c>
    </row>
    <row r="86" spans="1:8">
      <c r="A86" s="337"/>
      <c r="B86" s="338" t="s">
        <v>1061</v>
      </c>
      <c r="C86" s="339">
        <v>1</v>
      </c>
      <c r="D86" s="339">
        <v>1</v>
      </c>
      <c r="E86" s="337">
        <v>15.22</v>
      </c>
      <c r="F86" s="337" t="s">
        <v>78</v>
      </c>
      <c r="G86" s="337">
        <v>0.9</v>
      </c>
      <c r="H86" s="337">
        <v>10.55</v>
      </c>
    </row>
    <row r="87" spans="1:8">
      <c r="A87" s="337"/>
      <c r="B87" s="338" t="s">
        <v>1062</v>
      </c>
      <c r="C87" s="339">
        <v>1</v>
      </c>
      <c r="D87" s="339">
        <v>1</v>
      </c>
      <c r="E87" s="337">
        <v>13.84</v>
      </c>
      <c r="F87" s="337" t="s">
        <v>78</v>
      </c>
      <c r="G87" s="337">
        <v>0.7</v>
      </c>
      <c r="H87" s="337">
        <v>7.59</v>
      </c>
    </row>
    <row r="88" spans="1:8">
      <c r="A88" s="337"/>
      <c r="B88" s="338" t="s">
        <v>1080</v>
      </c>
      <c r="C88" s="339">
        <v>1</v>
      </c>
      <c r="D88" s="339">
        <v>1</v>
      </c>
      <c r="E88" s="337">
        <v>16.100000000000001</v>
      </c>
      <c r="F88" s="337">
        <v>0.11</v>
      </c>
      <c r="G88" s="337" t="s">
        <v>78</v>
      </c>
      <c r="H88" s="337">
        <v>1.39</v>
      </c>
    </row>
    <row r="89" spans="1:8">
      <c r="A89" s="337"/>
      <c r="B89" s="338" t="s">
        <v>1081</v>
      </c>
      <c r="C89" s="339">
        <v>1</v>
      </c>
      <c r="D89" s="339">
        <v>1</v>
      </c>
      <c r="E89" s="337">
        <v>15.22</v>
      </c>
      <c r="F89" s="337">
        <v>0.11</v>
      </c>
      <c r="G89" s="337" t="s">
        <v>78</v>
      </c>
      <c r="H89" s="337">
        <v>1.29</v>
      </c>
    </row>
    <row r="90" spans="1:8">
      <c r="A90" s="337"/>
      <c r="B90" s="338" t="s">
        <v>1075</v>
      </c>
      <c r="C90" s="339">
        <v>1</v>
      </c>
      <c r="D90" s="339">
        <v>7</v>
      </c>
      <c r="E90" s="337">
        <v>4.24</v>
      </c>
      <c r="F90" s="337" t="s">
        <v>78</v>
      </c>
      <c r="G90" s="337">
        <v>0.6</v>
      </c>
      <c r="H90" s="337">
        <v>17.809999999999999</v>
      </c>
    </row>
    <row r="91" spans="1:8">
      <c r="A91" s="337"/>
      <c r="B91" s="338"/>
      <c r="C91" s="339"/>
      <c r="D91" s="339"/>
      <c r="E91" s="337"/>
      <c r="F91" s="337"/>
      <c r="G91" s="337"/>
      <c r="H91" s="337">
        <f>SUM(H85:H90)</f>
        <v>48.08</v>
      </c>
    </row>
    <row r="92" spans="1:8">
      <c r="A92" s="337"/>
      <c r="B92" s="338"/>
      <c r="C92" s="339"/>
      <c r="D92" s="339"/>
      <c r="E92" s="337"/>
      <c r="F92" s="337"/>
      <c r="G92" s="340" t="s">
        <v>123</v>
      </c>
      <c r="H92" s="181">
        <f>ROUNDUP(H91,1)</f>
        <v>48.1</v>
      </c>
    </row>
    <row r="93" spans="1:8">
      <c r="A93" s="328"/>
      <c r="B93" s="329"/>
      <c r="C93" s="330"/>
      <c r="D93" s="330"/>
      <c r="E93" s="328"/>
      <c r="F93" s="328"/>
      <c r="G93" s="328"/>
      <c r="H93" s="328"/>
    </row>
    <row r="94" spans="1:8">
      <c r="A94" s="332">
        <v>34</v>
      </c>
      <c r="B94" s="342" t="s">
        <v>1082</v>
      </c>
      <c r="C94" s="335"/>
      <c r="D94" s="335"/>
      <c r="E94" s="336"/>
      <c r="F94" s="336"/>
      <c r="G94" s="336"/>
      <c r="H94" s="341"/>
    </row>
    <row r="95" spans="1:8">
      <c r="A95" s="337"/>
      <c r="B95" s="338" t="s">
        <v>1083</v>
      </c>
      <c r="C95" s="339">
        <v>1</v>
      </c>
      <c r="D95" s="339">
        <v>1</v>
      </c>
      <c r="E95" s="337">
        <v>12.5</v>
      </c>
      <c r="F95" s="337" t="s">
        <v>78</v>
      </c>
      <c r="G95" s="337">
        <v>2.35</v>
      </c>
      <c r="H95" s="337">
        <v>21.15</v>
      </c>
    </row>
    <row r="96" spans="1:8">
      <c r="A96" s="337"/>
      <c r="B96" s="338" t="s">
        <v>1084</v>
      </c>
      <c r="C96" s="339">
        <v>1</v>
      </c>
      <c r="D96" s="339">
        <v>2</v>
      </c>
      <c r="E96" s="337">
        <v>1.5</v>
      </c>
      <c r="F96" s="337" t="s">
        <v>78</v>
      </c>
      <c r="G96" s="337">
        <v>2</v>
      </c>
      <c r="H96" s="337">
        <v>6</v>
      </c>
    </row>
    <row r="97" spans="1:8">
      <c r="A97" s="337"/>
      <c r="B97" s="338" t="s">
        <v>1084</v>
      </c>
      <c r="C97" s="339">
        <v>1</v>
      </c>
      <c r="D97" s="339">
        <v>2</v>
      </c>
      <c r="E97" s="337">
        <v>1.5</v>
      </c>
      <c r="F97" s="337" t="s">
        <v>78</v>
      </c>
      <c r="G97" s="337">
        <v>1</v>
      </c>
      <c r="H97" s="337">
        <v>3</v>
      </c>
    </row>
    <row r="98" spans="1:8">
      <c r="A98" s="337"/>
      <c r="B98" s="338" t="s">
        <v>1085</v>
      </c>
      <c r="C98" s="339">
        <v>1</v>
      </c>
      <c r="D98" s="339">
        <v>2</v>
      </c>
      <c r="E98" s="337">
        <v>1.5</v>
      </c>
      <c r="F98" s="337">
        <v>0.115</v>
      </c>
      <c r="G98" s="337" t="s">
        <v>78</v>
      </c>
      <c r="H98" s="337">
        <v>0.35</v>
      </c>
    </row>
    <row r="99" spans="1:8">
      <c r="A99" s="332"/>
      <c r="B99" s="342" t="s">
        <v>1086</v>
      </c>
      <c r="C99" s="335">
        <v>1</v>
      </c>
      <c r="D99" s="335">
        <v>1</v>
      </c>
      <c r="E99" s="336">
        <v>4.75</v>
      </c>
      <c r="F99" s="336">
        <v>1.5</v>
      </c>
      <c r="G99" s="345"/>
      <c r="H99" s="336">
        <f t="shared" ref="H99:H100" si="3">PRODUCT(C99:G99)</f>
        <v>7.13</v>
      </c>
    </row>
    <row r="100" spans="1:8">
      <c r="A100" s="332"/>
      <c r="B100" s="342" t="s">
        <v>1087</v>
      </c>
      <c r="C100" s="335">
        <v>1</v>
      </c>
      <c r="D100" s="335">
        <v>2</v>
      </c>
      <c r="E100" s="336">
        <v>0.6</v>
      </c>
      <c r="F100" s="336">
        <v>0.6</v>
      </c>
      <c r="G100" s="336"/>
      <c r="H100" s="336">
        <f t="shared" si="3"/>
        <v>0.72</v>
      </c>
    </row>
    <row r="101" spans="1:8">
      <c r="A101" s="332"/>
      <c r="B101" s="342"/>
      <c r="C101" s="335"/>
      <c r="D101" s="335"/>
      <c r="E101" s="336"/>
      <c r="F101" s="336"/>
      <c r="G101" s="336"/>
      <c r="H101" s="336">
        <f>SUM(H95:H100)</f>
        <v>38.35</v>
      </c>
    </row>
    <row r="102" spans="1:8">
      <c r="A102" s="332"/>
      <c r="B102" s="342"/>
      <c r="C102" s="335"/>
      <c r="D102" s="335"/>
      <c r="E102" s="336"/>
      <c r="F102" s="336"/>
      <c r="G102" s="341" t="s">
        <v>480</v>
      </c>
      <c r="H102" s="341">
        <f>H101</f>
        <v>38.35</v>
      </c>
    </row>
    <row r="103" spans="1:8">
      <c r="A103" s="328"/>
      <c r="B103" s="329"/>
      <c r="C103" s="330"/>
      <c r="D103" s="330"/>
      <c r="E103" s="328"/>
      <c r="F103" s="328"/>
      <c r="G103" s="328"/>
      <c r="H103" s="328"/>
    </row>
    <row r="104" spans="1:8" ht="31.5">
      <c r="A104" s="332">
        <v>58.5</v>
      </c>
      <c r="B104" s="342" t="s">
        <v>1088</v>
      </c>
      <c r="C104" s="335"/>
      <c r="D104" s="335"/>
      <c r="E104" s="336"/>
      <c r="F104" s="336"/>
      <c r="G104" s="336"/>
      <c r="H104" s="336"/>
    </row>
    <row r="105" spans="1:8">
      <c r="A105" s="332"/>
      <c r="B105" s="342" t="s">
        <v>1035</v>
      </c>
      <c r="C105" s="335">
        <v>1</v>
      </c>
      <c r="D105" s="335">
        <v>1</v>
      </c>
      <c r="E105" s="336"/>
      <c r="F105" s="336"/>
      <c r="G105" s="336"/>
      <c r="H105" s="336">
        <f>PRODUCT(C105:G105)</f>
        <v>1</v>
      </c>
    </row>
    <row r="106" spans="1:8">
      <c r="A106" s="332"/>
      <c r="B106" s="342"/>
      <c r="C106" s="335"/>
      <c r="D106" s="335"/>
      <c r="E106" s="336"/>
      <c r="F106" s="341" t="s">
        <v>261</v>
      </c>
      <c r="G106" s="341">
        <f>+H105</f>
        <v>1</v>
      </c>
      <c r="H106" s="341" t="s">
        <v>68</v>
      </c>
    </row>
    <row r="107" spans="1:8" ht="31.5">
      <c r="A107" s="332">
        <v>43.1</v>
      </c>
      <c r="B107" s="342" t="s">
        <v>1089</v>
      </c>
      <c r="C107" s="335"/>
      <c r="D107" s="335"/>
      <c r="E107" s="336"/>
      <c r="F107" s="336"/>
      <c r="G107" s="336"/>
      <c r="H107" s="336"/>
    </row>
    <row r="108" spans="1:8">
      <c r="A108" s="332"/>
      <c r="B108" s="342" t="s">
        <v>1090</v>
      </c>
      <c r="C108" s="593" t="str">
        <f>+G60</f>
        <v>Cum</v>
      </c>
      <c r="D108" s="593"/>
      <c r="E108" s="336">
        <f>H60</f>
        <v>1.5</v>
      </c>
      <c r="F108" s="336"/>
      <c r="G108" s="336">
        <f>E108</f>
        <v>1.5</v>
      </c>
      <c r="H108" s="336"/>
    </row>
    <row r="109" spans="1:8">
      <c r="A109" s="332"/>
      <c r="B109" s="342" t="s">
        <v>1091</v>
      </c>
      <c r="C109" s="593" t="str">
        <f>+G76</f>
        <v>Sqm</v>
      </c>
      <c r="D109" s="593"/>
      <c r="E109" s="336">
        <f>H76</f>
        <v>1.2</v>
      </c>
      <c r="F109" s="336">
        <v>0.04</v>
      </c>
      <c r="G109" s="336">
        <f>E109*F109</f>
        <v>0.05</v>
      </c>
      <c r="H109" s="336"/>
    </row>
    <row r="110" spans="1:8">
      <c r="A110" s="332"/>
      <c r="B110" s="342"/>
      <c r="C110" s="335"/>
      <c r="D110" s="335"/>
      <c r="E110" s="594" t="s">
        <v>119</v>
      </c>
      <c r="F110" s="594"/>
      <c r="G110" s="336">
        <f>SUM(G108:G109)</f>
        <v>1.55</v>
      </c>
      <c r="H110" s="336" t="s">
        <v>117</v>
      </c>
    </row>
    <row r="111" spans="1:8" ht="18.75">
      <c r="A111" s="332"/>
      <c r="B111" s="342"/>
      <c r="C111" s="593">
        <f>G110</f>
        <v>1.55</v>
      </c>
      <c r="D111" s="593"/>
      <c r="E111" s="336" t="s">
        <v>461</v>
      </c>
      <c r="F111" s="336">
        <v>120</v>
      </c>
      <c r="G111" s="336" t="s">
        <v>1092</v>
      </c>
      <c r="H111" s="336">
        <f>F111*C111</f>
        <v>186</v>
      </c>
    </row>
    <row r="112" spans="1:8">
      <c r="A112" s="332"/>
      <c r="B112" s="342"/>
      <c r="C112" s="335"/>
      <c r="D112" s="335"/>
      <c r="E112" s="336"/>
      <c r="F112" s="341" t="s">
        <v>261</v>
      </c>
      <c r="G112" s="346">
        <f>H111/1000</f>
        <v>0.186</v>
      </c>
      <c r="H112" s="341" t="s">
        <v>27</v>
      </c>
    </row>
    <row r="113" spans="1:8">
      <c r="A113" s="332">
        <v>61.1</v>
      </c>
      <c r="B113" s="342" t="s">
        <v>1093</v>
      </c>
      <c r="C113" s="335"/>
      <c r="D113" s="335"/>
      <c r="E113" s="336"/>
      <c r="F113" s="336"/>
      <c r="G113" s="336"/>
      <c r="H113" s="336"/>
    </row>
    <row r="114" spans="1:8">
      <c r="A114" s="332"/>
      <c r="B114" s="342" t="s">
        <v>1094</v>
      </c>
      <c r="C114" s="335"/>
      <c r="D114" s="335"/>
      <c r="E114" s="336"/>
      <c r="F114" s="336"/>
      <c r="G114" s="336"/>
      <c r="H114" s="336"/>
    </row>
    <row r="115" spans="1:8">
      <c r="A115" s="332"/>
      <c r="B115" s="342" t="s">
        <v>1095</v>
      </c>
      <c r="C115" s="335">
        <v>1</v>
      </c>
      <c r="D115" s="335">
        <v>6</v>
      </c>
      <c r="E115" s="336">
        <v>4</v>
      </c>
      <c r="F115" s="336"/>
      <c r="G115" s="336"/>
      <c r="H115" s="336">
        <f>PRODUCT(C115:G115)</f>
        <v>24</v>
      </c>
    </row>
    <row r="116" spans="1:8">
      <c r="A116" s="332"/>
      <c r="B116" s="342" t="s">
        <v>1095</v>
      </c>
      <c r="C116" s="335">
        <v>1</v>
      </c>
      <c r="D116" s="335">
        <v>1</v>
      </c>
      <c r="E116" s="336">
        <v>30</v>
      </c>
      <c r="F116" s="336"/>
      <c r="G116" s="336"/>
      <c r="H116" s="336">
        <f>PRODUCT(C116:G116)</f>
        <v>30</v>
      </c>
    </row>
    <row r="117" spans="1:8">
      <c r="A117" s="332"/>
      <c r="B117" s="342" t="s">
        <v>1095</v>
      </c>
      <c r="C117" s="335">
        <v>1</v>
      </c>
      <c r="D117" s="335">
        <v>1</v>
      </c>
      <c r="E117" s="336">
        <v>3</v>
      </c>
      <c r="F117" s="336"/>
      <c r="G117" s="336"/>
      <c r="H117" s="336">
        <f>PRODUCT(C117:G117)</f>
        <v>3</v>
      </c>
    </row>
    <row r="118" spans="1:8">
      <c r="A118" s="332"/>
      <c r="B118" s="342" t="s">
        <v>1095</v>
      </c>
      <c r="C118" s="335">
        <v>1</v>
      </c>
      <c r="D118" s="335">
        <v>1</v>
      </c>
      <c r="E118" s="336">
        <v>20</v>
      </c>
      <c r="F118" s="336"/>
      <c r="G118" s="336"/>
      <c r="H118" s="336">
        <f>PRODUCT(C118:G118)</f>
        <v>20</v>
      </c>
    </row>
    <row r="119" spans="1:8">
      <c r="A119" s="328"/>
      <c r="B119" s="329" t="s">
        <v>0</v>
      </c>
      <c r="C119" s="330"/>
      <c r="D119" s="330"/>
      <c r="E119" s="328"/>
      <c r="F119" s="328"/>
      <c r="G119" s="328"/>
      <c r="H119" s="328">
        <f>I120-I119</f>
        <v>0</v>
      </c>
    </row>
    <row r="120" spans="1:8">
      <c r="A120" s="328"/>
      <c r="B120" s="329"/>
      <c r="C120" s="330"/>
      <c r="D120" s="330"/>
      <c r="E120" s="328"/>
      <c r="F120" s="328"/>
      <c r="G120" s="328"/>
      <c r="H120" s="326">
        <f>SUM(H115:H119)</f>
        <v>77</v>
      </c>
    </row>
    <row r="121" spans="1:8">
      <c r="A121" s="332"/>
      <c r="B121" s="342"/>
      <c r="C121" s="335"/>
      <c r="D121" s="335"/>
      <c r="E121" s="336"/>
      <c r="F121" s="341" t="s">
        <v>261</v>
      </c>
      <c r="G121" s="341">
        <f>+H120</f>
        <v>77</v>
      </c>
      <c r="H121" s="341" t="s">
        <v>39</v>
      </c>
    </row>
    <row r="122" spans="1:8">
      <c r="A122" s="332"/>
      <c r="B122" s="342" t="s">
        <v>1096</v>
      </c>
      <c r="C122" s="335"/>
      <c r="D122" s="335"/>
      <c r="E122" s="336"/>
      <c r="F122" s="341"/>
      <c r="G122" s="341"/>
      <c r="H122" s="341"/>
    </row>
    <row r="123" spans="1:8">
      <c r="A123" s="337"/>
      <c r="B123" s="333" t="s">
        <v>1055</v>
      </c>
      <c r="C123" s="339">
        <v>1</v>
      </c>
      <c r="D123" s="339">
        <v>1</v>
      </c>
      <c r="E123" s="337">
        <v>9</v>
      </c>
      <c r="F123" s="337" t="s">
        <v>78</v>
      </c>
      <c r="G123" s="337" t="s">
        <v>78</v>
      </c>
      <c r="H123" s="337">
        <v>9</v>
      </c>
    </row>
    <row r="124" spans="1:8" ht="31.5">
      <c r="A124" s="332"/>
      <c r="B124" s="342" t="s">
        <v>1097</v>
      </c>
      <c r="C124" s="335">
        <v>1</v>
      </c>
      <c r="D124" s="335">
        <v>1</v>
      </c>
      <c r="E124" s="336">
        <v>10</v>
      </c>
      <c r="F124" s="336"/>
      <c r="G124" s="336"/>
      <c r="H124" s="336">
        <f>PRODUCT(C124:G124)</f>
        <v>10</v>
      </c>
    </row>
    <row r="125" spans="1:8">
      <c r="A125" s="332"/>
      <c r="B125" s="342" t="s">
        <v>1098</v>
      </c>
      <c r="C125" s="335">
        <v>1</v>
      </c>
      <c r="D125" s="335">
        <v>1</v>
      </c>
      <c r="E125" s="336">
        <v>10</v>
      </c>
      <c r="F125" s="336"/>
      <c r="G125" s="336"/>
      <c r="H125" s="336">
        <f>PRODUCT(C125:G125)</f>
        <v>10</v>
      </c>
    </row>
    <row r="126" spans="1:8">
      <c r="A126" s="332"/>
      <c r="B126" s="342"/>
      <c r="C126" s="335"/>
      <c r="D126" s="335"/>
      <c r="E126" s="336"/>
      <c r="F126" s="336"/>
      <c r="G126" s="336"/>
      <c r="H126" s="341">
        <f>SUM(H123:H125)</f>
        <v>29</v>
      </c>
    </row>
    <row r="127" spans="1:8">
      <c r="A127" s="332"/>
      <c r="B127" s="342"/>
      <c r="C127" s="335"/>
      <c r="D127" s="335"/>
      <c r="E127" s="336"/>
      <c r="F127" s="341" t="s">
        <v>261</v>
      </c>
      <c r="G127" s="341">
        <f>+H126</f>
        <v>29</v>
      </c>
      <c r="H127" s="341" t="s">
        <v>39</v>
      </c>
    </row>
    <row r="128" spans="1:8">
      <c r="A128" s="328"/>
      <c r="B128" s="329"/>
      <c r="C128" s="330"/>
      <c r="D128" s="330"/>
      <c r="E128" s="328"/>
      <c r="F128" s="328"/>
      <c r="G128" s="328"/>
      <c r="H128" s="328"/>
    </row>
    <row r="129" spans="1:8">
      <c r="A129" s="328"/>
      <c r="B129" s="329"/>
      <c r="C129" s="330"/>
      <c r="D129" s="330"/>
      <c r="E129" s="328"/>
      <c r="F129" s="328"/>
      <c r="G129" s="328"/>
      <c r="H129" s="328"/>
    </row>
    <row r="130" spans="1:8">
      <c r="A130" s="328"/>
      <c r="B130" s="329"/>
      <c r="C130" s="330"/>
      <c r="D130" s="330"/>
      <c r="E130" s="328"/>
      <c r="F130" s="328"/>
      <c r="G130" s="328"/>
      <c r="H130" s="328"/>
    </row>
  </sheetData>
  <mergeCells count="9">
    <mergeCell ref="C109:D109"/>
    <mergeCell ref="E110:F110"/>
    <mergeCell ref="C111:D111"/>
    <mergeCell ref="A1:H1"/>
    <mergeCell ref="A2:H2"/>
    <mergeCell ref="A3:H3"/>
    <mergeCell ref="A5:H5"/>
    <mergeCell ref="C7:D7"/>
    <mergeCell ref="C108:D108"/>
  </mergeCells>
  <pageMargins left="0.7" right="0.7" top="0.75" bottom="0.75" header="0.3" footer="0.3"/>
  <pageSetup paperSize="9" scale="77" orientation="portrait" horizontalDpi="300" verticalDpi="0" r:id="rId1"/>
</worksheet>
</file>

<file path=xl/worksheets/sheet8.xml><?xml version="1.0" encoding="utf-8"?>
<worksheet xmlns="http://schemas.openxmlformats.org/spreadsheetml/2006/main" xmlns:r="http://schemas.openxmlformats.org/officeDocument/2006/relationships">
  <sheetPr>
    <tabColor rgb="FFFFC000"/>
  </sheetPr>
  <dimension ref="A1:I92"/>
  <sheetViews>
    <sheetView view="pageBreakPreview" topLeftCell="A34" zoomScale="85" zoomScaleSheetLayoutView="85" workbookViewId="0">
      <selection activeCell="E125" sqref="E125"/>
    </sheetView>
  </sheetViews>
  <sheetFormatPr defaultRowHeight="15.75"/>
  <cols>
    <col min="2" max="2" width="30" customWidth="1"/>
    <col min="3" max="3" width="6" customWidth="1"/>
    <col min="4" max="4" width="4.33203125" customWidth="1"/>
    <col min="6" max="6" width="11.6640625" customWidth="1"/>
    <col min="9" max="9" width="5.88671875" customWidth="1"/>
  </cols>
  <sheetData>
    <row r="1" spans="1:9">
      <c r="A1" s="600" t="s">
        <v>1099</v>
      </c>
      <c r="B1" s="601"/>
      <c r="C1" s="601"/>
      <c r="D1" s="601"/>
      <c r="E1" s="601"/>
      <c r="F1" s="601"/>
      <c r="G1" s="601"/>
      <c r="H1" s="601"/>
      <c r="I1" s="601"/>
    </row>
    <row r="2" spans="1:9">
      <c r="A2" s="602" t="s">
        <v>1100</v>
      </c>
      <c r="B2" s="603"/>
      <c r="C2" s="603"/>
      <c r="D2" s="603"/>
      <c r="E2" s="603"/>
      <c r="F2" s="603"/>
      <c r="G2" s="603"/>
      <c r="H2" s="603"/>
      <c r="I2" s="603"/>
    </row>
    <row r="3" spans="1:9">
      <c r="A3" s="347" t="s">
        <v>1101</v>
      </c>
      <c r="B3" s="347" t="s">
        <v>1041</v>
      </c>
      <c r="C3" s="604" t="s">
        <v>72</v>
      </c>
      <c r="D3" s="605"/>
      <c r="E3" s="347" t="s">
        <v>456</v>
      </c>
      <c r="F3" s="347" t="s">
        <v>76</v>
      </c>
      <c r="G3" s="348" t="s">
        <v>444</v>
      </c>
      <c r="H3" s="606" t="s">
        <v>79</v>
      </c>
      <c r="I3" s="606"/>
    </row>
    <row r="4" spans="1:9" ht="30">
      <c r="A4" s="349">
        <v>1.5</v>
      </c>
      <c r="B4" s="350" t="s">
        <v>1102</v>
      </c>
      <c r="C4" s="351"/>
      <c r="D4" s="351"/>
      <c r="E4" s="351"/>
      <c r="F4" s="351"/>
      <c r="G4" s="351"/>
      <c r="H4" s="352"/>
      <c r="I4" s="353"/>
    </row>
    <row r="5" spans="1:9">
      <c r="A5" s="351"/>
      <c r="B5" s="354" t="s">
        <v>1103</v>
      </c>
      <c r="C5" s="355"/>
      <c r="D5" s="355"/>
      <c r="E5" s="355"/>
      <c r="F5" s="355"/>
      <c r="G5" s="355"/>
      <c r="H5" s="356"/>
      <c r="I5" s="353"/>
    </row>
    <row r="6" spans="1:9">
      <c r="A6" s="351"/>
      <c r="B6" s="351" t="s">
        <v>1104</v>
      </c>
      <c r="C6" s="355">
        <v>1</v>
      </c>
      <c r="D6" s="355">
        <v>1</v>
      </c>
      <c r="E6" s="355" t="s">
        <v>1105</v>
      </c>
      <c r="F6" s="355" t="s">
        <v>1106</v>
      </c>
      <c r="G6" s="357">
        <v>2</v>
      </c>
      <c r="H6" s="358">
        <v>53.91</v>
      </c>
      <c r="I6" s="353"/>
    </row>
    <row r="7" spans="1:9" ht="18">
      <c r="A7" s="354"/>
      <c r="B7" s="354"/>
      <c r="C7" s="359"/>
      <c r="D7" s="359"/>
      <c r="E7" s="359"/>
      <c r="F7" s="359"/>
      <c r="G7" s="359" t="s">
        <v>261</v>
      </c>
      <c r="H7" s="360">
        <f>ROUNDDOWN(H6,1)</f>
        <v>53.9</v>
      </c>
      <c r="I7" s="361" t="s">
        <v>1107</v>
      </c>
    </row>
    <row r="8" spans="1:9">
      <c r="A8" s="351"/>
      <c r="B8" s="354" t="s">
        <v>1108</v>
      </c>
      <c r="C8" s="355"/>
      <c r="D8" s="355"/>
      <c r="E8" s="355"/>
      <c r="F8" s="355"/>
      <c r="G8" s="355"/>
      <c r="H8" s="362"/>
      <c r="I8" s="353"/>
    </row>
    <row r="9" spans="1:9">
      <c r="A9" s="351"/>
      <c r="B9" s="351" t="s">
        <v>1104</v>
      </c>
      <c r="C9" s="355">
        <v>1</v>
      </c>
      <c r="D9" s="355">
        <v>1</v>
      </c>
      <c r="E9" s="355" t="s">
        <v>1105</v>
      </c>
      <c r="F9" s="355" t="s">
        <v>1106</v>
      </c>
      <c r="G9" s="357">
        <v>0.45</v>
      </c>
      <c r="H9" s="356">
        <v>12.13</v>
      </c>
      <c r="I9" s="353"/>
    </row>
    <row r="10" spans="1:9" ht="18">
      <c r="A10" s="354"/>
      <c r="B10" s="354"/>
      <c r="C10" s="359"/>
      <c r="D10" s="359"/>
      <c r="E10" s="359"/>
      <c r="F10" s="359"/>
      <c r="G10" s="359" t="s">
        <v>261</v>
      </c>
      <c r="H10" s="360">
        <f>ROUNDDOWN(H9,1)</f>
        <v>12.1</v>
      </c>
      <c r="I10" s="361" t="s">
        <v>1107</v>
      </c>
    </row>
    <row r="11" spans="1:9" ht="30.75">
      <c r="A11" s="349">
        <v>3.1</v>
      </c>
      <c r="B11" s="363" t="s">
        <v>1109</v>
      </c>
      <c r="C11" s="355"/>
      <c r="D11" s="355"/>
      <c r="E11" s="355"/>
      <c r="F11" s="355"/>
      <c r="G11" s="355"/>
      <c r="H11" s="362"/>
      <c r="I11" s="353"/>
    </row>
    <row r="12" spans="1:9">
      <c r="A12" s="351"/>
      <c r="B12" s="351" t="s">
        <v>1110</v>
      </c>
      <c r="C12" s="355">
        <v>1</v>
      </c>
      <c r="D12" s="355">
        <v>1</v>
      </c>
      <c r="E12" s="355" t="s">
        <v>1105</v>
      </c>
      <c r="F12" s="355" t="s">
        <v>1106</v>
      </c>
      <c r="G12" s="355">
        <v>0.1</v>
      </c>
      <c r="H12" s="360">
        <v>2.7</v>
      </c>
      <c r="I12" s="353"/>
    </row>
    <row r="13" spans="1:9" ht="18">
      <c r="A13" s="354"/>
      <c r="B13" s="354"/>
      <c r="C13" s="359"/>
      <c r="D13" s="359"/>
      <c r="E13" s="359"/>
      <c r="F13" s="359"/>
      <c r="G13" s="359" t="s">
        <v>261</v>
      </c>
      <c r="H13" s="360">
        <f>ROUNDDOWN(H12,1)</f>
        <v>2.7</v>
      </c>
      <c r="I13" s="361" t="s">
        <v>1107</v>
      </c>
    </row>
    <row r="14" spans="1:9" ht="45">
      <c r="A14" s="349">
        <v>4.2</v>
      </c>
      <c r="B14" s="350" t="s">
        <v>1111</v>
      </c>
      <c r="C14" s="355"/>
      <c r="D14" s="355"/>
      <c r="E14" s="355"/>
      <c r="F14" s="355"/>
      <c r="G14" s="355"/>
      <c r="H14" s="356"/>
      <c r="I14" s="353"/>
    </row>
    <row r="15" spans="1:9">
      <c r="A15" s="351"/>
      <c r="B15" s="351" t="s">
        <v>1112</v>
      </c>
      <c r="C15" s="355">
        <v>1</v>
      </c>
      <c r="D15" s="355">
        <v>1</v>
      </c>
      <c r="E15" s="355" t="s">
        <v>1105</v>
      </c>
      <c r="F15" s="355" t="s">
        <v>1106</v>
      </c>
      <c r="G15" s="355">
        <v>0.25</v>
      </c>
      <c r="H15" s="356">
        <v>6.74</v>
      </c>
      <c r="I15" s="353"/>
    </row>
    <row r="16" spans="1:9">
      <c r="A16" s="351"/>
      <c r="B16" s="351" t="s">
        <v>1113</v>
      </c>
      <c r="C16" s="355">
        <v>1</v>
      </c>
      <c r="D16" s="355">
        <v>1</v>
      </c>
      <c r="E16" s="355" t="s">
        <v>1114</v>
      </c>
      <c r="F16" s="355">
        <v>4.4800000000000004</v>
      </c>
      <c r="G16" s="355" t="s">
        <v>1115</v>
      </c>
      <c r="H16" s="356">
        <v>3.17</v>
      </c>
      <c r="I16" s="353"/>
    </row>
    <row r="17" spans="1:9">
      <c r="A17" s="351"/>
      <c r="B17" s="351" t="s">
        <v>1113</v>
      </c>
      <c r="C17" s="355">
        <v>1</v>
      </c>
      <c r="D17" s="355">
        <v>1</v>
      </c>
      <c r="E17" s="355" t="s">
        <v>1114</v>
      </c>
      <c r="F17" s="355">
        <v>4.55</v>
      </c>
      <c r="G17" s="355" t="s">
        <v>1116</v>
      </c>
      <c r="H17" s="356">
        <v>3.86</v>
      </c>
      <c r="I17" s="353"/>
    </row>
    <row r="18" spans="1:9">
      <c r="A18" s="351"/>
      <c r="B18" s="351" t="s">
        <v>1117</v>
      </c>
      <c r="C18" s="355">
        <v>1</v>
      </c>
      <c r="D18" s="355">
        <v>1</v>
      </c>
      <c r="E18" s="355" t="s">
        <v>1105</v>
      </c>
      <c r="F18" s="355" t="s">
        <v>1118</v>
      </c>
      <c r="G18" s="355">
        <v>0.15</v>
      </c>
      <c r="H18" s="356">
        <v>2.9</v>
      </c>
      <c r="I18" s="353"/>
    </row>
    <row r="19" spans="1:9">
      <c r="A19" s="351"/>
      <c r="B19" s="351" t="s">
        <v>1119</v>
      </c>
      <c r="C19" s="355">
        <v>1</v>
      </c>
      <c r="D19" s="355">
        <v>-1</v>
      </c>
      <c r="E19" s="355">
        <v>0.6</v>
      </c>
      <c r="F19" s="355">
        <v>0.6</v>
      </c>
      <c r="G19" s="355">
        <v>0.1</v>
      </c>
      <c r="H19" s="358">
        <f>PRODUCT(C19:G19)</f>
        <v>-0.04</v>
      </c>
      <c r="I19" s="353"/>
    </row>
    <row r="20" spans="1:9">
      <c r="A20" s="351"/>
      <c r="B20" s="351"/>
      <c r="C20" s="355"/>
      <c r="D20" s="355"/>
      <c r="E20" s="355"/>
      <c r="F20" s="355"/>
      <c r="G20" s="359"/>
      <c r="H20" s="360">
        <f>SUM(H15:H19)</f>
        <v>16.63</v>
      </c>
      <c r="I20" s="353"/>
    </row>
    <row r="21" spans="1:9" ht="18">
      <c r="A21" s="351"/>
      <c r="B21" s="363"/>
      <c r="C21" s="355"/>
      <c r="D21" s="355"/>
      <c r="E21" s="355"/>
      <c r="F21" s="355"/>
      <c r="G21" s="359" t="s">
        <v>261</v>
      </c>
      <c r="H21" s="360">
        <f>ROUNDDOWN(H20,1)</f>
        <v>16.600000000000001</v>
      </c>
      <c r="I21" s="361" t="s">
        <v>1107</v>
      </c>
    </row>
    <row r="22" spans="1:9" ht="30.75">
      <c r="A22" s="349">
        <v>10.5</v>
      </c>
      <c r="B22" s="363" t="s">
        <v>1120</v>
      </c>
      <c r="C22" s="355"/>
      <c r="D22" s="355"/>
      <c r="E22" s="355"/>
      <c r="F22" s="355"/>
      <c r="G22" s="355"/>
      <c r="H22" s="356"/>
      <c r="I22" s="353"/>
    </row>
    <row r="23" spans="1:9">
      <c r="A23" s="351"/>
      <c r="B23" s="351" t="s">
        <v>1121</v>
      </c>
      <c r="C23" s="355">
        <v>1</v>
      </c>
      <c r="D23" s="355">
        <v>1</v>
      </c>
      <c r="E23" s="355">
        <v>3.14</v>
      </c>
      <c r="F23" s="355">
        <v>4.12</v>
      </c>
      <c r="G23" s="355">
        <v>0.9</v>
      </c>
      <c r="H23" s="358">
        <f>G23*F23*E23*D23*C23</f>
        <v>11.64</v>
      </c>
      <c r="I23" s="353"/>
    </row>
    <row r="24" spans="1:9">
      <c r="A24" s="351"/>
      <c r="B24" s="351" t="s">
        <v>1122</v>
      </c>
      <c r="C24" s="355">
        <v>1</v>
      </c>
      <c r="D24" s="355">
        <v>1</v>
      </c>
      <c r="E24" s="355">
        <v>3.14</v>
      </c>
      <c r="F24" s="355">
        <v>4.33</v>
      </c>
      <c r="G24" s="355">
        <v>1.8</v>
      </c>
      <c r="H24" s="358">
        <f>G24*F24*E24*D24*C24</f>
        <v>24.47</v>
      </c>
      <c r="I24" s="353"/>
    </row>
    <row r="25" spans="1:9">
      <c r="A25" s="351"/>
      <c r="B25" s="351" t="s">
        <v>1123</v>
      </c>
      <c r="C25" s="355">
        <v>1</v>
      </c>
      <c r="D25" s="355">
        <v>1</v>
      </c>
      <c r="E25" s="355">
        <v>3.14</v>
      </c>
      <c r="F25" s="355">
        <v>4.8499999999999996</v>
      </c>
      <c r="G25" s="355">
        <v>2.7</v>
      </c>
      <c r="H25" s="358">
        <f>G25*F25*E25*D25*C25</f>
        <v>41.12</v>
      </c>
      <c r="I25" s="353"/>
    </row>
    <row r="26" spans="1:9">
      <c r="A26" s="351"/>
      <c r="B26" s="351"/>
      <c r="C26" s="355"/>
      <c r="D26" s="355"/>
      <c r="E26" s="355"/>
      <c r="F26" s="355"/>
      <c r="G26" s="355"/>
      <c r="H26" s="360">
        <f>SUM(H23:H25)</f>
        <v>77.23</v>
      </c>
      <c r="I26" s="353"/>
    </row>
    <row r="27" spans="1:9" ht="18">
      <c r="A27" s="351"/>
      <c r="B27" s="351"/>
      <c r="C27" s="355"/>
      <c r="D27" s="355"/>
      <c r="E27" s="355"/>
      <c r="F27" s="355"/>
      <c r="G27" s="359" t="s">
        <v>261</v>
      </c>
      <c r="H27" s="360">
        <f>ROUNDDOWN(H26,1)</f>
        <v>77.2</v>
      </c>
      <c r="I27" s="361" t="s">
        <v>1124</v>
      </c>
    </row>
    <row r="28" spans="1:9" ht="30">
      <c r="A28" s="349">
        <v>33</v>
      </c>
      <c r="B28" s="350" t="s">
        <v>1125</v>
      </c>
      <c r="C28" s="355"/>
      <c r="D28" s="355"/>
      <c r="E28" s="355"/>
      <c r="F28" s="355"/>
      <c r="G28" s="355"/>
      <c r="H28" s="356"/>
      <c r="I28" s="353"/>
    </row>
    <row r="29" spans="1:9">
      <c r="A29" s="351"/>
      <c r="B29" s="351" t="s">
        <v>1123</v>
      </c>
      <c r="C29" s="355">
        <v>1</v>
      </c>
      <c r="D29" s="355">
        <v>1</v>
      </c>
      <c r="E29" s="355">
        <v>3.14</v>
      </c>
      <c r="F29" s="355">
        <v>4.96</v>
      </c>
      <c r="G29" s="355">
        <v>2.7</v>
      </c>
      <c r="H29" s="358">
        <f>G29*F29*E29*D29*C29</f>
        <v>42.05</v>
      </c>
      <c r="I29" s="353"/>
    </row>
    <row r="30" spans="1:9" ht="18">
      <c r="A30" s="351"/>
      <c r="B30" s="351"/>
      <c r="C30" s="355"/>
      <c r="D30" s="355"/>
      <c r="E30" s="355"/>
      <c r="F30" s="355"/>
      <c r="G30" s="359" t="s">
        <v>261</v>
      </c>
      <c r="H30" s="360">
        <f>ROUNDDOWN(H29,1)</f>
        <v>42</v>
      </c>
      <c r="I30" s="361" t="s">
        <v>1124</v>
      </c>
    </row>
    <row r="31" spans="1:9" ht="30">
      <c r="A31" s="349">
        <v>35.1</v>
      </c>
      <c r="B31" s="350" t="s">
        <v>1126</v>
      </c>
      <c r="C31" s="355"/>
      <c r="D31" s="355"/>
      <c r="E31" s="355"/>
      <c r="F31" s="355"/>
      <c r="G31" s="359"/>
      <c r="H31" s="362"/>
      <c r="I31" s="353"/>
    </row>
    <row r="32" spans="1:9">
      <c r="A32" s="351"/>
      <c r="B32" s="351" t="s">
        <v>1121</v>
      </c>
      <c r="C32" s="355">
        <v>1</v>
      </c>
      <c r="D32" s="355">
        <v>1</v>
      </c>
      <c r="E32" s="355">
        <v>3.14</v>
      </c>
      <c r="F32" s="364">
        <v>4</v>
      </c>
      <c r="G32" s="355">
        <v>0.9</v>
      </c>
      <c r="H32" s="358">
        <f t="shared" ref="H32:H33" si="0">G32*F32*E32*D32*C32</f>
        <v>11.3</v>
      </c>
      <c r="I32" s="353"/>
    </row>
    <row r="33" spans="1:9">
      <c r="A33" s="351"/>
      <c r="B33" s="351" t="s">
        <v>1122</v>
      </c>
      <c r="C33" s="355">
        <v>1</v>
      </c>
      <c r="D33" s="355">
        <v>1</v>
      </c>
      <c r="E33" s="355">
        <v>3.14</v>
      </c>
      <c r="F33" s="355">
        <v>4.22</v>
      </c>
      <c r="G33" s="355">
        <v>1.8</v>
      </c>
      <c r="H33" s="358">
        <f t="shared" si="0"/>
        <v>23.85</v>
      </c>
      <c r="I33" s="353"/>
    </row>
    <row r="34" spans="1:9">
      <c r="A34" s="351"/>
      <c r="B34" s="351"/>
      <c r="C34" s="355"/>
      <c r="D34" s="355"/>
      <c r="E34" s="355"/>
      <c r="F34" s="355"/>
      <c r="G34" s="355"/>
      <c r="H34" s="358">
        <f>SUM(H32:H33)</f>
        <v>35.15</v>
      </c>
      <c r="I34" s="353"/>
    </row>
    <row r="35" spans="1:9" ht="18">
      <c r="A35" s="351"/>
      <c r="B35" s="363"/>
      <c r="C35" s="355"/>
      <c r="D35" s="355"/>
      <c r="E35" s="355"/>
      <c r="F35" s="355"/>
      <c r="G35" s="359" t="s">
        <v>261</v>
      </c>
      <c r="H35" s="360">
        <f>ROUNDDOWN(H34,1)</f>
        <v>35.1</v>
      </c>
      <c r="I35" s="361" t="s">
        <v>1124</v>
      </c>
    </row>
    <row r="36" spans="1:9">
      <c r="A36" s="349">
        <v>18.100000000000001</v>
      </c>
      <c r="B36" s="363" t="s">
        <v>1127</v>
      </c>
      <c r="C36" s="355"/>
      <c r="D36" s="355"/>
      <c r="E36" s="355"/>
      <c r="F36" s="355"/>
      <c r="G36" s="359"/>
      <c r="H36" s="362"/>
      <c r="I36" s="353"/>
    </row>
    <row r="37" spans="1:9">
      <c r="A37" s="351"/>
      <c r="B37" s="365" t="s">
        <v>1128</v>
      </c>
      <c r="C37" s="355"/>
      <c r="D37" s="355"/>
      <c r="E37" s="599"/>
      <c r="F37" s="599"/>
      <c r="G37" s="355"/>
      <c r="H37" s="356"/>
      <c r="I37" s="353"/>
    </row>
    <row r="38" spans="1:9">
      <c r="A38" s="351"/>
      <c r="B38" s="351" t="s">
        <v>1129</v>
      </c>
      <c r="C38" s="355">
        <v>1</v>
      </c>
      <c r="D38" s="355">
        <v>1</v>
      </c>
      <c r="E38" s="599" t="s">
        <v>1130</v>
      </c>
      <c r="F38" s="599"/>
      <c r="G38" s="355"/>
      <c r="H38" s="356">
        <v>19.309999999999999</v>
      </c>
      <c r="I38" s="353"/>
    </row>
    <row r="39" spans="1:9">
      <c r="A39" s="351"/>
      <c r="B39" s="351" t="s">
        <v>1131</v>
      </c>
      <c r="C39" s="355">
        <v>1</v>
      </c>
      <c r="D39" s="355">
        <v>1</v>
      </c>
      <c r="E39" s="355">
        <v>0.6</v>
      </c>
      <c r="F39" s="355">
        <v>0.6</v>
      </c>
      <c r="G39" s="355"/>
      <c r="H39" s="356">
        <v>-0.36</v>
      </c>
      <c r="I39" s="353"/>
    </row>
    <row r="40" spans="1:9">
      <c r="A40" s="351"/>
      <c r="B40" s="351" t="s">
        <v>1132</v>
      </c>
      <c r="C40" s="355">
        <v>1</v>
      </c>
      <c r="D40" s="355">
        <v>1</v>
      </c>
      <c r="E40" s="355">
        <v>2.4</v>
      </c>
      <c r="F40" s="355"/>
      <c r="G40" s="355">
        <v>0.15</v>
      </c>
      <c r="H40" s="356">
        <v>0.36</v>
      </c>
      <c r="I40" s="353"/>
    </row>
    <row r="41" spans="1:9">
      <c r="A41" s="351"/>
      <c r="B41" s="351"/>
      <c r="C41" s="355"/>
      <c r="D41" s="355"/>
      <c r="E41" s="355"/>
      <c r="F41" s="355"/>
      <c r="G41" s="355"/>
      <c r="H41" s="362">
        <f>SUM(H38:H40)</f>
        <v>19.309999999999999</v>
      </c>
      <c r="I41" s="353"/>
    </row>
    <row r="42" spans="1:9" ht="18">
      <c r="A42" s="351"/>
      <c r="B42" s="351"/>
      <c r="C42" s="355"/>
      <c r="D42" s="355"/>
      <c r="E42" s="355"/>
      <c r="F42" s="355"/>
      <c r="G42" s="359" t="s">
        <v>261</v>
      </c>
      <c r="H42" s="360">
        <f>ROUNDDOWN(H41,1)</f>
        <v>19.3</v>
      </c>
      <c r="I42" s="361" t="s">
        <v>1124</v>
      </c>
    </row>
    <row r="43" spans="1:9">
      <c r="A43" s="351"/>
      <c r="B43" s="351" t="s">
        <v>1133</v>
      </c>
      <c r="C43" s="355"/>
      <c r="D43" s="355"/>
      <c r="E43" s="355"/>
      <c r="F43" s="355"/>
      <c r="G43" s="355"/>
      <c r="H43" s="356"/>
      <c r="I43" s="353"/>
    </row>
    <row r="44" spans="1:9">
      <c r="A44" s="351"/>
      <c r="B44" s="351" t="s">
        <v>1134</v>
      </c>
      <c r="C44" s="355">
        <v>1</v>
      </c>
      <c r="D44" s="355">
        <v>1</v>
      </c>
      <c r="E44" s="599" t="s">
        <v>1135</v>
      </c>
      <c r="F44" s="599"/>
      <c r="G44" s="355">
        <v>0.15</v>
      </c>
      <c r="H44" s="356">
        <v>2.34</v>
      </c>
      <c r="I44" s="353"/>
    </row>
    <row r="45" spans="1:9" ht="18">
      <c r="A45" s="351"/>
      <c r="B45" s="351"/>
      <c r="C45" s="355"/>
      <c r="D45" s="355"/>
      <c r="E45" s="355"/>
      <c r="F45" s="355"/>
      <c r="G45" s="359" t="s">
        <v>261</v>
      </c>
      <c r="H45" s="360">
        <f>ROUNDDOWN(H44,1)</f>
        <v>2.2999999999999998</v>
      </c>
      <c r="I45" s="361" t="s">
        <v>1124</v>
      </c>
    </row>
    <row r="46" spans="1:9">
      <c r="A46" s="351"/>
      <c r="B46" s="351"/>
      <c r="C46" s="355"/>
      <c r="D46" s="355"/>
      <c r="E46" s="355"/>
      <c r="F46" s="355"/>
      <c r="G46" s="355"/>
      <c r="H46" s="356"/>
      <c r="I46" s="353"/>
    </row>
    <row r="47" spans="1:9">
      <c r="A47" s="351">
        <v>53.4</v>
      </c>
      <c r="B47" s="351" t="s">
        <v>1136</v>
      </c>
      <c r="C47" s="355">
        <v>1</v>
      </c>
      <c r="D47" s="355">
        <v>1</v>
      </c>
      <c r="E47" s="355">
        <v>1</v>
      </c>
      <c r="F47" s="355"/>
      <c r="G47" s="355"/>
      <c r="H47" s="362">
        <v>1</v>
      </c>
      <c r="I47" s="353" t="s">
        <v>68</v>
      </c>
    </row>
    <row r="48" spans="1:9">
      <c r="A48" s="351"/>
      <c r="B48" s="351"/>
      <c r="C48" s="355"/>
      <c r="D48" s="355"/>
      <c r="E48" s="355"/>
      <c r="F48" s="355"/>
      <c r="G48" s="355"/>
      <c r="H48" s="362"/>
      <c r="I48" s="353"/>
    </row>
    <row r="49" spans="1:9">
      <c r="A49" s="351">
        <v>53.3</v>
      </c>
      <c r="B49" s="351" t="s">
        <v>1137</v>
      </c>
      <c r="C49" s="355"/>
      <c r="D49" s="355"/>
      <c r="E49" s="355"/>
      <c r="F49" s="355"/>
      <c r="G49" s="355"/>
      <c r="H49" s="362"/>
      <c r="I49" s="353"/>
    </row>
    <row r="50" spans="1:9">
      <c r="A50" s="351"/>
      <c r="B50" s="351" t="s">
        <v>1138</v>
      </c>
      <c r="C50" s="355">
        <v>1</v>
      </c>
      <c r="D50" s="355">
        <v>1</v>
      </c>
      <c r="E50" s="355">
        <v>5</v>
      </c>
      <c r="F50" s="355"/>
      <c r="G50" s="355"/>
      <c r="H50" s="362">
        <v>5</v>
      </c>
      <c r="I50" s="353" t="s">
        <v>72</v>
      </c>
    </row>
    <row r="51" spans="1:9">
      <c r="A51" s="351"/>
      <c r="B51" s="351"/>
      <c r="C51" s="355"/>
      <c r="D51" s="355"/>
      <c r="E51" s="355"/>
      <c r="F51" s="355"/>
      <c r="G51" s="355"/>
      <c r="H51" s="362"/>
      <c r="I51" s="353"/>
    </row>
    <row r="52" spans="1:9" ht="30">
      <c r="A52" s="349">
        <v>43.1</v>
      </c>
      <c r="B52" s="350" t="s">
        <v>1139</v>
      </c>
      <c r="C52" s="355"/>
      <c r="D52" s="355"/>
      <c r="E52" s="355"/>
      <c r="F52" s="365"/>
      <c r="G52" s="355"/>
      <c r="H52" s="355"/>
      <c r="I52" s="353"/>
    </row>
    <row r="53" spans="1:9" hidden="1">
      <c r="A53" s="351"/>
      <c r="B53" s="354" t="s">
        <v>1140</v>
      </c>
      <c r="C53" s="355"/>
      <c r="D53" s="355"/>
      <c r="E53" s="355"/>
      <c r="F53" s="355"/>
      <c r="G53" s="355"/>
      <c r="H53" s="355"/>
      <c r="I53" s="351"/>
    </row>
    <row r="54" spans="1:9" hidden="1">
      <c r="A54" s="351"/>
      <c r="B54" s="351" t="s">
        <v>1141</v>
      </c>
      <c r="C54" s="355">
        <v>2</v>
      </c>
      <c r="D54" s="355">
        <v>2</v>
      </c>
      <c r="E54" s="355">
        <v>2</v>
      </c>
      <c r="F54" s="357">
        <v>4.95</v>
      </c>
      <c r="G54" s="366">
        <f t="shared" ref="G54:G65" si="1">C54*D54*E54*F54</f>
        <v>39.6</v>
      </c>
      <c r="H54" s="351"/>
      <c r="I54" s="351"/>
    </row>
    <row r="55" spans="1:9" hidden="1">
      <c r="A55" s="351"/>
      <c r="B55" s="351"/>
      <c r="C55" s="355">
        <v>2</v>
      </c>
      <c r="D55" s="355">
        <v>2</v>
      </c>
      <c r="E55" s="355">
        <v>2</v>
      </c>
      <c r="F55" s="357">
        <v>4.8</v>
      </c>
      <c r="G55" s="366">
        <f t="shared" si="1"/>
        <v>38.4</v>
      </c>
      <c r="H55" s="351"/>
      <c r="I55" s="351"/>
    </row>
    <row r="56" spans="1:9" hidden="1">
      <c r="A56" s="351"/>
      <c r="B56" s="351"/>
      <c r="C56" s="355">
        <v>2</v>
      </c>
      <c r="D56" s="355">
        <v>2</v>
      </c>
      <c r="E56" s="355">
        <v>2</v>
      </c>
      <c r="F56" s="357">
        <v>4.2</v>
      </c>
      <c r="G56" s="366">
        <f t="shared" si="1"/>
        <v>33.6</v>
      </c>
      <c r="H56" s="351"/>
      <c r="I56" s="351"/>
    </row>
    <row r="57" spans="1:9" hidden="1">
      <c r="A57" s="351"/>
      <c r="B57" s="351"/>
      <c r="C57" s="355">
        <v>2</v>
      </c>
      <c r="D57" s="355">
        <v>2</v>
      </c>
      <c r="E57" s="355">
        <v>2</v>
      </c>
      <c r="F57" s="357">
        <v>3.9</v>
      </c>
      <c r="G57" s="366">
        <f t="shared" si="1"/>
        <v>31.2</v>
      </c>
      <c r="H57" s="351"/>
      <c r="I57" s="351"/>
    </row>
    <row r="58" spans="1:9" hidden="1">
      <c r="A58" s="351"/>
      <c r="B58" s="351"/>
      <c r="C58" s="355">
        <v>2</v>
      </c>
      <c r="D58" s="355">
        <v>2</v>
      </c>
      <c r="E58" s="355">
        <v>2</v>
      </c>
      <c r="F58" s="357">
        <v>3.7</v>
      </c>
      <c r="G58" s="366">
        <f t="shared" si="1"/>
        <v>29.6</v>
      </c>
      <c r="H58" s="351"/>
      <c r="I58" s="351"/>
    </row>
    <row r="59" spans="1:9" hidden="1">
      <c r="A59" s="351"/>
      <c r="B59" s="351"/>
      <c r="C59" s="355">
        <v>2</v>
      </c>
      <c r="D59" s="355">
        <v>2</v>
      </c>
      <c r="E59" s="355">
        <v>2</v>
      </c>
      <c r="F59" s="357">
        <v>3.5</v>
      </c>
      <c r="G59" s="366">
        <f t="shared" si="1"/>
        <v>28</v>
      </c>
      <c r="H59" s="351"/>
      <c r="I59" s="351"/>
    </row>
    <row r="60" spans="1:9" hidden="1">
      <c r="A60" s="351"/>
      <c r="B60" s="351"/>
      <c r="C60" s="355">
        <v>2</v>
      </c>
      <c r="D60" s="355">
        <v>2</v>
      </c>
      <c r="E60" s="355">
        <v>2</v>
      </c>
      <c r="F60" s="357">
        <v>3.2</v>
      </c>
      <c r="G60" s="366">
        <f t="shared" si="1"/>
        <v>25.6</v>
      </c>
      <c r="H60" s="351"/>
      <c r="I60" s="351"/>
    </row>
    <row r="61" spans="1:9" hidden="1">
      <c r="A61" s="351"/>
      <c r="B61" s="351"/>
      <c r="C61" s="355">
        <v>2</v>
      </c>
      <c r="D61" s="355">
        <v>2</v>
      </c>
      <c r="E61" s="355">
        <v>2</v>
      </c>
      <c r="F61" s="357">
        <v>3</v>
      </c>
      <c r="G61" s="366">
        <f t="shared" si="1"/>
        <v>24</v>
      </c>
      <c r="H61" s="351"/>
      <c r="I61" s="351"/>
    </row>
    <row r="62" spans="1:9" hidden="1">
      <c r="A62" s="351"/>
      <c r="B62" s="351"/>
      <c r="C62" s="355">
        <v>2</v>
      </c>
      <c r="D62" s="355">
        <v>2</v>
      </c>
      <c r="E62" s="355">
        <v>2</v>
      </c>
      <c r="F62" s="357">
        <v>2.8</v>
      </c>
      <c r="G62" s="366">
        <f t="shared" si="1"/>
        <v>22.4</v>
      </c>
      <c r="H62" s="351"/>
      <c r="I62" s="351"/>
    </row>
    <row r="63" spans="1:9" hidden="1">
      <c r="A63" s="351"/>
      <c r="B63" s="351"/>
      <c r="C63" s="355">
        <v>2</v>
      </c>
      <c r="D63" s="355">
        <v>2</v>
      </c>
      <c r="E63" s="355">
        <v>2</v>
      </c>
      <c r="F63" s="357">
        <v>2.5</v>
      </c>
      <c r="G63" s="366">
        <f t="shared" si="1"/>
        <v>20</v>
      </c>
      <c r="H63" s="351"/>
      <c r="I63" s="351"/>
    </row>
    <row r="64" spans="1:9" hidden="1">
      <c r="A64" s="351"/>
      <c r="B64" s="351"/>
      <c r="C64" s="355">
        <v>2</v>
      </c>
      <c r="D64" s="355">
        <v>2</v>
      </c>
      <c r="E64" s="355">
        <v>2</v>
      </c>
      <c r="F64" s="357">
        <v>2.25</v>
      </c>
      <c r="G64" s="366">
        <f t="shared" si="1"/>
        <v>18</v>
      </c>
      <c r="H64" s="351"/>
      <c r="I64" s="351"/>
    </row>
    <row r="65" spans="1:9" hidden="1">
      <c r="A65" s="351"/>
      <c r="B65" s="351" t="s">
        <v>1142</v>
      </c>
      <c r="C65" s="355">
        <v>1</v>
      </c>
      <c r="D65" s="355">
        <v>1</v>
      </c>
      <c r="E65" s="355">
        <v>10</v>
      </c>
      <c r="F65" s="355">
        <v>0.5</v>
      </c>
      <c r="G65" s="366">
        <f t="shared" si="1"/>
        <v>5</v>
      </c>
      <c r="H65" s="351"/>
      <c r="I65" s="351"/>
    </row>
    <row r="66" spans="1:9" hidden="1">
      <c r="A66" s="351"/>
      <c r="B66" s="351" t="s">
        <v>1143</v>
      </c>
      <c r="C66" s="355">
        <v>1</v>
      </c>
      <c r="D66" s="355">
        <v>1</v>
      </c>
      <c r="E66" s="355">
        <v>80</v>
      </c>
      <c r="F66" s="355">
        <v>2.6</v>
      </c>
      <c r="G66" s="351"/>
      <c r="H66" s="367">
        <f t="shared" ref="H66" si="2">C66*D66*E66*F66</f>
        <v>208</v>
      </c>
      <c r="I66" s="351"/>
    </row>
    <row r="67" spans="1:9" hidden="1">
      <c r="A67" s="351"/>
      <c r="B67" s="351" t="s">
        <v>1144</v>
      </c>
      <c r="C67" s="355">
        <v>1</v>
      </c>
      <c r="D67" s="355">
        <v>1</v>
      </c>
      <c r="E67" s="355">
        <v>80</v>
      </c>
      <c r="F67" s="355">
        <v>4.25</v>
      </c>
      <c r="G67" s="351"/>
      <c r="H67" s="367">
        <f>C67*D67*E67*F67</f>
        <v>340</v>
      </c>
      <c r="I67" s="351"/>
    </row>
    <row r="68" spans="1:9" hidden="1">
      <c r="A68" s="351"/>
      <c r="B68" s="351" t="s">
        <v>1145</v>
      </c>
      <c r="C68" s="355">
        <v>1</v>
      </c>
      <c r="D68" s="355">
        <v>8</v>
      </c>
      <c r="E68" s="355">
        <v>3.14</v>
      </c>
      <c r="F68" s="355">
        <v>3.23</v>
      </c>
      <c r="G68" s="367">
        <f>C68*D68*E68*F68</f>
        <v>81.14</v>
      </c>
      <c r="H68" s="351"/>
      <c r="I68" s="351"/>
    </row>
    <row r="69" spans="1:9" hidden="1">
      <c r="A69" s="351"/>
      <c r="B69" s="351" t="s">
        <v>1146</v>
      </c>
      <c r="C69" s="355">
        <v>1</v>
      </c>
      <c r="D69" s="355">
        <v>23</v>
      </c>
      <c r="E69" s="355">
        <v>3.14</v>
      </c>
      <c r="F69" s="355">
        <v>3.7</v>
      </c>
      <c r="G69" s="367">
        <f>C69*D69*E69*F69</f>
        <v>267.20999999999998</v>
      </c>
      <c r="H69" s="351"/>
      <c r="I69" s="351"/>
    </row>
    <row r="70" spans="1:9" hidden="1">
      <c r="A70" s="351"/>
      <c r="B70" s="354" t="s">
        <v>1147</v>
      </c>
      <c r="C70" s="351"/>
      <c r="D70" s="351"/>
      <c r="E70" s="351"/>
      <c r="F70" s="351"/>
      <c r="G70" s="367"/>
      <c r="H70" s="351"/>
      <c r="I70" s="351"/>
    </row>
    <row r="71" spans="1:9" hidden="1">
      <c r="A71" s="351"/>
      <c r="B71" s="351" t="s">
        <v>1148</v>
      </c>
      <c r="C71" s="355">
        <v>1</v>
      </c>
      <c r="D71" s="355">
        <v>2</v>
      </c>
      <c r="E71" s="355">
        <v>2</v>
      </c>
      <c r="F71" s="364">
        <v>4</v>
      </c>
      <c r="G71" s="367">
        <f t="shared" ref="G71:G83" si="3">C71*D71*E71*F71</f>
        <v>16</v>
      </c>
      <c r="H71" s="351"/>
      <c r="I71" s="351"/>
    </row>
    <row r="72" spans="1:9" hidden="1">
      <c r="A72" s="351"/>
      <c r="B72" s="351"/>
      <c r="C72" s="355">
        <v>1</v>
      </c>
      <c r="D72" s="355">
        <v>2</v>
      </c>
      <c r="E72" s="355">
        <v>2</v>
      </c>
      <c r="F72" s="364">
        <v>3.8</v>
      </c>
      <c r="G72" s="367">
        <f t="shared" si="3"/>
        <v>15.2</v>
      </c>
      <c r="H72" s="351"/>
      <c r="I72" s="351"/>
    </row>
    <row r="73" spans="1:9" hidden="1">
      <c r="A73" s="351"/>
      <c r="B73" s="351"/>
      <c r="C73" s="355">
        <v>1</v>
      </c>
      <c r="D73" s="355">
        <v>2</v>
      </c>
      <c r="E73" s="355">
        <v>2</v>
      </c>
      <c r="F73" s="364">
        <v>3.6</v>
      </c>
      <c r="G73" s="367">
        <f t="shared" si="3"/>
        <v>14.4</v>
      </c>
      <c r="H73" s="351"/>
      <c r="I73" s="351"/>
    </row>
    <row r="74" spans="1:9" hidden="1">
      <c r="A74" s="351"/>
      <c r="B74" s="351"/>
      <c r="C74" s="355">
        <v>1</v>
      </c>
      <c r="D74" s="355">
        <v>2</v>
      </c>
      <c r="E74" s="355">
        <v>2</v>
      </c>
      <c r="F74" s="364">
        <v>3.4</v>
      </c>
      <c r="G74" s="367">
        <f t="shared" si="3"/>
        <v>13.6</v>
      </c>
      <c r="H74" s="351"/>
      <c r="I74" s="351"/>
    </row>
    <row r="75" spans="1:9" hidden="1">
      <c r="A75" s="351"/>
      <c r="B75" s="351"/>
      <c r="C75" s="355">
        <v>1</v>
      </c>
      <c r="D75" s="355">
        <v>2</v>
      </c>
      <c r="E75" s="355">
        <v>2</v>
      </c>
      <c r="F75" s="364">
        <v>3.2</v>
      </c>
      <c r="G75" s="367">
        <f t="shared" si="3"/>
        <v>12.8</v>
      </c>
      <c r="H75" s="351"/>
      <c r="I75" s="351"/>
    </row>
    <row r="76" spans="1:9" hidden="1">
      <c r="A76" s="351"/>
      <c r="B76" s="351"/>
      <c r="C76" s="355">
        <v>1</v>
      </c>
      <c r="D76" s="355">
        <v>2</v>
      </c>
      <c r="E76" s="355">
        <v>2</v>
      </c>
      <c r="F76" s="364">
        <v>3</v>
      </c>
      <c r="G76" s="367">
        <f t="shared" si="3"/>
        <v>12</v>
      </c>
      <c r="H76" s="351"/>
      <c r="I76" s="351"/>
    </row>
    <row r="77" spans="1:9" hidden="1">
      <c r="A77" s="351"/>
      <c r="B77" s="351"/>
      <c r="C77" s="355">
        <v>1</v>
      </c>
      <c r="D77" s="355">
        <v>2</v>
      </c>
      <c r="E77" s="355">
        <v>2</v>
      </c>
      <c r="F77" s="364">
        <v>2.8</v>
      </c>
      <c r="G77" s="367">
        <f t="shared" si="3"/>
        <v>11.2</v>
      </c>
      <c r="H77" s="351"/>
      <c r="I77" s="351"/>
    </row>
    <row r="78" spans="1:9" hidden="1">
      <c r="A78" s="351"/>
      <c r="B78" s="351"/>
      <c r="C78" s="355">
        <v>1</v>
      </c>
      <c r="D78" s="355">
        <v>2</v>
      </c>
      <c r="E78" s="355">
        <v>2</v>
      </c>
      <c r="F78" s="364">
        <v>2.6</v>
      </c>
      <c r="G78" s="367">
        <f t="shared" si="3"/>
        <v>10.4</v>
      </c>
      <c r="H78" s="351"/>
      <c r="I78" s="351"/>
    </row>
    <row r="79" spans="1:9" hidden="1">
      <c r="A79" s="351"/>
      <c r="B79" s="351"/>
      <c r="C79" s="355">
        <v>1</v>
      </c>
      <c r="D79" s="355">
        <v>2</v>
      </c>
      <c r="E79" s="355">
        <v>2</v>
      </c>
      <c r="F79" s="364">
        <v>2.4</v>
      </c>
      <c r="G79" s="367">
        <f t="shared" si="3"/>
        <v>9.6</v>
      </c>
      <c r="H79" s="351"/>
      <c r="I79" s="351"/>
    </row>
    <row r="80" spans="1:9" hidden="1">
      <c r="A80" s="351"/>
      <c r="B80" s="351"/>
      <c r="C80" s="355">
        <v>1</v>
      </c>
      <c r="D80" s="355">
        <v>2</v>
      </c>
      <c r="E80" s="355">
        <v>2</v>
      </c>
      <c r="F80" s="364">
        <v>2.2000000000000002</v>
      </c>
      <c r="G80" s="367">
        <f t="shared" si="3"/>
        <v>8.8000000000000007</v>
      </c>
      <c r="H80" s="351"/>
      <c r="I80" s="351"/>
    </row>
    <row r="81" spans="1:9" hidden="1">
      <c r="A81" s="351"/>
      <c r="B81" s="351"/>
      <c r="C81" s="355">
        <v>1</v>
      </c>
      <c r="D81" s="355">
        <v>2</v>
      </c>
      <c r="E81" s="355">
        <v>2</v>
      </c>
      <c r="F81" s="364">
        <v>2</v>
      </c>
      <c r="G81" s="367">
        <f t="shared" si="3"/>
        <v>8</v>
      </c>
      <c r="H81" s="351"/>
      <c r="I81" s="351"/>
    </row>
    <row r="82" spans="1:9" hidden="1">
      <c r="A82" s="351"/>
      <c r="B82" s="351"/>
      <c r="C82" s="355">
        <v>1</v>
      </c>
      <c r="D82" s="355">
        <v>2</v>
      </c>
      <c r="E82" s="355">
        <v>2</v>
      </c>
      <c r="F82" s="364">
        <v>1.8</v>
      </c>
      <c r="G82" s="367">
        <f t="shared" si="3"/>
        <v>7.2</v>
      </c>
      <c r="H82" s="351"/>
      <c r="I82" s="351"/>
    </row>
    <row r="83" spans="1:9" hidden="1">
      <c r="A83" s="351"/>
      <c r="B83" s="351"/>
      <c r="C83" s="355">
        <v>1</v>
      </c>
      <c r="D83" s="355">
        <v>2</v>
      </c>
      <c r="E83" s="355">
        <v>2</v>
      </c>
      <c r="F83" s="364">
        <v>1.6</v>
      </c>
      <c r="G83" s="367">
        <f t="shared" si="3"/>
        <v>6.4</v>
      </c>
      <c r="H83" s="351"/>
      <c r="I83" s="351"/>
    </row>
    <row r="84" spans="1:9" hidden="1">
      <c r="A84" s="351"/>
      <c r="B84" s="351"/>
      <c r="C84" s="351"/>
      <c r="D84" s="351"/>
      <c r="E84" s="351"/>
      <c r="F84" s="351"/>
      <c r="G84" s="368">
        <f>+SUM(G54:G83)</f>
        <v>809.35</v>
      </c>
      <c r="H84" s="368">
        <f>+SUM(H54:H83)</f>
        <v>548</v>
      </c>
      <c r="I84" s="351"/>
    </row>
    <row r="85" spans="1:9" hidden="1">
      <c r="A85" s="351"/>
      <c r="B85" s="351"/>
      <c r="C85" s="351"/>
      <c r="D85" s="351"/>
      <c r="E85" s="351" t="s">
        <v>1149</v>
      </c>
      <c r="F85" s="351"/>
      <c r="G85" s="351">
        <v>0.39500000000000002</v>
      </c>
      <c r="H85" s="351">
        <v>0.61699999999999999</v>
      </c>
      <c r="I85" s="351"/>
    </row>
    <row r="86" spans="1:9" hidden="1">
      <c r="A86" s="351"/>
      <c r="B86" s="351"/>
      <c r="C86" s="351"/>
      <c r="D86" s="351"/>
      <c r="E86" s="351"/>
      <c r="F86" s="351"/>
      <c r="G86" s="367">
        <f>G84*G85</f>
        <v>319.69</v>
      </c>
      <c r="H86" s="367">
        <f>H84*H85</f>
        <v>338.12</v>
      </c>
      <c r="I86" s="351"/>
    </row>
    <row r="87" spans="1:9" hidden="1">
      <c r="A87" s="351"/>
      <c r="B87" s="351"/>
      <c r="C87" s="351"/>
      <c r="D87" s="351"/>
      <c r="E87" s="351"/>
      <c r="F87" s="351" t="s">
        <v>1150</v>
      </c>
      <c r="G87" s="367">
        <f>G86+H86</f>
        <v>657.81</v>
      </c>
      <c r="H87" s="351"/>
      <c r="I87" s="351"/>
    </row>
    <row r="88" spans="1:9">
      <c r="A88" s="351"/>
      <c r="B88" s="351" t="s">
        <v>1151</v>
      </c>
      <c r="C88" s="351"/>
      <c r="D88" s="351"/>
      <c r="E88" s="367">
        <f>H21</f>
        <v>16.600000000000001</v>
      </c>
      <c r="F88" s="351">
        <v>100</v>
      </c>
      <c r="G88" s="367"/>
      <c r="H88" s="358">
        <f>PRODUCT(C88:G88)</f>
        <v>1660</v>
      </c>
      <c r="I88" s="351"/>
    </row>
    <row r="89" spans="1:9">
      <c r="A89" s="351"/>
      <c r="B89" s="351"/>
      <c r="C89" s="351"/>
      <c r="D89" s="351"/>
      <c r="E89" s="351"/>
      <c r="F89" s="351" t="s">
        <v>1152</v>
      </c>
      <c r="G89" s="369">
        <f>H88/1000</f>
        <v>1.66</v>
      </c>
      <c r="H89" s="351"/>
      <c r="I89" s="351"/>
    </row>
    <row r="90" spans="1:9">
      <c r="A90" s="351"/>
      <c r="B90" s="351"/>
      <c r="C90" s="351"/>
      <c r="D90" s="351"/>
      <c r="E90" s="351"/>
      <c r="F90" s="351"/>
      <c r="G90" s="351"/>
      <c r="H90" s="351"/>
      <c r="I90" s="351"/>
    </row>
    <row r="91" spans="1:9">
      <c r="A91" s="351"/>
      <c r="B91" s="351"/>
      <c r="C91" s="351"/>
      <c r="D91" s="351"/>
      <c r="E91" s="351"/>
      <c r="F91" s="351"/>
      <c r="G91" s="351"/>
      <c r="H91" s="351"/>
      <c r="I91" s="351"/>
    </row>
    <row r="92" spans="1:9">
      <c r="A92" s="351"/>
      <c r="B92" s="351"/>
      <c r="C92" s="351"/>
      <c r="D92" s="351"/>
      <c r="E92" s="351"/>
      <c r="F92" s="351"/>
      <c r="G92" s="351"/>
      <c r="H92" s="351"/>
      <c r="I92" s="351"/>
    </row>
  </sheetData>
  <mergeCells count="7">
    <mergeCell ref="E44:F44"/>
    <mergeCell ref="A1:I1"/>
    <mergeCell ref="A2:I2"/>
    <mergeCell ref="C3:D3"/>
    <mergeCell ref="H3:I3"/>
    <mergeCell ref="E37:F37"/>
    <mergeCell ref="E38:F38"/>
  </mergeCells>
  <pageMargins left="0.7" right="0.7" top="0.75" bottom="0.75" header="0.3" footer="0.3"/>
  <pageSetup paperSize="9" scale="78" orientation="portrait" horizontalDpi="300" verticalDpi="0" r:id="rId1"/>
</worksheet>
</file>

<file path=xl/worksheets/sheet9.xml><?xml version="1.0" encoding="utf-8"?>
<worksheet xmlns="http://schemas.openxmlformats.org/spreadsheetml/2006/main" xmlns:r="http://schemas.openxmlformats.org/officeDocument/2006/relationships">
  <sheetPr>
    <tabColor rgb="FFFFC000"/>
  </sheetPr>
  <dimension ref="A1:I48"/>
  <sheetViews>
    <sheetView view="pageBreakPreview" topLeftCell="A34" zoomScaleSheetLayoutView="100" workbookViewId="0">
      <selection activeCell="E125" sqref="E125"/>
    </sheetView>
  </sheetViews>
  <sheetFormatPr defaultRowHeight="15.75"/>
  <cols>
    <col min="1" max="1" width="5" customWidth="1"/>
    <col min="2" max="2" width="29.44140625" customWidth="1"/>
    <col min="3" max="5" width="4.5546875" customWidth="1"/>
  </cols>
  <sheetData>
    <row r="1" spans="1:9" ht="42" customHeight="1">
      <c r="A1" s="607" t="str">
        <f>'[4]septic tank'!A2:H2</f>
        <v>MADURAI DIVISION</v>
      </c>
      <c r="B1" s="607"/>
      <c r="C1" s="607"/>
      <c r="D1" s="607"/>
      <c r="E1" s="607"/>
      <c r="F1" s="607"/>
      <c r="G1" s="607"/>
      <c r="H1" s="607"/>
      <c r="I1" s="607"/>
    </row>
    <row r="2" spans="1:9" ht="31.5">
      <c r="A2" s="370" t="s">
        <v>1040</v>
      </c>
      <c r="B2" s="371" t="s">
        <v>1041</v>
      </c>
      <c r="C2" s="608" t="s">
        <v>72</v>
      </c>
      <c r="D2" s="608"/>
      <c r="E2" s="608"/>
      <c r="F2" s="371" t="s">
        <v>1042</v>
      </c>
      <c r="G2" s="371" t="s">
        <v>1043</v>
      </c>
      <c r="H2" s="371" t="s">
        <v>1044</v>
      </c>
      <c r="I2" s="371" t="s">
        <v>55</v>
      </c>
    </row>
    <row r="3" spans="1:9" ht="31.5">
      <c r="A3" s="372">
        <v>1.1000000000000001</v>
      </c>
      <c r="B3" s="333" t="s">
        <v>1153</v>
      </c>
      <c r="C3" s="334"/>
      <c r="D3" s="334"/>
      <c r="E3" s="373"/>
      <c r="F3" s="374"/>
      <c r="G3" s="374"/>
      <c r="H3" s="374"/>
      <c r="I3" s="374"/>
    </row>
    <row r="4" spans="1:9">
      <c r="A4" s="374"/>
      <c r="B4" s="333" t="s">
        <v>107</v>
      </c>
      <c r="C4" s="334"/>
      <c r="D4" s="334"/>
      <c r="E4" s="373"/>
      <c r="F4" s="374"/>
      <c r="G4" s="374"/>
      <c r="H4" s="374"/>
      <c r="I4" s="374"/>
    </row>
    <row r="5" spans="1:9">
      <c r="A5" s="374"/>
      <c r="B5" s="375" t="s">
        <v>1154</v>
      </c>
      <c r="C5" s="334"/>
      <c r="D5" s="334"/>
      <c r="E5" s="373"/>
      <c r="F5" s="374"/>
      <c r="G5" s="374"/>
      <c r="H5" s="374"/>
      <c r="I5" s="374"/>
    </row>
    <row r="6" spans="1:9">
      <c r="A6" s="374"/>
      <c r="B6" s="342" t="s">
        <v>1155</v>
      </c>
      <c r="C6" s="376">
        <v>1</v>
      </c>
      <c r="D6" s="376" t="s">
        <v>461</v>
      </c>
      <c r="E6" s="373">
        <v>1</v>
      </c>
      <c r="F6" s="377">
        <v>92.56</v>
      </c>
      <c r="G6" s="377">
        <v>0.3</v>
      </c>
      <c r="H6" s="377">
        <v>0.45</v>
      </c>
      <c r="I6" s="378">
        <f>ROUND(PRODUCT(C6:H6),2)</f>
        <v>12.5</v>
      </c>
    </row>
    <row r="7" spans="1:9">
      <c r="A7" s="374"/>
      <c r="B7" s="342" t="s">
        <v>1156</v>
      </c>
      <c r="C7" s="376">
        <v>-1</v>
      </c>
      <c r="D7" s="376"/>
      <c r="E7" s="373">
        <v>1</v>
      </c>
      <c r="F7" s="377">
        <v>11.2</v>
      </c>
      <c r="G7" s="377">
        <v>0.3</v>
      </c>
      <c r="H7" s="377">
        <v>0.45</v>
      </c>
      <c r="I7" s="378">
        <f>ROUND(PRODUCT(C7:H7),2)</f>
        <v>-1.51</v>
      </c>
    </row>
    <row r="8" spans="1:9">
      <c r="A8" s="374"/>
      <c r="B8" s="342"/>
      <c r="C8" s="376"/>
      <c r="D8" s="376"/>
      <c r="E8" s="373"/>
      <c r="F8" s="377"/>
      <c r="G8" s="377"/>
      <c r="H8" s="377"/>
      <c r="I8" s="378">
        <f>SUM(I6:I7)</f>
        <v>10.99</v>
      </c>
    </row>
    <row r="9" spans="1:9" ht="16.5">
      <c r="A9" s="379"/>
      <c r="B9" s="380"/>
      <c r="C9" s="381"/>
      <c r="D9" s="381"/>
      <c r="E9" s="381"/>
      <c r="F9" s="379"/>
      <c r="G9" s="379"/>
      <c r="H9" s="200" t="s">
        <v>117</v>
      </c>
      <c r="I9" s="181">
        <f>ROUNDUP(I8,1)</f>
        <v>11</v>
      </c>
    </row>
    <row r="10" spans="1:9">
      <c r="A10" s="379"/>
      <c r="B10" s="380"/>
      <c r="C10" s="381"/>
      <c r="D10" s="381"/>
      <c r="E10" s="381"/>
      <c r="F10" s="379"/>
      <c r="G10" s="379"/>
      <c r="H10" s="379"/>
      <c r="I10" s="379"/>
    </row>
    <row r="11" spans="1:9">
      <c r="A11" s="372">
        <v>2.1</v>
      </c>
      <c r="B11" s="333" t="s">
        <v>1157</v>
      </c>
      <c r="C11" s="376"/>
      <c r="D11" s="376"/>
      <c r="E11" s="373"/>
      <c r="F11" s="377"/>
      <c r="G11" s="377"/>
      <c r="H11" s="377"/>
      <c r="I11" s="377"/>
    </row>
    <row r="12" spans="1:9">
      <c r="A12" s="374"/>
      <c r="B12" s="375" t="str">
        <f>B5</f>
        <v>For Fire service Station</v>
      </c>
      <c r="C12" s="334"/>
      <c r="D12" s="334"/>
      <c r="E12" s="373"/>
      <c r="F12" s="374"/>
      <c r="G12" s="374"/>
      <c r="H12" s="374"/>
      <c r="I12" s="374"/>
    </row>
    <row r="13" spans="1:9">
      <c r="A13" s="374"/>
      <c r="B13" s="342" t="s">
        <v>1155</v>
      </c>
      <c r="C13" s="376">
        <v>1</v>
      </c>
      <c r="D13" s="376" t="s">
        <v>461</v>
      </c>
      <c r="E13" s="373">
        <v>1</v>
      </c>
      <c r="F13" s="377">
        <v>92.56</v>
      </c>
      <c r="G13" s="377">
        <v>0.49</v>
      </c>
      <c r="H13" s="377">
        <v>0.1</v>
      </c>
      <c r="I13" s="378">
        <f>ROUND(PRODUCT(C13:H13),2)</f>
        <v>4.54</v>
      </c>
    </row>
    <row r="14" spans="1:9">
      <c r="A14" s="374"/>
      <c r="B14" s="342" t="s">
        <v>1156</v>
      </c>
      <c r="C14" s="376">
        <v>-1</v>
      </c>
      <c r="D14" s="376"/>
      <c r="E14" s="373">
        <v>1</v>
      </c>
      <c r="F14" s="377">
        <v>11.2</v>
      </c>
      <c r="G14" s="377">
        <v>0.49</v>
      </c>
      <c r="H14" s="377">
        <v>0.1</v>
      </c>
      <c r="I14" s="378">
        <f>ROUND(PRODUCT(C14:H14),2)</f>
        <v>-0.55000000000000004</v>
      </c>
    </row>
    <row r="15" spans="1:9">
      <c r="A15" s="374"/>
      <c r="B15" s="342"/>
      <c r="C15" s="376"/>
      <c r="D15" s="376"/>
      <c r="E15" s="373"/>
      <c r="F15" s="377"/>
      <c r="G15" s="377"/>
      <c r="H15" s="377"/>
      <c r="I15" s="378">
        <f>SUM(I13:I14)</f>
        <v>3.99</v>
      </c>
    </row>
    <row r="16" spans="1:9" ht="16.5">
      <c r="A16" s="374"/>
      <c r="B16" s="342"/>
      <c r="C16" s="376"/>
      <c r="D16" s="376"/>
      <c r="E16" s="373"/>
      <c r="F16" s="377"/>
      <c r="G16" s="377"/>
      <c r="H16" s="200" t="s">
        <v>117</v>
      </c>
      <c r="I16" s="181">
        <f>ROUNDUP(I15,1)</f>
        <v>4</v>
      </c>
    </row>
    <row r="17" spans="1:9">
      <c r="A17" s="374"/>
      <c r="B17" s="342"/>
      <c r="C17" s="376"/>
      <c r="D17" s="376"/>
      <c r="E17" s="373"/>
      <c r="F17" s="377"/>
      <c r="G17" s="377"/>
      <c r="H17" s="377"/>
      <c r="I17" s="378"/>
    </row>
    <row r="18" spans="1:9" ht="31.5">
      <c r="A18" s="372">
        <v>3.1</v>
      </c>
      <c r="B18" s="333" t="s">
        <v>1158</v>
      </c>
      <c r="C18" s="376"/>
      <c r="D18" s="376"/>
      <c r="E18" s="382"/>
      <c r="F18" s="377"/>
      <c r="G18" s="377"/>
      <c r="H18" s="377"/>
      <c r="I18" s="383"/>
    </row>
    <row r="19" spans="1:9">
      <c r="A19" s="374"/>
      <c r="B19" s="375" t="str">
        <f>B12</f>
        <v>For Fire service Station</v>
      </c>
      <c r="C19" s="334"/>
      <c r="D19" s="334"/>
      <c r="E19" s="373"/>
      <c r="F19" s="374"/>
      <c r="G19" s="374"/>
      <c r="H19" s="374"/>
      <c r="I19" s="374"/>
    </row>
    <row r="20" spans="1:9">
      <c r="A20" s="374"/>
      <c r="B20" s="342" t="s">
        <v>1155</v>
      </c>
      <c r="C20" s="376">
        <v>1</v>
      </c>
      <c r="D20" s="376" t="s">
        <v>461</v>
      </c>
      <c r="E20" s="373">
        <v>1</v>
      </c>
      <c r="F20" s="377">
        <f>F13</f>
        <v>92.56</v>
      </c>
      <c r="G20" s="377">
        <v>0.3</v>
      </c>
      <c r="H20" s="377">
        <v>0.1</v>
      </c>
      <c r="I20" s="378">
        <f>ROUND(PRODUCT(C20:H20),2)</f>
        <v>2.78</v>
      </c>
    </row>
    <row r="21" spans="1:9">
      <c r="A21" s="374"/>
      <c r="B21" s="342" t="s">
        <v>1156</v>
      </c>
      <c r="C21" s="376">
        <v>-1</v>
      </c>
      <c r="D21" s="376"/>
      <c r="E21" s="373">
        <v>1</v>
      </c>
      <c r="F21" s="377">
        <v>11.2</v>
      </c>
      <c r="G21" s="377">
        <v>0.3</v>
      </c>
      <c r="H21" s="377">
        <v>0.1</v>
      </c>
      <c r="I21" s="378">
        <f>ROUND(PRODUCT(C21:H21),2)</f>
        <v>-0.34</v>
      </c>
    </row>
    <row r="22" spans="1:9">
      <c r="A22" s="374"/>
      <c r="B22" s="342"/>
      <c r="C22" s="376"/>
      <c r="D22" s="376"/>
      <c r="E22" s="373"/>
      <c r="F22" s="377"/>
      <c r="G22" s="377"/>
      <c r="H22" s="377"/>
      <c r="I22" s="378">
        <f>SUM(I20:I21)</f>
        <v>2.44</v>
      </c>
    </row>
    <row r="23" spans="1:9" ht="16.5">
      <c r="A23" s="374"/>
      <c r="B23" s="342"/>
      <c r="C23" s="376"/>
      <c r="D23" s="376"/>
      <c r="E23" s="373"/>
      <c r="F23" s="377"/>
      <c r="G23" s="377"/>
      <c r="H23" s="200" t="s">
        <v>117</v>
      </c>
      <c r="I23" s="181">
        <f>ROUNDUP(I22,1)</f>
        <v>2.5</v>
      </c>
    </row>
    <row r="24" spans="1:9">
      <c r="A24" s="374"/>
      <c r="B24" s="342"/>
      <c r="C24" s="376"/>
      <c r="D24" s="376"/>
      <c r="E24" s="373"/>
      <c r="F24" s="377"/>
      <c r="G24" s="377"/>
      <c r="H24" s="377"/>
      <c r="I24" s="378"/>
    </row>
    <row r="25" spans="1:9" ht="47.25">
      <c r="A25" s="372">
        <v>6.5</v>
      </c>
      <c r="B25" s="333" t="s">
        <v>1159</v>
      </c>
      <c r="C25" s="384"/>
      <c r="D25" s="384"/>
      <c r="E25" s="373"/>
      <c r="F25" s="377"/>
      <c r="G25" s="377"/>
      <c r="H25" s="385"/>
      <c r="I25" s="377"/>
    </row>
    <row r="26" spans="1:9">
      <c r="A26" s="374"/>
      <c r="B26" s="375" t="str">
        <f>B19</f>
        <v>For Fire service Station</v>
      </c>
      <c r="C26" s="334"/>
      <c r="D26" s="334"/>
      <c r="E26" s="373"/>
      <c r="F26" s="374"/>
      <c r="G26" s="374"/>
      <c r="H26" s="374"/>
      <c r="I26" s="374"/>
    </row>
    <row r="27" spans="1:9">
      <c r="A27" s="374"/>
      <c r="B27" s="342" t="s">
        <v>1155</v>
      </c>
      <c r="C27" s="376">
        <v>1</v>
      </c>
      <c r="D27" s="376" t="s">
        <v>461</v>
      </c>
      <c r="E27" s="373">
        <v>35</v>
      </c>
      <c r="F27" s="377">
        <v>0.23</v>
      </c>
      <c r="G27" s="377">
        <v>0.23</v>
      </c>
      <c r="H27" s="377">
        <v>0.6</v>
      </c>
      <c r="I27" s="378">
        <f>ROUND(PRODUCT(C27:H27),2)</f>
        <v>1.1100000000000001</v>
      </c>
    </row>
    <row r="28" spans="1:9" ht="16.5">
      <c r="A28" s="379"/>
      <c r="B28" s="380"/>
      <c r="C28" s="381"/>
      <c r="D28" s="381"/>
      <c r="E28" s="381"/>
      <c r="F28" s="379"/>
      <c r="G28" s="379"/>
      <c r="H28" s="200" t="s">
        <v>117</v>
      </c>
      <c r="I28" s="181">
        <f>ROUNDUP(I27,1)</f>
        <v>1.2</v>
      </c>
    </row>
    <row r="29" spans="1:9">
      <c r="A29" s="379"/>
      <c r="B29" s="380"/>
      <c r="C29" s="381"/>
      <c r="D29" s="381"/>
      <c r="E29" s="381"/>
      <c r="F29" s="379"/>
      <c r="G29" s="371"/>
      <c r="H29" s="371"/>
      <c r="I29" s="371"/>
    </row>
    <row r="30" spans="1:9" ht="63">
      <c r="A30" s="372">
        <v>10.5</v>
      </c>
      <c r="B30" s="333" t="s">
        <v>1160</v>
      </c>
      <c r="C30" s="384"/>
      <c r="D30" s="384"/>
      <c r="E30" s="373"/>
      <c r="F30" s="377"/>
      <c r="G30" s="377"/>
      <c r="H30" s="385"/>
      <c r="I30" s="377"/>
    </row>
    <row r="31" spans="1:9">
      <c r="A31" s="374"/>
      <c r="B31" s="375" t="str">
        <f>B26</f>
        <v>For Fire service Station</v>
      </c>
      <c r="C31" s="334"/>
      <c r="D31" s="334"/>
      <c r="E31" s="373"/>
      <c r="F31" s="374"/>
      <c r="G31" s="374"/>
      <c r="H31" s="374"/>
      <c r="I31" s="374"/>
    </row>
    <row r="32" spans="1:9">
      <c r="A32" s="374"/>
      <c r="B32" s="342" t="s">
        <v>1155</v>
      </c>
      <c r="C32" s="376">
        <v>1</v>
      </c>
      <c r="D32" s="376" t="s">
        <v>461</v>
      </c>
      <c r="E32" s="373">
        <v>1</v>
      </c>
      <c r="F32" s="377">
        <v>92.56</v>
      </c>
      <c r="G32" s="377"/>
      <c r="H32" s="377">
        <v>0.6</v>
      </c>
      <c r="I32" s="378">
        <f>ROUND(PRODUCT(C32:H32),2)</f>
        <v>55.54</v>
      </c>
    </row>
    <row r="33" spans="1:9">
      <c r="A33" s="374"/>
      <c r="B33" s="342" t="s">
        <v>1156</v>
      </c>
      <c r="C33" s="376">
        <v>-1</v>
      </c>
      <c r="D33" s="376"/>
      <c r="E33" s="373">
        <v>1</v>
      </c>
      <c r="F33" s="377">
        <v>11.2</v>
      </c>
      <c r="G33" s="377"/>
      <c r="H33" s="377">
        <v>0.6</v>
      </c>
      <c r="I33" s="378">
        <f>ROUND(PRODUCT(C33:H33),2)</f>
        <v>-6.72</v>
      </c>
    </row>
    <row r="34" spans="1:9">
      <c r="A34" s="374"/>
      <c r="B34" s="342"/>
      <c r="C34" s="376"/>
      <c r="D34" s="376"/>
      <c r="E34" s="373"/>
      <c r="F34" s="377"/>
      <c r="G34" s="377"/>
      <c r="H34" s="385"/>
      <c r="I34" s="378">
        <f>SUM(I32:I33)</f>
        <v>48.82</v>
      </c>
    </row>
    <row r="35" spans="1:9" ht="16.5">
      <c r="A35" s="386"/>
      <c r="B35" s="342"/>
      <c r="C35" s="376"/>
      <c r="D35" s="376"/>
      <c r="E35" s="373"/>
      <c r="F35" s="387"/>
      <c r="G35" s="377"/>
      <c r="H35" s="200" t="s">
        <v>123</v>
      </c>
      <c r="I35" s="181">
        <f>ROUNDUP(I34,1)</f>
        <v>48.9</v>
      </c>
    </row>
    <row r="36" spans="1:9">
      <c r="A36" s="388">
        <v>33</v>
      </c>
      <c r="B36" s="342" t="s">
        <v>1078</v>
      </c>
      <c r="C36" s="377"/>
      <c r="D36" s="377"/>
      <c r="E36" s="377"/>
      <c r="F36" s="377"/>
      <c r="G36" s="377"/>
      <c r="H36" s="377"/>
      <c r="I36" s="377"/>
    </row>
    <row r="37" spans="1:9">
      <c r="A37" s="374"/>
      <c r="B37" s="375" t="str">
        <f>B31</f>
        <v>For Fire service Station</v>
      </c>
      <c r="C37" s="334"/>
      <c r="D37" s="334"/>
      <c r="E37" s="373"/>
      <c r="F37" s="374"/>
      <c r="G37" s="374"/>
      <c r="H37" s="374"/>
      <c r="I37" s="374"/>
    </row>
    <row r="38" spans="1:9">
      <c r="A38" s="374"/>
      <c r="B38" s="342" t="s">
        <v>1155</v>
      </c>
      <c r="C38" s="376">
        <v>1</v>
      </c>
      <c r="D38" s="376" t="s">
        <v>461</v>
      </c>
      <c r="E38" s="373">
        <v>1</v>
      </c>
      <c r="F38" s="377">
        <v>93</v>
      </c>
      <c r="G38" s="377"/>
      <c r="H38" s="377">
        <v>0.6</v>
      </c>
      <c r="I38" s="378">
        <f>ROUND(PRODUCT(C38:H38),2)</f>
        <v>55.8</v>
      </c>
    </row>
    <row r="39" spans="1:9">
      <c r="A39" s="374"/>
      <c r="B39" s="342" t="s">
        <v>1156</v>
      </c>
      <c r="C39" s="376">
        <v>-1</v>
      </c>
      <c r="D39" s="376"/>
      <c r="E39" s="373">
        <v>1</v>
      </c>
      <c r="F39" s="377">
        <v>11.2</v>
      </c>
      <c r="G39" s="377"/>
      <c r="H39" s="377">
        <v>0.6</v>
      </c>
      <c r="I39" s="378">
        <f>ROUND(PRODUCT(C39:H39),2)</f>
        <v>-6.72</v>
      </c>
    </row>
    <row r="40" spans="1:9">
      <c r="A40" s="374"/>
      <c r="B40" s="342"/>
      <c r="C40" s="376"/>
      <c r="D40" s="376"/>
      <c r="E40" s="373"/>
      <c r="F40" s="377"/>
      <c r="G40" s="377"/>
      <c r="H40" s="377"/>
      <c r="I40" s="378">
        <f>SUM(I38:I39)</f>
        <v>49.08</v>
      </c>
    </row>
    <row r="41" spans="1:9" ht="16.5">
      <c r="A41" s="374"/>
      <c r="B41" s="342"/>
      <c r="C41" s="376"/>
      <c r="D41" s="376"/>
      <c r="E41" s="373"/>
      <c r="F41" s="377"/>
      <c r="G41" s="377"/>
      <c r="H41" s="200" t="s">
        <v>123</v>
      </c>
      <c r="I41" s="181">
        <f>ROUNDUP(I40,1)</f>
        <v>49.1</v>
      </c>
    </row>
    <row r="42" spans="1:9">
      <c r="A42" s="379"/>
      <c r="B42" s="380"/>
      <c r="C42" s="381"/>
      <c r="D42" s="381"/>
      <c r="E42" s="381"/>
      <c r="F42" s="379"/>
      <c r="G42" s="371"/>
      <c r="H42" s="371"/>
      <c r="I42" s="371"/>
    </row>
    <row r="43" spans="1:9" ht="31.5">
      <c r="A43" s="372">
        <v>50.6</v>
      </c>
      <c r="B43" s="333" t="s">
        <v>58</v>
      </c>
      <c r="C43" s="377"/>
      <c r="D43" s="377"/>
      <c r="E43" s="377"/>
      <c r="F43" s="377"/>
      <c r="G43" s="377"/>
      <c r="H43" s="377"/>
      <c r="I43" s="377"/>
    </row>
    <row r="44" spans="1:9">
      <c r="A44" s="374"/>
      <c r="B44" s="375" t="str">
        <f>B37</f>
        <v>For Fire service Station</v>
      </c>
      <c r="C44" s="334"/>
      <c r="D44" s="334"/>
      <c r="E44" s="373"/>
      <c r="F44" s="374"/>
      <c r="G44" s="374"/>
      <c r="H44" s="374"/>
      <c r="I44" s="374"/>
    </row>
    <row r="45" spans="1:9">
      <c r="A45" s="374"/>
      <c r="B45" s="342" t="s">
        <v>1155</v>
      </c>
      <c r="C45" s="376">
        <v>1</v>
      </c>
      <c r="D45" s="376" t="s">
        <v>461</v>
      </c>
      <c r="E45" s="373">
        <v>1</v>
      </c>
      <c r="F45" s="377">
        <v>90.38</v>
      </c>
      <c r="G45" s="377">
        <v>0.6</v>
      </c>
      <c r="H45" s="377"/>
      <c r="I45" s="378">
        <f>ROUND(PRODUCT(C45:H45),2)</f>
        <v>54.23</v>
      </c>
    </row>
    <row r="46" spans="1:9">
      <c r="A46" s="374"/>
      <c r="B46" s="342" t="s">
        <v>1156</v>
      </c>
      <c r="C46" s="376">
        <v>-1</v>
      </c>
      <c r="D46" s="376"/>
      <c r="E46" s="373">
        <v>1</v>
      </c>
      <c r="F46" s="377">
        <v>11.2</v>
      </c>
      <c r="G46" s="377">
        <v>0.6</v>
      </c>
      <c r="H46" s="377"/>
      <c r="I46" s="378">
        <f>ROUND(PRODUCT(C46:H46),2)</f>
        <v>-6.72</v>
      </c>
    </row>
    <row r="47" spans="1:9">
      <c r="A47" s="374"/>
      <c r="B47" s="342"/>
      <c r="C47" s="376"/>
      <c r="D47" s="376"/>
      <c r="E47" s="373"/>
      <c r="F47" s="377"/>
      <c r="G47" s="377"/>
      <c r="H47" s="377"/>
      <c r="I47" s="378">
        <f>SUM(I45:I46)</f>
        <v>47.51</v>
      </c>
    </row>
    <row r="48" spans="1:9" ht="16.5">
      <c r="A48" s="372"/>
      <c r="B48" s="389"/>
      <c r="C48" s="376"/>
      <c r="D48" s="376"/>
      <c r="E48" s="373"/>
      <c r="F48" s="377"/>
      <c r="G48" s="387"/>
      <c r="H48" s="200" t="s">
        <v>123</v>
      </c>
      <c r="I48" s="181">
        <f>ROUNDUP(I47,1)</f>
        <v>47.6</v>
      </c>
    </row>
  </sheetData>
  <mergeCells count="2">
    <mergeCell ref="A1:I1"/>
    <mergeCell ref="C2:E2"/>
  </mergeCells>
  <pageMargins left="0.7" right="0.7" top="0.75" bottom="0.75" header="0.3" footer="0.3"/>
  <pageSetup paperSize="9" scale="87"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pile data ( M30 grade) (2)</vt:lpstr>
      <vt:lpstr>Sliding and french window</vt:lpstr>
      <vt:lpstr>Sub Data</vt:lpstr>
      <vt:lpstr>station</vt:lpstr>
      <vt:lpstr>main abst</vt:lpstr>
      <vt:lpstr>paver block (2)</vt:lpstr>
      <vt:lpstr>S.T</vt:lpstr>
      <vt:lpstr>Sump</vt:lpstr>
      <vt:lpstr>Plinth </vt:lpstr>
      <vt:lpstr>CMW</vt:lpstr>
      <vt:lpstr>Sullage</vt:lpstr>
      <vt:lpstr>Paver Block</vt:lpstr>
      <vt:lpstr>CUlvert</vt:lpstr>
      <vt:lpstr>UG Cable</vt:lpstr>
      <vt:lpstr>EX Water</vt:lpstr>
      <vt:lpstr>'pile data ( M30 grade) (2)'!Print_Area</vt:lpstr>
      <vt:lpstr>'Sliding and french window'!Print_Area</vt:lpstr>
      <vt:lpstr>station!Print_Area</vt:lpstr>
      <vt:lpstr>'Sub Data'!Print_Area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y6hgb</dc:creator>
  <cp:lastModifiedBy>DELL</cp:lastModifiedBy>
  <cp:lastPrinted>2021-11-12T15:05:09Z</cp:lastPrinted>
  <dcterms:created xsi:type="dcterms:W3CDTF">2003-09-02T05:17:23Z</dcterms:created>
  <dcterms:modified xsi:type="dcterms:W3CDTF">2023-09-22T08:18:55Z</dcterms:modified>
</cp:coreProperties>
</file>